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tables/table1.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codeName="Šī_darbgrāmata"/>
  <mc:AlternateContent xmlns:mc="http://schemas.openxmlformats.org/markup-compatibility/2006">
    <mc:Choice Requires="x15">
      <x15ac:absPath xmlns:x15ac="http://schemas.microsoft.com/office/spreadsheetml/2010/11/ac" url="C:\Users\Sintija.Tenisa\Desktop\"/>
    </mc:Choice>
  </mc:AlternateContent>
  <xr:revisionPtr revIDLastSave="0" documentId="8_{242F7CF3-1DAE-4787-BDE5-921BD40A2674}" xr6:coauthVersionLast="47" xr6:coauthVersionMax="47" xr10:uidLastSave="{00000000-0000-0000-0000-000000000000}"/>
  <bookViews>
    <workbookView xWindow="-108" yWindow="-108" windowWidth="23256" windowHeight="12576" tabRatio="866" activeTab="1" xr2:uid="{00000000-000D-0000-FFFF-FFFF00000000}"/>
  </bookViews>
  <sheets>
    <sheet name="PIVOT_2023" sheetId="105" r:id="rId1"/>
    <sheet name="Investīcijas_2023" sheetId="118" r:id="rId2"/>
    <sheet name="4.piel_Saistibas" sheetId="72" r:id="rId3"/>
    <sheet name="0841" sheetId="117" r:id="rId4"/>
    <sheet name="0841.1_Gaujas svetki" sheetId="100" r:id="rId5"/>
    <sheet name="0841.4_Dziesmu svētki" sheetId="102" r:id="rId6"/>
    <sheet name="0812_Sport" sheetId="101" r:id="rId7"/>
    <sheet name="0812 _Trenažieri" sheetId="120" r:id="rId8"/>
    <sheet name="0630_dekori" sheetId="106" r:id="rId9"/>
    <sheet name="Priekšlikumi ārtelpas projekt" sheetId="114" r:id="rId10"/>
  </sheets>
  <externalReferences>
    <externalReference r:id="rId11"/>
    <externalReference r:id="rId12"/>
  </externalReferences>
  <definedNames>
    <definedName name="_0812">[1]Groz_NIN_12_2014!#REF!</definedName>
    <definedName name="_Hlk118286372" localSheetId="3">'0841'!$B$33</definedName>
    <definedName name="Apmaksa" localSheetId="2">[2]Apmaksa!$A$1:$A$65536</definedName>
    <definedName name="Apmaksa">[2]Apmaksa!$A$1:$A$65536</definedName>
    <definedName name="Darijums" localSheetId="2">[2]Darijums!$A$1:$A$65536</definedName>
    <definedName name="Darijums">[2]Darijums!$A$1:$A$65536</definedName>
    <definedName name="Excel_BuiltIn__FilterDatabase" localSheetId="8">[1]Groz_NIN_12_2014!#REF!</definedName>
    <definedName name="Excel_BuiltIn__FilterDatabase" localSheetId="7">[1]Groz_NIN_12_2014!#REF!</definedName>
    <definedName name="Excel_BuiltIn__FilterDatabase" localSheetId="6">[1]Groz_NIN_12_2014!#REF!</definedName>
    <definedName name="Excel_BuiltIn__FilterDatabase" localSheetId="5">[1]Groz_NIN_12_2014!#REF!</definedName>
    <definedName name="Excel_BuiltIn__FilterDatabase" localSheetId="2">[1]Groz_NIN_12_2014!#REF!</definedName>
    <definedName name="Excel_BuiltIn__FilterDatabase" localSheetId="9">[1]Groz_NIN_12_2014!#REF!</definedName>
    <definedName name="Excel_BuiltIn__FilterDatabase">[1]Groz_NIN_12_2014!#REF!</definedName>
    <definedName name="Firmas" localSheetId="2">[2]Firma!$A$1:$A$65536</definedName>
    <definedName name="Firmas">[2]Firma!$A$1:$A$65536</definedName>
    <definedName name="Kolonnas_virsraksta_reģions1..B11.1">'0841'!$B$6</definedName>
    <definedName name="Kolonnas_virsraksta_reģions1..D4">'0841'!$C$2</definedName>
    <definedName name="Kolonnas_virsraksta_reģions2..D7">'0841'!$C$6</definedName>
    <definedName name="Kolonnas_virsraksta_reģions3..C12">'0841'!$B$12</definedName>
    <definedName name="KolonnasNosaukums1">Piedāvājums[[#Headers],[Apraksts]]</definedName>
    <definedName name="page1" localSheetId="7">'0812 _Trenažieri'!$K$5</definedName>
    <definedName name="page2" localSheetId="7">'0812 _Trenažieri'!$K$119</definedName>
    <definedName name="page3" localSheetId="7">'0812 _Trenažieri'!$K$178</definedName>
    <definedName name="page4" localSheetId="7">'0812 _Trenažieri'!$I$92</definedName>
    <definedName name="page5" localSheetId="7">'0812 _Trenažieri'!$K$359</definedName>
    <definedName name="page6" localSheetId="7">'0812 _Trenažieri'!$K$483</definedName>
    <definedName name="page7" localSheetId="7">'0812 _Trenažieri'!$K$537</definedName>
    <definedName name="Parvadataji" localSheetId="2">[2]Ligumi!$A$1:$A$65536</definedName>
    <definedName name="Parvadataji">[2]Ligumi!$A$1:$A$65536</definedName>
    <definedName name="_xlnm.Print_Area" localSheetId="2">'4.piel_Saistibas'!$A$1:$AF$185</definedName>
    <definedName name="_xlnm.Print_Titles" localSheetId="3">'0841'!$13:$13</definedName>
    <definedName name="_xlnm.Print_Titles" localSheetId="2">'4.piel_Saistibas'!$9:$9</definedName>
    <definedName name="Saist_apmers_ar_galvojumu">[2]Ligumi!$A$1:$A$65536</definedName>
    <definedName name="Z_1893421C_DBAA_4C10_AA6C_4D0F39122205_.wvu.FilterData" localSheetId="8">[1]Groz_NIN_12_2014!#REF!</definedName>
    <definedName name="Z_1893421C_DBAA_4C10_AA6C_4D0F39122205_.wvu.FilterData" localSheetId="7">[1]Groz_NIN_12_2014!#REF!</definedName>
    <definedName name="Z_1893421C_DBAA_4C10_AA6C_4D0F39122205_.wvu.FilterData" localSheetId="6">[1]Groz_NIN_12_2014!#REF!</definedName>
    <definedName name="Z_1893421C_DBAA_4C10_AA6C_4D0F39122205_.wvu.FilterData" localSheetId="5">[1]Groz_NIN_12_2014!#REF!</definedName>
    <definedName name="Z_1893421C_DBAA_4C10_AA6C_4D0F39122205_.wvu.FilterData" localSheetId="2">[1]Groz_NIN_12_2014!#REF!</definedName>
    <definedName name="Z_1893421C_DBAA_4C10_AA6C_4D0F39122205_.wvu.FilterData" localSheetId="9">[1]Groz_NIN_12_2014!#REF!</definedName>
    <definedName name="Z_1893421C_DBAA_4C10_AA6C_4D0F39122205_.wvu.FilterData">[1]Groz_NIN_12_2014!#REF!</definedName>
    <definedName name="Z_483F8D4B_D649_4D59_A67B_5E8B6C0D2E28_.wvu.FilterData" localSheetId="8">[1]Groz_NIN_12_2014!#REF!</definedName>
    <definedName name="Z_483F8D4B_D649_4D59_A67B_5E8B6C0D2E28_.wvu.FilterData" localSheetId="6">[1]Groz_NIN_12_2014!#REF!</definedName>
    <definedName name="Z_483F8D4B_D649_4D59_A67B_5E8B6C0D2E28_.wvu.FilterData" localSheetId="5">[1]Groz_NIN_12_2014!#REF!</definedName>
    <definedName name="Z_483F8D4B_D649_4D59_A67B_5E8B6C0D2E28_.wvu.FilterData" localSheetId="2">[1]Groz_NIN_12_2014!#REF!</definedName>
    <definedName name="Z_483F8D4B_D649_4D59_A67B_5E8B6C0D2E28_.wvu.FilterData" localSheetId="9">[1]Groz_NIN_12_2014!#REF!</definedName>
    <definedName name="Z_483F8D4B_D649_4D59_A67B_5E8B6C0D2E28_.wvu.FilterData">[1]Groz_NIN_12_2014!#REF!</definedName>
    <definedName name="Z_56A06D27_97E5_4D01_ADCE_F8E0A2A870EF_.wvu.FilterData" localSheetId="6">[1]Groz_NIN_12_2014!#REF!</definedName>
    <definedName name="Z_56A06D27_97E5_4D01_ADCE_F8E0A2A870EF_.wvu.FilterData" localSheetId="5">[1]Groz_NIN_12_2014!#REF!</definedName>
    <definedName name="Z_56A06D27_97E5_4D01_ADCE_F8E0A2A870EF_.wvu.FilterData" localSheetId="2">[1]Groz_NIN_12_2014!#REF!</definedName>
    <definedName name="Z_56A06D27_97E5_4D01_ADCE_F8E0A2A870EF_.wvu.FilterData">[1]Groz_NIN_12_2014!#REF!</definedName>
    <definedName name="Z_81EB1DB6_89AB_4045_90FA_EF2BA7E792F9_.wvu.FilterData" localSheetId="6">[1]Groz_NIN_12_2014!#REF!</definedName>
    <definedName name="Z_81EB1DB6_89AB_4045_90FA_EF2BA7E792F9_.wvu.FilterData" localSheetId="5">[1]Groz_NIN_12_2014!#REF!</definedName>
    <definedName name="Z_81EB1DB6_89AB_4045_90FA_EF2BA7E792F9_.wvu.FilterData" localSheetId="2">[1]Groz_NIN_12_2014!#REF!</definedName>
    <definedName name="Z_81EB1DB6_89AB_4045_90FA_EF2BA7E792F9_.wvu.FilterData">[1]Groz_NIN_12_2014!#REF!</definedName>
    <definedName name="Z_81EB1DB6_89AB_4045_90FA_EF2BA7E792F9_.wvu.PrintArea" localSheetId="6">[1]Groz_NIN_12_2014!#REF!</definedName>
    <definedName name="Z_81EB1DB6_89AB_4045_90FA_EF2BA7E792F9_.wvu.PrintArea" localSheetId="5">[1]Groz_NIN_12_2014!#REF!</definedName>
    <definedName name="Z_81EB1DB6_89AB_4045_90FA_EF2BA7E792F9_.wvu.PrintArea" localSheetId="2">[1]Groz_NIN_12_2014!#REF!</definedName>
    <definedName name="Z_81EB1DB6_89AB_4045_90FA_EF2BA7E792F9_.wvu.PrintArea">[1]Groz_NIN_12_2014!#REF!</definedName>
    <definedName name="Z_8545B4E6_A517_4BD7_BFB7_42FEB5F229AD_.wvu.FilterData" localSheetId="6">[1]Groz_NIN_12_2014!#REF!</definedName>
    <definedName name="Z_8545B4E6_A517_4BD7_BFB7_42FEB5F229AD_.wvu.FilterData" localSheetId="2">[1]Groz_NIN_12_2014!#REF!</definedName>
    <definedName name="Z_8545B4E6_A517_4BD7_BFB7_42FEB5F229AD_.wvu.FilterData">[1]Groz_NIN_12_2014!#REF!</definedName>
    <definedName name="Z_877A1030_2452_46B0_88DF_8A068656C08E_.wvu.FilterData" localSheetId="6">[1]Groz_NIN_12_2014!#REF!</definedName>
    <definedName name="Z_877A1030_2452_46B0_88DF_8A068656C08E_.wvu.FilterData" localSheetId="2">[1]Groz_NIN_12_2014!#REF!</definedName>
    <definedName name="Z_877A1030_2452_46B0_88DF_8A068656C08E_.wvu.FilterData">[1]Groz_NIN_12_2014!#REF!</definedName>
    <definedName name="Z_ABD8A783_3A6C_4629_9559_1E4E89E80131_.wvu.FilterData" localSheetId="6">[1]Groz_NIN_12_2014!#REF!</definedName>
    <definedName name="Z_ABD8A783_3A6C_4629_9559_1E4E89E80131_.wvu.FilterData" localSheetId="2">[1]Groz_NIN_12_2014!#REF!</definedName>
    <definedName name="Z_ABD8A783_3A6C_4629_9559_1E4E89E80131_.wvu.FilterData">[1]Groz_NIN_12_2014!#REF!</definedName>
    <definedName name="Z_AF277C95_CBD9_4696_AC72_D010599E9831_.wvu.FilterData" localSheetId="6">[1]Groz_NIN_12_2014!#REF!</definedName>
    <definedName name="Z_AF277C95_CBD9_4696_AC72_D010599E9831_.wvu.FilterData" localSheetId="2">[1]Groz_NIN_12_2014!#REF!</definedName>
    <definedName name="Z_AF277C95_CBD9_4696_AC72_D010599E9831_.wvu.FilterData">[1]Groz_NIN_12_2014!#REF!</definedName>
    <definedName name="Z_B7CBCF06_FF41_423A_9AB3_E1D1F70C6FC5_.wvu.FilterData" localSheetId="6">[1]Groz_NIN_12_2014!#REF!</definedName>
    <definedName name="Z_B7CBCF06_FF41_423A_9AB3_E1D1F70C6FC5_.wvu.FilterData" localSheetId="2">[1]Groz_NIN_12_2014!#REF!</definedName>
    <definedName name="Z_B7CBCF06_FF41_423A_9AB3_E1D1F70C6FC5_.wvu.FilterData">[1]Groz_NIN_12_2014!#REF!</definedName>
    <definedName name="Z_C5511FB8_86C5_41F3_ADCD_B10310F066F5_.wvu.FilterData" localSheetId="6">[1]Groz_NIN_12_2014!#REF!</definedName>
    <definedName name="Z_C5511FB8_86C5_41F3_ADCD_B10310F066F5_.wvu.FilterData" localSheetId="2">[1]Groz_NIN_12_2014!#REF!</definedName>
    <definedName name="Z_C5511FB8_86C5_41F3_ADCD_B10310F066F5_.wvu.FilterData">[1]Groz_NIN_12_2014!#REF!</definedName>
    <definedName name="Z_DB8ECBD1_2D44_4F97_BCC9_F610BA0A3109_.wvu.FilterData" localSheetId="6">[1]Groz_NIN_12_2014!#REF!</definedName>
    <definedName name="Z_DB8ECBD1_2D44_4F97_BCC9_F610BA0A3109_.wvu.FilterData" localSheetId="2">[1]Groz_NIN_12_2014!#REF!</definedName>
    <definedName name="Z_DB8ECBD1_2D44_4F97_BCC9_F610BA0A3109_.wvu.FilterData">[1]Groz_NIN_12_2014!#REF!</definedName>
    <definedName name="Z_DEE3A27E_689A_4E9F_A3EB_C84F1E3B413E_.wvu.FilterData" localSheetId="6">[1]Groz_NIN_12_2014!#REF!</definedName>
    <definedName name="Z_DEE3A27E_689A_4E9F_A3EB_C84F1E3B413E_.wvu.FilterData" localSheetId="2">[1]Groz_NIN_12_2014!#REF!</definedName>
    <definedName name="Z_DEE3A27E_689A_4E9F_A3EB_C84F1E3B413E_.wvu.FilterData">[1]Groz_NIN_12_2014!#REF!</definedName>
    <definedName name="Z_F1F489B9_0F61_4F1F_A151_75EF77465344_.wvu.Cols" localSheetId="6">[1]Groz_NIN_12_2014!#REF!</definedName>
    <definedName name="Z_F1F489B9_0F61_4F1F_A151_75EF77465344_.wvu.Cols" localSheetId="2">[1]Groz_NIN_12_2014!#REF!</definedName>
    <definedName name="Z_F1F489B9_0F61_4F1F_A151_75EF77465344_.wvu.Cols">[1]Groz_NIN_12_2014!#REF!</definedName>
    <definedName name="Z_F1F489B9_0F61_4F1F_A151_75EF77465344_.wvu.FilterData" localSheetId="6">[1]Groz_NIN_12_2014!#REF!</definedName>
    <definedName name="Z_F1F489B9_0F61_4F1F_A151_75EF77465344_.wvu.FilterData" localSheetId="2">[1]Groz_NIN_12_2014!#REF!</definedName>
    <definedName name="Z_F1F489B9_0F61_4F1F_A151_75EF77465344_.wvu.FilterData">[1]Groz_NIN_12_2014!#REF!</definedName>
    <definedName name="Z_F1F489B9_0F61_4F1F_A151_75EF77465344_.wvu.PrintArea" localSheetId="6">[1]Groz_NIN_12_2014!#REF!</definedName>
    <definedName name="Z_F1F489B9_0F61_4F1F_A151_75EF77465344_.wvu.PrintArea" localSheetId="2">[1]Groz_NIN_12_2014!#REF!</definedName>
    <definedName name="Z_F1F489B9_0F61_4F1F_A151_75EF77465344_.wvu.PrintArea">[1]Groz_NIN_12_2014!#REF!</definedName>
    <definedName name="Z_F1F489B9_0F61_4F1F_A151_75EF77465344_.wvu.PrintTitles" localSheetId="6">[1]Groz_NIN_12_2014!#REF!</definedName>
    <definedName name="Z_F1F489B9_0F61_4F1F_A151_75EF77465344_.wvu.PrintTitles" localSheetId="2">[1]Groz_NIN_12_2014!#REF!</definedName>
    <definedName name="Z_F1F489B9_0F61_4F1F_A151_75EF77465344_.wvu.PrintTitles">[1]Groz_NIN_12_2014!#REF!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32" i="118" l="1"/>
  <c r="J235" i="118" l="1"/>
  <c r="J251" i="118"/>
  <c r="L251" i="118" s="1"/>
  <c r="J249" i="118"/>
  <c r="L249" i="118" s="1"/>
  <c r="J248" i="118"/>
  <c r="J241" i="118"/>
  <c r="J240" i="118"/>
  <c r="J239" i="118"/>
  <c r="J236" i="118"/>
  <c r="J228" i="118"/>
  <c r="J224" i="118"/>
  <c r="J227" i="118"/>
  <c r="J222" i="118"/>
  <c r="J219" i="118"/>
  <c r="J216" i="118"/>
  <c r="J215" i="118"/>
  <c r="J214" i="118"/>
  <c r="J212" i="118"/>
  <c r="J207" i="118"/>
  <c r="J206" i="118"/>
  <c r="J205" i="118"/>
  <c r="J204" i="118"/>
  <c r="J203" i="118"/>
  <c r="J202" i="118"/>
  <c r="J192" i="118"/>
  <c r="J199" i="118"/>
  <c r="J198" i="118"/>
  <c r="J188" i="118"/>
  <c r="J191" i="118"/>
  <c r="J190" i="118"/>
  <c r="J187" i="118"/>
  <c r="J186" i="118"/>
  <c r="J177" i="118"/>
  <c r="H177" i="118"/>
  <c r="J176" i="118"/>
  <c r="H176" i="118" s="1"/>
  <c r="J175" i="118"/>
  <c r="H175" i="118" s="1"/>
  <c r="J174" i="118"/>
  <c r="H174" i="118" s="1"/>
  <c r="F36" i="118" l="1"/>
  <c r="H53" i="118" l="1"/>
  <c r="X132" i="72" l="1"/>
  <c r="K179" i="118" l="1"/>
  <c r="H167" i="118"/>
  <c r="H166" i="118"/>
  <c r="H165" i="118"/>
  <c r="H164" i="118"/>
  <c r="H163" i="118"/>
  <c r="H162" i="118"/>
  <c r="H136" i="118"/>
  <c r="H135" i="118"/>
  <c r="H134" i="118"/>
  <c r="H132" i="118"/>
  <c r="H131" i="118"/>
  <c r="H130" i="118"/>
  <c r="H129" i="118"/>
  <c r="H127" i="118"/>
  <c r="H126" i="118"/>
  <c r="H125" i="118"/>
  <c r="H124" i="118"/>
  <c r="H123" i="118"/>
  <c r="H122" i="118"/>
  <c r="H121" i="118"/>
  <c r="H120" i="118"/>
  <c r="H119" i="118"/>
  <c r="H118" i="118"/>
  <c r="H117" i="118"/>
  <c r="H116" i="118"/>
  <c r="H115" i="118"/>
  <c r="H100" i="118"/>
  <c r="H99" i="118"/>
  <c r="H98" i="118"/>
  <c r="H97" i="118"/>
  <c r="H96" i="118"/>
  <c r="H95" i="118"/>
  <c r="H94" i="118"/>
  <c r="H93" i="118"/>
  <c r="H92" i="118"/>
  <c r="H91" i="118"/>
  <c r="H90" i="118"/>
  <c r="H89" i="118"/>
  <c r="H88" i="118"/>
  <c r="H87" i="118"/>
  <c r="H86" i="118"/>
  <c r="H85" i="118"/>
  <c r="H84" i="118"/>
  <c r="J56" i="118"/>
  <c r="N36" i="118"/>
  <c r="H65" i="118"/>
  <c r="H62" i="118"/>
  <c r="J46" i="118" l="1"/>
  <c r="H46" i="118" s="1"/>
  <c r="F33" i="118"/>
  <c r="F37" i="118" l="1"/>
  <c r="F38" i="118" s="1"/>
  <c r="AE132" i="72" l="1"/>
  <c r="L101" i="118"/>
  <c r="H101" i="118" s="1"/>
  <c r="B132" i="118" l="1"/>
  <c r="J179" i="118"/>
  <c r="F26" i="118" l="1"/>
  <c r="I4" i="105" l="1"/>
  <c r="J213" i="118" l="1"/>
  <c r="H252" i="118" l="1"/>
  <c r="H251" i="118"/>
  <c r="H250" i="118"/>
  <c r="H249" i="118"/>
  <c r="H248" i="118"/>
  <c r="H247" i="118"/>
  <c r="H246" i="118"/>
  <c r="H114" i="118"/>
  <c r="H113" i="118"/>
  <c r="H112" i="118"/>
  <c r="H111" i="118"/>
  <c r="H108" i="118"/>
  <c r="L110" i="118"/>
  <c r="H110" i="118" s="1"/>
  <c r="L109" i="118"/>
  <c r="H244" i="118"/>
  <c r="H243" i="118"/>
  <c r="H242" i="118"/>
  <c r="H241" i="118"/>
  <c r="H240" i="118"/>
  <c r="H239" i="118"/>
  <c r="H238" i="118"/>
  <c r="H237" i="118"/>
  <c r="H106" i="118"/>
  <c r="H236" i="118"/>
  <c r="H105" i="118"/>
  <c r="H107" i="118"/>
  <c r="H104" i="118"/>
  <c r="H103" i="118"/>
  <c r="H102" i="118"/>
  <c r="H235" i="118"/>
  <c r="H234" i="118"/>
  <c r="H231" i="118"/>
  <c r="H230" i="118"/>
  <c r="H228" i="118"/>
  <c r="H227" i="118"/>
  <c r="H226" i="118"/>
  <c r="H225" i="118"/>
  <c r="H173" i="118"/>
  <c r="H172" i="118"/>
  <c r="H171" i="118"/>
  <c r="H170" i="118"/>
  <c r="H169" i="118"/>
  <c r="H66" i="118"/>
  <c r="H224" i="118"/>
  <c r="H223" i="118"/>
  <c r="H222" i="118"/>
  <c r="H221" i="118"/>
  <c r="H220" i="118"/>
  <c r="H219" i="118"/>
  <c r="H218" i="118"/>
  <c r="H217" i="118"/>
  <c r="H216" i="118"/>
  <c r="H215" i="118"/>
  <c r="H214" i="118"/>
  <c r="H212" i="118"/>
  <c r="H211" i="118"/>
  <c r="H210" i="118"/>
  <c r="H209" i="118"/>
  <c r="H208" i="118"/>
  <c r="H206" i="118"/>
  <c r="H205" i="118"/>
  <c r="H204" i="118"/>
  <c r="H203" i="118"/>
  <c r="H68" i="118"/>
  <c r="H201" i="118"/>
  <c r="H202" i="118"/>
  <c r="H155" i="118"/>
  <c r="H156" i="118"/>
  <c r="H157" i="118"/>
  <c r="H158" i="118"/>
  <c r="H159" i="118"/>
  <c r="H160" i="118"/>
  <c r="H154" i="118"/>
  <c r="H153" i="118"/>
  <c r="H152" i="118"/>
  <c r="H200" i="118"/>
  <c r="H151" i="118"/>
  <c r="H199" i="118"/>
  <c r="H198" i="118"/>
  <c r="H197" i="118"/>
  <c r="H196" i="118"/>
  <c r="H195" i="118"/>
  <c r="H194" i="118"/>
  <c r="H192" i="118"/>
  <c r="H150" i="118"/>
  <c r="H149" i="118"/>
  <c r="H148" i="118"/>
  <c r="H147" i="118"/>
  <c r="H146" i="118"/>
  <c r="H145" i="118"/>
  <c r="H144" i="118"/>
  <c r="H143" i="118"/>
  <c r="H142" i="118"/>
  <c r="H141" i="118"/>
  <c r="H140" i="118"/>
  <c r="H138" i="118"/>
  <c r="H137" i="118"/>
  <c r="H189" i="118"/>
  <c r="H191" i="118"/>
  <c r="H190" i="118"/>
  <c r="H186" i="118"/>
  <c r="H187" i="118"/>
  <c r="H185" i="118"/>
  <c r="H109" i="118" l="1"/>
  <c r="L179" i="118"/>
  <c r="N37" i="118" l="1"/>
  <c r="AE62" i="72"/>
  <c r="X62" i="72"/>
  <c r="X180" i="72" s="1"/>
  <c r="L29" i="118" s="1"/>
  <c r="L33" i="118" l="1"/>
  <c r="K55" i="118" l="1"/>
  <c r="H56" i="118"/>
  <c r="K77" i="118"/>
  <c r="H67" i="118" l="1"/>
  <c r="J64" i="118" l="1"/>
  <c r="H74" i="118" l="1"/>
  <c r="K73" i="118" l="1"/>
  <c r="K72" i="118"/>
  <c r="K253" i="118" l="1"/>
  <c r="H71" i="118"/>
  <c r="L55" i="118"/>
  <c r="H55" i="118" s="1"/>
  <c r="H64" i="118"/>
  <c r="K61" i="118" l="1"/>
  <c r="K47" i="118"/>
  <c r="H188" i="118" l="1"/>
  <c r="L37" i="118"/>
  <c r="J61" i="118" l="1"/>
  <c r="J78" i="118" s="1"/>
  <c r="K60" i="118" l="1"/>
  <c r="L60" i="118" s="1"/>
  <c r="H60" i="118" l="1"/>
  <c r="L52" i="118"/>
  <c r="L78" i="118" s="1"/>
  <c r="K52" i="118" l="1"/>
  <c r="H52" i="118" l="1"/>
  <c r="K78" i="118"/>
  <c r="AI145" i="72" l="1"/>
  <c r="AI149" i="72"/>
  <c r="AE48" i="72"/>
  <c r="AE50" i="72"/>
  <c r="AF50" i="72" s="1"/>
  <c r="L48" i="72"/>
  <c r="L50" i="72"/>
  <c r="AC51" i="72" l="1"/>
  <c r="AE51" i="72"/>
  <c r="Y51" i="72"/>
  <c r="AB51" i="72"/>
  <c r="X51" i="72"/>
  <c r="AA51" i="72"/>
  <c r="AD51" i="72"/>
  <c r="Z51" i="72"/>
  <c r="AF51" i="72" l="1"/>
  <c r="L166" i="72"/>
  <c r="Y167" i="72" s="1"/>
  <c r="AF166" i="72"/>
  <c r="AF165" i="72"/>
  <c r="AF164" i="72"/>
  <c r="AF163" i="72"/>
  <c r="AF162" i="72"/>
  <c r="AF161" i="72"/>
  <c r="AF160" i="72"/>
  <c r="AF158" i="72"/>
  <c r="AA167" i="72" l="1"/>
  <c r="X167" i="72"/>
  <c r="AE167" i="72"/>
  <c r="AD167" i="72"/>
  <c r="Z167" i="72"/>
  <c r="AB167" i="72"/>
  <c r="AC167" i="72"/>
  <c r="AF167" i="72" l="1"/>
  <c r="L28" i="72"/>
  <c r="L46" i="72"/>
  <c r="L44" i="72"/>
  <c r="L42" i="72"/>
  <c r="L40" i="72"/>
  <c r="L36" i="72"/>
  <c r="L34" i="72"/>
  <c r="L32" i="72"/>
  <c r="Y180" i="72" l="1"/>
  <c r="Z180" i="72"/>
  <c r="AA180" i="72"/>
  <c r="AB180" i="72"/>
  <c r="AC180" i="72"/>
  <c r="AD180" i="72"/>
  <c r="AE180" i="72"/>
  <c r="L158" i="72"/>
  <c r="W146" i="72"/>
  <c r="X146" i="72"/>
  <c r="Y146" i="72"/>
  <c r="Z146" i="72"/>
  <c r="AA146" i="72"/>
  <c r="AB146" i="72"/>
  <c r="AC146" i="72"/>
  <c r="AD146" i="72"/>
  <c r="AE146" i="72"/>
  <c r="V147" i="72"/>
  <c r="V146" i="72"/>
  <c r="W129" i="72"/>
  <c r="W147" i="72" s="1"/>
  <c r="M106" i="72"/>
  <c r="L106" i="72"/>
  <c r="M138" i="72"/>
  <c r="L138" i="72"/>
  <c r="M136" i="72"/>
  <c r="L136" i="72"/>
  <c r="M134" i="72"/>
  <c r="L134" i="72"/>
  <c r="M132" i="72"/>
  <c r="L132" i="72"/>
  <c r="M130" i="72"/>
  <c r="L130" i="72"/>
  <c r="M128" i="72"/>
  <c r="L128" i="72"/>
  <c r="M126" i="72"/>
  <c r="L126" i="72"/>
  <c r="M124" i="72"/>
  <c r="L124" i="72"/>
  <c r="M122" i="72"/>
  <c r="L122" i="72"/>
  <c r="M120" i="72"/>
  <c r="L120" i="72"/>
  <c r="M118" i="72"/>
  <c r="L118" i="72"/>
  <c r="M116" i="72"/>
  <c r="L116" i="72"/>
  <c r="M114" i="72"/>
  <c r="L114" i="72"/>
  <c r="M112" i="72"/>
  <c r="L112" i="72"/>
  <c r="M110" i="72"/>
  <c r="L110" i="72"/>
  <c r="M108" i="72"/>
  <c r="L108" i="72"/>
  <c r="M104" i="72"/>
  <c r="L104" i="72"/>
  <c r="M102" i="72"/>
  <c r="L102" i="72"/>
  <c r="M100" i="72"/>
  <c r="L100" i="72"/>
  <c r="M98" i="72"/>
  <c r="L98" i="72"/>
  <c r="M96" i="72"/>
  <c r="L96" i="72"/>
  <c r="M94" i="72"/>
  <c r="L94" i="72"/>
  <c r="M92" i="72"/>
  <c r="L92" i="72"/>
  <c r="M90" i="72"/>
  <c r="L90" i="72"/>
  <c r="M88" i="72"/>
  <c r="L88" i="72"/>
  <c r="M86" i="72"/>
  <c r="L86" i="72"/>
  <c r="M84" i="72"/>
  <c r="L84" i="72"/>
  <c r="M82" i="72"/>
  <c r="L82" i="72"/>
  <c r="M80" i="72"/>
  <c r="L80" i="72"/>
  <c r="M78" i="72"/>
  <c r="L78" i="72"/>
  <c r="M76" i="72"/>
  <c r="L76" i="72"/>
  <c r="M74" i="72"/>
  <c r="L74" i="72"/>
  <c r="M72" i="72"/>
  <c r="L72" i="72"/>
  <c r="M70" i="72"/>
  <c r="L70" i="72"/>
  <c r="L10" i="72"/>
  <c r="V142" i="72"/>
  <c r="W142" i="72"/>
  <c r="X142" i="72"/>
  <c r="Y142" i="72"/>
  <c r="Z142" i="72"/>
  <c r="AA142" i="72"/>
  <c r="AB142" i="72"/>
  <c r="AC142" i="72"/>
  <c r="AD142" i="72"/>
  <c r="AE142" i="72"/>
  <c r="U142" i="72"/>
  <c r="U150" i="72" s="1"/>
  <c r="L68" i="72"/>
  <c r="AB69" i="72" s="1"/>
  <c r="L66" i="72"/>
  <c r="AA67" i="72" s="1"/>
  <c r="L64" i="72"/>
  <c r="Z65" i="72" s="1"/>
  <c r="L62" i="72"/>
  <c r="Z63" i="72" s="1"/>
  <c r="L60" i="72"/>
  <c r="AC61" i="72" s="1"/>
  <c r="L58" i="72"/>
  <c r="Z59" i="72" s="1"/>
  <c r="L56" i="72"/>
  <c r="Y57" i="72" s="1"/>
  <c r="L54" i="72"/>
  <c r="W55" i="72" s="1"/>
  <c r="AE49" i="72"/>
  <c r="V49" i="72"/>
  <c r="W49" i="72"/>
  <c r="X49" i="72"/>
  <c r="Y49" i="72"/>
  <c r="Z49" i="72"/>
  <c r="AA49" i="72"/>
  <c r="AB49" i="72"/>
  <c r="AC49" i="72"/>
  <c r="AD49" i="72"/>
  <c r="U49" i="72"/>
  <c r="L30" i="72"/>
  <c r="L22" i="72"/>
  <c r="L20" i="72"/>
  <c r="L18" i="72"/>
  <c r="L16" i="72"/>
  <c r="L14" i="72"/>
  <c r="L12" i="72"/>
  <c r="AC87" i="72" l="1"/>
  <c r="AB103" i="72"/>
  <c r="AA117" i="72"/>
  <c r="AC137" i="72"/>
  <c r="AD150" i="72"/>
  <c r="Y159" i="72"/>
  <c r="AC159" i="72"/>
  <c r="X159" i="72"/>
  <c r="AB159" i="72"/>
  <c r="Z159" i="72"/>
  <c r="AD159" i="72"/>
  <c r="AA159" i="72"/>
  <c r="AE159" i="72"/>
  <c r="Z150" i="72"/>
  <c r="AB85" i="72"/>
  <c r="Z115" i="72"/>
  <c r="Y89" i="72"/>
  <c r="AE119" i="72"/>
  <c r="Y73" i="72"/>
  <c r="Z77" i="72"/>
  <c r="Y81" i="72"/>
  <c r="Y85" i="72"/>
  <c r="AB89" i="72"/>
  <c r="Y93" i="72"/>
  <c r="Y97" i="72"/>
  <c r="Z101" i="72"/>
  <c r="AB105" i="72"/>
  <c r="Y111" i="72"/>
  <c r="AE115" i="72"/>
  <c r="Z119" i="72"/>
  <c r="AE123" i="72"/>
  <c r="AE127" i="72"/>
  <c r="Z131" i="72"/>
  <c r="Y135" i="72"/>
  <c r="AA139" i="72"/>
  <c r="X107" i="72"/>
  <c r="Y71" i="72"/>
  <c r="Y75" i="72"/>
  <c r="Z79" i="72"/>
  <c r="AB91" i="72"/>
  <c r="AB95" i="72"/>
  <c r="AB109" i="72"/>
  <c r="AB113" i="72"/>
  <c r="AB117" i="72"/>
  <c r="AA121" i="72"/>
  <c r="AA125" i="72"/>
  <c r="AD129" i="72"/>
  <c r="AC133" i="72"/>
  <c r="AD137" i="72"/>
  <c r="AC101" i="72"/>
  <c r="AD107" i="72"/>
  <c r="Y105" i="72"/>
  <c r="AD111" i="72"/>
  <c r="AB135" i="72"/>
  <c r="X71" i="72"/>
  <c r="X75" i="72"/>
  <c r="Y79" i="72"/>
  <c r="Z125" i="72"/>
  <c r="AC129" i="72"/>
  <c r="Y150" i="72"/>
  <c r="AA73" i="72"/>
  <c r="AB77" i="72"/>
  <c r="AA81" i="72"/>
  <c r="AB97" i="72"/>
  <c r="AA107" i="72"/>
  <c r="Z121" i="72"/>
  <c r="Z127" i="72"/>
  <c r="AC131" i="72"/>
  <c r="X150" i="72"/>
  <c r="AE73" i="72"/>
  <c r="X77" i="72"/>
  <c r="AB81" i="72"/>
  <c r="AC85" i="72"/>
  <c r="AC89" i="72"/>
  <c r="AC93" i="72"/>
  <c r="AC97" i="72"/>
  <c r="AD101" i="72"/>
  <c r="AC105" i="72"/>
  <c r="AB93" i="72"/>
  <c r="Z107" i="72"/>
  <c r="AE105" i="72"/>
  <c r="Z123" i="72"/>
  <c r="AC150" i="72"/>
  <c r="AB150" i="72"/>
  <c r="Z71" i="72"/>
  <c r="Z75" i="72"/>
  <c r="AA79" i="72"/>
  <c r="Z83" i="72"/>
  <c r="AA87" i="72"/>
  <c r="Z91" i="72"/>
  <c r="Z95" i="72"/>
  <c r="Z99" i="72"/>
  <c r="Z103" i="72"/>
  <c r="AE109" i="72"/>
  <c r="Y113" i="72"/>
  <c r="Y117" i="72"/>
  <c r="X121" i="72"/>
  <c r="X125" i="72"/>
  <c r="AA129" i="72"/>
  <c r="Z133" i="72"/>
  <c r="AA137" i="72"/>
  <c r="AC71" i="72"/>
  <c r="AC75" i="72"/>
  <c r="AD79" i="72"/>
  <c r="AB83" i="72"/>
  <c r="AB99" i="72"/>
  <c r="AE107" i="72"/>
  <c r="Y109" i="72"/>
  <c r="AA113" i="72"/>
  <c r="AB133" i="72"/>
  <c r="AB87" i="72"/>
  <c r="X87" i="72"/>
  <c r="AE95" i="72"/>
  <c r="AA95" i="72"/>
  <c r="AE99" i="72"/>
  <c r="AA99" i="72"/>
  <c r="AE103" i="72"/>
  <c r="AA103" i="72"/>
  <c r="AB71" i="72"/>
  <c r="AE75" i="72"/>
  <c r="AC79" i="72"/>
  <c r="AD109" i="72"/>
  <c r="Z137" i="72"/>
  <c r="AE137" i="72"/>
  <c r="AA83" i="72"/>
  <c r="AE83" i="72"/>
  <c r="AA91" i="72"/>
  <c r="AE91" i="72"/>
  <c r="AE71" i="72"/>
  <c r="AB75" i="72"/>
  <c r="X79" i="72"/>
  <c r="Y83" i="72"/>
  <c r="Z87" i="72"/>
  <c r="Y91" i="72"/>
  <c r="Y95" i="72"/>
  <c r="Y99" i="72"/>
  <c r="Y103" i="72"/>
  <c r="AE113" i="72"/>
  <c r="X117" i="72"/>
  <c r="AE121" i="72"/>
  <c r="AE125" i="72"/>
  <c r="Z129" i="72"/>
  <c r="Y133" i="72"/>
  <c r="Z73" i="72"/>
  <c r="AD73" i="72"/>
  <c r="AA77" i="72"/>
  <c r="AE77" i="72"/>
  <c r="Z81" i="72"/>
  <c r="AD81" i="72"/>
  <c r="AE81" i="72"/>
  <c r="Z85" i="72"/>
  <c r="AD85" i="72"/>
  <c r="AA85" i="72"/>
  <c r="AE85" i="72"/>
  <c r="Z89" i="72"/>
  <c r="AD89" i="72"/>
  <c r="AE89" i="72"/>
  <c r="AA89" i="72"/>
  <c r="Z93" i="72"/>
  <c r="AD93" i="72"/>
  <c r="AE93" i="72"/>
  <c r="AA93" i="72"/>
  <c r="Z97" i="72"/>
  <c r="AD97" i="72"/>
  <c r="AE97" i="72"/>
  <c r="AA97" i="72"/>
  <c r="AA101" i="72"/>
  <c r="AE101" i="72"/>
  <c r="X101" i="72"/>
  <c r="AB101" i="72"/>
  <c r="Z105" i="72"/>
  <c r="AD105" i="72"/>
  <c r="AA105" i="72"/>
  <c r="AA111" i="72"/>
  <c r="X111" i="72"/>
  <c r="AE111" i="72"/>
  <c r="AB111" i="72"/>
  <c r="X115" i="72"/>
  <c r="AB115" i="72"/>
  <c r="Y115" i="72"/>
  <c r="AC115" i="72"/>
  <c r="X119" i="72"/>
  <c r="AB119" i="72"/>
  <c r="Y119" i="72"/>
  <c r="AC119" i="72"/>
  <c r="X123" i="72"/>
  <c r="AB123" i="72"/>
  <c r="Y123" i="72"/>
  <c r="AC123" i="72"/>
  <c r="X127" i="72"/>
  <c r="AB127" i="72"/>
  <c r="Y127" i="72"/>
  <c r="AC127" i="72"/>
  <c r="AA131" i="72"/>
  <c r="AE131" i="72"/>
  <c r="AB131" i="72"/>
  <c r="X131" i="72"/>
  <c r="Z135" i="72"/>
  <c r="AD135" i="72"/>
  <c r="AA135" i="72"/>
  <c r="X135" i="72"/>
  <c r="Y139" i="72"/>
  <c r="AC139" i="72"/>
  <c r="X139" i="72"/>
  <c r="Z139" i="72"/>
  <c r="AD139" i="72"/>
  <c r="AA71" i="72"/>
  <c r="AC73" i="72"/>
  <c r="X73" i="72"/>
  <c r="AA75" i="72"/>
  <c r="AD77" i="72"/>
  <c r="Y77" i="72"/>
  <c r="AB79" i="72"/>
  <c r="AC81" i="72"/>
  <c r="X81" i="72"/>
  <c r="X83" i="72"/>
  <c r="X85" i="72"/>
  <c r="Y87" i="72"/>
  <c r="X89" i="72"/>
  <c r="X91" i="72"/>
  <c r="X93" i="72"/>
  <c r="X95" i="72"/>
  <c r="X97" i="72"/>
  <c r="X99" i="72"/>
  <c r="Y101" i="72"/>
  <c r="X103" i="72"/>
  <c r="X105" i="72"/>
  <c r="AC109" i="72"/>
  <c r="AC111" i="72"/>
  <c r="X113" i="72"/>
  <c r="AD115" i="72"/>
  <c r="AE117" i="72"/>
  <c r="AD119" i="72"/>
  <c r="AD121" i="72"/>
  <c r="AD123" i="72"/>
  <c r="AD125" i="72"/>
  <c r="AD127" i="72"/>
  <c r="Y129" i="72"/>
  <c r="Y131" i="72"/>
  <c r="AE133" i="72"/>
  <c r="AE135" i="72"/>
  <c r="Y137" i="72"/>
  <c r="AE139" i="72"/>
  <c r="AB73" i="72"/>
  <c r="AC77" i="72"/>
  <c r="AC83" i="72"/>
  <c r="AD87" i="72"/>
  <c r="AC91" i="72"/>
  <c r="AC95" i="72"/>
  <c r="AC99" i="72"/>
  <c r="AC103" i="72"/>
  <c r="Z109" i="72"/>
  <c r="Z111" i="72"/>
  <c r="AA115" i="72"/>
  <c r="AA119" i="72"/>
  <c r="AA123" i="72"/>
  <c r="AA127" i="72"/>
  <c r="AD131" i="72"/>
  <c r="AC135" i="72"/>
  <c r="AB139" i="72"/>
  <c r="AC107" i="72"/>
  <c r="Y107" i="72"/>
  <c r="X109" i="72"/>
  <c r="AD113" i="72"/>
  <c r="Z113" i="72"/>
  <c r="AD117" i="72"/>
  <c r="Z117" i="72"/>
  <c r="AC121" i="72"/>
  <c r="Y121" i="72"/>
  <c r="AC125" i="72"/>
  <c r="Y125" i="72"/>
  <c r="X129" i="72"/>
  <c r="AB129" i="72"/>
  <c r="X133" i="72"/>
  <c r="AA133" i="72"/>
  <c r="X137" i="72"/>
  <c r="AB137" i="72"/>
  <c r="AD71" i="72"/>
  <c r="AD75" i="72"/>
  <c r="AE79" i="72"/>
  <c r="AD83" i="72"/>
  <c r="AE87" i="72"/>
  <c r="AD91" i="72"/>
  <c r="AD95" i="72"/>
  <c r="AD99" i="72"/>
  <c r="AD103" i="72"/>
  <c r="AB107" i="72"/>
  <c r="AA109" i="72"/>
  <c r="AC113" i="72"/>
  <c r="AC117" i="72"/>
  <c r="AB121" i="72"/>
  <c r="AB125" i="72"/>
  <c r="AE129" i="72"/>
  <c r="AD133" i="72"/>
  <c r="AE150" i="72"/>
  <c r="AA150" i="72"/>
  <c r="V150" i="72"/>
  <c r="W148" i="72"/>
  <c r="W150" i="72"/>
  <c r="V148" i="72"/>
  <c r="X57" i="72"/>
  <c r="Y59" i="72"/>
  <c r="AC65" i="72"/>
  <c r="V57" i="72"/>
  <c r="AD55" i="72"/>
  <c r="Y55" i="72"/>
  <c r="AA63" i="72"/>
  <c r="AC55" i="72"/>
  <c r="X55" i="72"/>
  <c r="AB57" i="72"/>
  <c r="W63" i="72"/>
  <c r="Y63" i="72"/>
  <c r="Y65" i="72"/>
  <c r="AB55" i="72"/>
  <c r="V55" i="72"/>
  <c r="AC63" i="72"/>
  <c r="X63" i="72"/>
  <c r="AD67" i="72"/>
  <c r="Z55" i="72"/>
  <c r="AE55" i="72"/>
  <c r="AC59" i="72"/>
  <c r="AB63" i="72"/>
  <c r="AE63" i="72"/>
  <c r="Z67" i="72"/>
  <c r="AA69" i="72"/>
  <c r="U55" i="72"/>
  <c r="AA55" i="72"/>
  <c r="AE57" i="72"/>
  <c r="AA57" i="72"/>
  <c r="W57" i="72"/>
  <c r="AB59" i="72"/>
  <c r="X59" i="72"/>
  <c r="AA61" i="72"/>
  <c r="AE61" i="72"/>
  <c r="AD63" i="72"/>
  <c r="V65" i="72"/>
  <c r="AB65" i="72"/>
  <c r="X65" i="72"/>
  <c r="AC67" i="72"/>
  <c r="Y67" i="72"/>
  <c r="AD69" i="72"/>
  <c r="Z69" i="72"/>
  <c r="AB61" i="72"/>
  <c r="AE69" i="72"/>
  <c r="AD57" i="72"/>
  <c r="Z57" i="72"/>
  <c r="W59" i="72"/>
  <c r="AA59" i="72"/>
  <c r="AE59" i="72"/>
  <c r="Z61" i="72"/>
  <c r="AD61" i="72"/>
  <c r="AE65" i="72"/>
  <c r="AA65" i="72"/>
  <c r="W65" i="72"/>
  <c r="AB67" i="72"/>
  <c r="AE67" i="72"/>
  <c r="AC69" i="72"/>
  <c r="Y69" i="72"/>
  <c r="X61" i="72"/>
  <c r="AC57" i="72"/>
  <c r="AD59" i="72"/>
  <c r="W61" i="72"/>
  <c r="Y61" i="72"/>
  <c r="AD65" i="72"/>
  <c r="X67" i="72"/>
  <c r="X69" i="72"/>
  <c r="AF159" i="72" l="1"/>
  <c r="Y147" i="72"/>
  <c r="AC147" i="72"/>
  <c r="Z147" i="72"/>
  <c r="X147" i="72"/>
  <c r="AB147" i="72"/>
  <c r="AE147" i="72"/>
  <c r="AD147" i="72"/>
  <c r="AA147" i="72"/>
  <c r="AD155" i="72" l="1"/>
  <c r="AC155" i="72"/>
  <c r="Z155" i="72"/>
  <c r="AB155" i="72"/>
  <c r="Y155" i="72"/>
  <c r="X155" i="72"/>
  <c r="AC148" i="72"/>
  <c r="Y148" i="72"/>
  <c r="AF147" i="72"/>
  <c r="AI147" i="72" s="1"/>
  <c r="AA155" i="72"/>
  <c r="AE148" i="72"/>
  <c r="AE155" i="72"/>
  <c r="Z148" i="72"/>
  <c r="X148" i="72"/>
  <c r="AD148" i="72"/>
  <c r="AB148" i="72"/>
  <c r="AA148" i="72"/>
  <c r="AF148" i="72" l="1"/>
  <c r="AI148" i="72" s="1"/>
  <c r="F35" i="120" l="1"/>
  <c r="F33" i="120"/>
  <c r="F31" i="120"/>
  <c r="G31" i="120" s="1"/>
  <c r="F29" i="120"/>
  <c r="F27" i="120"/>
  <c r="F25" i="120"/>
  <c r="F23" i="120"/>
  <c r="F21" i="120"/>
  <c r="F19" i="120"/>
  <c r="F17" i="120"/>
  <c r="F13" i="120"/>
  <c r="F11" i="120"/>
  <c r="F9" i="120"/>
  <c r="F7" i="120"/>
  <c r="F14" i="120" l="1"/>
  <c r="F37" i="120" l="1"/>
  <c r="H54" i="118" l="1"/>
  <c r="H51" i="118"/>
  <c r="H49" i="118"/>
  <c r="E5" i="118" l="1"/>
  <c r="E4" i="118"/>
  <c r="E3" i="118"/>
  <c r="E2" i="118"/>
  <c r="E19" i="118" l="1"/>
  <c r="I39" i="102"/>
  <c r="I79" i="105" l="1"/>
  <c r="J79" i="105" s="1"/>
  <c r="AF138" i="72" l="1"/>
  <c r="H70" i="118" l="1"/>
  <c r="E6" i="118" l="1"/>
  <c r="F19" i="118"/>
  <c r="I253" i="118"/>
  <c r="H207" i="118"/>
  <c r="L36" i="118"/>
  <c r="H77" i="118" l="1"/>
  <c r="H73" i="118"/>
  <c r="H76" i="118"/>
  <c r="H75" i="118"/>
  <c r="H72" i="118"/>
  <c r="H69" i="118"/>
  <c r="H48" i="118" l="1"/>
  <c r="H50" i="118" l="1"/>
  <c r="H57" i="118"/>
  <c r="H58" i="118"/>
  <c r="H59" i="118"/>
  <c r="H63" i="118"/>
  <c r="H61" i="118"/>
  <c r="F14" i="118" s="1"/>
  <c r="H47" i="118"/>
  <c r="H78" i="118" l="1"/>
  <c r="E14" i="118" l="1"/>
  <c r="I143" i="105" l="1"/>
  <c r="D19" i="117" l="1"/>
  <c r="G169" i="101"/>
  <c r="G167" i="101"/>
  <c r="G165" i="101"/>
  <c r="G163" i="101"/>
  <c r="G161" i="101"/>
  <c r="G159" i="101"/>
  <c r="G157" i="101"/>
  <c r="G155" i="101"/>
  <c r="G153" i="101"/>
  <c r="G151" i="101"/>
  <c r="G149" i="101"/>
  <c r="G147" i="101"/>
  <c r="G145" i="101"/>
  <c r="G171" i="101" l="1"/>
  <c r="C298" i="105" l="1"/>
  <c r="D209" i="105"/>
  <c r="C209" i="105"/>
  <c r="D205" i="105"/>
  <c r="I20" i="105" l="1"/>
  <c r="D253" i="105" l="1"/>
  <c r="C92" i="105"/>
  <c r="C106" i="105"/>
  <c r="I296" i="105" l="1"/>
  <c r="J296" i="105" s="1"/>
  <c r="I269" i="105" l="1"/>
  <c r="J269" i="105" s="1"/>
  <c r="I262" i="105" l="1"/>
  <c r="J262" i="105" s="1"/>
  <c r="F23" i="114" l="1"/>
  <c r="F22" i="114"/>
  <c r="F21" i="114"/>
  <c r="F19" i="114"/>
  <c r="F15" i="114"/>
  <c r="F14" i="114"/>
  <c r="F13" i="114"/>
  <c r="F8" i="114"/>
  <c r="F6" i="114"/>
  <c r="F5" i="114"/>
  <c r="F31" i="106"/>
  <c r="F30" i="106"/>
  <c r="F29" i="106"/>
  <c r="H32" i="106" l="1"/>
  <c r="D105" i="105" l="1"/>
  <c r="D284" i="105"/>
  <c r="D283" i="105"/>
  <c r="D241" i="105" l="1"/>
  <c r="I105" i="105"/>
  <c r="J105" i="105" s="1"/>
  <c r="I95" i="105" l="1"/>
  <c r="J95" i="105" s="1"/>
  <c r="D95" i="105"/>
  <c r="D302" i="105" l="1"/>
  <c r="D312" i="105"/>
  <c r="J285" i="105"/>
  <c r="J143" i="105"/>
  <c r="D324" i="105"/>
  <c r="D317" i="105"/>
  <c r="D308" i="105"/>
  <c r="C304" i="105"/>
  <c r="D310" i="105"/>
  <c r="J319" i="105" l="1"/>
  <c r="C313" i="105"/>
  <c r="J311" i="105"/>
  <c r="D311" i="105"/>
  <c r="I302" i="105"/>
  <c r="J302" i="105" s="1"/>
  <c r="D303" i="105"/>
  <c r="D298" i="105"/>
  <c r="C293" i="105"/>
  <c r="D300" i="105"/>
  <c r="D301" i="105"/>
  <c r="D290" i="105"/>
  <c r="C286" i="105"/>
  <c r="C280" i="105"/>
  <c r="J282" i="105"/>
  <c r="D277" i="105"/>
  <c r="D271" i="105"/>
  <c r="C266" i="105"/>
  <c r="D264" i="105"/>
  <c r="C259" i="105"/>
  <c r="D257" i="105"/>
  <c r="D293" i="105" l="1"/>
  <c r="D280" i="105"/>
  <c r="D266" i="105"/>
  <c r="D259" i="105"/>
  <c r="I301" i="105"/>
  <c r="J301" i="105" s="1"/>
  <c r="I303" i="105"/>
  <c r="J303" i="105" s="1"/>
  <c r="J233" i="105"/>
  <c r="D219" i="105"/>
  <c r="I215" i="105"/>
  <c r="J215" i="105" s="1"/>
  <c r="D214" i="105"/>
  <c r="D207" i="105"/>
  <c r="J185" i="105"/>
  <c r="C188" i="105"/>
  <c r="J220" i="105" l="1"/>
  <c r="D220" i="105"/>
  <c r="C179" i="105"/>
  <c r="C202" i="105"/>
  <c r="D248" i="105"/>
  <c r="D246" i="105"/>
  <c r="C242" i="105"/>
  <c r="J229" i="105"/>
  <c r="C227" i="105"/>
  <c r="I214" i="105"/>
  <c r="J214" i="105" s="1"/>
  <c r="I212" i="105"/>
  <c r="J212" i="105" s="1"/>
  <c r="I208" i="105"/>
  <c r="J208" i="105" s="1"/>
  <c r="I213" i="105"/>
  <c r="J213" i="105" s="1"/>
  <c r="I207" i="105"/>
  <c r="J207" i="105" s="1"/>
  <c r="I193" i="105"/>
  <c r="J193" i="105" s="1"/>
  <c r="I160" i="105"/>
  <c r="J160" i="105" s="1"/>
  <c r="C154" i="105"/>
  <c r="D81" i="105" l="1"/>
  <c r="D80" i="105"/>
  <c r="D77" i="105"/>
  <c r="D76" i="105"/>
  <c r="D75" i="105"/>
  <c r="D69" i="105"/>
  <c r="C87" i="105"/>
  <c r="C82" i="105"/>
  <c r="C64" i="105"/>
  <c r="C111" i="105" l="1"/>
  <c r="I121" i="105"/>
  <c r="I122" i="105"/>
  <c r="I123" i="105"/>
  <c r="D92" i="105" l="1"/>
  <c r="G15" i="106" l="1"/>
  <c r="F14" i="106"/>
  <c r="F12" i="106"/>
  <c r="F9" i="106"/>
  <c r="F8" i="106"/>
  <c r="F7" i="106"/>
  <c r="F5" i="106"/>
  <c r="I4" i="106"/>
  <c r="F4" i="106"/>
  <c r="I3" i="106"/>
  <c r="F3" i="106"/>
  <c r="G9" i="106" l="1"/>
  <c r="F25" i="106"/>
  <c r="I5" i="106"/>
  <c r="D202" i="105" l="1"/>
  <c r="D203" i="105" s="1"/>
  <c r="I329" i="105"/>
  <c r="J329" i="105" s="1"/>
  <c r="I322" i="105"/>
  <c r="J322" i="105" s="1"/>
  <c r="D320" i="105"/>
  <c r="I316" i="105"/>
  <c r="J316" i="105" s="1"/>
  <c r="I308" i="105"/>
  <c r="J308" i="105" s="1"/>
  <c r="I298" i="105"/>
  <c r="J298" i="105" s="1"/>
  <c r="I295" i="105"/>
  <c r="J295" i="105" s="1"/>
  <c r="I280" i="105"/>
  <c r="I268" i="105"/>
  <c r="J268" i="105" s="1"/>
  <c r="I258" i="105"/>
  <c r="J258" i="105" s="1"/>
  <c r="I256" i="105"/>
  <c r="J256" i="105" s="1"/>
  <c r="I252" i="105"/>
  <c r="J252" i="105" s="1"/>
  <c r="I251" i="105"/>
  <c r="J251" i="105" s="1"/>
  <c r="I234" i="105"/>
  <c r="J234" i="105" s="1"/>
  <c r="D230" i="105"/>
  <c r="I228" i="105"/>
  <c r="J228" i="105" s="1"/>
  <c r="D227" i="105"/>
  <c r="I226" i="105"/>
  <c r="J226" i="105" s="1"/>
  <c r="I225" i="105"/>
  <c r="J225" i="105" s="1"/>
  <c r="I224" i="105"/>
  <c r="J224" i="105" s="1"/>
  <c r="D223" i="105"/>
  <c r="I221" i="105"/>
  <c r="J221" i="105" s="1"/>
  <c r="D217" i="105"/>
  <c r="I218" i="105"/>
  <c r="J218" i="105" s="1"/>
  <c r="K215" i="105"/>
  <c r="I204" i="105"/>
  <c r="J204" i="105" s="1"/>
  <c r="K192" i="105"/>
  <c r="I186" i="105"/>
  <c r="J186" i="105" s="1"/>
  <c r="D179" i="105"/>
  <c r="I177" i="105"/>
  <c r="J177" i="105" s="1"/>
  <c r="I176" i="105"/>
  <c r="J176" i="105" s="1"/>
  <c r="D174" i="105"/>
  <c r="I172" i="105"/>
  <c r="J172" i="105" s="1"/>
  <c r="I171" i="105"/>
  <c r="J171" i="105" s="1"/>
  <c r="I167" i="105"/>
  <c r="J167" i="105" s="1"/>
  <c r="I166" i="105"/>
  <c r="J166" i="105" s="1"/>
  <c r="I165" i="105"/>
  <c r="J165" i="105" s="1"/>
  <c r="I161" i="105"/>
  <c r="J161" i="105" s="1"/>
  <c r="I158" i="105"/>
  <c r="J158" i="105" s="1"/>
  <c r="I144" i="105"/>
  <c r="J144" i="105" s="1"/>
  <c r="I141" i="105"/>
  <c r="J141" i="105" s="1"/>
  <c r="I136" i="105"/>
  <c r="J136" i="105" s="1"/>
  <c r="I135" i="105"/>
  <c r="J135" i="105" s="1"/>
  <c r="I131" i="105"/>
  <c r="J131" i="105" s="1"/>
  <c r="I128" i="105"/>
  <c r="J128" i="105" s="1"/>
  <c r="J123" i="105"/>
  <c r="I109" i="105"/>
  <c r="J109" i="105" s="1"/>
  <c r="I40" i="105"/>
  <c r="J40" i="105" s="1"/>
  <c r="I39" i="105"/>
  <c r="J39" i="105" s="1"/>
  <c r="I37" i="105"/>
  <c r="J37" i="105" s="1"/>
  <c r="I35" i="105"/>
  <c r="J35" i="105" s="1"/>
  <c r="I33" i="105"/>
  <c r="J33" i="105" s="1"/>
  <c r="I32" i="105"/>
  <c r="J32" i="105" s="1"/>
  <c r="I26" i="105"/>
  <c r="I25" i="105"/>
  <c r="J25" i="105" s="1"/>
  <c r="I19" i="105"/>
  <c r="J19" i="105" s="1"/>
  <c r="I18" i="105"/>
  <c r="J18" i="105" s="1"/>
  <c r="I17" i="105"/>
  <c r="J17" i="105" s="1"/>
  <c r="I16" i="105"/>
  <c r="J16" i="105" s="1"/>
  <c r="I15" i="105"/>
  <c r="I10" i="105"/>
  <c r="J10" i="105" s="1"/>
  <c r="I8" i="105"/>
  <c r="J8" i="105" s="1"/>
  <c r="I5" i="105"/>
  <c r="J5" i="105" s="1"/>
  <c r="J4" i="105"/>
  <c r="J280" i="105" l="1"/>
  <c r="I3" i="105"/>
  <c r="I30" i="105"/>
  <c r="J30" i="105" s="1"/>
  <c r="C52" i="105"/>
  <c r="O60" i="105"/>
  <c r="I241" i="105"/>
  <c r="I74" i="105"/>
  <c r="J74" i="105" s="1"/>
  <c r="D64" i="105"/>
  <c r="I29" i="105"/>
  <c r="J29" i="105" s="1"/>
  <c r="I28" i="105"/>
  <c r="J28" i="105" s="1"/>
  <c r="I209" i="105"/>
  <c r="J209" i="105" s="1"/>
  <c r="I219" i="105"/>
  <c r="J219" i="105" s="1"/>
  <c r="D162" i="105"/>
  <c r="I159" i="105"/>
  <c r="J159" i="105" s="1"/>
  <c r="I42" i="105"/>
  <c r="J42" i="105" s="1"/>
  <c r="J122" i="105"/>
  <c r="I138" i="105"/>
  <c r="J138" i="105" s="1"/>
  <c r="I244" i="105"/>
  <c r="J244" i="105" s="1"/>
  <c r="I289" i="105"/>
  <c r="J289" i="105" s="1"/>
  <c r="I52" i="105"/>
  <c r="J52" i="105" s="1"/>
  <c r="I134" i="105"/>
  <c r="J134" i="105" s="1"/>
  <c r="I145" i="105"/>
  <c r="J145" i="105" s="1"/>
  <c r="I7" i="105"/>
  <c r="J7" i="105" s="1"/>
  <c r="D286" i="105"/>
  <c r="I292" i="105"/>
  <c r="J292" i="105" s="1"/>
  <c r="I36" i="105"/>
  <c r="J36" i="105" s="1"/>
  <c r="D82" i="105"/>
  <c r="I152" i="105"/>
  <c r="J152" i="105" s="1"/>
  <c r="I248" i="105"/>
  <c r="J248" i="105" s="1"/>
  <c r="I276" i="105"/>
  <c r="J276" i="105" s="1"/>
  <c r="I328" i="105"/>
  <c r="J328" i="105" s="1"/>
  <c r="I6" i="105"/>
  <c r="J6" i="105" s="1"/>
  <c r="I139" i="105"/>
  <c r="J139" i="105" s="1"/>
  <c r="I263" i="105"/>
  <c r="J263" i="105" s="1"/>
  <c r="I309" i="105"/>
  <c r="J309" i="105" s="1"/>
  <c r="I318" i="105"/>
  <c r="J318" i="105" s="1"/>
  <c r="I197" i="105"/>
  <c r="J197" i="105" s="1"/>
  <c r="D119" i="105"/>
  <c r="I173" i="105"/>
  <c r="J173" i="105" s="1"/>
  <c r="I178" i="105"/>
  <c r="J178" i="105" s="1"/>
  <c r="I190" i="105"/>
  <c r="J190" i="105" s="1"/>
  <c r="I192" i="105"/>
  <c r="J192" i="105" s="1"/>
  <c r="I198" i="105"/>
  <c r="J198" i="105" s="1"/>
  <c r="I290" i="105"/>
  <c r="J290" i="105" s="1"/>
  <c r="I291" i="105"/>
  <c r="J291" i="105" s="1"/>
  <c r="I11" i="105"/>
  <c r="J11" i="105" s="1"/>
  <c r="I14" i="105"/>
  <c r="J14" i="105" s="1"/>
  <c r="I24" i="105"/>
  <c r="J24" i="105" s="1"/>
  <c r="I31" i="105"/>
  <c r="J31" i="105" s="1"/>
  <c r="I126" i="105"/>
  <c r="J126" i="105" s="1"/>
  <c r="I151" i="105"/>
  <c r="J151" i="105" s="1"/>
  <c r="I110" i="105"/>
  <c r="J110" i="105" s="1"/>
  <c r="D70" i="105"/>
  <c r="I108" i="105"/>
  <c r="J108" i="105" s="1"/>
  <c r="J121" i="105"/>
  <c r="I127" i="105"/>
  <c r="J127" i="105" s="1"/>
  <c r="D154" i="105"/>
  <c r="I118" i="105"/>
  <c r="J118" i="105" s="1"/>
  <c r="I130" i="105"/>
  <c r="J130" i="105" s="1"/>
  <c r="I133" i="105"/>
  <c r="J133" i="105" s="1"/>
  <c r="I140" i="105"/>
  <c r="J140" i="105" s="1"/>
  <c r="I142" i="105"/>
  <c r="J142" i="105" s="1"/>
  <c r="I157" i="105"/>
  <c r="J157" i="105" s="1"/>
  <c r="D188" i="105"/>
  <c r="I164" i="105"/>
  <c r="J164" i="105" s="1"/>
  <c r="I168" i="105"/>
  <c r="J168" i="105" s="1"/>
  <c r="D169" i="105"/>
  <c r="I182" i="105"/>
  <c r="J182" i="105" s="1"/>
  <c r="I184" i="105"/>
  <c r="J184" i="105" s="1"/>
  <c r="I206" i="105"/>
  <c r="J206" i="105" s="1"/>
  <c r="D273" i="105"/>
  <c r="I187" i="105"/>
  <c r="J187" i="105" s="1"/>
  <c r="I200" i="105"/>
  <c r="J200" i="105" s="1"/>
  <c r="I247" i="105"/>
  <c r="J247" i="105" s="1"/>
  <c r="I250" i="105"/>
  <c r="J250" i="105" s="1"/>
  <c r="I249" i="105"/>
  <c r="J249" i="105" s="1"/>
  <c r="I299" i="105"/>
  <c r="J299" i="105" s="1"/>
  <c r="I156" i="105"/>
  <c r="J156" i="105" s="1"/>
  <c r="I191" i="105"/>
  <c r="J191" i="105" s="1"/>
  <c r="I216" i="105"/>
  <c r="J216" i="105" s="1"/>
  <c r="I222" i="105"/>
  <c r="J222" i="105" s="1"/>
  <c r="D242" i="105"/>
  <c r="I255" i="105"/>
  <c r="J255" i="105" s="1"/>
  <c r="I281" i="105"/>
  <c r="J281" i="105" s="1"/>
  <c r="I307" i="105"/>
  <c r="J307" i="105" s="1"/>
  <c r="I310" i="105"/>
  <c r="J310" i="105" s="1"/>
  <c r="I217" i="105"/>
  <c r="J217" i="105" s="1"/>
  <c r="I227" i="105"/>
  <c r="J227" i="105" s="1"/>
  <c r="I288" i="105"/>
  <c r="J288" i="105" s="1"/>
  <c r="I330" i="105"/>
  <c r="J330" i="105" s="1"/>
  <c r="I297" i="105"/>
  <c r="J297" i="105" s="1"/>
  <c r="D313" i="105"/>
  <c r="I315" i="105"/>
  <c r="J315" i="105" s="1"/>
  <c r="I325" i="105"/>
  <c r="J325" i="105" s="1"/>
  <c r="I331" i="105"/>
  <c r="J331" i="105" s="1"/>
  <c r="I205" i="105"/>
  <c r="J205" i="105" s="1"/>
  <c r="I232" i="105"/>
  <c r="J232" i="105" s="1"/>
  <c r="I245" i="105"/>
  <c r="J245" i="105" s="1"/>
  <c r="I261" i="105"/>
  <c r="J261" i="105" s="1"/>
  <c r="I265" i="105"/>
  <c r="J265" i="105" s="1"/>
  <c r="I270" i="105"/>
  <c r="J270" i="105" s="1"/>
  <c r="I272" i="105"/>
  <c r="J272" i="105" s="1"/>
  <c r="I275" i="105"/>
  <c r="J275" i="105" s="1"/>
  <c r="I278" i="105"/>
  <c r="J278" i="105" s="1"/>
  <c r="I300" i="105"/>
  <c r="J300" i="105" s="1"/>
  <c r="I306" i="105"/>
  <c r="J306" i="105" s="1"/>
  <c r="D304" i="105"/>
  <c r="I323" i="105"/>
  <c r="J323" i="105" s="1"/>
  <c r="I283" i="105"/>
  <c r="J241" i="105" l="1"/>
  <c r="I38" i="105"/>
  <c r="J38" i="105" s="1"/>
  <c r="D87" i="105"/>
  <c r="O57" i="105"/>
  <c r="J153" i="105"/>
  <c r="D106" i="105"/>
  <c r="I41" i="105"/>
  <c r="J41" i="105" s="1"/>
  <c r="D210" i="105"/>
  <c r="J150" i="105"/>
  <c r="I279" i="105"/>
  <c r="J279" i="105" s="1"/>
  <c r="I34" i="105"/>
  <c r="J34" i="105" s="1"/>
  <c r="I237" i="105"/>
  <c r="J237" i="105" s="1"/>
  <c r="I240" i="105"/>
  <c r="J240" i="105" s="1"/>
  <c r="I149" i="105"/>
  <c r="J149" i="105" s="1"/>
  <c r="I132" i="105"/>
  <c r="J132" i="105" s="1"/>
  <c r="I13" i="105"/>
  <c r="J13" i="105" s="1"/>
  <c r="I199" i="105"/>
  <c r="J199" i="105" s="1"/>
  <c r="I196" i="105"/>
  <c r="J196" i="105" s="1"/>
  <c r="I201" i="105"/>
  <c r="J201" i="105" s="1"/>
  <c r="I137" i="105"/>
  <c r="I9" i="105"/>
  <c r="J9" i="105" s="1"/>
  <c r="I238" i="105"/>
  <c r="J238" i="105" s="1"/>
  <c r="I223" i="105"/>
  <c r="J223" i="105" s="1"/>
  <c r="I129" i="105"/>
  <c r="J129" i="105" s="1"/>
  <c r="J3" i="105"/>
  <c r="K27" i="105" l="1"/>
  <c r="J137" i="105"/>
  <c r="I12" i="105"/>
  <c r="J12" i="105" s="1"/>
  <c r="I2" i="105"/>
  <c r="J2" i="105" s="1"/>
  <c r="I36" i="102"/>
  <c r="I27" i="102"/>
  <c r="I25" i="102"/>
  <c r="I17" i="102"/>
  <c r="I13" i="102"/>
  <c r="I11" i="102"/>
  <c r="I7" i="102"/>
  <c r="I27" i="105" l="1"/>
  <c r="J27" i="105" s="1"/>
  <c r="L24" i="118"/>
  <c r="I38" i="102"/>
  <c r="I40" i="102" s="1"/>
  <c r="I43" i="105" l="1"/>
  <c r="J43" i="105" l="1"/>
  <c r="N24" i="118" s="1"/>
  <c r="C51" i="101" l="1"/>
  <c r="D41" i="101"/>
  <c r="F10" i="101"/>
  <c r="E10" i="101"/>
  <c r="D10" i="101"/>
  <c r="C9" i="101"/>
  <c r="C6" i="101"/>
  <c r="G9" i="101" l="1"/>
  <c r="C10" i="101"/>
  <c r="G10" i="101" s="1"/>
  <c r="G6" i="101"/>
  <c r="I183" i="105" l="1"/>
  <c r="J183" i="105" s="1"/>
  <c r="I181" i="105"/>
  <c r="J181" i="105" s="1"/>
  <c r="D12" i="100"/>
  <c r="C12" i="100"/>
  <c r="I148" i="105" l="1"/>
  <c r="J148" i="105" s="1"/>
  <c r="O52" i="105" l="1"/>
  <c r="C54" i="105"/>
  <c r="E8" i="118"/>
  <c r="F8" i="118" s="1"/>
  <c r="I54" i="105"/>
  <c r="J54" i="105" s="1"/>
  <c r="D111" i="105" l="1"/>
  <c r="I73" i="105" l="1"/>
  <c r="J73" i="105" s="1"/>
  <c r="I96" i="105" l="1"/>
  <c r="J96" i="105" s="1"/>
  <c r="I90" i="105"/>
  <c r="J90" i="105" s="1"/>
  <c r="I81" i="105" l="1"/>
  <c r="J81" i="105" s="1"/>
  <c r="K4" i="105"/>
  <c r="I62" i="105" l="1"/>
  <c r="J62" i="105" s="1"/>
  <c r="C51" i="105" l="1"/>
  <c r="O55" i="105"/>
  <c r="AF136" i="72"/>
  <c r="I51" i="105"/>
  <c r="J51" i="105" s="1"/>
  <c r="AF132" i="72" l="1"/>
  <c r="I115" i="105" l="1"/>
  <c r="J115" i="105" s="1"/>
  <c r="I102" i="105" l="1"/>
  <c r="J102" i="105" s="1"/>
  <c r="K68" i="72" l="1"/>
  <c r="K66" i="72"/>
  <c r="AF68" i="72" l="1"/>
  <c r="AF66" i="72"/>
  <c r="AF69" i="72" l="1"/>
  <c r="I64" i="72" l="1"/>
  <c r="K62" i="72"/>
  <c r="AF130" i="72" l="1"/>
  <c r="AF134" i="72"/>
  <c r="AF127" i="72" l="1"/>
  <c r="AF128" i="72" l="1"/>
  <c r="I68" i="105" l="1"/>
  <c r="J68" i="105" s="1"/>
  <c r="I101" i="105" l="1"/>
  <c r="J101" i="105" s="1"/>
  <c r="I114" i="105"/>
  <c r="J114" i="105" s="1"/>
  <c r="I85" i="105"/>
  <c r="J85" i="105" s="1"/>
  <c r="I86" i="105"/>
  <c r="J86" i="105" s="1"/>
  <c r="I63" i="105" l="1"/>
  <c r="J63" i="105" s="1"/>
  <c r="AF62" i="72" l="1"/>
  <c r="W174" i="72" l="1"/>
  <c r="R142" i="72"/>
  <c r="R146" i="72" s="1"/>
  <c r="Q142" i="72"/>
  <c r="Q146" i="72" s="1"/>
  <c r="K64" i="72"/>
  <c r="K60" i="72"/>
  <c r="K58" i="72"/>
  <c r="K56" i="72"/>
  <c r="K54" i="72"/>
  <c r="K44" i="72"/>
  <c r="K42" i="72"/>
  <c r="K38" i="72"/>
  <c r="K36" i="72"/>
  <c r="I36" i="72"/>
  <c r="M34" i="72"/>
  <c r="K34" i="72"/>
  <c r="I34" i="72"/>
  <c r="E34" i="72"/>
  <c r="M32" i="72"/>
  <c r="M30" i="72"/>
  <c r="K30" i="72"/>
  <c r="I30" i="72"/>
  <c r="M28" i="72"/>
  <c r="K28" i="72"/>
  <c r="M26" i="72"/>
  <c r="M24" i="72"/>
  <c r="K24" i="72"/>
  <c r="M22" i="72"/>
  <c r="I22" i="72"/>
  <c r="M20" i="72"/>
  <c r="K20" i="72"/>
  <c r="M18" i="72"/>
  <c r="K18" i="72"/>
  <c r="M16" i="72"/>
  <c r="J16" i="72"/>
  <c r="K16" i="72" s="1"/>
  <c r="I16" i="72"/>
  <c r="M14" i="72"/>
  <c r="J14" i="72"/>
  <c r="K14" i="72" s="1"/>
  <c r="I14" i="72"/>
  <c r="M12" i="72"/>
  <c r="H12" i="72"/>
  <c r="J12" i="72" s="1"/>
  <c r="K12" i="72" s="1"/>
  <c r="M10" i="72"/>
  <c r="AE11" i="72" s="1"/>
  <c r="H10" i="72"/>
  <c r="I10" i="72" s="1"/>
  <c r="L52" i="72"/>
  <c r="V53" i="72" l="1"/>
  <c r="Z53" i="72"/>
  <c r="AD53" i="72"/>
  <c r="Y53" i="72"/>
  <c r="W53" i="72"/>
  <c r="AA53" i="72"/>
  <c r="U53" i="72"/>
  <c r="AE53" i="72"/>
  <c r="AC53" i="72"/>
  <c r="X53" i="72"/>
  <c r="AB53" i="72"/>
  <c r="X13" i="72"/>
  <c r="U13" i="72"/>
  <c r="AB13" i="72"/>
  <c r="Y13" i="72"/>
  <c r="AA13" i="72"/>
  <c r="Z13" i="72"/>
  <c r="W13" i="72"/>
  <c r="V13" i="72"/>
  <c r="AC13" i="72"/>
  <c r="AE13" i="72"/>
  <c r="AD13" i="72"/>
  <c r="AE19" i="72"/>
  <c r="Y19" i="72"/>
  <c r="AC19" i="72"/>
  <c r="V19" i="72"/>
  <c r="Z19" i="72"/>
  <c r="AD19" i="72"/>
  <c r="X19" i="72"/>
  <c r="AB19" i="72"/>
  <c r="AA19" i="72"/>
  <c r="W19" i="72"/>
  <c r="U19" i="72"/>
  <c r="W23" i="72"/>
  <c r="AE23" i="72"/>
  <c r="AA23" i="72"/>
  <c r="AD23" i="72"/>
  <c r="AB23" i="72"/>
  <c r="X23" i="72"/>
  <c r="Z23" i="72"/>
  <c r="V23" i="72"/>
  <c r="AC23" i="72"/>
  <c r="Y23" i="72"/>
  <c r="U23" i="72"/>
  <c r="X31" i="72"/>
  <c r="AB31" i="72"/>
  <c r="AA31" i="72"/>
  <c r="Y31" i="72"/>
  <c r="AC31" i="72"/>
  <c r="W31" i="72"/>
  <c r="AD31" i="72"/>
  <c r="Z31" i="72"/>
  <c r="AE31" i="72"/>
  <c r="Y29" i="72"/>
  <c r="X29" i="72"/>
  <c r="V29" i="72"/>
  <c r="AA29" i="72"/>
  <c r="AD29" i="72"/>
  <c r="W29" i="72"/>
  <c r="Z29" i="72"/>
  <c r="AB29" i="72"/>
  <c r="AE29" i="72"/>
  <c r="AC29" i="72"/>
  <c r="Z17" i="72"/>
  <c r="U17" i="72"/>
  <c r="AE17" i="72"/>
  <c r="AC17" i="72"/>
  <c r="AB17" i="72"/>
  <c r="AD17" i="72"/>
  <c r="AA17" i="72"/>
  <c r="W17" i="72"/>
  <c r="Y17" i="72"/>
  <c r="X17" i="72"/>
  <c r="V17" i="72"/>
  <c r="W21" i="72"/>
  <c r="U21" i="72"/>
  <c r="AA21" i="72"/>
  <c r="X21" i="72"/>
  <c r="Y21" i="72"/>
  <c r="AD21" i="72"/>
  <c r="AE21" i="72"/>
  <c r="Z21" i="72"/>
  <c r="AB21" i="72"/>
  <c r="V21" i="72"/>
  <c r="AC21" i="72"/>
  <c r="Z15" i="72"/>
  <c r="AD15" i="72"/>
  <c r="V15" i="72"/>
  <c r="AE15" i="72"/>
  <c r="W15" i="72"/>
  <c r="AC15" i="72"/>
  <c r="AB15" i="72"/>
  <c r="U15" i="72"/>
  <c r="Y15" i="72"/>
  <c r="X15" i="72"/>
  <c r="AA15" i="72"/>
  <c r="I117" i="105"/>
  <c r="J117" i="105" s="1"/>
  <c r="AF20" i="72"/>
  <c r="AF76" i="72"/>
  <c r="AF87" i="72"/>
  <c r="AF98" i="72"/>
  <c r="AF104" i="72"/>
  <c r="AF116" i="72"/>
  <c r="AF43" i="72"/>
  <c r="AF80" i="72"/>
  <c r="AF102" i="72"/>
  <c r="AF109" i="72"/>
  <c r="AF14" i="72"/>
  <c r="AF26" i="72"/>
  <c r="AF94" i="72"/>
  <c r="AF100" i="72"/>
  <c r="AF123" i="72"/>
  <c r="AF42" i="72"/>
  <c r="AF64" i="72"/>
  <c r="AF86" i="72"/>
  <c r="AF93" i="72"/>
  <c r="AF108" i="72"/>
  <c r="AF12" i="72"/>
  <c r="AF16" i="72"/>
  <c r="AF46" i="72"/>
  <c r="AF48" i="72"/>
  <c r="AF70" i="72"/>
  <c r="AF72" i="72"/>
  <c r="AF78" i="72"/>
  <c r="AF82" i="72"/>
  <c r="AF85" i="72"/>
  <c r="AF89" i="72"/>
  <c r="AF92" i="72"/>
  <c r="AF96" i="72"/>
  <c r="AF107" i="72"/>
  <c r="AF111" i="72"/>
  <c r="AF114" i="72"/>
  <c r="AF118" i="72"/>
  <c r="AF121" i="72"/>
  <c r="AF125" i="72"/>
  <c r="AF32" i="72"/>
  <c r="AF79" i="72"/>
  <c r="AF90" i="72"/>
  <c r="AF97" i="72"/>
  <c r="AF112" i="72"/>
  <c r="AF115" i="72"/>
  <c r="AF122" i="72"/>
  <c r="AF18" i="72"/>
  <c r="AF24" i="72"/>
  <c r="AF38" i="72"/>
  <c r="AF44" i="72"/>
  <c r="AF74" i="72"/>
  <c r="AF77" i="72"/>
  <c r="AF84" i="72"/>
  <c r="AF88" i="72"/>
  <c r="AF95" i="72"/>
  <c r="AF106" i="72"/>
  <c r="AF110" i="72"/>
  <c r="AF117" i="72"/>
  <c r="AF120" i="72"/>
  <c r="AF124" i="72"/>
  <c r="AF22" i="72"/>
  <c r="I91" i="105"/>
  <c r="J91" i="105" s="1"/>
  <c r="I116" i="105"/>
  <c r="J116" i="105" s="1"/>
  <c r="I103" i="105"/>
  <c r="J103" i="105" s="1"/>
  <c r="I94" i="105"/>
  <c r="J94" i="105" s="1"/>
  <c r="I97" i="105"/>
  <c r="J97" i="105" s="1"/>
  <c r="I67" i="105"/>
  <c r="J67" i="105" s="1"/>
  <c r="I12" i="72"/>
  <c r="J10" i="72"/>
  <c r="K10" i="72" s="1"/>
  <c r="L38" i="72"/>
  <c r="L26" i="72"/>
  <c r="L24" i="72"/>
  <c r="AF126" i="72"/>
  <c r="V174" i="72"/>
  <c r="R151" i="72"/>
  <c r="Q151" i="72"/>
  <c r="AF58" i="72"/>
  <c r="AA33" i="72" l="1"/>
  <c r="AE33" i="72"/>
  <c r="Z33" i="72"/>
  <c r="AB33" i="72"/>
  <c r="X33" i="72"/>
  <c r="AD33" i="72"/>
  <c r="Y33" i="72"/>
  <c r="AC33" i="72"/>
  <c r="Z39" i="72"/>
  <c r="AD39" i="72"/>
  <c r="U39" i="72"/>
  <c r="AC39" i="72"/>
  <c r="AA39" i="72"/>
  <c r="AE39" i="72"/>
  <c r="Y39" i="72"/>
  <c r="X39" i="72"/>
  <c r="AB39" i="72"/>
  <c r="V39" i="72"/>
  <c r="W39" i="72"/>
  <c r="W25" i="72"/>
  <c r="AA25" i="72"/>
  <c r="AE25" i="72"/>
  <c r="Z25" i="72"/>
  <c r="X25" i="72"/>
  <c r="AB25" i="72"/>
  <c r="U25" i="72"/>
  <c r="V25" i="72"/>
  <c r="AD25" i="72"/>
  <c r="Y25" i="72"/>
  <c r="AC25" i="72"/>
  <c r="X27" i="72"/>
  <c r="AB27" i="72"/>
  <c r="V27" i="72"/>
  <c r="AA27" i="72"/>
  <c r="Y27" i="72"/>
  <c r="AC27" i="72"/>
  <c r="W27" i="72"/>
  <c r="Z27" i="72"/>
  <c r="AD27" i="72"/>
  <c r="U27" i="72"/>
  <c r="AE27" i="72"/>
  <c r="W35" i="72"/>
  <c r="AA35" i="72"/>
  <c r="AE35" i="72"/>
  <c r="Z35" i="72"/>
  <c r="X35" i="72"/>
  <c r="AB35" i="72"/>
  <c r="U35" i="72"/>
  <c r="AD35" i="72"/>
  <c r="Y35" i="72"/>
  <c r="AC35" i="72"/>
  <c r="V35" i="72"/>
  <c r="X47" i="72"/>
  <c r="AB47" i="72"/>
  <c r="U47" i="72"/>
  <c r="W47" i="72"/>
  <c r="Y47" i="72"/>
  <c r="AC47" i="72"/>
  <c r="AA47" i="72"/>
  <c r="V47" i="72"/>
  <c r="Z47" i="72"/>
  <c r="AD47" i="72"/>
  <c r="AE47" i="72"/>
  <c r="Y37" i="72"/>
  <c r="AC37" i="72"/>
  <c r="X37" i="72"/>
  <c r="AE37" i="72"/>
  <c r="Z37" i="72"/>
  <c r="AD37" i="72"/>
  <c r="AB37" i="72"/>
  <c r="W37" i="72"/>
  <c r="AA37" i="72"/>
  <c r="V37" i="72"/>
  <c r="Y45" i="72"/>
  <c r="AC45" i="72"/>
  <c r="X45" i="72"/>
  <c r="AE45" i="72"/>
  <c r="V45" i="72"/>
  <c r="Z45" i="72"/>
  <c r="AD45" i="72"/>
  <c r="AB45" i="72"/>
  <c r="W45" i="72"/>
  <c r="AA45" i="72"/>
  <c r="U45" i="72"/>
  <c r="V41" i="72"/>
  <c r="Z41" i="72"/>
  <c r="AD41" i="72"/>
  <c r="Y41" i="72"/>
  <c r="W41" i="72"/>
  <c r="AA41" i="72"/>
  <c r="U41" i="72"/>
  <c r="AC41" i="72"/>
  <c r="X41" i="72"/>
  <c r="AB41" i="72"/>
  <c r="AE41" i="72"/>
  <c r="E10" i="118"/>
  <c r="F10" i="118" s="1"/>
  <c r="AF49" i="72"/>
  <c r="AF30" i="72"/>
  <c r="AF52" i="72"/>
  <c r="AF54" i="72"/>
  <c r="AF40" i="72"/>
  <c r="AF34" i="72"/>
  <c r="AF36" i="72"/>
  <c r="V180" i="72"/>
  <c r="AF60" i="72"/>
  <c r="AF65" i="72"/>
  <c r="I89" i="105"/>
  <c r="J89" i="105" s="1"/>
  <c r="I113" i="105"/>
  <c r="J113" i="105" s="1"/>
  <c r="I60" i="105"/>
  <c r="J60" i="105" s="1"/>
  <c r="I76" i="105"/>
  <c r="J76" i="105" s="1"/>
  <c r="I72" i="105"/>
  <c r="J72" i="105" s="1"/>
  <c r="W180" i="72"/>
  <c r="V168" i="72"/>
  <c r="AE181" i="72" l="1"/>
  <c r="AE143" i="72"/>
  <c r="AF27" i="72"/>
  <c r="AF45" i="72"/>
  <c r="AF25" i="72"/>
  <c r="AF39" i="72"/>
  <c r="AF47" i="72"/>
  <c r="E9" i="118"/>
  <c r="F9" i="118" s="1"/>
  <c r="O53" i="105"/>
  <c r="AF13" i="72"/>
  <c r="AF29" i="72"/>
  <c r="AF37" i="72"/>
  <c r="AF31" i="72"/>
  <c r="AF63" i="72"/>
  <c r="AF53" i="72"/>
  <c r="AF35" i="72"/>
  <c r="AF15" i="72"/>
  <c r="AF41" i="72"/>
  <c r="AF19" i="72"/>
  <c r="AF21" i="72"/>
  <c r="AF61" i="72"/>
  <c r="I55" i="105"/>
  <c r="J55" i="105" s="1"/>
  <c r="C55" i="105"/>
  <c r="I56" i="105"/>
  <c r="J56" i="105" s="1"/>
  <c r="C56" i="105"/>
  <c r="I257" i="105"/>
  <c r="J257" i="105" s="1"/>
  <c r="I317" i="105"/>
  <c r="J317" i="105" s="1"/>
  <c r="I277" i="105"/>
  <c r="J277" i="105" s="1"/>
  <c r="I324" i="105"/>
  <c r="J324" i="105" s="1"/>
  <c r="I104" i="105"/>
  <c r="J104" i="105" s="1"/>
  <c r="AF57" i="72"/>
  <c r="W186" i="72"/>
  <c r="AF28" i="72"/>
  <c r="AF55" i="72"/>
  <c r="AD168" i="72"/>
  <c r="AE168" i="72"/>
  <c r="AF56" i="72"/>
  <c r="AF23" i="72"/>
  <c r="AF17" i="72"/>
  <c r="I100" i="105"/>
  <c r="J100" i="105" s="1"/>
  <c r="I84" i="105"/>
  <c r="J84" i="105" s="1"/>
  <c r="I66" i="105"/>
  <c r="J66" i="105" s="1"/>
  <c r="AC168" i="72"/>
  <c r="I70" i="105" l="1"/>
  <c r="J70" i="105" s="1"/>
  <c r="AE154" i="72"/>
  <c r="AE182" i="72"/>
  <c r="AD182" i="72"/>
  <c r="W168" i="72"/>
  <c r="AC182" i="72"/>
  <c r="AE144" i="72"/>
  <c r="AE151" i="72"/>
  <c r="E11" i="118"/>
  <c r="I78" i="105"/>
  <c r="J78" i="105" s="1"/>
  <c r="O50" i="105"/>
  <c r="O49" i="105"/>
  <c r="I120" i="105"/>
  <c r="I49" i="105"/>
  <c r="J49" i="105" s="1"/>
  <c r="C49" i="105"/>
  <c r="C48" i="105"/>
  <c r="I59" i="105"/>
  <c r="J59" i="105" s="1"/>
  <c r="I48" i="105"/>
  <c r="J48" i="105" s="1"/>
  <c r="I271" i="105"/>
  <c r="J271" i="105" s="1"/>
  <c r="I75" i="105"/>
  <c r="J75" i="105" s="1"/>
  <c r="I246" i="105"/>
  <c r="J246" i="105" s="1"/>
  <c r="I264" i="105"/>
  <c r="J264" i="105" s="1"/>
  <c r="AF33" i="72"/>
  <c r="AF59" i="72"/>
  <c r="AF168" i="72"/>
  <c r="I71" i="105"/>
  <c r="J71" i="105" s="1"/>
  <c r="AF129" i="72"/>
  <c r="V182" i="72"/>
  <c r="AE152" i="72" l="1"/>
  <c r="W182" i="72"/>
  <c r="X168" i="72"/>
  <c r="AF182" i="72"/>
  <c r="AF142" i="72"/>
  <c r="AI142" i="72" s="1"/>
  <c r="I125" i="105"/>
  <c r="J125" i="105" s="1"/>
  <c r="I239" i="105"/>
  <c r="J239" i="105" s="1"/>
  <c r="AF133" i="72"/>
  <c r="I77" i="105"/>
  <c r="J77" i="105" s="1"/>
  <c r="AF137" i="72"/>
  <c r="AF131" i="72"/>
  <c r="AF135" i="72"/>
  <c r="AF73" i="72"/>
  <c r="AF103" i="72"/>
  <c r="AF83" i="72"/>
  <c r="Y168" i="72"/>
  <c r="Y182" i="72" l="1"/>
  <c r="X182" i="72"/>
  <c r="AF139" i="72"/>
  <c r="O48" i="105"/>
  <c r="I53" i="105"/>
  <c r="J53" i="105" s="1"/>
  <c r="C53" i="105"/>
  <c r="I119" i="105"/>
  <c r="J119" i="105" s="1"/>
  <c r="I327" i="105"/>
  <c r="J327" i="105" s="1"/>
  <c r="I175" i="105"/>
  <c r="J175" i="105" s="1"/>
  <c r="AF75" i="72"/>
  <c r="AF81" i="72"/>
  <c r="AF113" i="72"/>
  <c r="Z168" i="72"/>
  <c r="I99" i="105" l="1"/>
  <c r="J99" i="105" s="1"/>
  <c r="I124" i="105"/>
  <c r="J124" i="105" s="1"/>
  <c r="Z182" i="72"/>
  <c r="I211" i="105"/>
  <c r="J211" i="105" s="1"/>
  <c r="I163" i="105"/>
  <c r="J163" i="105" s="1"/>
  <c r="I162" i="105"/>
  <c r="J162" i="105" s="1"/>
  <c r="I69" i="105"/>
  <c r="J69" i="105" s="1"/>
  <c r="I195" i="105"/>
  <c r="J195" i="105" s="1"/>
  <c r="I203" i="105"/>
  <c r="J203" i="105" s="1"/>
  <c r="I254" i="105"/>
  <c r="J254" i="105" s="1"/>
  <c r="I189" i="105"/>
  <c r="J189" i="105" s="1"/>
  <c r="I274" i="105"/>
  <c r="J274" i="105" s="1"/>
  <c r="I231" i="105"/>
  <c r="J231" i="105" s="1"/>
  <c r="I305" i="105"/>
  <c r="J305" i="105" s="1"/>
  <c r="I180" i="105"/>
  <c r="J180" i="105" s="1"/>
  <c r="I179" i="105"/>
  <c r="J179" i="105" s="1"/>
  <c r="I170" i="105"/>
  <c r="J170" i="105" s="1"/>
  <c r="I287" i="105"/>
  <c r="J287" i="105" s="1"/>
  <c r="I107" i="105"/>
  <c r="J107" i="105" s="1"/>
  <c r="J120" i="105"/>
  <c r="I260" i="105"/>
  <c r="J260" i="105" s="1"/>
  <c r="I321" i="105"/>
  <c r="J321" i="105" s="1"/>
  <c r="I174" i="105"/>
  <c r="J174" i="105" s="1"/>
  <c r="I326" i="105"/>
  <c r="J326" i="105" s="1"/>
  <c r="I112" i="105"/>
  <c r="J112" i="105" s="1"/>
  <c r="I92" i="105"/>
  <c r="J92" i="105" s="1"/>
  <c r="I93" i="105"/>
  <c r="J93" i="105" s="1"/>
  <c r="I88" i="105"/>
  <c r="J88" i="105" s="1"/>
  <c r="AF101" i="72"/>
  <c r="I320" i="105" l="1"/>
  <c r="J320" i="105" s="1"/>
  <c r="I286" i="105"/>
  <c r="J286" i="105" s="1"/>
  <c r="I210" i="105"/>
  <c r="J210" i="105" s="1"/>
  <c r="I87" i="105"/>
  <c r="J87" i="105" s="1"/>
  <c r="AA168" i="72"/>
  <c r="AA182" i="72" s="1"/>
  <c r="I106" i="105"/>
  <c r="J106" i="105" s="1"/>
  <c r="I230" i="105"/>
  <c r="J230" i="105" s="1"/>
  <c r="I188" i="105"/>
  <c r="J188" i="105" s="1"/>
  <c r="I253" i="105"/>
  <c r="J253" i="105" s="1"/>
  <c r="I304" i="105"/>
  <c r="J304" i="105" s="1"/>
  <c r="I266" i="105"/>
  <c r="J266" i="105" s="1"/>
  <c r="I267" i="105"/>
  <c r="J267" i="105" s="1"/>
  <c r="I65" i="105"/>
  <c r="J65" i="105" s="1"/>
  <c r="I147" i="105"/>
  <c r="J147" i="105" s="1"/>
  <c r="I155" i="105"/>
  <c r="J155" i="105" s="1"/>
  <c r="I259" i="105"/>
  <c r="J259" i="105" s="1"/>
  <c r="I169" i="105"/>
  <c r="J169" i="105" s="1"/>
  <c r="I273" i="105"/>
  <c r="J273" i="105" s="1"/>
  <c r="I294" i="105"/>
  <c r="J294" i="105" s="1"/>
  <c r="I293" i="105"/>
  <c r="J293" i="105" s="1"/>
  <c r="I202" i="105"/>
  <c r="J202" i="105" s="1"/>
  <c r="I111" i="105"/>
  <c r="J111" i="105" s="1"/>
  <c r="I83" i="105"/>
  <c r="J83" i="105" s="1"/>
  <c r="AF105" i="72"/>
  <c r="AF91" i="72"/>
  <c r="I64" i="105" l="1"/>
  <c r="J64" i="105" s="1"/>
  <c r="AB168" i="72"/>
  <c r="AB182" i="72" s="1"/>
  <c r="I243" i="105"/>
  <c r="J243" i="105" s="1"/>
  <c r="I154" i="105"/>
  <c r="J154" i="105" s="1"/>
  <c r="I194" i="105"/>
  <c r="I98" i="105"/>
  <c r="J98" i="105" s="1"/>
  <c r="I58" i="105"/>
  <c r="J58" i="105" s="1"/>
  <c r="I82" i="105"/>
  <c r="J82" i="105" s="1"/>
  <c r="AF99" i="72"/>
  <c r="I146" i="105" l="1"/>
  <c r="J146" i="105" s="1"/>
  <c r="I242" i="105"/>
  <c r="J242" i="105" s="1"/>
  <c r="J194" i="105"/>
  <c r="AF119" i="72" l="1"/>
  <c r="I314" i="105" l="1"/>
  <c r="J314" i="105" s="1"/>
  <c r="I236" i="105" l="1"/>
  <c r="J236" i="105" s="1"/>
  <c r="I313" i="105"/>
  <c r="J313" i="105" s="1"/>
  <c r="AE140" i="72"/>
  <c r="AE170" i="72" s="1"/>
  <c r="O47" i="105" l="1"/>
  <c r="C47" i="105"/>
  <c r="I235" i="105"/>
  <c r="I47" i="105"/>
  <c r="AF71" i="72"/>
  <c r="AE183" i="72"/>
  <c r="J47" i="105" l="1"/>
  <c r="B235" i="105"/>
  <c r="AF146" i="72"/>
  <c r="AI146" i="72" s="1"/>
  <c r="J235" i="105"/>
  <c r="AF150" i="72" l="1"/>
  <c r="AI150" i="72" l="1"/>
  <c r="AF67" i="72" l="1"/>
  <c r="AA11" i="72" l="1"/>
  <c r="AA140" i="72" s="1"/>
  <c r="AA170" i="72" s="1"/>
  <c r="AA181" i="72"/>
  <c r="AA183" i="72" s="1"/>
  <c r="AD11" i="72"/>
  <c r="AD140" i="72" s="1"/>
  <c r="AD170" i="72" s="1"/>
  <c r="U11" i="72"/>
  <c r="U140" i="72" s="1"/>
  <c r="Z11" i="72"/>
  <c r="Z140" i="72" s="1"/>
  <c r="Z170" i="72" s="1"/>
  <c r="W11" i="72"/>
  <c r="W181" i="72" s="1"/>
  <c r="W183" i="72" s="1"/>
  <c r="V11" i="72"/>
  <c r="V143" i="72" s="1"/>
  <c r="Y11" i="72"/>
  <c r="Y143" i="72" s="1"/>
  <c r="AB11" i="72"/>
  <c r="AB181" i="72" s="1"/>
  <c r="AB183" i="72" s="1"/>
  <c r="X11" i="72"/>
  <c r="AC11" i="72"/>
  <c r="AC140" i="72" s="1"/>
  <c r="AC170" i="72" s="1"/>
  <c r="AF10" i="72"/>
  <c r="AF180" i="72" s="1"/>
  <c r="AA143" i="72" l="1"/>
  <c r="AA154" i="72" s="1"/>
  <c r="X143" i="72"/>
  <c r="X181" i="72"/>
  <c r="X183" i="72" s="1"/>
  <c r="Y140" i="72"/>
  <c r="Y170" i="72" s="1"/>
  <c r="W143" i="72"/>
  <c r="W144" i="72" s="1"/>
  <c r="W140" i="72"/>
  <c r="W170" i="72" s="1"/>
  <c r="W171" i="72" s="1"/>
  <c r="AD181" i="72"/>
  <c r="AD183" i="72" s="1"/>
  <c r="AD143" i="72"/>
  <c r="AD154" i="72" s="1"/>
  <c r="Z143" i="72"/>
  <c r="Z144" i="72" s="1"/>
  <c r="Y151" i="72"/>
  <c r="Y144" i="72"/>
  <c r="Y154" i="72"/>
  <c r="V151" i="72"/>
  <c r="V144" i="72"/>
  <c r="AC143" i="72"/>
  <c r="X140" i="72"/>
  <c r="X170" i="72" s="1"/>
  <c r="U143" i="72"/>
  <c r="AC181" i="72"/>
  <c r="AC183" i="72" s="1"/>
  <c r="AF11" i="72"/>
  <c r="Y181" i="72"/>
  <c r="Y183" i="72" s="1"/>
  <c r="V181" i="72"/>
  <c r="V183" i="72" s="1"/>
  <c r="Z181" i="72"/>
  <c r="Z183" i="72" s="1"/>
  <c r="V140" i="72"/>
  <c r="V170" i="72" s="1"/>
  <c r="AB140" i="72"/>
  <c r="AB170" i="72" s="1"/>
  <c r="AB143" i="72"/>
  <c r="AA151" i="72" l="1"/>
  <c r="AA144" i="72"/>
  <c r="X144" i="72"/>
  <c r="X151" i="72"/>
  <c r="X154" i="72"/>
  <c r="Z151" i="72"/>
  <c r="Z152" i="72" s="1"/>
  <c r="AA152" i="72"/>
  <c r="AD144" i="72"/>
  <c r="Y152" i="72"/>
  <c r="Z154" i="72"/>
  <c r="W173" i="72"/>
  <c r="W175" i="72" s="1"/>
  <c r="AF143" i="72"/>
  <c r="W151" i="72"/>
  <c r="W152" i="72" s="1"/>
  <c r="AD151" i="72"/>
  <c r="V152" i="72"/>
  <c r="AC151" i="72"/>
  <c r="AC144" i="72"/>
  <c r="AC154" i="72"/>
  <c r="AF181" i="72"/>
  <c r="AF183" i="72" s="1"/>
  <c r="AF140" i="72"/>
  <c r="AF170" i="72" s="1"/>
  <c r="U144" i="72"/>
  <c r="U151" i="72"/>
  <c r="U152" i="72" s="1"/>
  <c r="AB144" i="72"/>
  <c r="AB154" i="72"/>
  <c r="AB151" i="72"/>
  <c r="V171" i="72"/>
  <c r="V173" i="72"/>
  <c r="V175" i="72" s="1"/>
  <c r="X152" i="72" l="1"/>
  <c r="I80" i="105"/>
  <c r="AI143" i="72"/>
  <c r="AF151" i="72"/>
  <c r="AD152" i="72"/>
  <c r="AC152" i="72"/>
  <c r="AB152" i="72"/>
  <c r="AF144" i="72"/>
  <c r="J80" i="105" l="1"/>
  <c r="I57" i="105"/>
  <c r="J57" i="105" s="1"/>
  <c r="J333" i="105"/>
  <c r="O56" i="105"/>
  <c r="I61" i="105"/>
  <c r="J61" i="105" s="1"/>
  <c r="AI144" i="72"/>
  <c r="AI151" i="72"/>
  <c r="AF152" i="72"/>
  <c r="AI152" i="72" s="1"/>
  <c r="C50" i="105" l="1"/>
  <c r="I50" i="105"/>
  <c r="J50" i="105" s="1"/>
  <c r="O63" i="105"/>
  <c r="L25" i="118"/>
  <c r="I332" i="105"/>
  <c r="L26" i="118" l="1"/>
  <c r="L30" i="118" s="1"/>
  <c r="L34" i="118" s="1"/>
  <c r="L38" i="118" s="1"/>
  <c r="J332" i="105"/>
  <c r="N25" i="118" s="1"/>
  <c r="H83" i="118" l="1"/>
  <c r="L253" i="118"/>
  <c r="J253" i="118"/>
  <c r="H213" i="118"/>
  <c r="H179" i="118" l="1"/>
  <c r="L40" i="118"/>
  <c r="H253" i="118"/>
  <c r="L41" i="118" l="1"/>
  <c r="E15" i="118"/>
  <c r="E16" i="118" s="1"/>
  <c r="E17" i="1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Baiba Kanča</author>
    <author>Sarmīte Mūze</author>
  </authors>
  <commentList>
    <comment ref="D82" authorId="0" shapeId="0" xr:uid="{544156BC-C5CF-4D67-A5CB-53198713B5E4}">
      <text>
        <r>
          <rPr>
            <b/>
            <sz val="9"/>
            <color indexed="81"/>
            <rFont val="Tahoma"/>
            <family val="2"/>
            <charset val="186"/>
          </rPr>
          <t>Baiba Kanča:</t>
        </r>
        <r>
          <rPr>
            <sz val="9"/>
            <color indexed="81"/>
            <rFont val="Tahoma"/>
            <family val="2"/>
            <charset val="186"/>
          </rPr>
          <t xml:space="preserve">
EKK2250 ZZ Dats pārnests no citām struktūrvienībām</t>
        </r>
      </text>
    </comment>
    <comment ref="G125" authorId="1" shapeId="0" xr:uid="{778BED8B-4BDE-4662-966E-83FA27801314}">
      <text>
        <r>
          <rPr>
            <b/>
            <sz val="9"/>
            <color indexed="81"/>
            <rFont val="Tahoma"/>
            <family val="2"/>
            <charset val="186"/>
          </rPr>
          <t>Sarmīte Mūze:</t>
        </r>
        <r>
          <rPr>
            <sz val="9"/>
            <color indexed="81"/>
            <rFont val="Tahoma"/>
            <family val="2"/>
            <charset val="186"/>
          </rPr>
          <t xml:space="preserve">
EUR 50'783 pārcelts uz SID atalgojumu</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Sarmīte Mūze</author>
  </authors>
  <commentList>
    <comment ref="O26" authorId="0" shapeId="0" xr:uid="{42E9A46A-8BA6-451B-86D0-FFD1CAC677BC}">
      <text>
        <r>
          <rPr>
            <b/>
            <sz val="9"/>
            <color indexed="81"/>
            <rFont val="Tahoma"/>
            <family val="2"/>
            <charset val="186"/>
          </rPr>
          <t>Sarmīte Mūze:</t>
        </r>
        <r>
          <rPr>
            <sz val="9"/>
            <color indexed="81"/>
            <rFont val="Tahoma"/>
            <family val="2"/>
            <charset val="186"/>
          </rPr>
          <t xml:space="preserve">
EUR 94'459 atmaksās cauc soc. Pakalp. Un Dziesmu svētki</t>
        </r>
      </text>
    </comment>
    <comment ref="K47" authorId="0" shapeId="0" xr:uid="{2CDB9FD7-7BFF-40B8-8288-B1953FE12552}">
      <text>
        <r>
          <rPr>
            <b/>
            <sz val="9"/>
            <color indexed="81"/>
            <rFont val="Tahoma"/>
            <family val="2"/>
            <charset val="186"/>
          </rPr>
          <t>Sarmīte Mūze:</t>
        </r>
        <r>
          <rPr>
            <sz val="9"/>
            <color indexed="81"/>
            <rFont val="Tahoma"/>
            <family val="2"/>
            <charset val="186"/>
          </rPr>
          <t xml:space="preserve">
KA</t>
        </r>
      </text>
    </comment>
    <comment ref="K48" authorId="0" shapeId="0" xr:uid="{F9389AD0-7908-4C84-BE88-B86D78369223}">
      <text>
        <r>
          <rPr>
            <b/>
            <sz val="9"/>
            <color indexed="81"/>
            <rFont val="Tahoma"/>
            <family val="2"/>
            <charset val="186"/>
          </rPr>
          <t>Sarmīte Mūze:</t>
        </r>
        <r>
          <rPr>
            <sz val="9"/>
            <color indexed="81"/>
            <rFont val="Tahoma"/>
            <family val="2"/>
            <charset val="186"/>
          </rPr>
          <t xml:space="preserve">
18'000 tiks atgriezts pēc TEP izstrādes</t>
        </r>
      </text>
    </comment>
    <comment ref="K49" authorId="0" shapeId="0" xr:uid="{A2A45B1B-4C37-4381-8860-B2DABA77E454}">
      <text>
        <r>
          <rPr>
            <b/>
            <sz val="9"/>
            <color indexed="81"/>
            <rFont val="Tahoma"/>
            <family val="2"/>
            <charset val="186"/>
          </rPr>
          <t>Sarmīte Mūze:</t>
        </r>
        <r>
          <rPr>
            <sz val="9"/>
            <color indexed="81"/>
            <rFont val="Tahoma"/>
            <family val="2"/>
            <charset val="186"/>
          </rPr>
          <t xml:space="preserve">
KA</t>
        </r>
      </text>
    </comment>
    <comment ref="K52" authorId="0" shapeId="0" xr:uid="{2C656E07-37CC-484B-88B1-163F00C03BD4}">
      <text>
        <r>
          <rPr>
            <b/>
            <sz val="9"/>
            <color indexed="81"/>
            <rFont val="Tahoma"/>
            <family val="2"/>
            <charset val="186"/>
          </rPr>
          <t>Sarmīte Mūze:</t>
        </r>
        <r>
          <rPr>
            <sz val="9"/>
            <color indexed="81"/>
            <rFont val="Tahoma"/>
            <family val="2"/>
            <charset val="186"/>
          </rPr>
          <t xml:space="preserve">
KA</t>
        </r>
      </text>
    </comment>
    <comment ref="K53" authorId="0" shapeId="0" xr:uid="{67F90CC1-7EDE-42CE-A32E-0D2C3035763D}">
      <text>
        <r>
          <rPr>
            <b/>
            <sz val="9"/>
            <color indexed="81"/>
            <rFont val="Tahoma"/>
            <family val="2"/>
            <charset val="186"/>
          </rPr>
          <t>Sarmīte Mūze:</t>
        </r>
        <r>
          <rPr>
            <sz val="9"/>
            <color indexed="81"/>
            <rFont val="Tahoma"/>
            <family val="2"/>
            <charset val="186"/>
          </rPr>
          <t xml:space="preserve">
KA+Proj. Finans.</t>
        </r>
      </text>
    </comment>
    <comment ref="K54" authorId="0" shapeId="0" xr:uid="{BB2F9B30-7E4D-4960-9EC9-DB0A3CA4AAC3}">
      <text>
        <r>
          <rPr>
            <b/>
            <sz val="9"/>
            <color indexed="81"/>
            <rFont val="Tahoma"/>
            <family val="2"/>
            <charset val="186"/>
          </rPr>
          <t>Sarmīte Mūze:</t>
        </r>
        <r>
          <rPr>
            <sz val="9"/>
            <color indexed="81"/>
            <rFont val="Tahoma"/>
            <family val="2"/>
            <charset val="186"/>
          </rPr>
          <t xml:space="preserve">
CFLA finansējums_Ūdenssaimniecības III kārta (noslēdzošais maksājums) (Jāatmaksā aizņēmums)</t>
        </r>
      </text>
    </comment>
    <comment ref="K55" authorId="0" shapeId="0" xr:uid="{34FC41AF-BBD0-48B8-9B13-3CBCDF5B3EA1}">
      <text>
        <r>
          <rPr>
            <b/>
            <sz val="9"/>
            <color indexed="81"/>
            <rFont val="Tahoma"/>
            <family val="2"/>
            <charset val="186"/>
          </rPr>
          <t>Sarmīte Mūze:</t>
        </r>
        <r>
          <rPr>
            <sz val="9"/>
            <color indexed="81"/>
            <rFont val="Tahoma"/>
            <family val="2"/>
            <charset val="186"/>
          </rPr>
          <t xml:space="preserve">
KA 90'432+Ienākošais ERAF 89'627 + 20'212</t>
        </r>
      </text>
    </comment>
    <comment ref="K56" authorId="0" shapeId="0" xr:uid="{549B8621-CE4A-4449-9365-9E92B8C0BA2A}">
      <text>
        <r>
          <rPr>
            <b/>
            <sz val="9"/>
            <color indexed="81"/>
            <rFont val="Tahoma"/>
            <family val="2"/>
            <charset val="186"/>
          </rPr>
          <t>Sarmīte Mūze:</t>
        </r>
        <r>
          <rPr>
            <sz val="9"/>
            <color indexed="81"/>
            <rFont val="Tahoma"/>
            <family val="2"/>
            <charset val="186"/>
          </rPr>
          <t xml:space="preserve">
KA
</t>
        </r>
      </text>
    </comment>
    <comment ref="K57" authorId="0" shapeId="0" xr:uid="{12C73CF0-6EA2-4B17-9223-E691F39CE561}">
      <text>
        <r>
          <rPr>
            <b/>
            <sz val="9"/>
            <color indexed="81"/>
            <rFont val="Tahoma"/>
            <family val="2"/>
            <charset val="186"/>
          </rPr>
          <t>Sarmīte Mūze:</t>
        </r>
        <r>
          <rPr>
            <sz val="9"/>
            <color indexed="81"/>
            <rFont val="Tahoma"/>
            <family val="2"/>
            <charset val="186"/>
          </rPr>
          <t xml:space="preserve">
KA</t>
        </r>
      </text>
    </comment>
    <comment ref="K58" authorId="0" shapeId="0" xr:uid="{A2796526-23D3-4E64-BAA6-139C7B515C1F}">
      <text>
        <r>
          <rPr>
            <b/>
            <sz val="9"/>
            <color indexed="81"/>
            <rFont val="Tahoma"/>
            <family val="2"/>
            <charset val="186"/>
          </rPr>
          <t>Sarmīte Mūze:</t>
        </r>
        <r>
          <rPr>
            <sz val="9"/>
            <color indexed="81"/>
            <rFont val="Tahoma"/>
            <family val="2"/>
            <charset val="186"/>
          </rPr>
          <t xml:space="preserve">
KA</t>
        </r>
      </text>
    </comment>
    <comment ref="K60" authorId="0" shapeId="0" xr:uid="{7439A33A-4212-46B0-8F9B-A33C27FEAD9A}">
      <text>
        <r>
          <rPr>
            <b/>
            <sz val="9"/>
            <color indexed="81"/>
            <rFont val="Tahoma"/>
            <family val="2"/>
            <charset val="186"/>
          </rPr>
          <t>Sarmīte Mūze:</t>
        </r>
        <r>
          <rPr>
            <sz val="9"/>
            <color indexed="81"/>
            <rFont val="Tahoma"/>
            <family val="2"/>
            <charset val="186"/>
          </rPr>
          <t xml:space="preserve">
KA</t>
        </r>
      </text>
    </comment>
    <comment ref="K61" authorId="0" shapeId="0" xr:uid="{15E84027-DEAD-4021-9725-0890EEA28443}">
      <text>
        <r>
          <rPr>
            <b/>
            <sz val="9"/>
            <color indexed="81"/>
            <rFont val="Tahoma"/>
            <family val="2"/>
            <charset val="186"/>
          </rPr>
          <t>Sarmīte Mūze:</t>
        </r>
        <r>
          <rPr>
            <sz val="9"/>
            <color indexed="81"/>
            <rFont val="Tahoma"/>
            <family val="2"/>
            <charset val="186"/>
          </rPr>
          <t xml:space="preserve">
KA 4'454
</t>
        </r>
      </text>
    </comment>
    <comment ref="K63" authorId="0" shapeId="0" xr:uid="{C836A2C3-C8EA-45D0-BF6A-878CAC8641C2}">
      <text>
        <r>
          <rPr>
            <b/>
            <sz val="9"/>
            <color indexed="81"/>
            <rFont val="Tahoma"/>
            <family val="2"/>
            <charset val="186"/>
          </rPr>
          <t>Sarmīte Mūze:</t>
        </r>
        <r>
          <rPr>
            <sz val="9"/>
            <color indexed="81"/>
            <rFont val="Tahoma"/>
            <family val="2"/>
            <charset val="186"/>
          </rPr>
          <t xml:space="preserve">
KA</t>
        </r>
      </text>
    </comment>
    <comment ref="K69" authorId="0" shapeId="0" xr:uid="{CCACB41F-F6CA-43B2-BECC-A0B6F9219DB9}">
      <text>
        <r>
          <rPr>
            <b/>
            <sz val="9"/>
            <color indexed="81"/>
            <rFont val="Tahoma"/>
            <family val="2"/>
            <charset val="186"/>
          </rPr>
          <t>Sarmīte Mūze:</t>
        </r>
        <r>
          <rPr>
            <sz val="9"/>
            <color indexed="81"/>
            <rFont val="Tahoma"/>
            <family val="2"/>
            <charset val="186"/>
          </rPr>
          <t xml:space="preserve">
KA</t>
        </r>
      </text>
    </comment>
    <comment ref="K70" authorId="0" shapeId="0" xr:uid="{9FDD03D4-F2AB-443F-BFD2-147CA32E9CEA}">
      <text>
        <r>
          <rPr>
            <b/>
            <sz val="9"/>
            <color indexed="81"/>
            <rFont val="Tahoma"/>
            <family val="2"/>
            <charset val="186"/>
          </rPr>
          <t>Sarmīte Mūze:</t>
        </r>
        <r>
          <rPr>
            <sz val="9"/>
            <color indexed="81"/>
            <rFont val="Tahoma"/>
            <family val="2"/>
            <charset val="186"/>
          </rPr>
          <t xml:space="preserve">
KA</t>
        </r>
      </text>
    </comment>
    <comment ref="K71" authorId="0" shapeId="0" xr:uid="{D85C8526-F523-4597-B584-F3BD209BF874}">
      <text>
        <r>
          <rPr>
            <b/>
            <sz val="9"/>
            <color indexed="81"/>
            <rFont val="Tahoma"/>
            <family val="2"/>
            <charset val="186"/>
          </rPr>
          <t>Sarmīte Mūze:</t>
        </r>
        <r>
          <rPr>
            <sz val="9"/>
            <color indexed="81"/>
            <rFont val="Tahoma"/>
            <family val="2"/>
            <charset val="186"/>
          </rPr>
          <t xml:space="preserve">
KA</t>
        </r>
      </text>
    </comment>
    <comment ref="K72" authorId="0" shapeId="0" xr:uid="{25D9A919-DFE4-4201-B212-43848F4E0160}">
      <text>
        <r>
          <rPr>
            <b/>
            <sz val="9"/>
            <color indexed="81"/>
            <rFont val="Tahoma"/>
            <family val="2"/>
            <charset val="186"/>
          </rPr>
          <t>Sarmīte Mūze:</t>
        </r>
        <r>
          <rPr>
            <sz val="9"/>
            <color indexed="81"/>
            <rFont val="Tahoma"/>
            <family val="2"/>
            <charset val="186"/>
          </rPr>
          <t xml:space="preserve">
24'529 KA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Sarmīte Mūze</author>
    <author>Baiba Kanča</author>
  </authors>
  <commentList>
    <comment ref="V28" authorId="0" shapeId="0" xr:uid="{00000000-0006-0000-0B00-000001000000}">
      <text>
        <r>
          <rPr>
            <b/>
            <sz val="9"/>
            <color indexed="81"/>
            <rFont val="Tahoma"/>
            <family val="2"/>
            <charset val="186"/>
          </rPr>
          <t>Sarmīte Mūze:</t>
        </r>
        <r>
          <rPr>
            <sz val="9"/>
            <color indexed="81"/>
            <rFont val="Tahoma"/>
            <family val="2"/>
            <charset val="186"/>
          </rPr>
          <t xml:space="preserve">
Atmaksā ERAF ienākošā nauda</t>
        </r>
      </text>
    </comment>
    <comment ref="I34" authorId="0" shapeId="0" xr:uid="{00000000-0006-0000-0B00-000002000000}">
      <text>
        <r>
          <rPr>
            <b/>
            <sz val="9"/>
            <color indexed="81"/>
            <rFont val="Tahoma"/>
            <family val="2"/>
            <charset val="186"/>
          </rPr>
          <t>Sarmīte Mūze:</t>
        </r>
        <r>
          <rPr>
            <sz val="9"/>
            <color indexed="81"/>
            <rFont val="Tahoma"/>
            <family val="2"/>
            <charset val="186"/>
          </rPr>
          <t xml:space="preserve">
EUR 236'297 ĀND daļa
</t>
        </r>
      </text>
    </comment>
    <comment ref="AE71" authorId="1" shapeId="0" xr:uid="{B88E57EC-E60C-4E50-A29A-BE50E2131FA2}">
      <text>
        <r>
          <rPr>
            <b/>
            <sz val="9"/>
            <color indexed="81"/>
            <rFont val="Tahoma"/>
            <family val="2"/>
            <charset val="186"/>
          </rPr>
          <t>Baiba Kanča:</t>
        </r>
        <r>
          <rPr>
            <sz val="9"/>
            <color indexed="81"/>
            <rFont val="Tahoma"/>
            <family val="2"/>
            <charset val="186"/>
          </rPr>
          <t xml:space="preserve">
samazinās uz pusi</t>
        </r>
      </text>
    </comment>
    <comment ref="AE73" authorId="1" shapeId="0" xr:uid="{EE0CE062-D70B-41FD-9836-F73AEC741DE1}">
      <text>
        <r>
          <rPr>
            <b/>
            <sz val="9"/>
            <color indexed="81"/>
            <rFont val="Tahoma"/>
            <family val="2"/>
            <charset val="186"/>
          </rPr>
          <t>Baiba Kanča:</t>
        </r>
        <r>
          <rPr>
            <sz val="9"/>
            <color indexed="81"/>
            <rFont val="Tahoma"/>
            <family val="2"/>
            <charset val="186"/>
          </rPr>
          <t xml:space="preserve">
samazinās uz pusi
</t>
        </r>
      </text>
    </comment>
  </commentList>
</comments>
</file>

<file path=xl/sharedStrings.xml><?xml version="1.0" encoding="utf-8"?>
<sst xmlns="http://schemas.openxmlformats.org/spreadsheetml/2006/main" count="3063" uniqueCount="1670">
  <si>
    <t xml:space="preserve">N.p.k. </t>
  </si>
  <si>
    <t>Sadaļa</t>
  </si>
  <si>
    <t>%</t>
  </si>
  <si>
    <t>1., 2., 3., 4., 5.</t>
  </si>
  <si>
    <t>Nodokļu ieņēmumi</t>
  </si>
  <si>
    <t>1.</t>
  </si>
  <si>
    <t>Iedzīvotāju ienākuma nodoklis</t>
  </si>
  <si>
    <t>1.1.</t>
  </si>
  <si>
    <t>1.2.</t>
  </si>
  <si>
    <t>pārskata gada</t>
  </si>
  <si>
    <t>2.</t>
  </si>
  <si>
    <t>Nekustamā īpašuma nodoklis par zemi</t>
  </si>
  <si>
    <t>2.1.</t>
  </si>
  <si>
    <t>2.2.</t>
  </si>
  <si>
    <t>iepriekšējo gadu parādi</t>
  </si>
  <si>
    <t>3.</t>
  </si>
  <si>
    <t>3.1.</t>
  </si>
  <si>
    <t xml:space="preserve">pārskata gada </t>
  </si>
  <si>
    <t>3.2.</t>
  </si>
  <si>
    <t>4.</t>
  </si>
  <si>
    <t>4.1.</t>
  </si>
  <si>
    <t>4.2.</t>
  </si>
  <si>
    <t>5.</t>
  </si>
  <si>
    <t>6.</t>
  </si>
  <si>
    <t>Valsts (pašvaldību) un kancelejas nodevas</t>
  </si>
  <si>
    <t>6.1.</t>
  </si>
  <si>
    <t>6.1.2.</t>
  </si>
  <si>
    <t>6.2.</t>
  </si>
  <si>
    <t>7.</t>
  </si>
  <si>
    <t>Naudas sodi un sankcijas</t>
  </si>
  <si>
    <t>7.1.</t>
  </si>
  <si>
    <t>7.2.</t>
  </si>
  <si>
    <t>8.</t>
  </si>
  <si>
    <t>Pārējie nenodokļu ieņēmumi</t>
  </si>
  <si>
    <t>8.1.</t>
  </si>
  <si>
    <t>8.2.</t>
  </si>
  <si>
    <t>8.3.</t>
  </si>
  <si>
    <t>9.</t>
  </si>
  <si>
    <t>Ieņēmumi no pašvaldības īpašuma pārdošana</t>
  </si>
  <si>
    <t>10.</t>
  </si>
  <si>
    <t>Valsts budžeta transferti</t>
  </si>
  <si>
    <t>10.10.</t>
  </si>
  <si>
    <t>ES struktūrfondu līdzekļi</t>
  </si>
  <si>
    <t>Projekts</t>
  </si>
  <si>
    <t>11.</t>
  </si>
  <si>
    <t>Pašvaldību budžeta transferti</t>
  </si>
  <si>
    <t>11.1.</t>
  </si>
  <si>
    <t>no citām pašvaldībām izglītības funkciju nodrošināšanai</t>
  </si>
  <si>
    <t>12.</t>
  </si>
  <si>
    <t>Budžeta iestāžu ieņēmumi</t>
  </si>
  <si>
    <t>12.1.</t>
  </si>
  <si>
    <t>12.1.1.</t>
  </si>
  <si>
    <t>21.3.5.2.</t>
  </si>
  <si>
    <t>12.1.2.</t>
  </si>
  <si>
    <t>21.3.5.9.</t>
  </si>
  <si>
    <t>12.2.</t>
  </si>
  <si>
    <t>ieņēmumi par nomu un īri</t>
  </si>
  <si>
    <t>21.3.8.1.</t>
  </si>
  <si>
    <t>12.2.1.</t>
  </si>
  <si>
    <t>21.3.8.4.</t>
  </si>
  <si>
    <t>12.2.2.</t>
  </si>
  <si>
    <t>12.3.</t>
  </si>
  <si>
    <t>budžeta iestāžu maksas pakalpojumi</t>
  </si>
  <si>
    <t>12.4.</t>
  </si>
  <si>
    <t>KOPĀ IEŅĒMUMI:</t>
  </si>
  <si>
    <t>13.1.</t>
  </si>
  <si>
    <t>13.2.</t>
  </si>
  <si>
    <t xml:space="preserve">Izdevumu daļa </t>
  </si>
  <si>
    <t>Vispārējie valdības dienesti</t>
  </si>
  <si>
    <t>deputāti</t>
  </si>
  <si>
    <t>1.3.</t>
  </si>
  <si>
    <t>administratīvā komisija</t>
  </si>
  <si>
    <t>1.4.</t>
  </si>
  <si>
    <t>iepirkumu komisija</t>
  </si>
  <si>
    <t>1.5.</t>
  </si>
  <si>
    <t>vēlēšanu komisija</t>
  </si>
  <si>
    <t>1.6.</t>
  </si>
  <si>
    <t>1.7.</t>
  </si>
  <si>
    <t>dažādas komisijas</t>
  </si>
  <si>
    <t>1.8.</t>
  </si>
  <si>
    <t>Iemaksas PFIF</t>
  </si>
  <si>
    <t>Pārējie vispārēja rakstura transferti</t>
  </si>
  <si>
    <t>Sabiedriskās attiecības, laikraksts</t>
  </si>
  <si>
    <t>Pašvaldības teritoriju un mājokļu apsaimniekošana</t>
  </si>
  <si>
    <t>5.1.</t>
  </si>
  <si>
    <t>5.2.</t>
  </si>
  <si>
    <t>5.3.</t>
  </si>
  <si>
    <t>5.4.</t>
  </si>
  <si>
    <t>Atpūta, kultūra un reliģija</t>
  </si>
  <si>
    <t>Kultūras centrs</t>
  </si>
  <si>
    <t>6.3.</t>
  </si>
  <si>
    <t>6.4.</t>
  </si>
  <si>
    <t>Evaņģēliski luteriskās draudzes</t>
  </si>
  <si>
    <t>6.5.</t>
  </si>
  <si>
    <t>Sociālā aizsardzība</t>
  </si>
  <si>
    <t>Sociālais dienests</t>
  </si>
  <si>
    <t>7.3.</t>
  </si>
  <si>
    <t>Bāriņtiesa</t>
  </si>
  <si>
    <t>Izglītība</t>
  </si>
  <si>
    <t>Norēķini ar pašvaldību budžetiem par izglītības iestāžu pakalpojumiem</t>
  </si>
  <si>
    <t>Privātās izglītības iestādes</t>
  </si>
  <si>
    <t>ĀBVS</t>
  </si>
  <si>
    <t>Pārējās privātās PII</t>
  </si>
  <si>
    <t>Ādažu vidusskola</t>
  </si>
  <si>
    <t>Kredītu pamatsummas atmaksa</t>
  </si>
  <si>
    <t>-</t>
  </si>
  <si>
    <t>4.pielikums</t>
  </si>
  <si>
    <t>Aizdevumu pamatsummu un procentu atmaksa faktiskajiem un plānotajiem aizņēmumiem.</t>
  </si>
  <si>
    <t>Aizdevuma mērķis</t>
  </si>
  <si>
    <t>Līguma Nr.</t>
  </si>
  <si>
    <t>Trānčes Nr.</t>
  </si>
  <si>
    <t>Līguma dat.</t>
  </si>
  <si>
    <t>Līguma termiņš</t>
  </si>
  <si>
    <t>Līgumsumma LVL</t>
  </si>
  <si>
    <t>Līgumsumma EUR</t>
  </si>
  <si>
    <t>Saņemts LVL</t>
  </si>
  <si>
    <t>Saņemts EUR</t>
  </si>
  <si>
    <t>Aizdevuma apkalpošanas likme</t>
  </si>
  <si>
    <t>% maksājumu reizes gadā</t>
  </si>
  <si>
    <t>Izmaksāts no VK 2010.gadā</t>
  </si>
  <si>
    <t>Atlikums uz 01.01.2010.</t>
  </si>
  <si>
    <t>Atlikusī pamatsumma EUR uz 31/12/2014</t>
  </si>
  <si>
    <t>Veids</t>
  </si>
  <si>
    <t>Kopā</t>
  </si>
  <si>
    <t>Kopā 2020. gadā</t>
  </si>
  <si>
    <t>Kopā 2021. gadā</t>
  </si>
  <si>
    <t>pamats.</t>
  </si>
  <si>
    <t>Stabilizācijas aizdevums -</t>
  </si>
  <si>
    <t>A2/1/11/107</t>
  </si>
  <si>
    <t>P-50/2011</t>
  </si>
  <si>
    <t>01.03.2011</t>
  </si>
  <si>
    <t>11.04.2011.</t>
  </si>
  <si>
    <t>1.kārtas 2.posms</t>
  </si>
  <si>
    <t>A2/1/11/549</t>
  </si>
  <si>
    <t>P-350/2011</t>
  </si>
  <si>
    <t>20.12.2031.</t>
  </si>
  <si>
    <t xml:space="preserve"> 1.kārtas 3.posms</t>
  </si>
  <si>
    <t>Stabilizācijas aizdevums - 2.k. 1.p.</t>
  </si>
  <si>
    <t>A2/1/12/328</t>
  </si>
  <si>
    <t>P-219/2012</t>
  </si>
  <si>
    <t>Kohēzijas projekts</t>
  </si>
  <si>
    <t>Stabilizācijas aizdevums - 2.k. 2.p.</t>
  </si>
  <si>
    <t>A2/1/13/1000</t>
  </si>
  <si>
    <t>P-441/2013</t>
  </si>
  <si>
    <t>Kohēzijas projekts II kārta</t>
  </si>
  <si>
    <t>Citas ilgtermiņa saistības.</t>
  </si>
  <si>
    <t>Galvojums SIA "Ādažu ūdens"</t>
  </si>
  <si>
    <t>x</t>
  </si>
  <si>
    <t>Saistību apmērs % no pamatbudžeta ieņēmumiem</t>
  </si>
  <si>
    <t xml:space="preserve">Pašvaldības pamatbudžeta ieņēmumi bez mērķdotācijām un iemaksām pašvaldību </t>
  </si>
  <si>
    <t>finanšu  izlīdzināšanas fondā saimnieciskajā gadā</t>
  </si>
  <si>
    <t>Kopā:</t>
  </si>
  <si>
    <t>Nosaukums</t>
  </si>
  <si>
    <t>Funkcija</t>
  </si>
  <si>
    <t>Nodaļas nosaukums</t>
  </si>
  <si>
    <t>Naudas balvas</t>
  </si>
  <si>
    <t>Darba devēja soc.nod.-darbinieki</t>
  </si>
  <si>
    <t>Pārējās preces</t>
  </si>
  <si>
    <t>Pašvaldības policija</t>
  </si>
  <si>
    <t>Izdevumi par ūdeni un kanalizāciju</t>
  </si>
  <si>
    <t>Izdevumi par elektroenerģiju</t>
  </si>
  <si>
    <t>Valsts un pašvaldību budžeta dotācija biedrībām un nodibinājumiem</t>
  </si>
  <si>
    <t>Inventārs</t>
  </si>
  <si>
    <t>Izdev.par transporta pak.,stāvvietas, pier.apm.br.</t>
  </si>
  <si>
    <t>KC</t>
  </si>
  <si>
    <t xml:space="preserve">Tērpi amatiermākslas kolektīviem </t>
  </si>
  <si>
    <t xml:space="preserve">Ādažu vidusskola </t>
  </si>
  <si>
    <t>Mērķdotācijas</t>
  </si>
  <si>
    <t>Konkurss Par sakoptāko īpašumu (balvu fonds 250+150+100 + reprezentācija)RP</t>
  </si>
  <si>
    <t>0340</t>
  </si>
  <si>
    <t>0630</t>
  </si>
  <si>
    <t>0812</t>
  </si>
  <si>
    <t>0880</t>
  </si>
  <si>
    <t>0910</t>
  </si>
  <si>
    <t>0950</t>
  </si>
  <si>
    <t>0960</t>
  </si>
  <si>
    <t>1010</t>
  </si>
  <si>
    <t>Max saistību papildus summa</t>
  </si>
  <si>
    <t>Kopējais saistību  summa</t>
  </si>
  <si>
    <t>BN</t>
  </si>
  <si>
    <t>BT</t>
  </si>
  <si>
    <t>EUR</t>
  </si>
  <si>
    <t>Mērķdotācija</t>
  </si>
  <si>
    <t>Vārds, uzvārds</t>
  </si>
  <si>
    <t>Guntis Porietis</t>
  </si>
  <si>
    <t>Pašvaldības finansējums</t>
  </si>
  <si>
    <t>Pabalsti</t>
  </si>
  <si>
    <t>BNk_I</t>
  </si>
  <si>
    <t>Asistentu pakalpojumi</t>
  </si>
  <si>
    <t>0930</t>
  </si>
  <si>
    <t>Izglītības un jauniešu lietu pārvalde</t>
  </si>
  <si>
    <t>Atlikusī pamatsumma EUR uz 31/12/2015</t>
  </si>
  <si>
    <t>Projekti</t>
  </si>
  <si>
    <t>BT_pasākumi</t>
  </si>
  <si>
    <t>Ic</t>
  </si>
  <si>
    <t>Pieaugums/ (samazinājums) %</t>
  </si>
  <si>
    <t>Pieaugums/ (samazinājums) EUR</t>
  </si>
  <si>
    <t>Bāzes kapitālās</t>
  </si>
  <si>
    <t>Bāzes</t>
  </si>
  <si>
    <t>pārvalde (bāzes)</t>
  </si>
  <si>
    <t>Ādažu Pirmsskolas izglītības iestāde (bāzes)</t>
  </si>
  <si>
    <t>Ādažu vidusskola (bāze)</t>
  </si>
  <si>
    <t>Kadagas PII (bāze)</t>
  </si>
  <si>
    <t>Izglītības un jauniešu lietu pārvalde (bāze)</t>
  </si>
  <si>
    <t>Ādažu Mākslas un mūzikas skola (bāze)</t>
  </si>
  <si>
    <t>Sporta skola (bāze)</t>
  </si>
  <si>
    <t>Sabiedriskā kārtība un drošība (bāze)</t>
  </si>
  <si>
    <t>Būvvalde (bāze)</t>
  </si>
  <si>
    <t>5.6.</t>
  </si>
  <si>
    <t>5.7.</t>
  </si>
  <si>
    <t>Sporta daļa (bāze)</t>
  </si>
  <si>
    <t>Kultūras centrs (bāze)</t>
  </si>
  <si>
    <t>Sociālais dienests (bāze+pabalsti)</t>
  </si>
  <si>
    <t>% likme, izmaiņas ar 2015 uz gadu</t>
  </si>
  <si>
    <t>Jaunās skolas būvniecībai</t>
  </si>
  <si>
    <t>Gaujas ielas rekonstrukcijai</t>
  </si>
  <si>
    <t>6.6.</t>
  </si>
  <si>
    <t>Kopā 2022. gadā</t>
  </si>
  <si>
    <t>SAM 4.2.2. ĀPII</t>
  </si>
  <si>
    <t>Būvprojekta izstrāde un autoruzraudzība</t>
  </si>
  <si>
    <t>N.p.k.</t>
  </si>
  <si>
    <t>EKK</t>
  </si>
  <si>
    <t>LAD projekts Laveru ceļš</t>
  </si>
  <si>
    <t>Multihalle</t>
  </si>
  <si>
    <t>25.10.2016.</t>
  </si>
  <si>
    <t>BT_algas</t>
  </si>
  <si>
    <t>0110 Pārvalde</t>
  </si>
  <si>
    <t>BN_algas</t>
  </si>
  <si>
    <t>Atalgojums</t>
  </si>
  <si>
    <t xml:space="preserve">Projekti </t>
  </si>
  <si>
    <t>Atbalstītie projekti</t>
  </si>
  <si>
    <t>Aizņēmumu pamatsummas atmaksa:</t>
  </si>
  <si>
    <t xml:space="preserve">Lieldienu sarīkojumi </t>
  </si>
  <si>
    <t>Ādažu Ziemassvētku egles iedegšana</t>
  </si>
  <si>
    <t>0981</t>
  </si>
  <si>
    <t>Ataru ceļa rekonstrukcija</t>
  </si>
  <si>
    <t>Muižas ielas rekonstrukcijai</t>
  </si>
  <si>
    <t xml:space="preserve">SAM 5.1.1. Pretplūdu pasākumi </t>
  </si>
  <si>
    <t>03.2032</t>
  </si>
  <si>
    <t>03.2017.</t>
  </si>
  <si>
    <t>Ādažu vidusskolas remonts</t>
  </si>
  <si>
    <t>Saistību mērķis</t>
  </si>
  <si>
    <t>citi ieņēmumi no citām pašvaldībam</t>
  </si>
  <si>
    <t>20.04.2036.</t>
  </si>
  <si>
    <t>25.03.2032.</t>
  </si>
  <si>
    <t>25.11.2023.</t>
  </si>
  <si>
    <t>20.10.2021.</t>
  </si>
  <si>
    <t xml:space="preserve">A2/1/16/451 </t>
  </si>
  <si>
    <t>P-328/2016</t>
  </si>
  <si>
    <t xml:space="preserve">Gaujas ielas rekonstrukcija </t>
  </si>
  <si>
    <t>1.-3.kārta</t>
  </si>
  <si>
    <t>4.kārta</t>
  </si>
  <si>
    <t>P-196/2017</t>
  </si>
  <si>
    <t>19.05.2017.</t>
  </si>
  <si>
    <t>20.05.2032.</t>
  </si>
  <si>
    <t>A2/1/17/301</t>
  </si>
  <si>
    <t>04.07.2017.</t>
  </si>
  <si>
    <t>P-330/2017</t>
  </si>
  <si>
    <t>08.06.2017.</t>
  </si>
  <si>
    <t>20.06.2022.</t>
  </si>
  <si>
    <t>88'266+46'627</t>
  </si>
  <si>
    <t>P-258/2017</t>
  </si>
  <si>
    <t>A2/1/17/375</t>
  </si>
  <si>
    <t>A2/1/17/468</t>
  </si>
  <si>
    <t>P-481/2017</t>
  </si>
  <si>
    <t>30.08.2017.</t>
  </si>
  <si>
    <t>P-482/2017</t>
  </si>
  <si>
    <t>20.08.2022.</t>
  </si>
  <si>
    <t>20.06.2023</t>
  </si>
  <si>
    <t>A2/1/17/596</t>
  </si>
  <si>
    <t>P-450/2017</t>
  </si>
  <si>
    <t>21.08.2017.</t>
  </si>
  <si>
    <t>20.08.2032.</t>
  </si>
  <si>
    <t>Kopā 2023. gadā</t>
  </si>
  <si>
    <t>Kopā 2024. gadā</t>
  </si>
  <si>
    <t>31.08.2017.</t>
  </si>
  <si>
    <t>A2/1/17/640</t>
  </si>
  <si>
    <t>A2/1/17/641</t>
  </si>
  <si>
    <t>Projektēšana</t>
  </si>
  <si>
    <t>LĪGO svētki Ādažos</t>
  </si>
  <si>
    <t xml:space="preserve">Zivju fonds  „Zivju resursu aizsardzības pasākumi Ādažu novada ūdenstipnēs”  </t>
  </si>
  <si>
    <t>Summa</t>
  </si>
  <si>
    <t>0956</t>
  </si>
  <si>
    <t>Attekas ielas rekonstrukcija</t>
  </si>
  <si>
    <t>Remontdarbi</t>
  </si>
  <si>
    <t>Ādažu centra polderī, Ādažu novadā (I kārta-projektēšana)</t>
  </si>
  <si>
    <t xml:space="preserve">SAM 9311 Deinstitucionalizācija - </t>
  </si>
  <si>
    <t>Dienas centrs</t>
  </si>
  <si>
    <t>7.4.</t>
  </si>
  <si>
    <t>Gala summa</t>
  </si>
  <si>
    <t>Atsauce uz plānošanas dokumentiem</t>
  </si>
  <si>
    <t>Id.Nr. Investīciju plānā</t>
  </si>
  <si>
    <t>2018.gada 23.janvāra</t>
  </si>
  <si>
    <t>Ekspertīze</t>
  </si>
  <si>
    <t>03.04.2018.</t>
  </si>
  <si>
    <t>A2/1/18/123</t>
  </si>
  <si>
    <t>P-94/2018</t>
  </si>
  <si>
    <t>P-218/2018</t>
  </si>
  <si>
    <t>01.06.2018.</t>
  </si>
  <si>
    <t>20.05.2020.</t>
  </si>
  <si>
    <t>A2/1/18/123-V/18/2</t>
  </si>
  <si>
    <t>Būvniecība 1.,2.kārta</t>
  </si>
  <si>
    <t>12.09.2018.</t>
  </si>
  <si>
    <t>20.09.2033.</t>
  </si>
  <si>
    <t>Nr.A2/1/17/641 - V/18/1</t>
  </si>
  <si>
    <t>P-580/2018</t>
  </si>
  <si>
    <t>A2/1/18/644</t>
  </si>
  <si>
    <t>P-538/2018</t>
  </si>
  <si>
    <t>20.06.2048.</t>
  </si>
  <si>
    <t>10.10.2018.</t>
  </si>
  <si>
    <t>20.09.2028.</t>
  </si>
  <si>
    <t>Latvijas Valsts svētku sarīkojumi (programmas, svinīgais sarīkojums Kultūras centrā)</t>
  </si>
  <si>
    <t>Amatiermākslas kolektīvu organizētie pasākumi</t>
  </si>
  <si>
    <t>Ādažu sākumskola (bāze)</t>
  </si>
  <si>
    <t>Kopā 2025. gadā</t>
  </si>
  <si>
    <t>A2/1/18/304</t>
  </si>
  <si>
    <t>A2/1/18/711</t>
  </si>
  <si>
    <t xml:space="preserve">Ādažu centra polderī, Ādažu novadā </t>
  </si>
  <si>
    <t>Asni, derīgo izrakteņu pases atjaunošana</t>
  </si>
  <si>
    <t>A2/1/19/370</t>
  </si>
  <si>
    <t>P-236/2019</t>
  </si>
  <si>
    <t>09.10.2019.</t>
  </si>
  <si>
    <t>20.09.2034.</t>
  </si>
  <si>
    <t xml:space="preserve"> </t>
  </si>
  <si>
    <t>Pārējās privātās vidējās izglītības iestādes</t>
  </si>
  <si>
    <t>Izdevumi par apkuri</t>
  </si>
  <si>
    <t>A2/1/19/421</t>
  </si>
  <si>
    <t>P-269/2019</t>
  </si>
  <si>
    <t>22.11.2019.</t>
  </si>
  <si>
    <t>20.11.2034.</t>
  </si>
  <si>
    <t>Volvo V60</t>
  </si>
  <si>
    <t>02.01.2020.</t>
  </si>
  <si>
    <t>30.12.2024.</t>
  </si>
  <si>
    <t xml:space="preserve">Līzings - jauna automašīna </t>
  </si>
  <si>
    <t>Komunālā saimniecība - DRN</t>
  </si>
  <si>
    <t>Atlikums 31.12.2019.</t>
  </si>
  <si>
    <t>Kopā 2026. gadā</t>
  </si>
  <si>
    <t>20.08.2030.</t>
  </si>
  <si>
    <t>A2/1/20/158</t>
  </si>
  <si>
    <t>P-119/2020</t>
  </si>
  <si>
    <t>Būvniecība 3.kārta izsniegts</t>
  </si>
  <si>
    <t>Ķiršu ielas rekonstrukcija</t>
  </si>
  <si>
    <t>A2/1/20/411</t>
  </si>
  <si>
    <t>P-177/2020</t>
  </si>
  <si>
    <t>29.04.2020.</t>
  </si>
  <si>
    <t>20.04.2048.</t>
  </si>
  <si>
    <t>Nodaļas kods</t>
  </si>
  <si>
    <t>0951</t>
  </si>
  <si>
    <t>P-393/2020</t>
  </si>
  <si>
    <t>P-392/2020</t>
  </si>
  <si>
    <t>13.10.2020.</t>
  </si>
  <si>
    <t>22.09.2025.</t>
  </si>
  <si>
    <t>Šis "Atbalsts klubiem, biedrībām - novada, republikas, starptautisku sacensību organizēšanai novadā (finanšu sēdē tiek atbalstīts saraksts)</t>
  </si>
  <si>
    <t xml:space="preserve">Sociālā aizsardzība - projekti </t>
  </si>
  <si>
    <t>Pasākumi</t>
  </si>
  <si>
    <t>14. pants. (1) Noteikt, ka prognozētie iedzīvotāju ienākuma nodokļa
ieņēmumi pašvaldību budžetos ir 1 332 934 754 euro.
(2) Šā panta pirmajā daļā minēto iedzīvotāju ienākuma nodokļa prognozēto ieņēmumu procentuālais sadalījums pa ceturkšņiem tiek noteikts šādā apmērā: I ceturksnī — 22 procenti, II ceturksnī — 24 procenti, III ceturksnī — 26 procenti, IV ceturksnī — 28 procenti.</t>
  </si>
  <si>
    <t>03.11.2020.</t>
  </si>
  <si>
    <t>(tukšs)</t>
  </si>
  <si>
    <t>A2/1/20/745</t>
  </si>
  <si>
    <t>A2/1/20/746</t>
  </si>
  <si>
    <t>Dotācijas</t>
  </si>
  <si>
    <t>Dotācija</t>
  </si>
  <si>
    <t>Projekts - būvniecība</t>
  </si>
  <si>
    <t>Projekts - pakalpojumi</t>
  </si>
  <si>
    <t>Plānots 05.2021.</t>
  </si>
  <si>
    <t>Plānots 05.2051.</t>
  </si>
  <si>
    <t>Līzings - frontālais iekrāvējs</t>
  </si>
  <si>
    <t>16.11.2020.</t>
  </si>
  <si>
    <t>20.11.2025.</t>
  </si>
  <si>
    <t>Līzings - mikroautobuss</t>
  </si>
  <si>
    <t>Plānots 2021.</t>
  </si>
  <si>
    <t>2026.</t>
  </si>
  <si>
    <t>Latvijas Neatkarības atjaunošanas diena 04.05., "Baltā galdauta svētki"</t>
  </si>
  <si>
    <t>0150 - Pārējās komisijas</t>
  </si>
  <si>
    <t>Kopā 2027. gadā</t>
  </si>
  <si>
    <t>Gaujas ielas gājēju celiņa izbūve</t>
  </si>
  <si>
    <t>Pirmās ielas stāvlaukums pie ĀPII</t>
  </si>
  <si>
    <t>12.4.1.</t>
  </si>
  <si>
    <t>12.4.2.</t>
  </si>
  <si>
    <t>12.4.3.</t>
  </si>
  <si>
    <t>12.5.</t>
  </si>
  <si>
    <t>1.9.</t>
  </si>
  <si>
    <t>Nr.</t>
  </si>
  <si>
    <t>CKS</t>
  </si>
  <si>
    <t>Autostāvvietas izbūve Karlsona parkā, Garciemā, Carnikavas novadā</t>
  </si>
  <si>
    <t>Centrālbaltijas projekts "Coast4us"</t>
  </si>
  <si>
    <t>Tautas nams "Ozolaine"</t>
  </si>
  <si>
    <t>Carnikavas pamatskola</t>
  </si>
  <si>
    <t>Carnikava</t>
  </si>
  <si>
    <t>Nr.p.k.</t>
  </si>
  <si>
    <t>Aizņēmums</t>
  </si>
  <si>
    <t>PII Riekstiņš</t>
  </si>
  <si>
    <t>Projekts "Skolas soma" Ādaži</t>
  </si>
  <si>
    <t>ESF projekts Karjeras atbalsts vispārējās un profesionālās izglītības iestādēs ©</t>
  </si>
  <si>
    <t>ES Padomes projekts LIFE COHABIT ©</t>
  </si>
  <si>
    <t>pārrobežu EST-LAT projekts "Militārais mantojums</t>
  </si>
  <si>
    <t>pārrobežu projektu ieņēmumi ©</t>
  </si>
  <si>
    <t>12.3.1.</t>
  </si>
  <si>
    <t>12.3.2.</t>
  </si>
  <si>
    <t>ieņēmumi par telpu nomu</t>
  </si>
  <si>
    <t>ieņēmumi par zemes nomu</t>
  </si>
  <si>
    <t>12.3.3.</t>
  </si>
  <si>
    <t>pārējie ieņēmumi par nomu ©</t>
  </si>
  <si>
    <t>ieņēmumi no dzīvokļu un komunālajiem pakalpojumiem ©</t>
  </si>
  <si>
    <t>Pārrobežu EST-LAT projekts "Militārais mantojums ©</t>
  </si>
  <si>
    <t>LAD projekts "Laivu ielas un tai piegulošā auto stāvlaukuma projektēšana un būvniecība" ©</t>
  </si>
  <si>
    <t>13.3.</t>
  </si>
  <si>
    <t>Pārjaunojuma līgums visiem līgumiem līdz 2015.gadam</t>
  </si>
  <si>
    <t>05.03.2019.</t>
  </si>
  <si>
    <t>Investīciju projektu īstenošanai (saistību pārjaunojums) Nr.A2/1/21/139 Trančes Nr.PP-14/2021</t>
  </si>
  <si>
    <t>26.04.2021.</t>
  </si>
  <si>
    <t xml:space="preserve">ELFLA projekts pievadceļu attīstība lauksaimniecības uzņēmumiem </t>
  </si>
  <si>
    <t>05.04.2018.</t>
  </si>
  <si>
    <t xml:space="preserve">Komunālās saimniecības investīcijas transportam </t>
  </si>
  <si>
    <t>28.05.2018.</t>
  </si>
  <si>
    <t>Būvprojekta "Kultūras un amatniecības centra pārbūve īpašumā "Blusas"" izstrāde</t>
  </si>
  <si>
    <t>ERAF projekts Natura 2000 Atpūtas taka Carnikavā</t>
  </si>
  <si>
    <t>ES Interreg Igaunijas - Latvijas projekts "Hiking Route Along the Baltic Sea Coastline in Latvia-Estonia"</t>
  </si>
  <si>
    <t>Ceļu, ielu infrastruktūras programma1.kārta</t>
  </si>
  <si>
    <t>Prioritāro projektu īstenošana: bērnu rotaļu laukumi Carnikavas novadā</t>
  </si>
  <si>
    <t>12.07.2018.</t>
  </si>
  <si>
    <t>Izglītības iestāžu investīciju projekts - Carnikavas izglītības iestādes būvniecība no moduļiem</t>
  </si>
  <si>
    <t>03.08.2018.</t>
  </si>
  <si>
    <t>Izglītības iestāžu investīciju projekts - Piejūras PII būvniecība</t>
  </si>
  <si>
    <t>Ceļu, ielu infrastruktūras programma 2.kārta</t>
  </si>
  <si>
    <t>04.09.2018.</t>
  </si>
  <si>
    <t>Ceļu, ielu infrastruktūras programma 3.kārta</t>
  </si>
  <si>
    <t>Ceļu, ielu infrastruktūras programma 4.kārta</t>
  </si>
  <si>
    <t>12.11.2018.</t>
  </si>
  <si>
    <t xml:space="preserve">Prioritārais projekts Dambja būvniecība Valteru ielā </t>
  </si>
  <si>
    <t>21.11.2018.</t>
  </si>
  <si>
    <t>ELFLA Eimuru - Mangaļu poldera meliorācijas grāvju atjaunošana Carnikavas novadā</t>
  </si>
  <si>
    <t>06.03.2019.</t>
  </si>
  <si>
    <t>ERAF projekta SAM 3.3.1. Uzņēmējdarbības attīstībai nepieciešamās infrastruktūras attīstībai Carnikavas novada Garciemā" īstenošanai</t>
  </si>
  <si>
    <t>13.06.2019.</t>
  </si>
  <si>
    <t>SAM 5.5.1. Kultūras objektu būvniecība</t>
  </si>
  <si>
    <t>11.12.2019.</t>
  </si>
  <si>
    <t>27.08.2020.</t>
  </si>
  <si>
    <t>Carnikavas novada pašvaldības transporta infrstruktūras attīstība</t>
  </si>
  <si>
    <t>01.10.2020.</t>
  </si>
  <si>
    <t>KF projekts "Ūdenssaimniecības pakalpojumu attīstība Carnikavā III kārta"</t>
  </si>
  <si>
    <t>ERAF "Carnikavas pamatskolas pārbūve"</t>
  </si>
  <si>
    <t>26.01.2021.</t>
  </si>
  <si>
    <t>LAD  projekts koka laipu taka uz jūru</t>
  </si>
  <si>
    <t>Budžeta un finanšu vadībai (Aprīkojums PII Piejūra)</t>
  </si>
  <si>
    <t>25.03.2021.</t>
  </si>
  <si>
    <t>Stacijas ielas pārbūve</t>
  </si>
  <si>
    <t>30.04.2021.</t>
  </si>
  <si>
    <t>27.05.2021.</t>
  </si>
  <si>
    <t>Lielās ielas pārbūve</t>
  </si>
  <si>
    <t>PII Piejūra būvniecības pabeigšana</t>
  </si>
  <si>
    <t>08.04.2021.</t>
  </si>
  <si>
    <t>Prioritārais projekts "PII "Piejūra" būvniecība"</t>
  </si>
  <si>
    <t>24.02.2021.</t>
  </si>
  <si>
    <t>Aizņēmumu pamatsummas atmaksa - kopā</t>
  </si>
  <si>
    <t>PP-5/2019</t>
  </si>
  <si>
    <r>
      <t xml:space="preserve">A2/1/19/50  </t>
    </r>
    <r>
      <rPr>
        <b/>
        <sz val="8"/>
        <rFont val="Times New Roman"/>
        <family val="1"/>
        <charset val="186"/>
      </rPr>
      <t xml:space="preserve"> </t>
    </r>
  </si>
  <si>
    <t>PP-14/2021</t>
  </si>
  <si>
    <t>A2/1/21/139</t>
  </si>
  <si>
    <t>P-109/2018</t>
  </si>
  <si>
    <t>A2/1/18/139</t>
  </si>
  <si>
    <t>P-200/2018</t>
  </si>
  <si>
    <t>A2/1/18/252</t>
  </si>
  <si>
    <t>P-201/2018</t>
  </si>
  <si>
    <t>A2/1/18/253</t>
  </si>
  <si>
    <t>P-202/2018</t>
  </si>
  <si>
    <t>A2/1/18/254</t>
  </si>
  <si>
    <t>P-203/2018</t>
  </si>
  <si>
    <t>A2/1/18/255</t>
  </si>
  <si>
    <t>P-205/2018</t>
  </si>
  <si>
    <t>A2/1/18/251</t>
  </si>
  <si>
    <t>P-374/2018</t>
  </si>
  <si>
    <t>A2/1/18/452</t>
  </si>
  <si>
    <t>P-436/2018</t>
  </si>
  <si>
    <t>A2/1/18/528</t>
  </si>
  <si>
    <t>P-435/2018</t>
  </si>
  <si>
    <t>A2/1/18/529</t>
  </si>
  <si>
    <t>P-500/2018</t>
  </si>
  <si>
    <t>A2/1/18/611</t>
  </si>
  <si>
    <t>P-537/2018</t>
  </si>
  <si>
    <t>A2/1/18/643</t>
  </si>
  <si>
    <t>P-643/2018</t>
  </si>
  <si>
    <t>A2/1/18/777</t>
  </si>
  <si>
    <t>P-666/2018</t>
  </si>
  <si>
    <t>A2/1/18/818</t>
  </si>
  <si>
    <t>P-10/2021 PRIO</t>
  </si>
  <si>
    <t>A2/1/21/41</t>
  </si>
  <si>
    <t>P-69/2021 COVID PII</t>
  </si>
  <si>
    <t>A2/1/21/120</t>
  </si>
  <si>
    <t>A2/1/21/232</t>
  </si>
  <si>
    <t>A2/1/21/231</t>
  </si>
  <si>
    <t>A2/1/21/169</t>
  </si>
  <si>
    <t>P-43/2021</t>
  </si>
  <si>
    <t>A2/1/21/96</t>
  </si>
  <si>
    <t>P-3/2021</t>
  </si>
  <si>
    <t>A2/1/21/11</t>
  </si>
  <si>
    <t>P-4/2021</t>
  </si>
  <si>
    <t>P-339/2020</t>
  </si>
  <si>
    <t>A2/1/21/10</t>
  </si>
  <si>
    <t>A2/1/20/675</t>
  </si>
  <si>
    <t>P-338/2020</t>
  </si>
  <si>
    <t>A2/1/20/676</t>
  </si>
  <si>
    <t>P-267/2020</t>
  </si>
  <si>
    <t>A2/1/20/586</t>
  </si>
  <si>
    <t>P-292/2019</t>
  </si>
  <si>
    <t>A2/1/19/460</t>
  </si>
  <si>
    <t>P-150/2019</t>
  </si>
  <si>
    <t>A2/1/19/225</t>
  </si>
  <si>
    <t>P-31/2019</t>
  </si>
  <si>
    <t>A2/1/19/57</t>
  </si>
  <si>
    <t>Aizņēmumu procentu maksājumi - kopā</t>
  </si>
  <si>
    <t>Galvojumi un citas ilgtermiņa saistības - kopā:</t>
  </si>
  <si>
    <t>Aizņēmumu saistības kopā:</t>
  </si>
  <si>
    <t>P-89/2021 COVID</t>
  </si>
  <si>
    <t>P-164/2021 COVID</t>
  </si>
  <si>
    <t>P-163/2021 COVID</t>
  </si>
  <si>
    <t>Ādaži</t>
  </si>
  <si>
    <t>Kopā citas ilgtermiņa saistības Ādaži:</t>
  </si>
  <si>
    <t>20.09.2040.</t>
  </si>
  <si>
    <t>20.09.2035.</t>
  </si>
  <si>
    <t>21.06.2038.</t>
  </si>
  <si>
    <t>22.03.2038.</t>
  </si>
  <si>
    <t>20.05.2025.</t>
  </si>
  <si>
    <t>22.05.2023.</t>
  </si>
  <si>
    <t>20.05.2038.</t>
  </si>
  <si>
    <t>20.05.2033.</t>
  </si>
  <si>
    <t>20.06.2028.</t>
  </si>
  <si>
    <t>20.07.2048.</t>
  </si>
  <si>
    <t>20.08.2038.</t>
  </si>
  <si>
    <t>20.10.2038.</t>
  </si>
  <si>
    <t>22.11.2038.</t>
  </si>
  <si>
    <t>20.02.2029.</t>
  </si>
  <si>
    <t>20.05.2049.</t>
  </si>
  <si>
    <t>21.11.2039.</t>
  </si>
  <si>
    <t>20.09.2050.</t>
  </si>
  <si>
    <t>20.01.2051.</t>
  </si>
  <si>
    <t>20.01.2031.</t>
  </si>
  <si>
    <t>20.03.2024.</t>
  </si>
  <si>
    <t>20.04.2051.</t>
  </si>
  <si>
    <t>20.05.2041.</t>
  </si>
  <si>
    <t>20.03.2051.</t>
  </si>
  <si>
    <t>20.02.2051.</t>
  </si>
  <si>
    <t>Mežaparka ceļa pārbūve</t>
  </si>
  <si>
    <t>V</t>
  </si>
  <si>
    <t>P-481/2021</t>
  </si>
  <si>
    <t>21.09.2026.</t>
  </si>
  <si>
    <t>A2/1/21/632</t>
  </si>
  <si>
    <t>14.10.2021.</t>
  </si>
  <si>
    <t>0957</t>
  </si>
  <si>
    <t>Sociālais dienests - SAM 9311 Deinstitucionalizācija - Dienas centrs Ādaži</t>
  </si>
  <si>
    <t>Sociālais dienests - SAM 9311 Deinstitucionalizācija - Dienas centrs Carnikava</t>
  </si>
  <si>
    <t>09824</t>
  </si>
  <si>
    <t>VISA projekts "Atbalsts izglītojamo individuālo kompetenču attīstībai" Carnikava</t>
  </si>
  <si>
    <t>Funkcija_DL</t>
  </si>
  <si>
    <t>Bāze</t>
  </si>
  <si>
    <t>Investīcijas</t>
  </si>
  <si>
    <t>Bāze_kapitālās</t>
  </si>
  <si>
    <t>0982</t>
  </si>
  <si>
    <t>09822</t>
  </si>
  <si>
    <t>0901</t>
  </si>
  <si>
    <t>0932</t>
  </si>
  <si>
    <t>0931</t>
  </si>
  <si>
    <t>Informācijas tehnoloģiju nodaļa</t>
  </si>
  <si>
    <t>Procenti/ parāda apkalpošana</t>
  </si>
  <si>
    <t>PFI</t>
  </si>
  <si>
    <t>Bāze_pasākumi</t>
  </si>
  <si>
    <t>Iniciatīvas</t>
  </si>
  <si>
    <t>Finansējums Ādažu novada sporta komandām</t>
  </si>
  <si>
    <t>Izdevumu tāme</t>
  </si>
  <si>
    <t>Sporta veids</t>
  </si>
  <si>
    <t>Transports</t>
  </si>
  <si>
    <t>Dalības maksas, licences, saskaņā ar Federāciju izcenojumu</t>
  </si>
  <si>
    <t>Formas</t>
  </si>
  <si>
    <t>Kopā sekcijā</t>
  </si>
  <si>
    <t xml:space="preserve">Florbols </t>
  </si>
  <si>
    <t>Amatieru grupas komanda</t>
  </si>
  <si>
    <t xml:space="preserve">Basketbols </t>
  </si>
  <si>
    <t>Pavisam kopā</t>
  </si>
  <si>
    <t>Pasākums</t>
  </si>
  <si>
    <t>Norises vieta</t>
  </si>
  <si>
    <t>Kopējie izdevumi</t>
  </si>
  <si>
    <t>Jaungada džudo turnīrs</t>
  </si>
  <si>
    <t>Hokeja turnīrs (plānots vairākso posmos gan Ādažos, gan Carnikavā)</t>
  </si>
  <si>
    <t>Ādaži/Carnikava/Garkalne</t>
  </si>
  <si>
    <t>Ādažu novada sporta laureāts</t>
  </si>
  <si>
    <t>Carnikavas kauss zolītē</t>
  </si>
  <si>
    <t>Carnikavas pavasara nūjošana</t>
  </si>
  <si>
    <t>Ādažu pavasara MTB velomaratons</t>
  </si>
  <si>
    <t xml:space="preserve">Vējupes festivāls "PAVASARIS 2022" </t>
  </si>
  <si>
    <t>GAUJAS SVĒTKU sporta programma</t>
  </si>
  <si>
    <t>Ekstrēmo sporta veidu fetsivāls (norisinās pumpu trasē)</t>
  </si>
  <si>
    <t>Zvejnieksvētki (airēšana, spēkavīri, zolīte, makšķerēšana, novuss)</t>
  </si>
  <si>
    <t>Garkalnes ciema SPORTA FESTIVĀLS</t>
  </si>
  <si>
    <t>Garkalne</t>
  </si>
  <si>
    <t>Kalngales "Kaimiņu dienas"</t>
  </si>
  <si>
    <t>Kalngale</t>
  </si>
  <si>
    <t>A.Vītoliņa piemiņas turnīrs šahā</t>
  </si>
  <si>
    <t>Carnikavas kauss futbolā veterāniem/ D.Gudermaņa kauss</t>
  </si>
  <si>
    <t>Ādažu komandu sporta festivāls "IEDOD PIESPĒLI" (4 posmi -2 Carnikavā - 2 Ādažos)</t>
  </si>
  <si>
    <t>Ādaži, Carnikava</t>
  </si>
  <si>
    <t>Nēģu svētku sporta programma</t>
  </si>
  <si>
    <t>Ādažu aktīvās atpūtas un sporta diena "Ādaži Sporto"</t>
  </si>
  <si>
    <t>Carnikavas rudens riteņbrauciens</t>
  </si>
  <si>
    <t>Aktīvā pastaiga "IeČāpo"</t>
  </si>
  <si>
    <t>Carnikavas rudens kross</t>
  </si>
  <si>
    <t>Ziemassvēku kauss zolītē</t>
  </si>
  <si>
    <t>Škēršļu skrējiens</t>
  </si>
  <si>
    <t>Izdevumi kopā:</t>
  </si>
  <si>
    <t>Bāze_Pasākumi</t>
  </si>
  <si>
    <t>Disku golfa laukuma izveide Carnikavā, Zibeņu trasē</t>
  </si>
  <si>
    <t>summa</t>
  </si>
  <si>
    <t>Ikgadējā maksa sporta federācijām</t>
  </si>
  <si>
    <t>FEDERĀCIJA</t>
  </si>
  <si>
    <t>SUMMA</t>
  </si>
  <si>
    <t>Latvijas triatlona federācija</t>
  </si>
  <si>
    <t>Latvijas tautas sporta asociācija</t>
  </si>
  <si>
    <t>Latvijas riteņbraukšanas federācija</t>
  </si>
  <si>
    <t>Latvijas skolu sporta federācija</t>
  </si>
  <si>
    <t>kopā</t>
  </si>
  <si>
    <t>sporta laukuma skrejceļa segums ir nolietojies un neatbilst mūsdienu prasībām</t>
  </si>
  <si>
    <t>Pieaugušo un mūžizglītības kursi (novada iedzīvotājiem ar dalībnieku līdzfinansējumu)</t>
  </si>
  <si>
    <t>Bāze_pabalsti</t>
  </si>
  <si>
    <t>CKS - Domes teritorijas kopšana,uzturēšana (bāze)</t>
  </si>
  <si>
    <t>Nav iekļauts bāzes aprēķinos</t>
  </si>
  <si>
    <t>5.5.</t>
  </si>
  <si>
    <t>Bibliotēka Ādaži (bāze)</t>
  </si>
  <si>
    <t>Bibliotēka Carnikava (bāze)</t>
  </si>
  <si>
    <t>Muzejs_Carnikavas novadpētniecības centrs (bāze)</t>
  </si>
  <si>
    <t>Tautas nams "Ozolaine" (bāze)</t>
  </si>
  <si>
    <t>7.5.</t>
  </si>
  <si>
    <t>Sociālā centra "Kadiķis" uzturēšana (bāze)</t>
  </si>
  <si>
    <t>Stipendiāti / bezdarbnieki (bāze)</t>
  </si>
  <si>
    <t>Pirmsskolas izglītības iestāde "Riekstiņš" (bāze)</t>
  </si>
  <si>
    <t>Pirmsskolas izglītības iestādes "Piejūra" (bāze)</t>
  </si>
  <si>
    <t>Pirmsskolas izglītības iestādes Ādažu vidusskolā (bāze)</t>
  </si>
  <si>
    <t>Carnikavas pamatskola (bāze)</t>
  </si>
  <si>
    <t>https://www.vestnesis.lv/op/2021/234A.1</t>
  </si>
  <si>
    <t>A2/1/21/729</t>
  </si>
  <si>
    <t>02.12.2021.</t>
  </si>
  <si>
    <t>P-556/2021</t>
  </si>
  <si>
    <t>20.11.2040.</t>
  </si>
  <si>
    <t>A2/1/21/727</t>
  </si>
  <si>
    <t>P-558/2021</t>
  </si>
  <si>
    <t>20.11.2031.</t>
  </si>
  <si>
    <t>A2/1/21/728</t>
  </si>
  <si>
    <t>P-557/2021</t>
  </si>
  <si>
    <t>Carnikavas pamatskolas infrastruktūras uzlabošana un mācību vides labiekārtošana</t>
  </si>
  <si>
    <t>VISA projekts "Atbalsts izglītojamo individuālo kompetenču attīstībai" Ādaži</t>
  </si>
  <si>
    <t>Teritorijas plānošanas nodaļa (bāze)</t>
  </si>
  <si>
    <t>Cits finansējums</t>
  </si>
  <si>
    <t>Kopsumma</t>
  </si>
  <si>
    <t>KOPĀ BĀZES IZDEVUMI</t>
  </si>
  <si>
    <t>0170</t>
  </si>
  <si>
    <t>08.290 8 SAM 5.5.1. Kultūras objektu būvniecība (Saviļņojošā vidzeme)</t>
  </si>
  <si>
    <t>BĀZES IEŅĒMUMI - BĀZES IZDEVUMI</t>
  </si>
  <si>
    <t>Kredītu pamatsummu atmaksas:</t>
  </si>
  <si>
    <t>Atlikums:</t>
  </si>
  <si>
    <t>A2/1/21/776</t>
  </si>
  <si>
    <t>P-583/2021</t>
  </si>
  <si>
    <t>23.12.2021.</t>
  </si>
  <si>
    <t>21.12.2026.</t>
  </si>
  <si>
    <t>Uz CKS</t>
  </si>
  <si>
    <t>Parāda procentu maksājumi</t>
  </si>
  <si>
    <t>0902</t>
  </si>
  <si>
    <t>Projekts "Skolas soma" Carnikava</t>
  </si>
  <si>
    <t>Projekts Skolas soma</t>
  </si>
  <si>
    <t>Aizvēju ielas Garciemā, dubultā virsmas apstrāde</t>
  </si>
  <si>
    <t>Laivu ielas (no Cēlāju ciema līdz jūrai Carnikavā) un tai piegulošā auto stāvlaukuma projektēšana un būvniecība</t>
  </si>
  <si>
    <t>CKS - dzīvokļu un komunālajiem pakalpojumi (bāze)</t>
  </si>
  <si>
    <t>Teritorijas plānošanas nodaļa</t>
  </si>
  <si>
    <t>Attīstības un projektu nodaļa (bāze)</t>
  </si>
  <si>
    <t>Bāzes ieņēmumi</t>
  </si>
  <si>
    <t>Bāzes izdevumi</t>
  </si>
  <si>
    <t>C5.1.3.1.</t>
  </si>
  <si>
    <t>Ā12.1.2.3.</t>
  </si>
  <si>
    <t>C12.1.2.1.</t>
  </si>
  <si>
    <t>C4.2.1.1.1.</t>
  </si>
  <si>
    <t xml:space="preserve">C14.1.1.1. </t>
  </si>
  <si>
    <t xml:space="preserve">Ā15.1.2.1. un C15.1.2.1. </t>
  </si>
  <si>
    <t xml:space="preserve">Ā15.1.2.4. </t>
  </si>
  <si>
    <t>Carnikavas Nēģu svētki</t>
  </si>
  <si>
    <t>Kopā 2028. gadā</t>
  </si>
  <si>
    <t>saistošajiem noteikumiem Nr.2/2019</t>
  </si>
  <si>
    <t xml:space="preserve"> Bukultu ielas rekonstrukcija</t>
  </si>
  <si>
    <t>Priežu ielas rekonstrukcija</t>
  </si>
  <si>
    <t>pārējie ieņēmumi/ stāvvietu ieņēmumi</t>
  </si>
  <si>
    <t>Ādažu pašvaldības aizņēmumu un citu ilgtermiņa saistību pārskats</t>
  </si>
  <si>
    <t xml:space="preserve">Skolas ielas projektēšana izbūve - </t>
  </si>
  <si>
    <t>3.kārta</t>
  </si>
  <si>
    <t>7.6.</t>
  </si>
  <si>
    <t>7.7.</t>
  </si>
  <si>
    <t>7.8.</t>
  </si>
  <si>
    <t>7.9.</t>
  </si>
  <si>
    <t>0841.3</t>
  </si>
  <si>
    <t>0841.2</t>
  </si>
  <si>
    <t>1014.1</t>
  </si>
  <si>
    <t>1014.2</t>
  </si>
  <si>
    <t>0510</t>
  </si>
  <si>
    <t>0632.2</t>
  </si>
  <si>
    <t>0633.2</t>
  </si>
  <si>
    <t>0633.3</t>
  </si>
  <si>
    <t>0841.1</t>
  </si>
  <si>
    <t>1013.1</t>
  </si>
  <si>
    <t>Dabas resursu nodoklis</t>
  </si>
  <si>
    <t>IIN budžeta dotācija</t>
  </si>
  <si>
    <t>0633.4</t>
  </si>
  <si>
    <t>0634</t>
  </si>
  <si>
    <t>0933</t>
  </si>
  <si>
    <t>09825</t>
  </si>
  <si>
    <t>0660</t>
  </si>
  <si>
    <t>A2/1/22/123</t>
  </si>
  <si>
    <t>P-70/2022</t>
  </si>
  <si>
    <t>31.05.2022.</t>
  </si>
  <si>
    <t>20.05.2037.</t>
  </si>
  <si>
    <t>Ādažu vēstis</t>
  </si>
  <si>
    <t xml:space="preserve">Skolas siltināšana un stadiona </t>
  </si>
  <si>
    <t>rekonstrukcija</t>
  </si>
  <si>
    <t>A2/1/22/15</t>
  </si>
  <si>
    <t>P-7/2022</t>
  </si>
  <si>
    <t>20.01.2037.</t>
  </si>
  <si>
    <t xml:space="preserve">0130 Administratīvā komisija </t>
  </si>
  <si>
    <t>02.02.2022
08.08.2022</t>
  </si>
  <si>
    <t>A2/1/22/16
A2/1/22/265</t>
  </si>
  <si>
    <t>P-8/2022
P-175/2022</t>
  </si>
  <si>
    <t>22.07.2029.</t>
  </si>
  <si>
    <t>A2/1/22/239</t>
  </si>
  <si>
    <t>P-160/2022</t>
  </si>
  <si>
    <t>20.07.2022.</t>
  </si>
  <si>
    <t>20.07.2027.</t>
  </si>
  <si>
    <t>04.07.2022.</t>
  </si>
  <si>
    <t>20.06.2027.</t>
  </si>
  <si>
    <t>A2/1/22/267</t>
  </si>
  <si>
    <t>P-163/2022</t>
  </si>
  <si>
    <t>03.08.2022.</t>
  </si>
  <si>
    <t>20.07.2032.</t>
  </si>
  <si>
    <t>0630.2</t>
  </si>
  <si>
    <t>0630.1</t>
  </si>
  <si>
    <t>0912 - AID - SAM 4.2.2. ĀPII siltināšanas projekts</t>
  </si>
  <si>
    <t>0830 - Ādažu bibliotēka</t>
  </si>
  <si>
    <t>0930 - Izglītības un jauniešu lietu pārvalde</t>
  </si>
  <si>
    <t>0962 - Ādažu mākslas un mūzikas skola</t>
  </si>
  <si>
    <t>0960 - Ādažu mākslas un mūzikas skola</t>
  </si>
  <si>
    <t>0831 - Carnikavas bibliotēka</t>
  </si>
  <si>
    <t>0648 - Komunālā saimniecība 0648</t>
  </si>
  <si>
    <t>0340 - Pašvaldības policija</t>
  </si>
  <si>
    <t>0910 - Ādažu Pirmsskolas izglītibas iestāde</t>
  </si>
  <si>
    <t>0911 - Ādažu Pirmsskolas izglītibas iestāde</t>
  </si>
  <si>
    <t>0843 - Ādažu Pirmsskolas izglītibas iestāde - Multihalle</t>
  </si>
  <si>
    <t xml:space="preserve">0950 - Ādažu vidusskola </t>
  </si>
  <si>
    <t xml:space="preserve">0954 - Ādažu vidusskola </t>
  </si>
  <si>
    <t>0982 - Carnikavas pamatskola</t>
  </si>
  <si>
    <t>09821 - Carnikavas pamatskola</t>
  </si>
  <si>
    <t>09825 - Carnikavas pamatskola Erasmus+</t>
  </si>
  <si>
    <t>1030 - Bāriņtiesa</t>
  </si>
  <si>
    <t>0620 - BŪVVALDE</t>
  </si>
  <si>
    <t>0921 - Kadagas pirmsskolas izglītības iestāde</t>
  </si>
  <si>
    <t>0920 - Kadagas pirmsskolas izglītības iestāde</t>
  </si>
  <si>
    <t>0111 - Deputāti</t>
  </si>
  <si>
    <t>0880 - Evaņģēliski luteriskās draudzes</t>
  </si>
  <si>
    <t xml:space="preserve">0140 - Iepirkumu komisija </t>
  </si>
  <si>
    <t>0170 - Informācijas tehnoloģiju nodaļa</t>
  </si>
  <si>
    <t>0670 - INFRASTRUKTŪRAS UN VIDES NODAĻA</t>
  </si>
  <si>
    <t>0841.1 - KC</t>
  </si>
  <si>
    <t>0841.3 - Muzejs_Carnikavas novadpētniecības centrs</t>
  </si>
  <si>
    <t>0610 - Neparedzēti gadījumi</t>
  </si>
  <si>
    <t>0901 - PII Riekstiņš</t>
  </si>
  <si>
    <t>09011 - PII Riekstiņš</t>
  </si>
  <si>
    <t>0952 - PII_AVS</t>
  </si>
  <si>
    <t>09521 - PII_AVS</t>
  </si>
  <si>
    <t>0490 - Sabiedriskās attiecības, informācija</t>
  </si>
  <si>
    <t>0490.1 - Sabiedrisko attiecību daļa - Ādažu vēstis</t>
  </si>
  <si>
    <t>09822 - Skolas soma Carnikavas pamatskola</t>
  </si>
  <si>
    <t>0951 - Skolas_soma Ādaži</t>
  </si>
  <si>
    <t>1010 - Sociālais dienests</t>
  </si>
  <si>
    <t>1012 - Sociālais dienests - asistenti</t>
  </si>
  <si>
    <t>1014.1 - Sociālais dienests - SAM 9311 Deinstitucionalizācija - Dienas centrs Ādaži</t>
  </si>
  <si>
    <t>1014.2 - Sociālais dienests - SAM 9311 Deinstitucionalizācija - Dienas centrs Carnikava</t>
  </si>
  <si>
    <t>1015 - Sociālā centra "Kadiķis" uzturēšana</t>
  </si>
  <si>
    <t>0812 - Sporta daļa</t>
  </si>
  <si>
    <t>0965 - Sporta skola</t>
  </si>
  <si>
    <t>09651 - Sporta skola</t>
  </si>
  <si>
    <t>1011 - Stipendiāti / bezdarbnieki</t>
  </si>
  <si>
    <t>0841.2 - Tautas nams "Ozolaine"</t>
  </si>
  <si>
    <t>0660 - TERITORIJAS PLĀNOŠANAS NODAĻA</t>
  </si>
  <si>
    <t>0970 - Valdorfa skola</t>
  </si>
  <si>
    <t xml:space="preserve">0120 - Vēlēšanu komisija </t>
  </si>
  <si>
    <t>Carnikavas stadiona rekonstrukcija</t>
  </si>
  <si>
    <t>0643 - Komunālā saimniecība - Gaujas 33A</t>
  </si>
  <si>
    <t>09823 - Carnikavas stadiona rekonstrukcija</t>
  </si>
  <si>
    <t>09823</t>
  </si>
  <si>
    <t>2023.gada plāns EUR</t>
  </si>
  <si>
    <t>2023.gada plāns/ detaļas</t>
  </si>
  <si>
    <t>0957 - Ādažu vidusskola ERASMUS</t>
  </si>
  <si>
    <t>21.3.8.9.</t>
  </si>
  <si>
    <t>21.3.9.9.</t>
  </si>
  <si>
    <t xml:space="preserve">0902 - PII Piejūra </t>
  </si>
  <si>
    <t xml:space="preserve">09021 - PII Piejūra </t>
  </si>
  <si>
    <t>Kora JUMIS draudzības koncerts</t>
  </si>
  <si>
    <t>Kora MUNDUS koncerts</t>
  </si>
  <si>
    <t xml:space="preserve">VPDK SĀNSOLĪTIS sadancis </t>
  </si>
  <si>
    <t>VPDK SPRIGULĪTIS koncerts</t>
  </si>
  <si>
    <t>SDK DĒKA sadancis</t>
  </si>
  <si>
    <t>ĀKC deju kolektīvu ZIEMAS SAULGRIEŽU koncerts (visi deju kolektīvi)</t>
  </si>
  <si>
    <t>Dziesmu svētku ieskaņas koncerts (deju kolektīvi)</t>
  </si>
  <si>
    <t>Senioru ansambļu koncerts</t>
  </si>
  <si>
    <t xml:space="preserve">Amatierteātris KONTAKTS jauniestudējums </t>
  </si>
  <si>
    <t>Amatierteātris KONTAKTS dalība Dziesmu svētku skatē (scenogrāfija un tehniskais nodrošinājums skates- izrādes norises vietā)</t>
  </si>
  <si>
    <t>Organizatoriskie izdevumi Dziesmu svētku sagatavošanas procesa nodrošināšanai- skatu organizēšanai Pierīgas reģionā</t>
  </si>
  <si>
    <t>VPDK SPRIGULIS Ādažu novada jakas 12gab.</t>
  </si>
  <si>
    <t>Kora SAKNES materiāls sieviešu apmetņu izgatavošanai</t>
  </si>
  <si>
    <t>Kora SAKNES materiāls vīriešu apmetņu izgatavošanai</t>
  </si>
  <si>
    <t xml:space="preserve">Kora diriģenta žakate (materiāls un izgatavošana) </t>
  </si>
  <si>
    <r>
      <t>Novada svētki GAUJAS SVĒTKI ĀDAŽOS izdevumu tāmes plāns (</t>
    </r>
    <r>
      <rPr>
        <sz val="14"/>
        <color theme="1"/>
        <rFont val="Calibri"/>
        <family val="2"/>
        <scheme val="minor"/>
      </rPr>
      <t>pamatots uz 2019.gada svētku izdevumiem)</t>
    </r>
  </si>
  <si>
    <t xml:space="preserve">2023.gada 27.maijs Ādaži </t>
  </si>
  <si>
    <t>Liela mēroga masu pasākuma izdevumi:</t>
  </si>
  <si>
    <t>35% - mākslinieciskā programma, apkalpošana</t>
  </si>
  <si>
    <t>45% - tehniskais nodrošinājums, saimniecība, infrastruktūra, drošiba</t>
  </si>
  <si>
    <t>10%- publicitāte</t>
  </si>
  <si>
    <t>10% citi izdevumi</t>
  </si>
  <si>
    <t>Summa BEZ NODOKĻIEM
EUR</t>
  </si>
  <si>
    <t>Summa EUR
(iesk.nod.)</t>
  </si>
  <si>
    <t>sadarbība</t>
  </si>
  <si>
    <t>MĀKSLINIEKI, PROGRAMMAS</t>
  </si>
  <si>
    <t xml:space="preserve">Svētku koncepcijas izstrāde, organizācija, 
realizācija,dienas programmu  nodrošināšana, radošā grupa, visu tehnisko, satura, mārketinga sadaļu nodrošināšana </t>
  </si>
  <si>
    <t>Nodrošina ĀKC</t>
  </si>
  <si>
    <t>Mākslinieciskā  programma (orķestris plus solisti)</t>
  </si>
  <si>
    <t>Orķestra mākslinieciskā sagatavošana, dalībnieku homorāri</t>
  </si>
  <si>
    <t>Programmas solisti 20 mākslinieki (honorārs vidēji EUR 200)</t>
  </si>
  <si>
    <t xml:space="preserve">Projekta skaņu operators </t>
  </si>
  <si>
    <t>Grimmētāju pakalpojumi, stils</t>
  </si>
  <si>
    <t xml:space="preserve">Gaujas svētku vakara programmas pārraudzība ( režisors, skatuves administratori, programmas sagatavošana,mūzikas aranžijas, mēģinājumu nodrošināšana) </t>
  </si>
  <si>
    <t>KONCERTSPĒLE/ mākslinieki, (+tērpu, mākslas studija dienas programmā) grupa, menedžments, rekvizīti flīģeļi ( papildus piedalās visi ĀKC kori 100 dalībnieki)</t>
  </si>
  <si>
    <t>Performance ZIEDU DUETS (4,5X5,5 m gigantiskas ziedu konstrukcijas ar iebūvētu tehniku, LNO solisti programma- pasaules opermūzikas un mūziklu dueti)</t>
  </si>
  <si>
    <t>Profesionāla deju ansambļa koncerts</t>
  </si>
  <si>
    <t>Sadarbība</t>
  </si>
  <si>
    <t xml:space="preserve">Programmu nodrošināšana svētku teritorijā </t>
  </si>
  <si>
    <t>Mūziķu grupa/koncertprogramma</t>
  </si>
  <si>
    <t>Mūziķu grupa, deju grupa /koncertprogramma</t>
  </si>
  <si>
    <t>DJ / 10.00-19.00</t>
  </si>
  <si>
    <t>DJ / 19.00-04.00</t>
  </si>
  <si>
    <t>Programmu vadītājs/10.00-19.00</t>
  </si>
  <si>
    <t>Programmu vadītājs /10.00-19.00 (gājiens, 2.skatuve)</t>
  </si>
  <si>
    <t>Programmu vadītājs/19.00-02.00-</t>
  </si>
  <si>
    <t>Programmas vadītājs/19.00-02.00</t>
  </si>
  <si>
    <t xml:space="preserve">Skatuves laukuma, gājiena, teritoriju norišu administrators , organizators </t>
  </si>
  <si>
    <t>Aizskatuves administratori aizskatuve 2 personas 20h</t>
  </si>
  <si>
    <t>Aizskatuves darbības un visu svētku teritorijas norišu nodrošinātāji 20 personas</t>
  </si>
  <si>
    <t>Nodrošina ĀKC un brīvprātījgie</t>
  </si>
  <si>
    <t>NBS orķestris</t>
  </si>
  <si>
    <t>Velo šovs</t>
  </si>
  <si>
    <t>Sporta sacensību organizēšana zolītes turnīrs</t>
  </si>
  <si>
    <t>Latvijas ZuMBA Fitness maratona nodrošināšana</t>
  </si>
  <si>
    <t>Burbuļu šovs bērnu programmā</t>
  </si>
  <si>
    <t>BUNGU SAMITS 50 bungu seti /dalībnieki, grupa, programma</t>
  </si>
  <si>
    <t>TEHNISKAIS NODROŠINĀJUMS</t>
  </si>
  <si>
    <t>ŪDENS GAISMU VIDEOPROJEKCIJU LĀZERU ŠOVS uz Vējupes</t>
  </si>
  <si>
    <t>Ūdens- gaismu šova videomateriāla filmēšana, montāža, mūzikas atlase, miksēšana</t>
  </si>
  <si>
    <t>Pilns tehniskais nodrošinājums Centrālā, divi atsevišķi skaņu komplekti (skatuves, skaņas, gaismu iekārtas, konstrukcijas, transports, tehniskais personāls 30 ) +tilta gaismu un dambja izgaismojuma sistēma, fermu konstrukcija ieejai svētku teritorijā, lāzeri apļos (uzbūve, apkalpošana, demontāža, uzraudzība, transports)</t>
  </si>
  <si>
    <t>Tehnikas izmaksas ir atkarīgas no māksliniecieskās programmas un mūziķu grupu raideriem</t>
  </si>
  <si>
    <t>2 LED diožu videoekrāni, 2 robotkameras, tehniskās  apkalpošanas nodrošināšana personāls 3 operatori, tehniskais direktors/režisors, asistents, PTS (pārvietojamā televīzijas stacija),  videotranslācijai 3 operatori, režisors, interneta tiešraide, ieraksta pēcapstrāde/ nodošana, komutāciju sistēmas, uzraidzība, transports</t>
  </si>
  <si>
    <t>UGUŅOŠANA Gaismu šova noslēgumā</t>
  </si>
  <si>
    <t>Skatuves specefektu CO2 aprīkojuma nodrošināšana</t>
  </si>
  <si>
    <t xml:space="preserve">Svētku filmēšana /palīgs </t>
  </si>
  <si>
    <t>Svētku norises korespodenti /foto video Māris Vītols, Laima Jātniece</t>
  </si>
  <si>
    <t>Rāciju noma</t>
  </si>
  <si>
    <t>Ģeneratoru noma</t>
  </si>
  <si>
    <t>Dīzeļdegviela ģeneratoru darbībai</t>
  </si>
  <si>
    <t>Ģeneratoru apkalpošana</t>
  </si>
  <si>
    <t xml:space="preserve">Elektroenerģijas pieslēgumu un mobilo žogu aprīkojumu noma </t>
  </si>
  <si>
    <t>Elktroenerģijas apkalpošana, uzraudzība</t>
  </si>
  <si>
    <t>Svētku teritorijas labiekārtošana, norobežojumi</t>
  </si>
  <si>
    <t xml:space="preserve">Nodrošina pašvaldības struktūrvienības </t>
  </si>
  <si>
    <t xml:space="preserve">Svētku teritorijas uzkopšana, uzraudzība, konteineru noma </t>
  </si>
  <si>
    <t>Pārvietojamo tualetešu 40 gb.noma un 
apkalpošana</t>
  </si>
  <si>
    <t xml:space="preserve">Teritorijas labiekārtošana un uzkopšana </t>
  </si>
  <si>
    <t>Aizskatuves zonas uzbūve / TELTIS, aprīkojuma noma</t>
  </si>
  <si>
    <t>Daļēji apmaksā sponsors</t>
  </si>
  <si>
    <t>Paklāju noma aizskatuves  nodrošināšanai</t>
  </si>
  <si>
    <t>Informācijas telts un aprīkojums</t>
  </si>
  <si>
    <t>Nodrosīna brīvprātīgie</t>
  </si>
  <si>
    <t xml:space="preserve">Pasākuma fiziskā apsardze  </t>
  </si>
  <si>
    <t>Neatliekamās medicīniskās palīdzības ekipāža</t>
  </si>
  <si>
    <t>Bungu SAMITS 50 bungu komplektu pārvadājumi</t>
  </si>
  <si>
    <t>Sabiedriskais transports apbraucamā ceļa posms, nobrauktie papildus kilometri 01.06.6:00-02.06 6:00</t>
  </si>
  <si>
    <t>CITI IZDEVUMI</t>
  </si>
  <si>
    <t>Pasākuma organizēšana, dienas un vakara programmu scenārijs, administrēšana 
publicitāte , visu reklāmas materiālu sagatavošana, izvietošana, video, audio materiālu sagatavošana, visas svētku norises realizācija</t>
  </si>
  <si>
    <t>REKLĀMA</t>
  </si>
  <si>
    <t>Visu reklāmas materiālu vides objekta banera maketēšana</t>
  </si>
  <si>
    <t>Ieelūgumi (Domes aicinātajiem viesiem)druka</t>
  </si>
  <si>
    <t>Reklāmas materiālu druka plakāti 200gb. flaieri A5 1000gb.</t>
  </si>
  <si>
    <t>Programmu A5(1500gb.) druka</t>
  </si>
  <si>
    <t>Baneris Baltezers (13.05.-02.06.)</t>
  </si>
  <si>
    <t>Reklāmas stabs 1gb. (programma)</t>
  </si>
  <si>
    <t>Plakātu 3x2 2gb., fotosiena druka</t>
  </si>
  <si>
    <t>LTV1 reklāma</t>
  </si>
  <si>
    <t>TV reklāmas videomateriāla , dažādu parametru videorekl. izgatavošana</t>
  </si>
  <si>
    <t>VISUAL MEDIA videoreklāmas translēšana āra ekrānos Rīgā Spice, Spice home</t>
  </si>
  <si>
    <t>Daļēji nodrošina sadarbības partneri</t>
  </si>
  <si>
    <t>ACM videoreklāmas translēšana ekrānos Rīgā ( Lāčplēša, Deglava, Tilta)</t>
  </si>
  <si>
    <t>Reklāma starppilsētu autobusos</t>
  </si>
  <si>
    <t>Sadarbības partneri</t>
  </si>
  <si>
    <t>Radio STAR FM reklāma</t>
  </si>
  <si>
    <t>Radio Skonto</t>
  </si>
  <si>
    <t>Latvijas Radio 2</t>
  </si>
  <si>
    <t>Audioreklāmas ieraksts, materiāla sagatavošana</t>
  </si>
  <si>
    <t>Sociālie tīkli, mediju vide</t>
  </si>
  <si>
    <t>auduma aproces 500gb</t>
  </si>
  <si>
    <t>Norobežojošā lenta ar apdruku 24 ruļļi</t>
  </si>
  <si>
    <t>Viesu, mākslinieku (aizskatuves) ēdināšanas pakalpojumi apt. 500 personas</t>
  </si>
  <si>
    <t>Kafija, tēja aizskatuve</t>
  </si>
  <si>
    <t>Cienasts un ēdināšanas pakalpojumi aizskatuves dalībniekiem ( kopā 900 personas)</t>
  </si>
  <si>
    <t>Ūdens</t>
  </si>
  <si>
    <t>Ūdens un pepsi (divas paletes 1500gb.)</t>
  </si>
  <si>
    <t>Personāla ēdināšana 150 pers.(brīvprātīgie, zemessargi, valsts policijas darbinieki, saimniecības darbinieki )</t>
  </si>
  <si>
    <t>Latvijas KABRIO KLUBA svētku dalībnieku  ēdināšana 250 pers.</t>
  </si>
  <si>
    <t>Autortiesību nomaksa AKKA/LA un LaiPA</t>
  </si>
  <si>
    <t>Reprezentācijas materiāli/ lakatiņi 200gb.(materiāls + izgatavošana) EUR 4 par vienību</t>
  </si>
  <si>
    <t>Skūteru noma 4 gb.</t>
  </si>
  <si>
    <t>Ātra pārvietošanās lielā svētku teritorijā organizatorisku jautājumu risināšani</t>
  </si>
  <si>
    <t>Sporta un aktīvās atpūtas zonas nodrošinājums</t>
  </si>
  <si>
    <t>Nodrošina Sporta daļa</t>
  </si>
  <si>
    <t>Tehnikas izstādes nodrošinājums</t>
  </si>
  <si>
    <t>Uzņēmumu prezentāciju nodrošināšana</t>
  </si>
  <si>
    <t>NBS militārās tehnikas un ekipējuma izstādes</t>
  </si>
  <si>
    <t>A,B,B1, C 200 tirdzniecības vietu sagatavošana</t>
  </si>
  <si>
    <t>Amatnieku tirgus organizēšana, prezentāciju vietu, ēdināšanas zonas u.c. administrēšana</t>
  </si>
  <si>
    <t xml:space="preserve">Finansējums plānots Kultūras centra budžetā   </t>
  </si>
  <si>
    <t>EKK 2233</t>
  </si>
  <si>
    <t>EKK 2239</t>
  </si>
  <si>
    <t>EKK 2264</t>
  </si>
  <si>
    <t>EKK 2390</t>
  </si>
  <si>
    <t>EKK 1150</t>
  </si>
  <si>
    <t>ieņēmumi</t>
  </si>
  <si>
    <t>Spornsoru, uzņēmumu, brīvprātogo darba piesaiste</t>
  </si>
  <si>
    <r>
      <t xml:space="preserve">Budzēta ieņēmumi EUR 28 360 +PVN </t>
    </r>
    <r>
      <rPr>
        <b/>
        <sz val="11"/>
        <rFont val="Calibri"/>
        <family val="2"/>
        <scheme val="minor"/>
      </rPr>
      <t>EUR 34 316</t>
    </r>
    <r>
      <rPr>
        <sz val="11"/>
        <rFont val="Calibri"/>
        <family val="2"/>
        <charset val="186"/>
        <scheme val="minor"/>
      </rPr>
      <t xml:space="preserve"> no ēdināšanas zonu (A,B) izsoles UN 200 tirdzniecības vietām, atbilstoši ĀND saistošajiem noteikumiem</t>
    </r>
  </si>
  <si>
    <t xml:space="preserve">Ieņēmumi par elektroenerģijas patēriņu </t>
  </si>
  <si>
    <r>
      <t xml:space="preserve">Sponsoru atbalsts  </t>
    </r>
    <r>
      <rPr>
        <b/>
        <sz val="11"/>
        <color theme="1"/>
        <rFont val="Calibri"/>
        <family val="2"/>
        <scheme val="minor"/>
      </rPr>
      <t>EUR 5795, preces un pakalpojumi</t>
    </r>
  </si>
  <si>
    <t xml:space="preserve">Sagatavoja L.TIĻUGA </t>
  </si>
  <si>
    <t>tālr.29456335</t>
  </si>
  <si>
    <t>linda@adazikultura.lv</t>
  </si>
  <si>
    <t>Tradicionālo gadskārtu un valsts svētku pasākumu organizēšanas izdevumi (Lieldienas, Saulgrieži, 4.maijs, 18.novembris, Ziemassvētki)</t>
  </si>
  <si>
    <t>O.Vācieša literārā prēmija dzejā:</t>
  </si>
  <si>
    <t xml:space="preserve">Kino seansi </t>
  </si>
  <si>
    <t>Tautas deju festivāls "Jādejo, lai būtu prieks"</t>
  </si>
  <si>
    <t>Folkloras kopas "Cēlāji" 10 gadu jubileja</t>
  </si>
  <si>
    <t>Deju izrāde "Sūnu ciema zēni"</t>
  </si>
  <si>
    <t>Koru kari</t>
  </si>
  <si>
    <t>Skatuves priekškara nomaiņa -esošais priekškara sistēma ir salūzusi, kā arī izdilis audums. Esošais priekškars nav ugunšdrošs</t>
  </si>
  <si>
    <t>Sporta pasākumi 2023</t>
  </si>
  <si>
    <t xml:space="preserve">Pārējei Carnikavas izdevumi </t>
  </si>
  <si>
    <t>Apraksts (ja ir līgums, minēt līguma nr.)</t>
  </si>
  <si>
    <t xml:space="preserve"> (web kameras noma)</t>
  </si>
  <si>
    <t xml:space="preserve"> (Trenažieru zālesapkope, inventārs)</t>
  </si>
  <si>
    <t>Rožu ielas ūdens</t>
  </si>
  <si>
    <t xml:space="preserve"> (Pludmales volejbola laukuma apkope, hokeja bortu remonts)</t>
  </si>
  <si>
    <t>Sintētiskā futbola laukuma noma - granulas (līguma nr. 2019/ 070)</t>
  </si>
  <si>
    <t>Kadagas "Ģimenes dienas"</t>
  </si>
  <si>
    <t>Kadaga</t>
  </si>
  <si>
    <t>Ādažu BMX kauss/LČ kausa posms</t>
  </si>
  <si>
    <t>Veselības skrējiens (7 posmi)</t>
  </si>
  <si>
    <t>FLORBOLA BUDŽETS</t>
  </si>
  <si>
    <t>Skaits</t>
  </si>
  <si>
    <t>Preces / pakalpojuma apraksts, krāsa, modelis, izmērs, materiāls</t>
  </si>
  <si>
    <t xml:space="preserve">Cena </t>
  </si>
  <si>
    <t>Attēls</t>
  </si>
  <si>
    <t>Bortu komplekts</t>
  </si>
  <si>
    <r>
      <t xml:space="preserve">Izgatavoti no presēta polipropilēna paneļiem ar gumijas augšējo malu. </t>
    </r>
    <r>
      <rPr>
        <sz val="11"/>
        <color theme="1"/>
        <rFont val="Times New Roman"/>
        <family val="1"/>
      </rPr>
      <t>Apmaļu komplekts sastāv no trim segmentu veidiem: 2 m gari segmenti, 1 m garš segmenti un noapaļoti stūru segmenti. Atsevišķi apmales panelis sastāv no priekšējā trieciena vairoga, grīdas paneļa, augšējās margas, diviem sānu gabaliem un viena elastīga vada. Ražošanas tehnoloģija nodrošina ,ka produkts ir pietiekami elastīgs, izturīgs, ilgstoši lietojams. Laukuma izmēram 40 līdz 20 metru izmēra apmales tiek piedāvātas atsevišķos segmentos: 52 gab.pa 2 m., 4 gab. pa 1 m. un 4 gab. stūri un 2 uzglabāšanas ratiņi. Apmaļu krāsa melna.</t>
    </r>
  </si>
  <si>
    <t>Gerflor Taraflex grīdas segums</t>
  </si>
  <si>
    <t xml:space="preserve">Lietots segums ne vecāks par 10 gadiem. Eksperta apstiprināts slēdziens par grīdas ilgtermiņa izmantošanu. Grīdas segums atbilst starptautisko federāciju prasībām un ir atzīts par oficiālo laukumu šādos sporta veidos – Florbols, Volejbols, Handbols, Basketbols. </t>
  </si>
  <si>
    <t>Dalības maksa</t>
  </si>
  <si>
    <t>Dalības maksa Latvijas čempionātā florbolā vīriešu virslīgā 2023/2024. gada sezonai.</t>
  </si>
  <si>
    <t>Spēlētāja un apkalpojošā personāla licences</t>
  </si>
  <si>
    <t>Lai spēlētājs un apkalpojošais personāls varētu piedalīties Latvijas čempionātā florbolā vīriešu virslīgā 2023/2024. gada sezonā, viņš ir jālicencē atbilstoši Florbola federācijas noteikumiem par spēlētāju licencēšanos.</t>
  </si>
  <si>
    <t>Izbraukuma spēles Latvijas čempionātā florbolā vīriešu virslīgā 2023/2024. gada sezonai.</t>
  </si>
  <si>
    <t>DISKU GOLFA LAUKUMA IZVEIDOŠANA ZIBEŅOS</t>
  </si>
  <si>
    <t>Vienas</t>
  </si>
  <si>
    <t>Kopējā vērtība</t>
  </si>
  <si>
    <t>PRECES/PAKALPOJUMA NOSAUKUMS</t>
  </si>
  <si>
    <t>MĒRV.</t>
  </si>
  <si>
    <t>DAUDZUMS</t>
  </si>
  <si>
    <t>vienības cena</t>
  </si>
  <si>
    <t>bez PVN (EUR)</t>
  </si>
  <si>
    <t>Trases plānošana</t>
  </si>
  <si>
    <t>gab.</t>
  </si>
  <si>
    <t>Lielā informatīvā trases karte koka statīvā (rāmis 140x220</t>
  </si>
  <si>
    <t>cm, karte 75x120 cm)</t>
  </si>
  <si>
    <t>Trases kartes uzstādīšana</t>
  </si>
  <si>
    <t>Disku golfa grozs (kopējais augstums virs zemes 142 cm,</t>
  </si>
  <si>
    <t>groza diametrs 66 cm, augšējā vainaga diametrs 56 cm)</t>
  </si>
  <si>
    <t>Disku golfa groza uzstādīšana</t>
  </si>
  <si>
    <t>Disku golfa groza izmetiena karte ar uzstādīšanu (A4</t>
  </si>
  <si>
    <t>izmēra karte - 21x30 cm, koka stabs 120x10cm diametrā)</t>
  </si>
  <si>
    <t>Izmetiena vietas izbūve ar koka platformu un mākslīgā</t>
  </si>
  <si>
    <t>zālāja segumu (150x300 cm)</t>
  </si>
  <si>
    <t>Bultu norādes uz nākošajiem groziem ar uzstādīšanu</t>
  </si>
  <si>
    <t>(10x15 cm)</t>
  </si>
  <si>
    <t>OB koka mietiņi (sarkanā vai baltā krāsā) ar uzstādīšanu</t>
  </si>
  <si>
    <t>(40x3cm diametrā)</t>
  </si>
  <si>
    <t>Mando zīme ar uzstādīšanu (40x30cm)</t>
  </si>
  <si>
    <t>Starta komplekts 50 diski (15 puteri, 15 vidējās distances,</t>
  </si>
  <si>
    <t>20 tālās ditances driveri)</t>
  </si>
  <si>
    <t>Kopējā summa bez PVN (EUR)</t>
  </si>
  <si>
    <t>PVN 21% (EUR)</t>
  </si>
  <si>
    <t>Kopējā summa ar PVN (EUR)</t>
  </si>
  <si>
    <t>Saņemtais avanss EUR)</t>
  </si>
  <si>
    <t>Summa apmaksai (EUR)</t>
  </si>
  <si>
    <t>ĀRA TRENAŽERI/VINGROŠANAS ELEMENTI</t>
  </si>
  <si>
    <t>MK Dizains piedāvājums</t>
  </si>
  <si>
    <t>Merv</t>
  </si>
  <si>
    <t>apjoms</t>
  </si>
  <si>
    <t>CenaiekārtabezPVN(EUR)</t>
  </si>
  <si>
    <t>Cenamontāža/betonēšanabezPVN(EUR)</t>
  </si>
  <si>
    <t>summaiekārtabezPVN(EUR)</t>
  </si>
  <si>
    <t>summamontāža/betonēšanabezPVN(EUR)</t>
  </si>
  <si>
    <t>Summa kopā bez</t>
  </si>
  <si>
    <t>PVN (EUR)</t>
  </si>
  <si>
    <t>Kods</t>
  </si>
  <si>
    <t>Vizualizācija</t>
  </si>
  <si>
    <t>Līdztekas IV406</t>
  </si>
  <si>
    <t>gb</t>
  </si>
  <si>
    <t>Horizontālās trepes IV 411</t>
  </si>
  <si>
    <t>1 165.00</t>
  </si>
  <si>
    <t>Zviedru siena IV432</t>
  </si>
  <si>
    <t>Trīs līmeņu pievilkšanās stienis</t>
  </si>
  <si>
    <t>1 010.00</t>
  </si>
  <si>
    <t>IV421</t>
  </si>
  <si>
    <t>Vēderpreses soliņš IV 450</t>
  </si>
  <si>
    <t>Divkāršais atspiešnās stienis</t>
  </si>
  <si>
    <t>IV408</t>
  </si>
  <si>
    <t>4 065.00</t>
  </si>
  <si>
    <t>1 410.00</t>
  </si>
  <si>
    <t>5 475.00</t>
  </si>
  <si>
    <t>Cenā iekļauta iekārtas izgatavošana un montāža. Par saskaņojumiem,</t>
  </si>
  <si>
    <t>Transporta izdevumi</t>
  </si>
  <si>
    <t>pēcuzstādīšanas pārbaudi, segumu, izvietojumu atbild pasūtītājs.</t>
  </si>
  <si>
    <t>Kopā bez PVN 21%</t>
  </si>
  <si>
    <t>PVN21%</t>
  </si>
  <si>
    <t>KOPĀ APMAKSAI</t>
  </si>
  <si>
    <t>Āra trenažieru uzstādīšana pie Ādažu stadiona</t>
  </si>
  <si>
    <t>Konta atlikums 31.12.2022.</t>
  </si>
  <si>
    <t>Rotaļiekārtas maiņa pie Taurenīšiem, Lapsēniem, Skudriņām, Vāverēniem</t>
  </si>
  <si>
    <t>Skaņas tehnika aktu zālei</t>
  </si>
  <si>
    <r>
      <t>Pirmsskolas tradīcijas "Cauri gadskārtām" tālākai īstenošanai -Tautiskās vilnas zeķes 28 pāri EUR18.00x28=</t>
    </r>
    <r>
      <rPr>
        <b/>
        <i/>
        <sz val="8"/>
        <rFont val="Arial"/>
        <family val="2"/>
        <charset val="186"/>
      </rPr>
      <t>504.00 EUR</t>
    </r>
    <r>
      <rPr>
        <i/>
        <sz val="8"/>
        <rFont val="Arial"/>
        <family val="2"/>
        <charset val="186"/>
      </rPr>
      <t xml:space="preserve"> (cenu aptauja SIA Arnita)</t>
    </r>
  </si>
  <si>
    <r>
      <t>Pirmsskolas tradīcijas "Cauri gadskārtām" tālākai īstenošanai - Pastalas 28 pāri, EUR 17x34=</t>
    </r>
    <r>
      <rPr>
        <b/>
        <i/>
        <sz val="8"/>
        <rFont val="Arial"/>
        <family val="2"/>
        <charset val="186"/>
      </rPr>
      <t>578.00</t>
    </r>
    <r>
      <rPr>
        <i/>
        <sz val="8"/>
        <rFont val="Arial"/>
        <family val="2"/>
        <charset val="186"/>
      </rPr>
      <t xml:space="preserve"> EUR (cenu aptauja SIA Jette)</t>
    </r>
  </si>
  <si>
    <r>
      <t>Pirmsskolas tradīcijas "Cauri gadskārtām" tālākai īstenošanai -Tautas tērpi (14 zēniem un 14 meitenēm) EUR 84x28=</t>
    </r>
    <r>
      <rPr>
        <b/>
        <i/>
        <sz val="8"/>
        <rFont val="Arial"/>
        <family val="2"/>
        <charset val="186"/>
      </rPr>
      <t>EUR 2352</t>
    </r>
    <r>
      <rPr>
        <i/>
        <sz val="8"/>
        <rFont val="Arial"/>
        <family val="2"/>
        <charset val="186"/>
      </rPr>
      <t xml:space="preserve"> (cenu aptauja SIA Muduri)</t>
    </r>
  </si>
  <si>
    <r>
      <t>"Ligzda" divu rekuperācijas mazo sistēmu iegāde un uzstādīšana 2x480,00=</t>
    </r>
    <r>
      <rPr>
        <b/>
        <i/>
        <sz val="8"/>
        <rFont val="Arial"/>
        <family val="2"/>
        <charset val="186"/>
      </rPr>
      <t>EUR 960,00</t>
    </r>
    <r>
      <rPr>
        <i/>
        <sz val="8"/>
        <rFont val="Arial"/>
        <family val="2"/>
        <charset val="186"/>
      </rPr>
      <t xml:space="preserve"> Tirgus izpēti veica R. Kaufmanis </t>
    </r>
  </si>
  <si>
    <t>Udensvada un apkures sistēmas remontdarbi pagrabā</t>
  </si>
  <si>
    <t>Apkures sistēmas automatizācija (13 grupās. Zem grīdas ievados+BMS)</t>
  </si>
  <si>
    <t>Darbinieku autostāvvietas izveidošana un teritorijas sakārtošana</t>
  </si>
  <si>
    <t>ĀNKC XXVII Vispārējo latviešu Dziesmu un XVII Deju svētku budžeta tāmes projekts</t>
  </si>
  <si>
    <t>2023. 30.06-09.07.</t>
  </si>
  <si>
    <t>ĀDAŽU KULTŪRAS CENTRS -9 kolektīvi (225 dalībnieki, 17 kolektīvu vadītāji un speciālisti, 1 koordinators)</t>
  </si>
  <si>
    <t>CARNIKAVAS KULTŪRAS NAMS OZOLAINE- 7 kolektīvi (182 dalībnieki, 15 kolektīvu vadītāji un speciālisti, 1 koordinators)</t>
  </si>
  <si>
    <t>IZGLĪTĪBAS IESTĀŽU KOLEKTĪVI-</t>
  </si>
  <si>
    <t xml:space="preserve"> KC</t>
  </si>
  <si>
    <t xml:space="preserve">Naudas balvas veiksmīga projekta realizācijas gadījumā </t>
  </si>
  <si>
    <t>ĀDAŽI- koordinators (1) EUR 500
kolektīvu vadītāji (9) EUR 200
speciālisti (8) EUR 100</t>
  </si>
  <si>
    <t>CARNIKAVA- koordinators (1) EUR 500
kolektīvu vadītāji EUR 200
speciālisti EUR 100</t>
  </si>
  <si>
    <t>ĀDAŽU VIDUSSKOLA- koordinators (1) EUR 500
kolektīvu vadītāji (3) EUR 200
speciālisti (3) EUR 100</t>
  </si>
  <si>
    <t>Provizorisks aprēķins</t>
  </si>
  <si>
    <t>Transporta pakalpojumi ĀDAŽU kolektīvu dalībai Dziesmu un Deju svētkos</t>
  </si>
  <si>
    <t>ĀDAŽI- ĀKC 9 kolektīvi 
5 kolektīvi x 8 dienas
3 kolektīvi x 7 dienas
1 kolektīvs x 2 dienas 
Kopā 63 laika vienība x apt.EUR 450</t>
  </si>
  <si>
    <t>Transporta pakalpojumi CARNIKAVAS kolektīvu dalībai Dziesmu un Deju svētkos</t>
  </si>
  <si>
    <t>CARNIKAVA- 7 kolektīvi 
3 kolektīvi x 9 dienas
2 kolektīvi x 8 dienas
2 kolektīvs x 2 dienas 
Kopā 47 laika vienība x apt.EUR 450</t>
  </si>
  <si>
    <t>Transporta pakalpojumi ĀDAŽU VIDUSSKOLAS kolektīvu dalībai Dziesmu un Deju svētkos</t>
  </si>
  <si>
    <t>ĀDAŽU VIDUSSKOLA- 3 kolektīvi 
3 kolektīvi x 8 dienas
Kopā 24 laika vienība x apt.EUR 450</t>
  </si>
  <si>
    <t xml:space="preserve">Dalībnieku ēdināšanas izdevumi </t>
  </si>
  <si>
    <t xml:space="preserve">no valsts budžeta EUR 12,10 (iesk.PVN) par personu/ dienā  </t>
  </si>
  <si>
    <t xml:space="preserve">ĀDAŽU kolektīvu dalībnieku ēdināšanas izdevumi </t>
  </si>
  <si>
    <t>ĀDAŽI - 9 kolektīvi 10 EUR + PVN dienā= 12,10 EUR
117 dalībnieki  x 8 dienas x 12,10 EUR = 11325,6 EUR
111 dalībnieki x 7 dienas x 12,10 EUR  = 9401,7EUR
13 dalībnieki X 2 dienas x 12,10 EUR = 314,60 EUR"</t>
  </si>
  <si>
    <t xml:space="preserve">CARNIKAVAS  kolektīvu dalībnieku ēdināšanas izdevumi </t>
  </si>
  <si>
    <t>CARNIKAVA- 7 kolektīvi 10 EUR + PVN dienā= 12,10 EUR
83 dalībnieki +5 vadītāji x 9 dienas x 12,10 EUR = 9584 EUR
29 dalībnieki+2 vadītāji x 2 dienas x 12,10 EUR  = 750 EUR
70 dalībnieki + 3 vadītāji x 8 dienas x 12,10 EUR = 7067 EUR</t>
  </si>
  <si>
    <t xml:space="preserve">ĀDAŽU VIDUSSKOLAS kolektīvu dalībnieku ēdināšanas izdevumi </t>
  </si>
  <si>
    <t>ĀDAŽU VIDUSSKOLA - 3 kolektīvi 10 EUR + PVN dienā= 12,10 EUR
93 dalībnieki  x 8 dienas x 12,10 EUR =  EUR</t>
  </si>
  <si>
    <t xml:space="preserve">no pašvaldības budžeta EUR 12,10 (iesk.PVN) par personu/ dienā  </t>
  </si>
  <si>
    <t>Tehnisko darbinieku un koordinatoru ēdināšanas izdevumi ĀDAŽI</t>
  </si>
  <si>
    <t>ĀDAŽI 
EUR 12,10 par personu/ dienā
10 tehniskie darbinieki x 9 dienas x 12,10 EUR</t>
  </si>
  <si>
    <t>Tehnisko darbinieku un koordinatoru ēdināšanas izdevumi CARNIKAVA</t>
  </si>
  <si>
    <t>CARNIKAVA                                                                                                               
EUR 12,10 par personu/ dienā
7 tehniskie darbinieki x 9 dienas x 12,10 EUR</t>
  </si>
  <si>
    <t>Tehnisko darbinieku un koordinatoru ēdināšanas izdevumi ĀDAŽU VIDUSSKOLA</t>
  </si>
  <si>
    <t>ĀDAŽU VIDUSSKOLA                                                                                                          EUR 12,10 par personu/ dienā
4 tehniskie darbinieki x 9 dienas x 12,10 EUR</t>
  </si>
  <si>
    <t xml:space="preserve">Metodiskie materiāli </t>
  </si>
  <si>
    <t>Metodiskie materiāli svētku repertuāra sagatavošanai, repertuāra grāmatas (350 gab.) nošu grāmatas vadītājiem</t>
  </si>
  <si>
    <t xml:space="preserve">Tērpi Dziesmu svētku kolektīviem ĀDAŽI </t>
  </si>
  <si>
    <t>SDK SPRIGULIS Priekules jakas 12gab.</t>
  </si>
  <si>
    <t xml:space="preserve">Vienīgie no Ādažu  kolektīviem -SDK SPRIGULIS ir izvēlēti dalībai noslēguma koncertā KOPĀ AUGŠUP Mežaparka estrādē. 
Nepieciešams pilns tērpu komplekts (ĀKC bāzē ir svērki, vestes, nepieciešamas tikai jakas) </t>
  </si>
  <si>
    <t xml:space="preserve">SDK DĒKA esošo tērpu papildinājums- Vīriešu vilnas bikses (4gab.), vīriešu mēteļi (4 gab.), vītriešu zābaki (2 pāŗi) </t>
  </si>
  <si>
    <t>Lai visiem kolektīvu dalībniekiem būtu nepieciešamie tērpi. 
Atsevišķu tērpu izgatavošana</t>
  </si>
  <si>
    <t xml:space="preserve">VPDK SPRIGULĪTIS Abrenes tērpu aksesuāri galvas auti (10gab.), pārpieri ( 10gab.) </t>
  </si>
  <si>
    <t>Esošo tērpu papildinājums</t>
  </si>
  <si>
    <t>Tērpi Dziesmu svētku kolektīviem CARNIKAVA</t>
  </si>
  <si>
    <t>JDK Abi divi</t>
  </si>
  <si>
    <t>16 gab puišu bikses, 12 gan meitu Vidzemes jakas, 12 gab meitu uzkrekli zem jakām,  12 gab puišu deju kurpes, 12 gab meitu deju kurpes</t>
  </si>
  <si>
    <t>SDK Tacis</t>
  </si>
  <si>
    <t>Esošo tērpu papildinājums - 8 gab vīru mēteļi, 12 gab sieviešu jakas, 8 gab aubes, 8 gab vīriešu bikses</t>
  </si>
  <si>
    <t>Jauktais koris Vēja balss</t>
  </si>
  <si>
    <t xml:space="preserve">Jaunajiem dziedātājiem trūkst tērpi, līdz ar to nepieciešams esošo tērpu papildinājums 7 sieviešu tērpi (brunči, mētelis) un 4 vīriešu tērpi (bikses, mētelis) </t>
  </si>
  <si>
    <t xml:space="preserve">Novada delegācijas noformējums, karogi u.c. </t>
  </si>
  <si>
    <t>Nosūtu Dziesmu un deju svētku bāzes izdevumu tāmi. Lūdzu veidot atsevišķu uzskaites dimensijas kodu- 0841.4. </t>
  </si>
  <si>
    <t>Par svētku izdevumiem valstī daudz neskaidrību, tāpēc būs iespējami precizējumi.</t>
  </si>
  <si>
    <t>0841.4 - Dziesmu svētki 2023</t>
  </si>
  <si>
    <t>0841.4</t>
  </si>
  <si>
    <t xml:space="preserve"> SVĒTKU NOFORMĒJUMI</t>
  </si>
  <si>
    <t>plānot 2023. gadā</t>
  </si>
  <si>
    <t>1.1. punkts</t>
  </si>
  <si>
    <t>vienības izmaksas</t>
  </si>
  <si>
    <t>Lieldienas</t>
  </si>
  <si>
    <t>jauni dekori Līgo laukuma vides dekoram - 24 oliņas H375 mm, vieenas izmaksas 62 EUR</t>
  </si>
  <si>
    <t>Maija svētki</t>
  </si>
  <si>
    <t>2 jauni karogu statīvi analogi esošajiem</t>
  </si>
  <si>
    <t>Gaujas svētki</t>
  </si>
  <si>
    <t xml:space="preserve">Jaunā novada  svētku karoglentu izgatavošana - Ādažu pagasts - 90 gab, Carnikavas pagasts -70 </t>
  </si>
  <si>
    <t>karogu eksponēšana - 160 gab (23,35  uz 1 karogu)</t>
  </si>
  <si>
    <t>Jāņi</t>
  </si>
  <si>
    <t>jauni dekori Līgo laukuma vides objektam</t>
  </si>
  <si>
    <t>Pirmais septembris</t>
  </si>
  <si>
    <t>dekoru noma, fotostūris</t>
  </si>
  <si>
    <t>Valsts svētki</t>
  </si>
  <si>
    <t>LV karogi  - noma 16,82 uz 1 karogu ( kopā 90 karogi) Ādažu pagastā 70 karogi Carnikavas pagastā</t>
  </si>
  <si>
    <t>Carnikavai mazo LV  karoglentu izgatavošana 70x140   Kopā 45 gab</t>
  </si>
  <si>
    <t xml:space="preserve">karogu eksponēšana </t>
  </si>
  <si>
    <t>eksponēšana - 160 gab ( 23,35 uz 1 karogu)</t>
  </si>
  <si>
    <t>dekori Līgo laukuma vides objektā</t>
  </si>
  <si>
    <t>vides objekta papildināšana ar valsts svētku simboliku un gaismām</t>
  </si>
  <si>
    <t>Ziemassvētki, Jaunais gads</t>
  </si>
  <si>
    <t>Ietver: Ziemassvētku egles ciemos, 2X150.00 EUR</t>
  </si>
  <si>
    <t>Alderi, Baltezers</t>
  </si>
  <si>
    <t>dekoru eksponēšana un noma</t>
  </si>
  <si>
    <t>Līgo laukuma un vides elementa noformēšana ar  gaismas dekoriem un eksponēšana</t>
  </si>
  <si>
    <t>Lielās egles eksponēšanas sistēmas  dekoru noma un eksponēšana</t>
  </si>
  <si>
    <t>Carnikavas egles dekoru noma un eksponēšana</t>
  </si>
  <si>
    <t>tirdzniecības stendu noformēšana</t>
  </si>
  <si>
    <t>dekoru eskponēšana un noma apļos</t>
  </si>
  <si>
    <t>Gaismas dekoru noma un eksponēšana rotācijas apļiem - Rīgas -Gaujas ; Gaujas - Pirmā; Gaujas - Attekas; Kadagas</t>
  </si>
  <si>
    <t>Adventes vainags Carnikavā</t>
  </si>
  <si>
    <t>ielu dekori Ādažu pagastā</t>
  </si>
  <si>
    <t>elektrības nodrošinājums</t>
  </si>
  <si>
    <t>sakārtot pieslēgumu uz Baltezera tilta</t>
  </si>
  <si>
    <t xml:space="preserve">esošo dekoru remonts, atjaunošana </t>
  </si>
  <si>
    <t>Gaismas lāzer projekcijas uz jaunās sākumskolas sienām (6000 vērtībā)</t>
  </si>
  <si>
    <t>Uzņēmējdarbības veicināšanas programmas izveide 2023.gadā (4000 eiro) un pārejošie maksājumi no 2022.gada līgumiem (1167 eiro)</t>
  </si>
  <si>
    <t xml:space="preserve">ES Padomes projekts LIFE COHABIT </t>
  </si>
  <si>
    <t>Sienu remonts administratīvajam korpusam, kāpņutelpām 2.stāvā A korpuss</t>
  </si>
  <si>
    <t>Kanalizācijas un ūdensistēmas nomaiņa, remonts (A korpuss)</t>
  </si>
  <si>
    <t>Deju kolektīviem Dziesmu un deju svētkiem:</t>
  </si>
  <si>
    <t>Tautiskās vilnas zeķes (tautas tērpa detaļa)</t>
  </si>
  <si>
    <t>Deju svētku jakas  (meitenēm un puišiem)(tautas tērpa detaļa)</t>
  </si>
  <si>
    <t>Deju kupes  (meitenēm un puišiem)(tautas tērpa detaļa)</t>
  </si>
  <si>
    <t>Akustiskā skanda/skaļrunis (skolas pasākuma organizēšanai)</t>
  </si>
  <si>
    <t>Deju svētku krekliņi (meitenēm un puišiem)(koptēla veidošana deju-dziesmu svētkiem)</t>
  </si>
  <si>
    <t>IZM piegādāto ChromeBook (IZM projekts datori 7-9 kl. skolēniem) uzglabāšanas, uzlādes skapji 5 gb. (32 datori vienā skapī)</t>
  </si>
  <si>
    <t xml:space="preserve">Interaktīvie ekrāni 75"  </t>
  </si>
  <si>
    <t>Kopā 2029. gadā</t>
  </si>
  <si>
    <t>No 2030. - 2051.</t>
  </si>
  <si>
    <t>Kopsumma no 2023. - 2051.</t>
  </si>
  <si>
    <t>Pamatsumma un % kopā:</t>
  </si>
  <si>
    <t>% likme</t>
  </si>
  <si>
    <t>Summa no 2023.gada plāns EUR</t>
  </si>
  <si>
    <t>Ādaži, Gaujas iela 33A Lielā aktu zāle datu pārraides tīkla severu skapja un tīkla vadu ierīkošanai (~ EUR 8000), optikas savienojumi zālē un uz galveno serveru telpu.</t>
  </si>
  <si>
    <t>DZIESMU SVĒTKI 2023</t>
  </si>
  <si>
    <t>Stadiona rekonstrukcija</t>
  </si>
  <si>
    <t>Projekts ERASMUS+</t>
  </si>
  <si>
    <t>Projekts ERASMUS</t>
  </si>
  <si>
    <t>0630 AID</t>
  </si>
  <si>
    <t>Iepirkums  Ādažu novada teritorijas plānojuma ainavu plānam</t>
  </si>
  <si>
    <t>Iepirkums  Ādažu novada teritorijas plānojuma transporta  plānam (iepirkums 2023.gadā)</t>
  </si>
  <si>
    <t>Skolēnu apbalvošana par augstiem mācību sasniegumiem (apbalvošanas pasākums)
Tāme Nr.14</t>
  </si>
  <si>
    <t>0941 - Ādažu Pirmsskolas privātās izglītibas iestādes</t>
  </si>
  <si>
    <t>0942 - Ādažu Pirmsskolas privātās izglītibas iestādes</t>
  </si>
  <si>
    <t>0943 - Ādažu Pirmsskolas privātās izglītibas iestādes</t>
  </si>
  <si>
    <t xml:space="preserve">0981 - Ādažu vidusskolas sākumskola                                                                                                                                                      </t>
  </si>
  <si>
    <t>2022.gadā iedzīvotāju līdzfinansējums ceļa rekonstrukcijai</t>
  </si>
  <si>
    <t>4.3.</t>
  </si>
  <si>
    <t>4.4.</t>
  </si>
  <si>
    <t>4.5.</t>
  </si>
  <si>
    <t>4.6.</t>
  </si>
  <si>
    <t>4.7.</t>
  </si>
  <si>
    <t>4.8.</t>
  </si>
  <si>
    <t>7.2.1.</t>
  </si>
  <si>
    <t>7.2.2.</t>
  </si>
  <si>
    <t>7.10.</t>
  </si>
  <si>
    <t>7.11.</t>
  </si>
  <si>
    <t>7.12.</t>
  </si>
  <si>
    <t>7.13.</t>
  </si>
  <si>
    <t>7.16.</t>
  </si>
  <si>
    <t>10% palielinājums</t>
  </si>
  <si>
    <t>Procentu likmju pieaugums un parāda portfeļa palielinājums. Dati no VK prognozēm.</t>
  </si>
  <si>
    <t>Apstādījumu uzturēšana Ādažu teritorijā</t>
  </si>
  <si>
    <t>Dārznieka pakalpojumi, apstādījumu uzturēšana, vasaras puku kompozīcijas podos, jaunstādīto koku kopšana</t>
  </si>
  <si>
    <t>saskanā ar tehnisko specifikāciju</t>
  </si>
  <si>
    <t>Jaunu koku stādīšana</t>
  </si>
  <si>
    <t xml:space="preserve"> 20 koki</t>
  </si>
  <si>
    <t>Jaunu stādījumu izveide</t>
  </si>
  <si>
    <t>Dailu skvērā 90 m2 ( summa iekļauta kopējā darznieka pakalpojumā)</t>
  </si>
  <si>
    <t>Papildināts 20.11.2022.</t>
  </si>
  <si>
    <t>PRIEKŠLIKUMI INVETSĪCIJĀM</t>
  </si>
  <si>
    <t>PII projektēšana Podniekos</t>
  </si>
  <si>
    <t>Pastaigu taka gar Baltezera kanālu</t>
  </si>
  <si>
    <t>Gājēju celiņš ar grants segumu gar kanālu, vietām koka laipas segums, kur pie paša kanāla ( kopējā summa ~120000,00, paredzēt līdzfinansējumu ELFLA projektam ~ 10000,00 un 60000,00 pašvaldības daļas realizēšanai no slūžām līdz podnieku tiltam līdz 2025 gadam)</t>
  </si>
  <si>
    <t>Ārtelpas pumpji velobraucējiem</t>
  </si>
  <si>
    <t xml:space="preserve">Jaunu velopumpju iegāde esošajās veloapkopes vietās ( 3 gab - Gaujas-Attekas aplis, pir Gaujas tilta, Alderos) - 1500,00 . Jauna veloapkopes stenda izveide Baltezera ciemā - 2200,00 </t>
  </si>
  <si>
    <t xml:space="preserve">esošajos mobilitātes punktos velopumpji nedarbojas, 2 vispār noņemti, nav atjaunojami. No iedzīvotāju puses ir prasīts, ka ļoti nepieciešami. 3 pumpji būtu novietojami jau esošajās sagatavotajās vietās.  Otrs - izveidot jaunu veloapkopes stendu - piemeram pie Vanaga ligzdas. Lilastes projektā tāds arī tiks ierīkots. </t>
  </si>
  <si>
    <t>papildināts 20.11.2022.</t>
  </si>
  <si>
    <t>Atpūtas un aktivitāšu zonu projektu izstrāde</t>
  </si>
  <si>
    <t>jaunu teritoriju labiekārtojumu projektu izsstrāde</t>
  </si>
  <si>
    <t>Vējupei pieguļosās pašvaldības teritorijas sakopšana, labiekārtošana un jaunas infrastruktūras izveide vides pieejamības nodrošināšanai.   ( ~25 ha)</t>
  </si>
  <si>
    <t>Iespējami 3 varianti darbībām":</t>
  </si>
  <si>
    <t>1) koncepcijas izstrāde, detalizēta, ar izrunātiem risinājumiem ar pasūtītāju, iekļaujot sabiedriskās apspriešanas, iedzīvotāju viedokļu un ideju uzklausīšanu</t>
  </si>
  <si>
    <t>grūti izmērīt laika nogrieznī, ja iesaista iedzīvotājus</t>
  </si>
  <si>
    <t xml:space="preserve">Projekta, meta vai konepcijā paredzamie elementi:     </t>
  </si>
  <si>
    <t>2) metu konkurss, bet tad jāuzmēra iztrūkstošie fragmenti topogrāfijā (balvu fonds 10 000 plus klāt topogrāfijas izdevumi)</t>
  </si>
  <si>
    <t>10000 (5000+3000+2000 balvu fonds)</t>
  </si>
  <si>
    <t>idejiski skaidrs formāts, definējams laiks</t>
  </si>
  <si>
    <t xml:space="preserve">Visapkār Vējupei gājēju pastaigu taka, ceļš - gan pa sausszemi, gan gar ūdeni, gan ūdenī; Labiekārtota pludmale ar visiem pludmalei nepieciešamajiem aprīkojuma elementiem; Piedāvāt atpūtas vietas pieguļošajā teritorijā - klusā atpūta ar soliņiem, sauļošanās soliem, āra trenažieriem, atkritumu urnām, elementiem bērnu aktivitātēm, skatu platformām u.c.; Piedāvāt laivu, supu ielaišanas vietas; </t>
  </si>
  <si>
    <t>3) pēc meta  pilna būvprojekta izstrāde, sadalīta vairākās realizācija kārtās. Jāatceras, ka mets ir tikai iedejas, nav detalizētu tehnisku risinājumu. Ja metu konkursā būtu iegūts viens ideālais meta variants, kur visi parādītie objekti realizējami , kā iecerēts, tad var aprakstīt katru objektu pa vienam un realizēt pa vienam objektam arī bez kopēja būvprojekta.</t>
  </si>
  <si>
    <t>50000-70000</t>
  </si>
  <si>
    <t>cena pecizētos pec tā, kas izstrādāts metā</t>
  </si>
  <si>
    <t>visvērtīgākais gala produkts, ko realizējot pa kārtām iegūst pilnu vēlamo ainu</t>
  </si>
  <si>
    <t>Piedāvāt laivu, supu ielaišanas vietas; Apgaismojuma piedāvājums, esošāo gaismas ķermeņu maiņa gar Attekas ielas gājēju celiņu, noteikti atsevišķa izbūves kārta; Savienojumi ar pieguļošajām teritorijām un ielām; Apstādījumi, kā esošās dabīgās vides papildinājumi; Piedāvāt vietas publiski pieejamām laipām ūdenī, kur iespējams iet peldēties;  Paredzēt vietas vides objektiem - dekoriem;  Piedāvāt ūdens objektus - strūklakas u.c. Kā variants - ūdens strūklaku sistēma, kas var darboties kā šovprogramma;  Piedāvāt ūdens objektus - strūklakas u.c. Kā variants - ūdens strūklaku sistēma, kas var darboties kā šovprogramma;</t>
  </si>
  <si>
    <t>Jauniešu aktīvās atpūtas/sporta zona</t>
  </si>
  <si>
    <t>saskaņā ar publiskās ārtelpas koncepciju</t>
  </si>
  <si>
    <t>Rotaļu un aktīvās atpūtas laukums Dailu skvērā</t>
  </si>
  <si>
    <t>Izveidotajā un pašvadībai nodotajā skvērā sākt veidot aktivitāšu laukumu. Sākt ar jauniešu zonu - vingrošanas iekārtas un trenažieri</t>
  </si>
  <si>
    <t>Ir vieta  dažādu vecumu bērniem, ar aktivitāšu elementiem, kur bērniem iespējas aktīvi darboties, sākumam jauniešu zona, pēc  tam pretī bērnu zona attīstāma</t>
  </si>
  <si>
    <t>gumijas mulčas segums zem sporta iekārtām, 200 m2 platībā</t>
  </si>
  <si>
    <t>Bērnu rotaļu laukums Carnikavā</t>
  </si>
  <si>
    <t>? Skeitparka pie Ziedlejām? Aizstāt ar kādu rotaļu laukumu</t>
  </si>
  <si>
    <t>Kur ir kāda aktuālāka vieta?</t>
  </si>
  <si>
    <t>Attīstāmas jaunas un revitalizējamas publiskās ārtelpas teritorijas</t>
  </si>
  <si>
    <t>Vides pieejamība Lilastē uz nomas teritoriju</t>
  </si>
  <si>
    <t>Izbūvēt celiņu, lai nokļutu uz bunkura augšas terasi un nodrošinātu pieejamību invalīdiem. Vai paredzēt pacelāja platformu gar esošajiem pakāpieniem</t>
  </si>
  <si>
    <t>??  Vai tešām tas ir jādara pašvaldībai? Tā tomēr ir pieeja uzņēmejam objektam</t>
  </si>
  <si>
    <t>Promenāde gar Vējupi - koka laipa - taka</t>
  </si>
  <si>
    <t>turpinājums līdz pašvaldības īpašumam - 200 m līdz Stirana zemei  - koka laipa x  150 eur t.m.( pēc piemēra Krastupes terase</t>
  </si>
  <si>
    <t>2017  izveidoti 180 m (līdz pašvaldības zemes gabalam lai aizietu pa krastmalu vēlams ap 500 m vēl) 2022  uzlikt 200 m līdz Stirāna gabalam</t>
  </si>
  <si>
    <t>Mikro mobilitātes punkti Ādažu novadā</t>
  </si>
  <si>
    <t>Radīt jaunu pakalpojumu - iespēju nomāt mikromobilitātes elementus novada teritorijā - elektriskos skuterus - piesaistot ārpakalpojumu sniedzēju. Sagatavot TS pašvaldības iepirkumam.</t>
  </si>
  <si>
    <t>Šis varētu būt āpakalpojums, ko pašvaldība dod iespēju attīstīt uzņēmējiem</t>
  </si>
  <si>
    <t>Vējupes pludmales mežs</t>
  </si>
  <si>
    <t>aktivitāšu elementi Vējupei pieguļošajā teritorijā</t>
  </si>
  <si>
    <t>mežu dienas projekts</t>
  </si>
  <si>
    <t>Puķu podi Pirmā ielā pie bērnu dārza transporta organizēšana</t>
  </si>
  <si>
    <t>Atdalošajā joslā starp stāvvietu kabatu un velo joslu izvietot liela izmēra puķu podus ar liela izmēra augiem  lapu krūmiem, lai mašinas nestātos šķērsām un lai veidotu vizuālo norobežojumu bērniem ( plānoti Scanplast zemie podi, 1100 mm diametrs un 450 mm augstums, pamīšus ar LOTUS vidējiem,kopā nepieciešami 12 podi) 6 x440,00 = 2640 un 6x188=1128 Kopā 3768</t>
  </si>
  <si>
    <t>zemais lielais pods - 440,00, LOTUs vidējais188,00</t>
  </si>
  <si>
    <t>Info stends, digitāls</t>
  </si>
  <si>
    <t>pie tirgus Gaujas ielā</t>
  </si>
  <si>
    <t>Info stends ar iespēju izvietot informāciju pie tirgus laukuma ( analogs Carnikavai), LMT kabeļa gals ir izbūvēts jau Gaujas ielas projekta laikā atrodas zem gājēju bruģa seguma pretī UTT)</t>
  </si>
  <si>
    <t>Suņu pastaigu laukums, malā gar stadionu</t>
  </si>
  <si>
    <t>iepējams variants, jauns objekts</t>
  </si>
  <si>
    <t>Velo maršrutu marķēšana</t>
  </si>
  <si>
    <t>ap Lielo Baltezeru, Atari, pa dambi, numuru piešķiršana</t>
  </si>
  <si>
    <t>Stāvvieta ar skvēru Gaujas skvēros (atbērtne)</t>
  </si>
  <si>
    <t>ar velosipēdu P&amp;R stāvvietu</t>
  </si>
  <si>
    <t>Dižkoku sakopšana, jaunu apzīmēšana, koku pie Gaujas 33a sakopšana</t>
  </si>
  <si>
    <t>pēc iepriekšējām Labo koku tāmēm</t>
  </si>
  <si>
    <t>ir sena tāme</t>
  </si>
  <si>
    <t>Gaujas tilta svētku izgaismojums</t>
  </si>
  <si>
    <t>par godu 100 gadei</t>
  </si>
  <si>
    <t>Info plāksnes segumā vai co par Gaujas ielu būvnieku skatē</t>
  </si>
  <si>
    <t>Gaujas iela atpūtas zonā pie Saukas veikala ievietot dekoratīvu piemiņas plāksni vai kādu citu vides objektu</t>
  </si>
  <si>
    <t>Ok, Inita</t>
  </si>
  <si>
    <t>10% algas palielinājums</t>
  </si>
  <si>
    <t>2022.gada jūnijā samazināts</t>
  </si>
  <si>
    <t>2022.gadā +15'000 valsts piemaksas</t>
  </si>
  <si>
    <t>8 ēdnīcas galdkrēsli 4 klašu pusdienošanai, lai nodrošinātu multizāles funkcionalitāti un uzkopi</t>
  </si>
  <si>
    <t>Piekļuves sistēmas automatizācija - kodi vārtiem un ieejas durvīm</t>
  </si>
  <si>
    <t>Raiders ar uzkabēm (lāpsta, birste u.c.) komplekts</t>
  </si>
  <si>
    <t>Interneta tīkla sakārtošana - 20 000 () + Word licence (1500)</t>
  </si>
  <si>
    <t>Bāzes (CKS)</t>
  </si>
  <si>
    <t>Bāze (CKS)</t>
  </si>
  <si>
    <t>2 datori; grāmatu nodošanas pakomāts</t>
  </si>
  <si>
    <t>Grāmatu nodošanas pakomāts</t>
  </si>
  <si>
    <t>+10'957 atalgojums
+2'100 ekspertu pakalpojumi
+26'358 iekārtu un aparatūras apkope un remonts
+8'837 saimnieības materiāli (dvieļi utt., šķembas laukumam utt.)</t>
  </si>
  <si>
    <t>+10'762 atalgojums
+4'089 iekārtu un aparatūras apkope un remonts
+19'500 kurināmais
+2'400 Kondicioniera izbūve servertelpā</t>
  </si>
  <si>
    <t>Algu palielinājums, pedagogiem transporta kompensācija</t>
  </si>
  <si>
    <t>+3'600 datori
+7'000 remonti</t>
  </si>
  <si>
    <t>+7'360 Komunālie - 1/7 no kopsummas</t>
  </si>
  <si>
    <t>+98'000 telpu uzkopšanas ārpakalpojums</t>
  </si>
  <si>
    <t>+26’00 transporta pakalpojumi
-8'500 telpu noma ziemas sezonā
+10'550 dalības maksas, sacensību organizēšana - augušas cenas
+2'000 degviela</t>
  </si>
  <si>
    <t>Kas ir šis?</t>
  </si>
  <si>
    <t>DI pakalpojumu dotācijas</t>
  </si>
  <si>
    <t>(50'000 atmaksā valsts; 73'000 atgūsim no valsts - atņemts no pabalstu kopsummas)</t>
  </si>
  <si>
    <t>Āra vingrošanas elementi</t>
  </si>
  <si>
    <t>Cena</t>
  </si>
  <si>
    <t>Ar PVN</t>
  </si>
  <si>
    <t>Trenažieris spiešanai no krūtīm guļus stāvoklī OG30</t>
  </si>
  <si>
    <t>5560 EUR</t>
  </si>
  <si>
    <t>Pietupienu trenažieris OG10</t>
  </si>
  <si>
    <t>Multifunkcionālā stacija ķermeņa viduklim – OG C7</t>
  </si>
  <si>
    <t>Trenažieris vilkšanai no augšas – OG 24</t>
  </si>
  <si>
    <r>
      <t>Trenažieris invalīdiem – spiešana no pleciem -</t>
    </r>
    <r>
      <rPr>
        <b/>
        <sz val="11"/>
        <color rgb="FF090909"/>
        <rFont val="Arial"/>
        <family val="2"/>
      </rPr>
      <t xml:space="preserve"> OGFA41</t>
    </r>
  </si>
  <si>
    <t>Trenažieris spiešanai no krūtīm slīpus stāvoklī – OG31</t>
  </si>
  <si>
    <t>Trenažieris vilkšanai no priekšas – OG23</t>
  </si>
  <si>
    <t>Bicepsu trenažieris – OG70</t>
  </si>
  <si>
    <t>Tricepsu trenažieris – OG80</t>
  </si>
  <si>
    <t>Multifunkcionālā stacija ar pievilkšanās stieni – OG41</t>
  </si>
  <si>
    <t>4995 EUR</t>
  </si>
  <si>
    <t>Mobilās pamatnes - 2500x1250x40</t>
  </si>
  <si>
    <t>700 EUR</t>
  </si>
  <si>
    <t>5600 EUR</t>
  </si>
  <si>
    <t>Mobilās pamatnes – 3000x1250x40</t>
  </si>
  <si>
    <t>800 EUR</t>
  </si>
  <si>
    <t>1600 EUR</t>
  </si>
  <si>
    <t>Transports(Turku - Tallina - Ādaži)</t>
  </si>
  <si>
    <t>1150 EUR</t>
  </si>
  <si>
    <t>Kopā bez PVN</t>
  </si>
  <si>
    <t>63 385</t>
  </si>
  <si>
    <t>Ieva Melne-Mežajeva</t>
  </si>
  <si>
    <t>Piedāvājums:</t>
  </si>
  <si>
    <t>Reģ.Nr. 20057511708</t>
  </si>
  <si>
    <t>DATUMS</t>
  </si>
  <si>
    <t>25,09,2002</t>
  </si>
  <si>
    <t xml:space="preserve">Kosmonautu iela 22-2, Varakļāni, LV-4838                      Banka: Swedbank
Konts: LV03HABA000130A170186                        </t>
  </si>
  <si>
    <t>e-pasts: iemell@inbox.lv</t>
  </si>
  <si>
    <t>Tālrunis:+37129221493</t>
  </si>
  <si>
    <t>Rēķina saņēmējs:</t>
  </si>
  <si>
    <t>Piedāvājums ir derīgs līdz:</t>
  </si>
  <si>
    <t>Uzņēmuma nosaukums</t>
  </si>
  <si>
    <t>Iela, mājas nr.</t>
  </si>
  <si>
    <t>Pilsēta, novads, pasta indekss</t>
  </si>
  <si>
    <t>Tālruņa numurs</t>
  </si>
  <si>
    <t>Komentāri vai īpaši norādījumi:</t>
  </si>
  <si>
    <r>
      <rPr>
        <b/>
        <sz val="11"/>
        <rFont val="Calibri"/>
        <family val="2"/>
        <scheme val="minor"/>
      </rPr>
      <t xml:space="preserve">49 austas rakstainās jostas, platums 5-6 cm, 3 jostu garumi - 3,50cm; 3,00cm; 2,70cm.  </t>
    </r>
    <r>
      <rPr>
        <sz val="9"/>
        <color theme="1"/>
        <rFont val="Arial"/>
        <family val="2"/>
        <charset val="186"/>
      </rPr>
      <t xml:space="preserve">                                                                  </t>
    </r>
    <r>
      <rPr>
        <b/>
        <sz val="11"/>
        <rFont val="Calibri"/>
        <family val="2"/>
        <scheme val="minor"/>
      </rPr>
      <t>Piedāvāju</t>
    </r>
    <r>
      <rPr>
        <sz val="9"/>
        <color theme="1"/>
        <rFont val="Arial"/>
        <family val="2"/>
        <charset val="186"/>
      </rPr>
      <t xml:space="preserve"> 3 jostu rakstus</t>
    </r>
    <r>
      <rPr>
        <i/>
        <sz val="11"/>
        <rFont val="Calibri"/>
        <family val="2"/>
        <scheme val="minor"/>
      </rPr>
      <t xml:space="preserve"> (skatīt pielikumu) </t>
    </r>
    <r>
      <rPr>
        <sz val="9"/>
        <color theme="1"/>
        <rFont val="Arial"/>
        <family val="2"/>
        <charset val="186"/>
      </rPr>
      <t xml:space="preserve">                                      </t>
    </r>
    <r>
      <rPr>
        <b/>
        <sz val="11"/>
        <rFont val="Calibri"/>
        <family val="2"/>
        <scheme val="minor"/>
      </rPr>
      <t>Materiāls</t>
    </r>
    <r>
      <rPr>
        <sz val="9"/>
        <color theme="1"/>
        <rFont val="Arial"/>
        <family val="2"/>
        <charset val="186"/>
      </rPr>
      <t xml:space="preserve">:                                                                                             Pamata diegs -  pelēks šķeterēts lins.                                         Rakstu diegs - tumši zils, groda šķeterēta vilnas dzija.           </t>
    </r>
    <r>
      <rPr>
        <i/>
        <sz val="11"/>
        <rFont val="Calibri"/>
        <family val="2"/>
        <scheme val="minor"/>
      </rPr>
      <t xml:space="preserve">(jostas toni var mainīt pēc pasūtītāja ieskatiem). </t>
    </r>
    <r>
      <rPr>
        <sz val="9"/>
        <color theme="1"/>
        <rFont val="Arial"/>
        <family val="2"/>
        <charset val="186"/>
      </rPr>
      <t xml:space="preserve">                   </t>
    </r>
  </si>
  <si>
    <t>Apraksts</t>
  </si>
  <si>
    <t>Austas rakstainas jostras 3,50 m  x  6 gb</t>
  </si>
  <si>
    <t>Austas rakstainas jostras 3,00 m  x  4 gb</t>
  </si>
  <si>
    <t>Austas rakstainas jostras 2,70 m  x  39 gb</t>
  </si>
  <si>
    <t xml:space="preserve">KOPSUMMA  </t>
  </si>
  <si>
    <t>PALDIES PAR SADARBĪBU!</t>
  </si>
  <si>
    <t>Nr. ĀNP/1-12-4/22/1786</t>
  </si>
  <si>
    <t>Biedrība “KORIS SAKNES”</t>
  </si>
  <si>
    <t xml:space="preserve">Apes iela 12 - 92, Rīga, </t>
  </si>
  <si>
    <t>Latvija, LV-1006</t>
  </si>
  <si>
    <t>Zināšanai:</t>
  </si>
  <si>
    <t xml:space="preserve">Ādažu novada Kultūras centrs </t>
  </si>
  <si>
    <t xml:space="preserve">Par iniciatīvu projekta pieteikumu </t>
  </si>
  <si>
    <t xml:space="preserve">Ādažu novada pašvaldība izskatīja Jūsu iniciatīvu projekta “Skatuves tērpa papildināšana ar tautisku jostu” pieteikumu pašvaldības līdzfinansējuma saņemšanai (turpmāk – pieteikums). </t>
  </si>
  <si>
    <t xml:space="preserve">Informējam, ka pieteikuma iesniedzēja statuss neatbilst pašvaldības 2022. gada 25. maija nolikuma Nr. 19 “Iniciatīvas projektu finansēšanas kārtība Ādažu novada pašvaldībā” (turpmāk – Nolikums) līdzfinansējuma saņēmēju lokam, jo saskaņā ar 33. punktu, biedrība var pretendēt uz līdzfinansējumu, ja biedrība ir sabiedriskā labuma organizācija, kas apvieno personas ar veselības traucējumiem, bērnus, jauniešus vai pensionārus, lai nodrošinātu viņu dzīves kvalitātes uzlabošanos, iesaistīšanos līdzdalībai pilsoniskajā sabiedrībā. </t>
  </si>
  <si>
    <t>Vienlaikus norādām, ka pašvaldībai nav tiesību piešķirt šķērssubsīdiju tās uzturētai institūcijai. Koris “Saknes” ir Ādažu novada kultūras centra (turpmāk - ĀNKC) amatiermākslas kolektīvs, kura uzturēšana tiek finansēta no pašvaldības budžeta līdzekļiem, tāpēc nepieciešamo līdzekļu pieprasījums ir iekļaujams ĀNKC kārtējā gada budžeta tāmes projektā.</t>
  </si>
  <si>
    <t>Ņemot vērā iepriekš minēto, kora uzturēšanas finanšu līdzekļu plānošanas jautājumos lūdzam vērsties pie ĀNKC vadītājas Lindas Tiļugas (t. 29456335, e-pasts linda@adazikultura.lv ).</t>
  </si>
  <si>
    <t>Pašvaldības izpilddirektors</t>
  </si>
  <si>
    <t>Lielāks procents, jo atvaļinājuma pabalsts pret lielāku summu un arī 1 mēneša rezerve</t>
  </si>
  <si>
    <t>Rezerve skolēnu līdzfinansējumam dalībai konkursos, balstoties uz kritērijiem</t>
  </si>
  <si>
    <t>Ādažos jaunas sēžu zāles ierīkošana; Skaņas aparatūra, video aparatūra. Jaunie MK noteikumi par domes sēžu ierakstiem! (Vai skatītāju zāles datu tīkla ierīkošana)</t>
  </si>
  <si>
    <t>CKS_Dotācija</t>
  </si>
  <si>
    <t>CKS_Dotācija_Investīcija</t>
  </si>
  <si>
    <t>Komunālā saimniecība (bāze) Dome</t>
  </si>
  <si>
    <t>Publisko ūdeņu apsaimniekošanas plāna izstrāde</t>
  </si>
  <si>
    <t>Tehniskās izpētes atzinums Gaujas ielai 16</t>
  </si>
  <si>
    <t>Kulturas centra Gaujas iela 33A Skatuves grīdas atjaunošana</t>
  </si>
  <si>
    <t>Kulturas centra Gaujas iela 33A jumta remonts Mākslas skolas daļā</t>
  </si>
  <si>
    <t>Pašvaldības dzīvokļa remonts Kadaga 10-63</t>
  </si>
  <si>
    <t>Bērnu rotaļu komplekss Carnikavas parkā (8-12 gadi)</t>
  </si>
  <si>
    <t>Nulles pagrieziena pļaujmašīna (raiders)</t>
  </si>
  <si>
    <t>Piekabe Kioti traktoram Ādažos</t>
  </si>
  <si>
    <t>Lapu sūcējs (piekabe)</t>
  </si>
  <si>
    <t>Laipas izbūve Dzirnezerā pie Purva ielas</t>
  </si>
  <si>
    <t>Caurteku rekonstrukcija (sabrukušas) (2gb D500.-12000 EUR Medus ielā un 1gab.Stempja ceļa D800, Āņos</t>
  </si>
  <si>
    <t>CKS_apsaimniekošana</t>
  </si>
  <si>
    <t>Komunālā saimniecība - Ielu uzturēšana</t>
  </si>
  <si>
    <t>0649 PB Autoceļu fonds</t>
  </si>
  <si>
    <t>04.740.31 INTERREG projekts "DESTI-SMART" tūrisma nodrošināšana, cilvēku skaitītāju apkope, tūrisma ceļu apkope</t>
  </si>
  <si>
    <t>Pieejamie līdzekļi investīcijām</t>
  </si>
  <si>
    <t>Struktūrvienības nosaukums</t>
  </si>
  <si>
    <t>Izvērtējamā projekta nosaukums</t>
  </si>
  <si>
    <t>Attīstības un projektu daļa</t>
  </si>
  <si>
    <t>Sabiedrība ar dvēseli</t>
  </si>
  <si>
    <t>Ādažu novada domes nolikums “Iniciatīvas projektu finansēšanas kārtība Ādažu novada pašvaldībā” (katru gadu tiek izstrādāts no jauna).</t>
  </si>
  <si>
    <t xml:space="preserve">0633.1 </t>
  </si>
  <si>
    <t xml:space="preserve"> ”Mobilitātes punkta infrastruktūras izveidošana Rīgas metropoles areālā – “Carnikava””</t>
  </si>
  <si>
    <t xml:space="preserve"> Maģistrālā  veloceļa izbūve Rīga-Carnikava</t>
  </si>
  <si>
    <t xml:space="preserve"> "Auto stāvlaukuma Lilastē paplašināšana, atpūtas vietu, labiekārtojuma, labierīcību, kempinga iespēju projektēšana un izbūve" ©</t>
  </si>
  <si>
    <t>Plūdu projekts</t>
  </si>
  <si>
    <t>Finansējuma avots</t>
  </si>
  <si>
    <t>SAM 9.2.4.2. projekts "Pasākumi vietējās sabiedrības veselības veicināšanai Ādažu novada pašvaldības Ādažu pagastā"</t>
  </si>
  <si>
    <t>1013.2</t>
  </si>
  <si>
    <t>SAM 9.2.4.2. projekts "Pasākumi vietējās sabiedrības veselības veicināšanai Ādažu novada pašvaldības Carnikavas pagastā"</t>
  </si>
  <si>
    <t>0844.1.</t>
  </si>
  <si>
    <t>0844.2.</t>
  </si>
  <si>
    <t>08.290.24 Eiropas pilsētas veicina starpkulturu dialogu un cīņu pret migrantu un minoritāšu diskrimināciju</t>
  </si>
  <si>
    <t>Salas aizsargdambja apgaismojuma projekts</t>
  </si>
  <si>
    <t>Konta atlikums pārcelts uz 2023.g.</t>
  </si>
  <si>
    <t xml:space="preserve">Konkurss: Par ziemassvētku dekorācijām īpašumos (balvas 250+150+100 +reprezentācija)RP </t>
  </si>
  <si>
    <t xml:space="preserve">Latvijas vides aizsardzības fonda finansējums "Piekrastes apsaimniekošanas praktisko aktivitāšu realizēšanai" </t>
  </si>
  <si>
    <t xml:space="preserve"> Sporta daļa</t>
  </si>
  <si>
    <t>LR kompleksie sporta pasākumi - Basketbola komandas dalība Ramirent Nacionālajā Basketbola līgā</t>
  </si>
  <si>
    <t>LR kompleksie sporta pasākumi - Florbola komandas dalība Elvi Virslīgā</t>
  </si>
  <si>
    <t>Autoratlīdzības līgumu apmaksa māksliniekiem</t>
  </si>
  <si>
    <t>GAUJAS SVĒTKI 2020 (Atsevišķa tāme). prioritāte - Kultūras centra un Gaujas svētku 10.gadu jubilejas programmas organizēšanai. Rīcības plānā 11.1.1.2.</t>
  </si>
  <si>
    <t>Tradicionālo un novada svētku rīkošana</t>
  </si>
  <si>
    <t>Muzejs - Carnikavas novadpētniecības centrs</t>
  </si>
  <si>
    <t>Dziesmu svētki 2023</t>
  </si>
  <si>
    <t>DRN</t>
  </si>
  <si>
    <t>Atbalsts Garkalnes un Baltezera baznīcām</t>
  </si>
  <si>
    <t xml:space="preserve">PII Piejūra </t>
  </si>
  <si>
    <t>Labāko skolēnu apbalvošana par augstiem mācību sasniegumiem un godalgotām vietām mācību  olimpiādēs</t>
  </si>
  <si>
    <t>Bērnu un jauniešu radošās darbnīcas un nometnes</t>
  </si>
  <si>
    <t>Atbalsts jaunatnes politikas īstenošanai vietējā līmenī - Projekts"Mobilais darbs ar jaunatni Ādažu novadā"</t>
  </si>
  <si>
    <t>Darba stacija (35 darba stacijas datorklašu darba vietu palielināšanai līdz 32 katrā telpā mācību programmas realizācijai)</t>
  </si>
  <si>
    <r>
      <t>Interaktīvie displeji 75 collas 3 gab.</t>
    </r>
    <r>
      <rPr>
        <sz val="9"/>
        <color theme="4" tint="-0.249977111117893"/>
        <rFont val="Arial"/>
        <family val="2"/>
        <charset val="186"/>
      </rPr>
      <t xml:space="preserve"> (Komentārs: Ja C korpusā pirmskolas 5 telpās iekarto mācību klases).</t>
    </r>
  </si>
  <si>
    <t>Optiskās datu pārraides nodrošināšana Ādažu vidusskolā Gaujas ielā 30. Ierīkošanas izmaksas un abonēšana mēnesī  (TET piedāvājums 18150 EUR un  297 EUR) (LMT piedāvājums no 14520 līdz  18150 EUR un  300 EUR)</t>
  </si>
  <si>
    <t>Ādažu vidusskola ERASMUS</t>
  </si>
  <si>
    <t xml:space="preserve">Ādažu vidusskolas sākumskola                                                                                                                                                      </t>
  </si>
  <si>
    <t>Velosipēdu statīvi 2.gab.</t>
  </si>
  <si>
    <t>Carnikavas pamatskola ERASMUS+</t>
  </si>
  <si>
    <t>Ādažu novada domes 25.09.2018. nolikums “Iniciatīvas projektu finansēšanas kārtība Ādažu novada pašvaldībā”. ĀND 25.09.2018. nolikums “Iniciatīvas projektu finansēšanas kārtība Ādažu novada pašvaldībā”</t>
  </si>
  <si>
    <t xml:space="preserve">3 guļbaļķu galdi/soli ar jumtu Atpūtas iela 20  </t>
  </si>
  <si>
    <t>Pavisam kopā:</t>
  </si>
  <si>
    <t>Struktv. kods</t>
  </si>
  <si>
    <t>PII Strautiņš</t>
  </si>
  <si>
    <t>Ādažu novada mākslu skola</t>
  </si>
  <si>
    <t>starpība</t>
  </si>
  <si>
    <t>Pasākumi_Bāze</t>
  </si>
  <si>
    <t>Kopsavilkums</t>
  </si>
  <si>
    <t>PIVOT_2023</t>
  </si>
  <si>
    <t>Investīcijas_2023</t>
  </si>
  <si>
    <t>Nav ielikti projekti lapā Kopsavilkums:</t>
  </si>
  <si>
    <r>
      <t>5 datoru iegāde</t>
    </r>
    <r>
      <rPr>
        <sz val="9"/>
        <color theme="4" tint="-0.249977111117893"/>
        <rFont val="Arial"/>
        <family val="2"/>
        <charset val="186"/>
      </rPr>
      <t xml:space="preserve"> </t>
    </r>
  </si>
  <si>
    <t>Pašvaldības finansējums uzsāktajiem projektiem:</t>
  </si>
  <si>
    <t>Pieejamie līdzekļi</t>
  </si>
  <si>
    <t>Carnikavas stadiona rekonstrukcija (Prioritārais)</t>
  </si>
  <si>
    <t>A2/1/22/536</t>
  </si>
  <si>
    <t>P-363/2022</t>
  </si>
  <si>
    <t>20.11.2037.</t>
  </si>
  <si>
    <t>Carnikavas stadiona rekonstrukcija (Covid19)</t>
  </si>
  <si>
    <t>A2/1/22/538</t>
  </si>
  <si>
    <t>P-361/2022</t>
  </si>
  <si>
    <t>22.11.2032.</t>
  </si>
  <si>
    <t>Stacionāro datoru nomaiņa uz portatīvajiem.</t>
  </si>
  <si>
    <t>Multifunkcionālais printeris</t>
  </si>
  <si>
    <t>Speciāli aprīkotas policijas automašīnu iegāde (atbilstoši opertīvā transporta statusam) Operatīvais līzings ~ EUR 4'000 - pirmā iemaksa un mēneša maksājums ~ EUR 450</t>
  </si>
  <si>
    <t>Vakance - vec. sab.attiec.speciālists EUR 24'100</t>
  </si>
  <si>
    <t>Korektūru un maketēšanu veiks darbinieks.</t>
  </si>
  <si>
    <t>Konkurss: Par ziemassvētku dekorācijām īpašumos 2023.gadā</t>
  </si>
  <si>
    <t>Valsts finansējums</t>
  </si>
  <si>
    <t>(DRN,Sabiedrība ar dvēseli, Dziesmu svētku daļa)</t>
  </si>
  <si>
    <t>Civilās aizsardzības plāna izstrāde</t>
  </si>
  <si>
    <t>Jauniešu iniciatīvu projekti</t>
  </si>
  <si>
    <t>Novada pedagogu ikgadējā konference augustā</t>
  </si>
  <si>
    <t>Starpība</t>
  </si>
  <si>
    <t>Sabiedrība ar dvēseli ( no Investīcijām)</t>
  </si>
  <si>
    <t>Dziesmu svētki EUR 47 445 + Dotācija Ukraiņiem EUR 69 735</t>
  </si>
  <si>
    <t>ok</t>
  </si>
  <si>
    <t>atgūsim no valsts (šī summa atņemta no pabalstiem)</t>
  </si>
  <si>
    <t>Ceļu mērķdotācija EUR 340 158 + Dziesmu svētki EUR 66 588 pieskaitīti pie Investīcijām + 1408 pie atalgojuma</t>
  </si>
  <si>
    <t>Dziesmu svētki</t>
  </si>
  <si>
    <t>Starpības veidojas no Komisijām, kurām visa kopsumma skaitās pie atalgojuma un Dziesmu svētku atalgojums ir pie investīcijām</t>
  </si>
  <si>
    <t>DRN,Sabiedrība ar dvēseli pie projektiem, Dziesmu svētki visa kopsumma ielikta te!</t>
  </si>
  <si>
    <t>Carnikavas novada udensaimsniecības attīstība III karta. Gala maksājums - VK kredīta segšana</t>
  </si>
  <si>
    <t>+41'415 - 30% piemaksa nodaļas darbiniekiem 2023., plānojumu izstrādās paši;
2022.gadā neaizpildītas vakances</t>
  </si>
  <si>
    <t>Zemes ierīcības projektu izstrādes</t>
  </si>
  <si>
    <t>Sportisko aktivitāšu laukums Ādažos Pirmā iela 25. Āra sporta laukuma aprīkojums - vingrošanas iekārtas, āra trenažieri, atpūtas vietas , 340 m2, līgums Nr.JUR2022-11/1221, 6728,79 eiro ar PVN; veikta cenu aptauja par vingrošanas iekārtas pārbaudi (363 eiro ar PVN)=7091,80 eiro</t>
  </si>
  <si>
    <t>2023.gadā sniegs pieteikumu</t>
  </si>
  <si>
    <t>Zemes īpašnieki maina lietošanas mērķus.</t>
  </si>
  <si>
    <t>Tas pats attiecas uz mājokļiem un inženierbūvēm, pasūta individuālo vērtējumu. Nevis iepriekš noteikto masveida vērtējumu, ko veic VZD.</t>
  </si>
  <si>
    <t>+2'000 Gaujas svētku publicitātei
+1'000 datu pārnese no Carnikava.lv uz Ādaži.lv
+1'300 reprezentācijas precēm, kas 2022.g. novirzīts sadārdzinājumam kalendāriem</t>
  </si>
  <si>
    <t>Vairāk darbinieki, 2022.gadā vēl notika izmaiņas</t>
  </si>
  <si>
    <t>+ 100'000 Ceļu un ielu kārtējais remonts (bedrītes);
+ 41'000 Ziemas uzturēšanas materiāli  (sāls)</t>
  </si>
  <si>
    <t>+ 2'000 Izdevumi par elektroenerģiju
+ 3'000 Izdevumi par transporta pakalpojumiem
+ 3'000 Tautas nama lielajā zālē ir nepieciešama gaismekļu nomaiņa, jo esoši gaismekļi ir nolietoti
+ 1'600 20 apaļie galdauti,esošie 8 gadu laikā ir nolietoti</t>
  </si>
  <si>
    <t>Skolēnu autobuss operatīvajā līzingā</t>
  </si>
  <si>
    <t>Tulpju iela 5 katlu mājas pārbūve(pašvaldības līdzfinansējums)</t>
  </si>
  <si>
    <t>Kalngales NAI pārbūve (ir projekts)</t>
  </si>
  <si>
    <t>EKII projekts (pašvaldības līdzfinansējums)</t>
  </si>
  <si>
    <t>Kempinga "Artibuss" topogrāfijas izstrāde</t>
  </si>
  <si>
    <t>Kempinga "Artibuss" 26 ēku demontāžas projekts</t>
  </si>
  <si>
    <t>Kempinga "Artibuss" 26 ēku demontāža</t>
  </si>
  <si>
    <t>Baltezera kapu paplašināšanas būvprojekts</t>
  </si>
  <si>
    <t>Ūdenssaimniecības pamatlīdzekļu novērtēšana (ārpakapojums)</t>
  </si>
  <si>
    <t>Aizvara izbūve Vecštāles ceļa caurtekai</t>
  </si>
  <si>
    <t>Domes lēmums</t>
  </si>
  <si>
    <t xml:space="preserve"> (Kopsumma 1'200'000 (ārējais atbalsts 33%))</t>
  </si>
  <si>
    <t>Daļēji no DRN</t>
  </si>
  <si>
    <t>ĀND līdzfinansējums, projekts vēl nav apstiprināts</t>
  </si>
  <si>
    <t>Ceļu audits</t>
  </si>
  <si>
    <t>Inženierbūvju reģistrācija zemes grāmatā mērķdotāciju saņemšanai</t>
  </si>
  <si>
    <t>Ķiršu ielas III kārta no Saules ielas līdz Attekas ielai 0.17km</t>
  </si>
  <si>
    <t>Draudzības iela posmā no Saules ielai līdz Podnieku ielai ar ietvi 0.35km (6000 mašīnas diennaktī)</t>
  </si>
  <si>
    <t>Kredīts</t>
  </si>
  <si>
    <t>Lazdu iela, Garkalne dubultā virsma 0.45km</t>
  </si>
  <si>
    <t>Kastaņu iela, Garkalne dubultā virsma 1.1km</t>
  </si>
  <si>
    <t>Jūras  ielā gājēju pārejas ar ātrumvalni izbūve (ir izstrādāts tehniskais projekts)</t>
  </si>
  <si>
    <t>Dadzīšu ielas projekts</t>
  </si>
  <si>
    <t>Dārza iela Ādažos dubultā virsma 0,65km</t>
  </si>
  <si>
    <t>Gaujmalas iela Ādažos dubultā virsma 0,35km</t>
  </si>
  <si>
    <t>Dzirnupes iela (satiksmes organizācijas izmaiņas)</t>
  </si>
  <si>
    <t>Liepu aleja (ir tehniskais projekts)</t>
  </si>
  <si>
    <t>Atpūtas ielas asfaltbetona seguma atjaunošana 0.23km (ir tehniskais projekts)</t>
  </si>
  <si>
    <t>Viršu ielas/atzars uz Sproģu ielu asfaltbetona seguma atjaunošana posmā no Dzērveņu ielas līdz Serģu iela (980 m) Ir izstrādāts tehniskais projekts</t>
  </si>
  <si>
    <t>Kļavu ielā divkārtas virsmas apstrāde (350 m). Ir būvprojekts</t>
  </si>
  <si>
    <t xml:space="preserve">Novada sporta pasākumi </t>
  </si>
  <si>
    <t>TDA SPRIGULĪTIS Vidzemes novada meiteņu tērpi - pilns komplekts 12 gab. brunči 12 gab. ņieburi, 12 gab. vainagi</t>
  </si>
  <si>
    <t>Baltezera kapu digitalizācija (pogramma Cemety)</t>
  </si>
  <si>
    <t>Līzings?</t>
  </si>
  <si>
    <t>https://omnigym.lv/ara-trenazieri/trenazieris-spiesanai-gulus/</t>
  </si>
  <si>
    <t>https://omnigym.lv/ara-trenazieri/pietupienu-trenazieris/</t>
  </si>
  <si>
    <t>https://omnigym.lv/ara-trenazieri/multifunkcionala-stacija-kermena-viduklim/</t>
  </si>
  <si>
    <t>2100 eur</t>
  </si>
  <si>
    <t>Primāri tie ir paredzēti spiešanai guļus un pietupieniem, bet uz tiem var izpildīt arī virkni citu vingrinājumu - pleciem, trapeces muskuļiem u.c.</t>
  </si>
  <si>
    <t>KOPĀ 2023.GADĀ</t>
  </si>
  <si>
    <t>Līdz ar to, šie ir vismultifunkcionālākie un attīsta krūšu muskuļus, kāju muskuļus, sēžas muskuļus, plecu muskuļus un muguras iztaisnotājmuskuļus.</t>
  </si>
  <si>
    <t>Trešais, savukārt, ir treniņu stacija, kas ietver vēdera preses solu, muguras solu un līdztekas. Līdz ar to, šeit nav kustīgo elementu, bet šī stacija labi nosedz vēdera presi, muguru un roku muskuļus.</t>
  </si>
  <si>
    <t>NEPIECIEŠAMS PAPILDINĀT NĀKAMAJOS GADOS.</t>
  </si>
  <si>
    <t xml:space="preserve">Skolēnu vasaras nodarbinātība - darba samaksa, tāme Nr.1 </t>
  </si>
  <si>
    <t>CKS Pārvalde</t>
  </si>
  <si>
    <t>Ceļu ielu infrastruktūras attīstības programma</t>
  </si>
  <si>
    <r>
      <t xml:space="preserve">Pakalpojumu infrastruktūras attīstība deinstitucionalizācijas plānu īstenošanai Ādažu novadā, 9.3.1.1/19/I/016 </t>
    </r>
    <r>
      <rPr>
        <sz val="9"/>
        <color theme="4" tint="-0.249977111117893"/>
        <rFont val="Arial"/>
        <family val="2"/>
        <charset val="186"/>
      </rPr>
      <t>"Specializētās darbnīcas"</t>
    </r>
  </si>
  <si>
    <t xml:space="preserve">Nekustamā īpašuma nodoklis par mājokļiem </t>
  </si>
  <si>
    <t>Nekustamā īpašuma nodoklis par ēkām un inženierbūvēm</t>
  </si>
  <si>
    <t>Projekts "Eiropas pilsētu iniciatīva"</t>
  </si>
  <si>
    <t>Rasiņu ielas seguma atjaunošana</t>
  </si>
  <si>
    <t>CKS: Domes lēmums (līgums Nr.Jur 2022-11/1207 pagarināts līdz 26.05.2023., iedzīvotāji līdzfinansē 16 000. kas jau pārskaitīti pašvaldības budžetā)</t>
  </si>
  <si>
    <t>CKS: Bija paredzēts 2022.gadā (EUR 15 000) , Tehniskais projekts izmaksāja EUR 7 000</t>
  </si>
  <si>
    <t>CKS: Bija paredzēts 2022.gadā, nerealizēts negaidītā Latvijas ceļu audita dēļ</t>
  </si>
  <si>
    <t>CKS: Līzinga izmaksas</t>
  </si>
  <si>
    <t>CKS: Bija paredzēts 2022.gadā, nerealizēts dēļ īpašumu lietu jautājumu atrisināšanas</t>
  </si>
  <si>
    <t>Komunālā tehnika (2 gb)ar aprīkojumu pļaušanai, lapu savākšanai, slaucīšanai, sniega šķūrēšanai (KUBOTA ) operatīvajā līzingā</t>
  </si>
  <si>
    <t>CKS tāmē iezīmētās investīcijas</t>
  </si>
  <si>
    <t>Aizņēmumu procentu maksājumi:</t>
  </si>
  <si>
    <t>12m EURIBOR + fix daļa 2,143% (t.sk. 0,25% apk. m.)</t>
  </si>
  <si>
    <t>Aizdevumi kopā</t>
  </si>
  <si>
    <t>Domes priekšsēdētāja</t>
  </si>
  <si>
    <t>K.Miķelsone</t>
  </si>
  <si>
    <t>2023. gadā</t>
  </si>
  <si>
    <t>2024. gadā</t>
  </si>
  <si>
    <t xml:space="preserve"> 2025. gadā</t>
  </si>
  <si>
    <t>2026. gadā</t>
  </si>
  <si>
    <t>2027. gadā</t>
  </si>
  <si>
    <t xml:space="preserve"> 2028. gadā</t>
  </si>
  <si>
    <t>2029. gadā</t>
  </si>
  <si>
    <t>Aizdevumi un citas ilgtemiņa sistības kopā:</t>
  </si>
  <si>
    <t>Values</t>
  </si>
  <si>
    <t>A2/1/22/250</t>
  </si>
  <si>
    <t xml:space="preserve">P-164/2022 </t>
  </si>
  <si>
    <t>PRIO</t>
  </si>
  <si>
    <t>A2/1/22/165</t>
  </si>
  <si>
    <t>P-112/2022</t>
  </si>
  <si>
    <t>Nekustamā īpašumu nodaļa (bāze)</t>
  </si>
  <si>
    <t>Lielais NIN maksātājs Ādažu nacionālais mācību centrs, savus mežus  ir pārvērtējis kā jaunaudzes, kas neapliekas ar nodokli, līdz ar to, tas rada NIN samazinājumu zemei diezgan ietekmīgi.</t>
  </si>
  <si>
    <t>13.4.</t>
  </si>
  <si>
    <t xml:space="preserve">ERAF projekta (Nr.5.1.1.0/17/I/009) “Novērst plūdu un krasta erozijas </t>
  </si>
  <si>
    <t>risku apdraudējumu Ādažu novadā, pirmā daļa” īstenošanai</t>
  </si>
  <si>
    <t>A2/1/22/582</t>
  </si>
  <si>
    <t>P-389/2022</t>
  </si>
  <si>
    <t>23.12.2022.</t>
  </si>
  <si>
    <t>21.12.2037.</t>
  </si>
  <si>
    <t>Jāprecizē, vai šis ir jāatmaksā, vai var tērēt 2.kārtai</t>
  </si>
  <si>
    <t>Pastaigu taka gar Baltezera kanālu (kopējā projekta summa EUR 100'000)</t>
  </si>
  <si>
    <t>Rotaļu un aktīvās atpūtas laukums Dailu skvērā. Izveidotajā un pašvadībai nodotajā skvērā sākt veidot aktivitāšu laukumu. Sākt ar jauniešu zonu - vingrošanas iekārtas un trenažieri, gumijas mulčas segums zem sporta iekārtām, 200 m2 platībā</t>
  </si>
  <si>
    <t>0632.4</t>
  </si>
  <si>
    <t>TEP “Atjaunojamo energoresursu izmantošana Ādažu novadā” (EUCF)</t>
  </si>
  <si>
    <t>KA uz 31.12.2023.</t>
  </si>
  <si>
    <t xml:space="preserve">Profesionāls stacionārs PROJEKTORS un komutāciju sistēma ĀKC Skatītāju zālē </t>
  </si>
  <si>
    <t>Obligātās/ gadskārtējās investīcijas:</t>
  </si>
  <si>
    <t>Pārējās investīcijas:</t>
  </si>
  <si>
    <t>0632.5</t>
  </si>
  <si>
    <t>ESF projekts Atbalsts priekšlaicīgas mācību pārtraukšanas samazināšanai © (Pumpurs)</t>
  </si>
  <si>
    <t>Ādažu vidusskolas ēkas B korpusa un savienojuma daļas starp korpusiem (C un B) fasādes atjaunošana (Ir izstrādāts projekts, summa provizoriski kā 2022.g. + apjomu pieaugums).</t>
  </si>
  <si>
    <r>
      <t>Carnikavas stadiona rekonstrukcijas ietvaros. Ūdensņemšanas vieta priekš sniega pūšanas</t>
    </r>
    <r>
      <rPr>
        <i/>
        <sz val="9"/>
        <color theme="4" tint="-0.249977111117893"/>
        <rFont val="Arial"/>
        <family val="2"/>
        <charset val="186"/>
      </rPr>
      <t xml:space="preserve"> (nebija paredzēts projektā) </t>
    </r>
  </si>
  <si>
    <t>Priekšfinansētā pašvaldības daļa tiks atmaksāta.</t>
  </si>
  <si>
    <t>0633.5</t>
  </si>
  <si>
    <t>Ģimenes ārsta prakses izveide_Garā iela 20 (ERAF, SAM 9.3.2. 4.kārta)</t>
  </si>
  <si>
    <t>Mežaparka ceļa izņemtā aizņēmuma summa</t>
  </si>
  <si>
    <t>Kas ar garantijas ieturējumu?</t>
  </si>
  <si>
    <t>KA iezīmētiem mērķiem</t>
  </si>
  <si>
    <t>Kopējais KA</t>
  </si>
  <si>
    <t>Brīvais KA</t>
  </si>
  <si>
    <t>Neieturētais līgumsods 43 000 EUR</t>
  </si>
  <si>
    <t>Uzsāktie un atbalstītie projekti</t>
  </si>
  <si>
    <t>Obligātās/gadskārtējās investīcijas</t>
  </si>
  <si>
    <t>Uzsāktie un atbalstītie projekti pavisam kopā:</t>
  </si>
  <si>
    <t>Obligātās/gadskārtējās investīcijas kopā:</t>
  </si>
  <si>
    <t>Mežaparka ceļš - gala rēķins, garantijas ieturējuma atmaksa</t>
  </si>
  <si>
    <t>ieņēmumi no vecāku maksām (PII)</t>
  </si>
  <si>
    <t>ieņēmumi no vecāku maksām (ĀMMS; BJSS)</t>
  </si>
  <si>
    <t xml:space="preserve">budžeta iestāžu maksas pakalpojumi </t>
  </si>
  <si>
    <t>21.3.9.3.</t>
  </si>
  <si>
    <t>ieņēmumi no biļešu realizācijas</t>
  </si>
  <si>
    <t>Baseina pakalpojumi; telmu nomu komunālie maksājumi</t>
  </si>
  <si>
    <t>13'900 atmaksās LM</t>
  </si>
  <si>
    <t xml:space="preserve">49 austas rakstainās jostas korim SAKNES </t>
  </si>
  <si>
    <t>CKS KA</t>
  </si>
  <si>
    <t>Domes lēmums 13.10.2022. # 482</t>
  </si>
  <si>
    <t>30.11.2022. Lēmums #584</t>
  </si>
  <si>
    <t>Domes lēmums 13.05.2022. #227</t>
  </si>
  <si>
    <t>Domes lēmums 28.09.2022. #462</t>
  </si>
  <si>
    <t>Vai ir lēmums? - Nav!</t>
  </si>
  <si>
    <t>Pašvaldības iesaiste publiski svarīgos pasākumos, projektos Ādažu novadā - Līdzfinansējums</t>
  </si>
  <si>
    <t>Tumbu uz ritentiņiem</t>
  </si>
  <si>
    <t>Uz Dvēseli?</t>
  </si>
  <si>
    <t>3.stāva 4 grupu gaisa dzesēšanas sistēmas uzstādīšana.  Izpēti veic R. Kaufmanis - pēdējais zemākais piedāvājums EUR 13500</t>
  </si>
  <si>
    <t>Jaunas rotaļiekārtas laukumiņos (1.,2.,9. un 12. grupām)</t>
  </si>
  <si>
    <t>CKS: Bija iekļauts 2022.gadā, nerealizēts, jo bija nepieciešams Tehniskais projekts aizņēmumam Valsts kasē</t>
  </si>
  <si>
    <t>MK #112</t>
  </si>
  <si>
    <t>Kad pārņem ĀŪ</t>
  </si>
  <si>
    <t>Aprēķins ārpakalpojumam</t>
  </si>
  <si>
    <t>Līzings</t>
  </si>
  <si>
    <t>Lauksaimniecības tehnikai treilers, cenu aptauja, Carnikava+Ādaži</t>
  </si>
  <si>
    <t>EUR 4'944'662 no oktobra līdz gada beigām IIN palielinājums</t>
  </si>
  <si>
    <t>Pamatā uz ieņēmumiem no dzīvokļu un komunālajiem pakalpojumiem ©</t>
  </si>
  <si>
    <t>Atalgojuma palielinājums</t>
  </si>
  <si>
    <t>2022.gadā veiktie pašvaldības ieguldījumi Carnikavas stadiona rekonstrukcijā</t>
  </si>
  <si>
    <t>2023.gadā plānotie pašvaldības ieguldījumi Carnikavas stadiona rekonstrukcijā</t>
  </si>
  <si>
    <t>Ieņēmumi - izdevumi</t>
  </si>
  <si>
    <t>Vēl nesaņemtā maksājumu daļa no īpašumu pārdošanas Carnikavas pagastā (no kuriem EUR 25'740 nomaksas termiņš līdz 2026. un 2027.gadam)</t>
  </si>
  <si>
    <t>Izdevumi par degvielu</t>
  </si>
  <si>
    <t>1) +8'500 NĪN paziņojumu sūtīšana un pasta pakalpojumi;
2) +4'100 auto uzturēšana (2022.gadā zem SID);
3) + 3'000 degviela;
4) + 6'000 reprezentācijas materiāli un jaundzimušo dāvaniņas
5) -51'000 parāda apkalpošana (2022.liela rezerve)</t>
  </si>
  <si>
    <t>2022.gada saņemtās apmaksas par īpašumu pārdošanu Carnikavas pagastā</t>
  </si>
  <si>
    <t>Bez šī nevar pabeigt stadionu…</t>
  </si>
  <si>
    <t>Neiegūtie ieņēmumi</t>
  </si>
  <si>
    <t>20.07.2023.</t>
  </si>
  <si>
    <t>2022. iegādāti vairāki datori</t>
  </si>
  <si>
    <t>2022.gada sākumā daļa no teritorijas plānotāju algām caur būvvaldi</t>
  </si>
  <si>
    <t>1) +1'900 transporta izmaksas;
2) +5'000 AKKA maksājums pasākumos;
3) +3'000 līdzfinansējums dalībai konkursos</t>
  </si>
  <si>
    <t>+ 2'000 ūdens
+ 2'600 elektroenerģija
+1'400 transporta pakalpojumi
+ 19'800 uzturēšanas remonti
+ 2'900 inventāra apkope
+ 22'450 apkure</t>
  </si>
  <si>
    <t>+5'600 elektroenerģija
+5'000 Carnikavas bukleti
+6'000 uzturēšanas izdevumi</t>
  </si>
  <si>
    <t>Uzturēšana pilns gads</t>
  </si>
  <si>
    <t>+2'000 apkure
+1'600 ūdens, kanalizācija
+1’600 elektrība
+11'000 žalūzijas un mēbeles</t>
  </si>
  <si>
    <t>+2'000 ūdens un kanalizācija
+10'300 elektroenerģija
+5'902 darbinieku apdrošināšana</t>
  </si>
  <si>
    <t>maksa par izglītības pakalpojumiem</t>
  </si>
  <si>
    <t>1014.3 - Sociālais dienests - Dienas centrs Ūdensroze</t>
  </si>
  <si>
    <t>Projekts - Specializētās darbnīcas</t>
  </si>
  <si>
    <t xml:space="preserve">- Atalgojums pilnam gadam (2022.gadā 9 mēneši)
</t>
  </si>
  <si>
    <t xml:space="preserve">100% atmaksa
</t>
  </si>
  <si>
    <r>
      <t xml:space="preserve">Pakalpojumu infrastruktūras attīstība deinstitucionalizācijas plānu īstenošanai Ādažu novadā, 9.3.1.1/19/I/016 </t>
    </r>
    <r>
      <rPr>
        <sz val="9"/>
        <color theme="4"/>
        <rFont val="Arial"/>
        <family val="2"/>
        <charset val="186"/>
      </rPr>
      <t>Pakalpojumi</t>
    </r>
  </si>
  <si>
    <t>Uzsāktie projekti</t>
  </si>
  <si>
    <t>Ikgadējās investīcijas</t>
  </si>
  <si>
    <t>Vēlamās investīcijas</t>
  </si>
  <si>
    <t>0630_cohabit</t>
  </si>
  <si>
    <t>0649 Mežap_cels</t>
  </si>
  <si>
    <t>Brīvais konta atlikums uz 31.12.2022.</t>
  </si>
  <si>
    <t>2022. - Stāvvietas 75'000; 0630 energoproj 42'000; 2023. - stāvvietas; kapsēta</t>
  </si>
  <si>
    <t>Pieaugums pret 2022.g.</t>
  </si>
  <si>
    <t>Pabeigts, kad ienāks, tad aizskaitīsVK kredītu.</t>
  </si>
  <si>
    <t>Laivu ielas KA un atskaitītais finansējums tiks novirzītr kredīta atmaksai.</t>
  </si>
  <si>
    <t>+ 3'327 apkure
+3'150 elektroenerģija Stacijas ielā un Depo ielā
+3'000 VAS saņemto sodu daļa
+3'000 iekārtu un telpu uzturēšanai
+5'100 degvielas cenu pieaugums
+3'000 formu iegādēm</t>
  </si>
  <si>
    <t>+7'500 elektronerģija;
+1'000 maksājumi VZD; 
+3'000 mobilie telefoni, monitori;
+4'400 degvielai</t>
  </si>
  <si>
    <t>2022.gadā EUR 37'560 pārlikts uz KA, neaizpidītās vakances un 2023.g. izņemts finansējums 2 no 3 vakancēm</t>
  </si>
  <si>
    <t>-2'000 inventāram;
+2'000 programmatūrām;
+3'000 degviela</t>
  </si>
  <si>
    <t>+23'092 LG. ~ Decembra izmaksas</t>
  </si>
  <si>
    <t>4.9.</t>
  </si>
  <si>
    <t>4.10.</t>
  </si>
  <si>
    <t>Izlīdzinātas algas starp abu bibliotēku vadītājām</t>
  </si>
  <si>
    <t>2022.gada beigās EUR 2'000 iecelts no Novadpētniecības centra</t>
  </si>
  <si>
    <t>+4'000 sakaru pakalpojumi
+3'000 telefonu iegāde
+4'000 apkure un elektrība
+4'000 telpu īre
+2'000 ēkas un inventāra uzturēšana</t>
  </si>
  <si>
    <t>Palielinās PII audzēkņu skaits un samazinās skolēnu skaits (1 skolēna izmaksa lētāka kā PII audzēkņa izmaksa)</t>
  </si>
  <si>
    <t>+2'000 ūdens un kanalizācija
+10'000 ventilācijas sistēmu apkope (MK prasība)
+10'000 inženiertīklu uzturēšana, remonts
+7'700 apkure
+4'000 ēkas, inventāra uzturēšana;
+9'000 inventārs (2022.g. novirzīts apkures maksājumiem)</t>
  </si>
  <si>
    <t>+14'500 elektroenerģija
+22'000 apkurei
+6'000 inventārs</t>
  </si>
  <si>
    <t>Samazinājies bērnu skaits un mazo bērnu īpatsvars samazinājies</t>
  </si>
  <si>
    <t>+6'000 apkurei
+10'000 elektroenerģija
+21'000 transportam
+66'000 ēdināšanas līdzmaksājumam
+10'000 mācību līdzekļiem</t>
  </si>
  <si>
    <t>+22'000 Apkure
+31'800 Elektroenerģija
+6'500 transporta izdevumi
+9'750 darbinieku apdrošināšana
+48'600 skolēnu ēdināšana</t>
  </si>
  <si>
    <t>+3'300 ūdens, kanalizācija;
+13'100 elektroenerģija;
+8'000 apkure
+6'000 atkritumu apsaimniekošana
+27'000 transporta pakalpojumi
+6'000 inventārs
+10'000 mācību līdzekļi
+11'700 Digit. projekta datoru apdrošināšana</t>
  </si>
  <si>
    <t>Lielāka MD</t>
  </si>
  <si>
    <t>Nav apstiprināts, bet plānots vienādot visiem ekspertiem vienādas algas likmes</t>
  </si>
  <si>
    <t>PII un skolas realizācijai, zemes pirkšana</t>
  </si>
  <si>
    <t>Šis pagaidām nav iekļauts budžetā</t>
  </si>
  <si>
    <t>EUR 162'831 kadastravērtībā īpašumu pārdošana (provizoriski kadastrālā x 2); EUR 128'000 no koku pārdošanas</t>
  </si>
  <si>
    <t>Dabas resursu nodoklis (DRN)</t>
  </si>
  <si>
    <t>DRN iēņēmumi 2023.gadā</t>
  </si>
  <si>
    <t>Būvdarbiem Stapriņu ciema pieslēgšanai Ādažu centralizētajai ūdensapgādes un kanalizācijas sistēmai</t>
  </si>
  <si>
    <t>DRN mērķa izdevumi</t>
  </si>
  <si>
    <t>Plānotais konta atlikums 31.12.2023.</t>
  </si>
  <si>
    <r>
      <t>Pabalsts EUR 50,00 mēnesī ēdināšanai par trešo* bērnu (1,5-7 gadiem).</t>
    </r>
    <r>
      <rPr>
        <sz val="9"/>
        <color rgb="FFFF0000"/>
        <rFont val="Arial"/>
        <family val="2"/>
        <charset val="186"/>
      </rPr>
      <t xml:space="preserve"> (Iekļauts bāzē)</t>
    </r>
  </si>
  <si>
    <r>
      <t xml:space="preserve">Pabalsts EUR 40,00 mēnesī ēdināšanai par trešo* bērnu (5.-9.klase). </t>
    </r>
    <r>
      <rPr>
        <sz val="9"/>
        <color rgb="FFFF0000"/>
        <rFont val="Arial"/>
        <family val="2"/>
        <charset val="186"/>
      </rPr>
      <t xml:space="preserve"> (Iekļauts bāzē)</t>
    </r>
  </si>
  <si>
    <r>
      <t>Daudzbērnu ģimenes pabalsts EUR 50,00 apmērā bērniem no 7-24 g.v. (par ceturto, piekto, sesto utt.).</t>
    </r>
    <r>
      <rPr>
        <sz val="9"/>
        <color rgb="FFFF0000"/>
        <rFont val="Arial"/>
        <family val="2"/>
        <charset val="186"/>
      </rPr>
      <t xml:space="preserve">  (Iekļauts bāzē)</t>
    </r>
  </si>
  <si>
    <t>1) + 5'000 TET Stacijas iela 5 palielinājums, jo ievērojami palielināts interneta izmantošana (iepriekš Carnikavas pusē iekšējā datu apraide);
2) +20'000 Tīkla vadi un optikas SFP moduļi, Tīkla aktīvā aparatūra MikroTik (CN + AN). 2022.gadā pārcelts datoru iegādei;
3) + 14'984 ZZ Dats uzturēšana;
4) +8'000 Esošās Carnikavas tīkla infrastruktūras uzturēšana + Ādažu pilsētas optiskā tīkla infrastruktūra, WiFi tīkla paplašināšana. 2022.gadā novirzīts Sporta centra interneta uzlabojumiem.</t>
  </si>
  <si>
    <t>Muzikālie vasaras pikniki + Zvejnieku svētki</t>
  </si>
  <si>
    <r>
      <t xml:space="preserve">Pabalsts ēdināšanai EUR 1/dienā līdzfinansējums par ēdināšanu (5.-9. klase) </t>
    </r>
    <r>
      <rPr>
        <sz val="9"/>
        <color rgb="FFFF0000"/>
        <rFont val="Arial"/>
        <family val="2"/>
        <charset val="186"/>
      </rPr>
      <t>no septembra</t>
    </r>
  </si>
  <si>
    <t>Aizņēmums?</t>
  </si>
  <si>
    <t>+7'600 Decembra izmaksas par kurināmo Pirmā 42; Gaujas 16
+14'600 Kurināmajam Gaujas 16
+1'408 Svētku laukuma elektroenerģija;
+ 1'000 apsardze un aprošināšana;
+ 500 transporta nomas maksājumiem;
+ 2'700 PVN nomaksai par iegādātajām precēm, krām reversais PVN (cenas pieaug, PVN palielinās).</t>
  </si>
  <si>
    <t>+ 85'667 kurināmā izmaksu pieaugums;
+ 7'465 ūdens un kanalizācija;
+ 292'703 elektroenerģijas izmaksu pieaugums;
+ 10'020 atkritumu izvešana;
+ 47'500 uzturēšanas remontiem;
+ 39'630 transportlīdzekļu uzturēšana un remonts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</si>
</sst>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5">
    <numFmt numFmtId="43" formatCode="_-* #,##0.00_-;\-* #,##0.00_-;_-* &quot;-&quot;??_-;_-@_-"/>
    <numFmt numFmtId="164" formatCode="_-* #,##0.00\ _€_-;\-* #,##0.00\ _€_-;_-* &quot;-&quot;??\ _€_-;_-@_-"/>
    <numFmt numFmtId="165" formatCode="_-&quot;€&quot;\ * #,##0.00_-;\-&quot;€&quot;\ * #,##0.00_-;_-&quot;€&quot;\ * &quot;-&quot;??_-;_-@_-"/>
    <numFmt numFmtId="166" formatCode="_-&quot;Ls&quot;\ * #,##0.00_-;\-&quot;Ls&quot;\ * #,##0.00_-;_-&quot;Ls&quot;\ * &quot;-&quot;??_-;_-@_-"/>
    <numFmt numFmtId="167" formatCode="_-* #,##0_-;\-* #,##0_-;_-* &quot;-&quot;??_-;_-@_-"/>
    <numFmt numFmtId="168" formatCode="0.0%"/>
    <numFmt numFmtId="169" formatCode="0.000%"/>
    <numFmt numFmtId="170" formatCode="[$-426]General"/>
    <numFmt numFmtId="171" formatCode="[$-426]0%"/>
    <numFmt numFmtId="172" formatCode="&quot; &quot;#,##0.00&quot; &quot;;&quot;-&quot;#,##0.00&quot; &quot;;&quot; -&quot;#&quot; &quot;;&quot; &quot;@&quot; &quot;"/>
    <numFmt numFmtId="173" formatCode="#,##0_ ;\-#,##0\ "/>
    <numFmt numFmtId="174" formatCode="[&lt;=9999999]###\-####;\(###\)\ ###\-####"/>
    <numFmt numFmtId="175" formatCode="_-* #,##0.00\ [$EUR]_-;\-* #,##0.00\ [$EUR]_-;_-* &quot;-&quot;??\ [$EUR]_-;_-@_-"/>
    <numFmt numFmtId="176" formatCode="_-* #,##0\ [$EUR]_-;\-* #,##0\ [$EUR]_-;_-* &quot;-&quot;\ [$EUR]_-;_-@_-"/>
    <numFmt numFmtId="177" formatCode="#,##0.000"/>
  </numFmts>
  <fonts count="283" x14ac:knownFonts="1">
    <font>
      <sz val="9"/>
      <color theme="1"/>
      <name val="Arial"/>
      <family val="2"/>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rgb="FFFF0000"/>
      <name val="Calibri"/>
      <family val="2"/>
      <charset val="186"/>
      <scheme val="minor"/>
    </font>
    <font>
      <sz val="11"/>
      <name val="Times New Roman"/>
      <family val="1"/>
      <charset val="186"/>
    </font>
    <font>
      <sz val="11"/>
      <color rgb="FFFF0000"/>
      <name val="Times New Roman"/>
      <family val="1"/>
      <charset val="186"/>
    </font>
    <font>
      <sz val="11"/>
      <color theme="3"/>
      <name val="Times New Roman"/>
      <family val="1"/>
      <charset val="186"/>
    </font>
    <font>
      <sz val="11"/>
      <color indexed="8"/>
      <name val="Calibri"/>
      <family val="2"/>
      <charset val="186"/>
    </font>
    <font>
      <b/>
      <sz val="11"/>
      <name val="Times New Roman"/>
      <family val="1"/>
      <charset val="186"/>
    </font>
    <font>
      <sz val="9"/>
      <color theme="1"/>
      <name val="Arial"/>
      <family val="2"/>
      <charset val="186"/>
    </font>
    <font>
      <sz val="10"/>
      <name val="Arial"/>
      <family val="2"/>
      <charset val="186"/>
    </font>
    <font>
      <b/>
      <sz val="11"/>
      <color rgb="FFFF0000"/>
      <name val="Times New Roman"/>
      <family val="1"/>
      <charset val="186"/>
    </font>
    <font>
      <b/>
      <sz val="11"/>
      <color theme="3"/>
      <name val="Times New Roman"/>
      <family val="1"/>
      <charset val="186"/>
    </font>
    <font>
      <sz val="10"/>
      <name val="Times New Roman"/>
      <family val="1"/>
      <charset val="186"/>
    </font>
    <font>
      <i/>
      <sz val="11"/>
      <color theme="3"/>
      <name val="Times New Roman"/>
      <family val="1"/>
      <charset val="186"/>
    </font>
    <font>
      <i/>
      <sz val="11"/>
      <name val="Times New Roman"/>
      <family val="1"/>
      <charset val="186"/>
    </font>
    <font>
      <b/>
      <i/>
      <sz val="11"/>
      <name val="Times New Roman"/>
      <family val="1"/>
      <charset val="186"/>
    </font>
    <font>
      <b/>
      <sz val="10"/>
      <name val="Times New Roman"/>
      <family val="1"/>
      <charset val="186"/>
    </font>
    <font>
      <sz val="11"/>
      <color theme="1"/>
      <name val="Times New Roman"/>
      <family val="1"/>
      <charset val="186"/>
    </font>
    <font>
      <b/>
      <sz val="9"/>
      <color theme="1"/>
      <name val="Arial"/>
      <family val="2"/>
      <charset val="186"/>
    </font>
    <font>
      <sz val="9"/>
      <name val="Times New Roman"/>
      <family val="1"/>
      <charset val="186"/>
    </font>
    <font>
      <i/>
      <sz val="9"/>
      <color theme="3"/>
      <name val="Times New Roman"/>
      <family val="1"/>
      <charset val="186"/>
    </font>
    <font>
      <b/>
      <sz val="9"/>
      <name val="Times New Roman"/>
      <family val="1"/>
      <charset val="186"/>
    </font>
    <font>
      <b/>
      <sz val="14"/>
      <color theme="1"/>
      <name val="Times New Roman"/>
      <family val="1"/>
      <charset val="186"/>
    </font>
    <font>
      <i/>
      <sz val="11"/>
      <color theme="3"/>
      <name val="Calibri"/>
      <family val="2"/>
      <charset val="186"/>
      <scheme val="minor"/>
    </font>
    <font>
      <sz val="11"/>
      <name val="Calibri"/>
      <family val="2"/>
      <charset val="186"/>
      <scheme val="minor"/>
    </font>
    <font>
      <sz val="9"/>
      <color indexed="56"/>
      <name val="Times New Roman"/>
      <family val="1"/>
      <charset val="186"/>
    </font>
    <font>
      <b/>
      <sz val="8"/>
      <name val="Times New Roman"/>
      <family val="1"/>
      <charset val="186"/>
    </font>
    <font>
      <b/>
      <i/>
      <sz val="8"/>
      <color theme="3"/>
      <name val="Times New Roman"/>
      <family val="1"/>
      <charset val="186"/>
    </font>
    <font>
      <sz val="8"/>
      <name val="Times New Roman"/>
      <family val="1"/>
      <charset val="186"/>
    </font>
    <font>
      <i/>
      <sz val="8"/>
      <color theme="3"/>
      <name val="Times New Roman"/>
      <family val="1"/>
      <charset val="186"/>
    </font>
    <font>
      <sz val="8"/>
      <color rgb="FFFF0000"/>
      <name val="Times New Roman"/>
      <family val="1"/>
      <charset val="186"/>
    </font>
    <font>
      <b/>
      <i/>
      <sz val="9"/>
      <color theme="3"/>
      <name val="Times New Roman"/>
      <family val="1"/>
      <charset val="186"/>
    </font>
    <font>
      <i/>
      <sz val="9"/>
      <color indexed="56"/>
      <name val="Times New Roman"/>
      <family val="1"/>
      <charset val="186"/>
    </font>
    <font>
      <b/>
      <sz val="14"/>
      <name val="Times New Roman"/>
      <family val="1"/>
      <charset val="186"/>
    </font>
    <font>
      <sz val="14"/>
      <name val="Times New Roman"/>
      <family val="1"/>
      <charset val="186"/>
    </font>
    <font>
      <i/>
      <sz val="14"/>
      <color theme="3"/>
      <name val="Times New Roman"/>
      <family val="1"/>
      <charset val="186"/>
    </font>
    <font>
      <b/>
      <sz val="9"/>
      <color indexed="56"/>
      <name val="Times New Roman"/>
      <family val="1"/>
      <charset val="186"/>
    </font>
    <font>
      <b/>
      <sz val="8"/>
      <name val="Arial"/>
      <family val="2"/>
      <charset val="186"/>
    </font>
    <font>
      <sz val="8"/>
      <name val="Arial"/>
      <family val="2"/>
      <charset val="186"/>
    </font>
    <font>
      <sz val="8"/>
      <color rgb="FFFF0000"/>
      <name val="Arial"/>
      <family val="2"/>
      <charset val="186"/>
    </font>
    <font>
      <sz val="8"/>
      <color indexed="10"/>
      <name val="Tahoma"/>
      <family val="2"/>
      <charset val="186"/>
    </font>
    <font>
      <i/>
      <sz val="8"/>
      <name val="Arial"/>
      <family val="2"/>
      <charset val="186"/>
    </font>
    <font>
      <i/>
      <sz val="8"/>
      <color rgb="FFFF0000"/>
      <name val="Arial"/>
      <family val="2"/>
      <charset val="186"/>
    </font>
    <font>
      <i/>
      <sz val="8"/>
      <color theme="3"/>
      <name val="Arial"/>
      <family val="2"/>
      <charset val="186"/>
    </font>
    <font>
      <i/>
      <sz val="8"/>
      <name val="Arial"/>
      <family val="2"/>
    </font>
    <font>
      <sz val="8"/>
      <name val="Arial"/>
      <family val="2"/>
    </font>
    <font>
      <b/>
      <i/>
      <sz val="8"/>
      <name val="Arial"/>
      <family val="2"/>
      <charset val="186"/>
    </font>
    <font>
      <sz val="9"/>
      <color indexed="8"/>
      <name val="Arial"/>
      <family val="2"/>
      <charset val="186"/>
    </font>
    <font>
      <sz val="9"/>
      <color theme="3"/>
      <name val="Arial"/>
      <family val="2"/>
      <charset val="186"/>
    </font>
    <font>
      <sz val="9"/>
      <color rgb="FFFF0000"/>
      <name val="Arial"/>
      <family val="2"/>
      <charset val="186"/>
    </font>
    <font>
      <sz val="9"/>
      <color rgb="FF006100"/>
      <name val="Arial"/>
      <family val="2"/>
      <charset val="186"/>
    </font>
    <font>
      <b/>
      <sz val="12"/>
      <name val="Times New Roman"/>
      <family val="1"/>
      <charset val="186"/>
    </font>
    <font>
      <sz val="12"/>
      <name val="Times New Roman"/>
      <family val="1"/>
      <charset val="186"/>
    </font>
    <font>
      <sz val="12"/>
      <color rgb="FFFF0000"/>
      <name val="Times New Roman"/>
      <family val="1"/>
      <charset val="186"/>
    </font>
    <font>
      <sz val="12"/>
      <color theme="1"/>
      <name val="Times New Roman"/>
      <family val="1"/>
      <charset val="186"/>
    </font>
    <font>
      <sz val="9"/>
      <name val="Arial"/>
      <family val="2"/>
      <charset val="186"/>
    </font>
    <font>
      <sz val="11"/>
      <name val="Times New Roman"/>
      <family val="1"/>
    </font>
    <font>
      <b/>
      <sz val="11"/>
      <color theme="1"/>
      <name val="Calibri"/>
      <family val="2"/>
      <charset val="186"/>
      <scheme val="minor"/>
    </font>
    <font>
      <i/>
      <sz val="8"/>
      <color rgb="FFFF0000"/>
      <name val="Arial"/>
      <family val="2"/>
    </font>
    <font>
      <b/>
      <sz val="10"/>
      <name val="Times New Roman"/>
      <family val="1"/>
    </font>
    <font>
      <sz val="9"/>
      <color rgb="FFFF0000"/>
      <name val="Times New Roman"/>
      <family val="1"/>
      <charset val="186"/>
    </font>
    <font>
      <u/>
      <sz val="11"/>
      <color theme="10"/>
      <name val="Calibri"/>
      <family val="2"/>
      <charset val="186"/>
      <scheme val="minor"/>
    </font>
    <font>
      <sz val="9"/>
      <color rgb="FFC00000"/>
      <name val="Arial"/>
      <family val="2"/>
      <charset val="186"/>
    </font>
    <font>
      <b/>
      <i/>
      <sz val="8"/>
      <color rgb="FFFF0000"/>
      <name val="Arial"/>
      <family val="2"/>
    </font>
    <font>
      <b/>
      <sz val="8"/>
      <name val="Arial"/>
      <family val="2"/>
    </font>
    <font>
      <b/>
      <sz val="12"/>
      <color rgb="FFFF0000"/>
      <name val="Times New Roman"/>
      <family val="1"/>
      <charset val="186"/>
    </font>
    <font>
      <sz val="11"/>
      <color rgb="FF000000"/>
      <name val="Calibri"/>
      <family val="2"/>
    </font>
    <font>
      <b/>
      <sz val="11"/>
      <color rgb="FFFF0000"/>
      <name val="Calibri"/>
      <family val="2"/>
      <charset val="186"/>
      <scheme val="minor"/>
    </font>
    <font>
      <b/>
      <i/>
      <sz val="10"/>
      <name val="Times New Roman"/>
      <family val="1"/>
      <charset val="186"/>
    </font>
    <font>
      <b/>
      <sz val="10"/>
      <name val="Arial"/>
      <family val="2"/>
      <charset val="186"/>
    </font>
    <font>
      <b/>
      <sz val="9"/>
      <name val="Arial"/>
      <family val="2"/>
      <charset val="186"/>
    </font>
    <font>
      <sz val="8"/>
      <color theme="1"/>
      <name val="Calibri"/>
      <family val="2"/>
      <charset val="186"/>
      <scheme val="minor"/>
    </font>
    <font>
      <b/>
      <sz val="9"/>
      <color rgb="FFC00000"/>
      <name val="Arial"/>
      <family val="2"/>
      <charset val="186"/>
    </font>
    <font>
      <i/>
      <sz val="9"/>
      <color theme="1"/>
      <name val="Arial"/>
      <family val="2"/>
      <charset val="186"/>
    </font>
    <font>
      <sz val="10"/>
      <name val="Arial"/>
      <family val="2"/>
    </font>
    <font>
      <b/>
      <sz val="8"/>
      <color rgb="FFFF0000"/>
      <name val="Times New Roman"/>
      <family val="1"/>
      <charset val="186"/>
    </font>
    <font>
      <b/>
      <sz val="9"/>
      <color rgb="FFFF0000"/>
      <name val="Times New Roman"/>
      <family val="1"/>
      <charset val="186"/>
    </font>
    <font>
      <sz val="14"/>
      <color rgb="FFFF0000"/>
      <name val="Times New Roman"/>
      <family val="1"/>
      <charset val="186"/>
    </font>
    <font>
      <b/>
      <sz val="8"/>
      <color theme="4"/>
      <name val="Times New Roman"/>
      <family val="1"/>
      <charset val="186"/>
    </font>
    <font>
      <sz val="8"/>
      <name val="Times New Roman"/>
      <family val="1"/>
    </font>
    <font>
      <b/>
      <sz val="8"/>
      <name val="Times New Roman"/>
      <family val="1"/>
    </font>
    <font>
      <b/>
      <i/>
      <sz val="8"/>
      <name val="Times New Roman"/>
      <family val="1"/>
      <charset val="186"/>
    </font>
    <font>
      <i/>
      <sz val="8"/>
      <name val="Times New Roman"/>
      <family val="1"/>
      <charset val="186"/>
    </font>
    <font>
      <i/>
      <sz val="11"/>
      <name val="Calibri"/>
      <family val="2"/>
      <charset val="186"/>
      <scheme val="minor"/>
    </font>
    <font>
      <i/>
      <sz val="9"/>
      <name val="Times New Roman"/>
      <family val="1"/>
      <charset val="186"/>
    </font>
    <font>
      <sz val="8"/>
      <color indexed="56"/>
      <name val="Times New Roman"/>
      <family val="1"/>
    </font>
    <font>
      <i/>
      <sz val="8"/>
      <name val="Times New Roman"/>
      <family val="1"/>
    </font>
    <font>
      <sz val="8"/>
      <color theme="1"/>
      <name val="Times New Roman"/>
      <family val="1"/>
      <charset val="186"/>
    </font>
    <font>
      <sz val="8"/>
      <color theme="1"/>
      <name val="Times New Roman"/>
      <family val="1"/>
    </font>
    <font>
      <i/>
      <sz val="12"/>
      <color theme="1"/>
      <name val="Times New Roman"/>
      <family val="1"/>
      <charset val="186"/>
    </font>
    <font>
      <i/>
      <sz val="9"/>
      <color theme="3"/>
      <name val="Arial"/>
      <family val="2"/>
      <charset val="186"/>
    </font>
    <font>
      <b/>
      <sz val="11"/>
      <color rgb="FFC00000"/>
      <name val="Times New Roman"/>
      <family val="1"/>
      <charset val="186"/>
    </font>
    <font>
      <sz val="11"/>
      <color rgb="FFFF0000"/>
      <name val="Times New Roman"/>
      <family val="1"/>
    </font>
    <font>
      <b/>
      <i/>
      <sz val="11"/>
      <color theme="3"/>
      <name val="Times New Roman"/>
      <family val="1"/>
      <charset val="186"/>
    </font>
    <font>
      <i/>
      <sz val="11"/>
      <color rgb="FFFF0000"/>
      <name val="Times New Roman"/>
      <family val="1"/>
      <charset val="186"/>
    </font>
    <font>
      <sz val="9"/>
      <color indexed="81"/>
      <name val="Tahoma"/>
      <family val="2"/>
      <charset val="186"/>
    </font>
    <font>
      <b/>
      <sz val="9"/>
      <color indexed="81"/>
      <name val="Tahoma"/>
      <family val="2"/>
      <charset val="186"/>
    </font>
    <font>
      <sz val="10"/>
      <name val="Arial"/>
      <family val="2"/>
      <charset val="186"/>
    </font>
    <font>
      <sz val="8"/>
      <color rgb="FFC00000"/>
      <name val="Times New Roman"/>
      <family val="1"/>
      <charset val="186"/>
    </font>
    <font>
      <b/>
      <sz val="8"/>
      <color rgb="FFC00000"/>
      <name val="Times New Roman"/>
      <family val="1"/>
      <charset val="186"/>
    </font>
    <font>
      <sz val="9"/>
      <color rgb="FFC00000"/>
      <name val="Times New Roman"/>
      <family val="1"/>
      <charset val="186"/>
    </font>
    <font>
      <i/>
      <sz val="11"/>
      <color rgb="FFC00000"/>
      <name val="Calibri"/>
      <family val="2"/>
      <charset val="186"/>
      <scheme val="minor"/>
    </font>
    <font>
      <b/>
      <sz val="9"/>
      <color rgb="FFC00000"/>
      <name val="Times New Roman"/>
      <family val="1"/>
      <charset val="186"/>
    </font>
    <font>
      <sz val="11"/>
      <color rgb="FFC00000"/>
      <name val="Times New Roman"/>
      <family val="1"/>
      <charset val="186"/>
    </font>
    <font>
      <sz val="14"/>
      <color rgb="FFC00000"/>
      <name val="Times New Roman"/>
      <family val="1"/>
      <charset val="186"/>
    </font>
    <font>
      <i/>
      <sz val="9"/>
      <color rgb="FFFF0000"/>
      <name val="Arial"/>
      <family val="2"/>
      <charset val="186"/>
    </font>
    <font>
      <sz val="9"/>
      <color theme="1"/>
      <name val="Calibri"/>
      <family val="2"/>
      <charset val="186"/>
      <scheme val="minor"/>
    </font>
    <font>
      <sz val="11"/>
      <color theme="1"/>
      <name val="Arial"/>
      <family val="2"/>
      <charset val="186"/>
    </font>
    <font>
      <b/>
      <sz val="16"/>
      <color theme="1"/>
      <name val="Times New Roman"/>
      <family val="1"/>
      <charset val="186"/>
    </font>
    <font>
      <sz val="13"/>
      <name val="Times New Roman"/>
      <family val="1"/>
    </font>
    <font>
      <u/>
      <sz val="12"/>
      <color theme="10"/>
      <name val="Times New Roman"/>
      <family val="2"/>
      <charset val="186"/>
    </font>
    <font>
      <sz val="11"/>
      <color theme="1"/>
      <name val="Calibri"/>
      <family val="2"/>
      <scheme val="minor"/>
    </font>
    <font>
      <sz val="11"/>
      <name val="Calibri"/>
      <family val="2"/>
      <scheme val="minor"/>
    </font>
    <font>
      <b/>
      <sz val="11"/>
      <name val="Calibri"/>
      <family val="2"/>
      <charset val="186"/>
      <scheme val="minor"/>
    </font>
    <font>
      <sz val="10"/>
      <color theme="1"/>
      <name val="Calibri"/>
      <family val="2"/>
      <charset val="186"/>
      <scheme val="minor"/>
    </font>
    <font>
      <sz val="18"/>
      <color theme="3"/>
      <name val="Calibri Light"/>
      <family val="2"/>
      <charset val="186"/>
      <scheme val="major"/>
    </font>
    <font>
      <b/>
      <sz val="15"/>
      <color theme="3"/>
      <name val="Calibri"/>
      <family val="2"/>
      <charset val="186"/>
      <scheme val="minor"/>
    </font>
    <font>
      <b/>
      <sz val="13"/>
      <color theme="3"/>
      <name val="Calibri"/>
      <family val="2"/>
      <charset val="186"/>
      <scheme val="minor"/>
    </font>
    <font>
      <b/>
      <sz val="11"/>
      <color theme="3"/>
      <name val="Calibri"/>
      <family val="2"/>
      <charset val="186"/>
      <scheme val="minor"/>
    </font>
    <font>
      <sz val="11"/>
      <color rgb="FF006100"/>
      <name val="Calibri"/>
      <family val="2"/>
      <charset val="186"/>
      <scheme val="minor"/>
    </font>
    <font>
      <sz val="11"/>
      <color rgb="FF9C0006"/>
      <name val="Calibri"/>
      <family val="2"/>
      <charset val="186"/>
      <scheme val="minor"/>
    </font>
    <font>
      <sz val="11"/>
      <color rgb="FF9C6500"/>
      <name val="Calibri"/>
      <family val="2"/>
      <charset val="186"/>
      <scheme val="minor"/>
    </font>
    <font>
      <sz val="11"/>
      <color rgb="FF3F3F76"/>
      <name val="Calibri"/>
      <family val="2"/>
      <charset val="186"/>
      <scheme val="minor"/>
    </font>
    <font>
      <b/>
      <sz val="11"/>
      <color rgb="FF3F3F3F"/>
      <name val="Calibri"/>
      <family val="2"/>
      <charset val="186"/>
      <scheme val="minor"/>
    </font>
    <font>
      <b/>
      <sz val="11"/>
      <color rgb="FFFA7D00"/>
      <name val="Calibri"/>
      <family val="2"/>
      <charset val="186"/>
      <scheme val="minor"/>
    </font>
    <font>
      <sz val="11"/>
      <color rgb="FFFA7D00"/>
      <name val="Calibri"/>
      <family val="2"/>
      <charset val="186"/>
      <scheme val="minor"/>
    </font>
    <font>
      <b/>
      <sz val="11"/>
      <color theme="0"/>
      <name val="Calibri"/>
      <family val="2"/>
      <charset val="186"/>
      <scheme val="minor"/>
    </font>
    <font>
      <i/>
      <sz val="11"/>
      <color rgb="FF7F7F7F"/>
      <name val="Calibri"/>
      <family val="2"/>
      <charset val="186"/>
      <scheme val="minor"/>
    </font>
    <font>
      <sz val="11"/>
      <color theme="0"/>
      <name val="Calibri"/>
      <family val="2"/>
      <charset val="186"/>
      <scheme val="minor"/>
    </font>
    <font>
      <i/>
      <sz val="9"/>
      <color rgb="FFC00000"/>
      <name val="Arial"/>
      <family val="2"/>
      <charset val="186"/>
    </font>
    <font>
      <i/>
      <sz val="11"/>
      <color theme="1"/>
      <name val="Times New Roman"/>
      <family val="1"/>
      <charset val="186"/>
    </font>
    <font>
      <sz val="11"/>
      <color rgb="FF7030A0"/>
      <name val="Times New Roman"/>
      <family val="1"/>
      <charset val="186"/>
    </font>
    <font>
      <sz val="10"/>
      <name val="Helv"/>
    </font>
    <font>
      <b/>
      <sz val="8"/>
      <color rgb="FF7030A0"/>
      <name val="Arial"/>
      <family val="2"/>
      <charset val="186"/>
    </font>
    <font>
      <i/>
      <sz val="11"/>
      <color rgb="FFC00000"/>
      <name val="Times New Roman"/>
      <family val="1"/>
      <charset val="186"/>
    </font>
    <font>
      <b/>
      <i/>
      <sz val="11"/>
      <color rgb="FFC00000"/>
      <name val="Times New Roman"/>
      <family val="1"/>
      <charset val="186"/>
    </font>
    <font>
      <b/>
      <sz val="12"/>
      <color theme="1"/>
      <name val="Times New Roman"/>
      <family val="1"/>
      <charset val="186"/>
    </font>
    <font>
      <sz val="11"/>
      <color rgb="FF00B050"/>
      <name val="Times New Roman"/>
      <family val="1"/>
      <charset val="186"/>
    </font>
    <font>
      <b/>
      <sz val="10"/>
      <color theme="1"/>
      <name val="Calibri"/>
      <family val="2"/>
      <charset val="186"/>
      <scheme val="minor"/>
    </font>
    <font>
      <b/>
      <sz val="10"/>
      <color indexed="56"/>
      <name val="Times New Roman"/>
      <family val="1"/>
      <charset val="186"/>
    </font>
    <font>
      <b/>
      <sz val="16"/>
      <name val="Times New Roman"/>
      <family val="1"/>
      <charset val="186"/>
    </font>
    <font>
      <sz val="12"/>
      <color theme="1"/>
      <name val="Times New Roman"/>
      <family val="1"/>
    </font>
    <font>
      <sz val="9"/>
      <color rgb="FFFF0000"/>
      <name val="Calibri"/>
      <family val="2"/>
      <charset val="186"/>
      <scheme val="minor"/>
    </font>
    <font>
      <sz val="9"/>
      <color rgb="FF7030A0"/>
      <name val="Arial"/>
      <family val="2"/>
      <charset val="186"/>
    </font>
    <font>
      <sz val="8"/>
      <color rgb="FFFF0000"/>
      <name val="Arial"/>
      <family val="2"/>
    </font>
    <font>
      <b/>
      <sz val="9"/>
      <color rgb="FF7030A0"/>
      <name val="Arial"/>
      <family val="2"/>
      <charset val="186"/>
    </font>
    <font>
      <u/>
      <sz val="9"/>
      <color theme="10"/>
      <name val="Arial"/>
      <family val="2"/>
      <charset val="186"/>
    </font>
    <font>
      <b/>
      <sz val="11"/>
      <name val="Calibri"/>
      <family val="2"/>
      <scheme val="minor"/>
    </font>
    <font>
      <i/>
      <sz val="11"/>
      <color theme="4"/>
      <name val="Times New Roman"/>
      <family val="1"/>
      <charset val="186"/>
    </font>
    <font>
      <b/>
      <i/>
      <sz val="11"/>
      <color theme="4"/>
      <name val="Times New Roman"/>
      <family val="1"/>
      <charset val="186"/>
    </font>
    <font>
      <sz val="9"/>
      <color theme="4"/>
      <name val="Times New Roman"/>
      <family val="1"/>
      <charset val="186"/>
    </font>
    <font>
      <sz val="14"/>
      <color theme="4"/>
      <name val="Times New Roman"/>
      <family val="1"/>
      <charset val="186"/>
    </font>
    <font>
      <i/>
      <sz val="11"/>
      <color rgb="FF7030A0"/>
      <name val="Times New Roman"/>
      <family val="1"/>
      <charset val="186"/>
    </font>
    <font>
      <b/>
      <i/>
      <sz val="11"/>
      <color rgb="FF7030A0"/>
      <name val="Times New Roman"/>
      <family val="1"/>
      <charset val="186"/>
    </font>
    <font>
      <i/>
      <sz val="9"/>
      <color rgb="FF7030A0"/>
      <name val="Arial"/>
      <family val="2"/>
      <charset val="186"/>
    </font>
    <font>
      <b/>
      <i/>
      <sz val="9"/>
      <color rgb="FF7030A0"/>
      <name val="Arial"/>
      <family val="2"/>
      <charset val="186"/>
    </font>
    <font>
      <sz val="11"/>
      <color rgb="FF9C5700"/>
      <name val="Calibri"/>
      <family val="2"/>
      <charset val="186"/>
      <scheme val="minor"/>
    </font>
    <font>
      <b/>
      <sz val="9"/>
      <color rgb="FFFF0000"/>
      <name val="Arial"/>
      <family val="2"/>
      <charset val="186"/>
    </font>
    <font>
      <i/>
      <sz val="11"/>
      <color rgb="FF7030A0"/>
      <name val="Calibri"/>
      <family val="2"/>
      <scheme val="minor"/>
    </font>
    <font>
      <sz val="11"/>
      <color rgb="FF0070C0"/>
      <name val="Calibri"/>
      <family val="2"/>
      <charset val="186"/>
      <scheme val="minor"/>
    </font>
    <font>
      <b/>
      <sz val="14"/>
      <color theme="1"/>
      <name val="Calibri"/>
      <family val="2"/>
      <charset val="186"/>
      <scheme val="minor"/>
    </font>
    <font>
      <sz val="14"/>
      <color theme="1"/>
      <name val="Calibri"/>
      <family val="2"/>
      <scheme val="minor"/>
    </font>
    <font>
      <b/>
      <i/>
      <sz val="11"/>
      <color rgb="FF7030A0"/>
      <name val="Calibri"/>
      <family val="2"/>
      <scheme val="minor"/>
    </font>
    <font>
      <b/>
      <sz val="11"/>
      <color rgb="FF0070C0"/>
      <name val="Calibri"/>
      <family val="2"/>
      <charset val="186"/>
      <scheme val="minor"/>
    </font>
    <font>
      <b/>
      <i/>
      <u/>
      <sz val="9"/>
      <name val="Calibri"/>
      <family val="2"/>
      <scheme val="minor"/>
    </font>
    <font>
      <b/>
      <u/>
      <sz val="9"/>
      <name val="Calibri"/>
      <family val="2"/>
      <charset val="186"/>
      <scheme val="minor"/>
    </font>
    <font>
      <u/>
      <sz val="9"/>
      <name val="Calibri"/>
      <family val="2"/>
      <scheme val="minor"/>
    </font>
    <font>
      <b/>
      <i/>
      <sz val="9"/>
      <color rgb="FF7030A0"/>
      <name val="Calibri"/>
      <family val="2"/>
      <scheme val="minor"/>
    </font>
    <font>
      <b/>
      <sz val="9"/>
      <color rgb="FF0070C0"/>
      <name val="Calibri"/>
      <family val="2"/>
      <charset val="186"/>
      <scheme val="minor"/>
    </font>
    <font>
      <i/>
      <sz val="11"/>
      <color rgb="FF0070C0"/>
      <name val="Calibri"/>
      <family val="2"/>
      <charset val="186"/>
      <scheme val="minor"/>
    </font>
    <font>
      <sz val="11"/>
      <color rgb="FF000000"/>
      <name val="Calibri"/>
      <family val="2"/>
      <charset val="186"/>
      <scheme val="minor"/>
    </font>
    <font>
      <i/>
      <sz val="11"/>
      <color theme="1"/>
      <name val="Calibri"/>
      <family val="2"/>
      <charset val="186"/>
      <scheme val="minor"/>
    </font>
    <font>
      <i/>
      <sz val="11"/>
      <color rgb="FFFF0000"/>
      <name val="Calibri"/>
      <family val="2"/>
      <scheme val="minor"/>
    </font>
    <font>
      <b/>
      <sz val="11"/>
      <color theme="1"/>
      <name val="Calibri"/>
      <family val="2"/>
      <scheme val="minor"/>
    </font>
    <font>
      <u/>
      <sz val="11"/>
      <color theme="10"/>
      <name val="Calibri"/>
      <family val="2"/>
      <charset val="186"/>
    </font>
    <font>
      <u/>
      <sz val="8"/>
      <color theme="10"/>
      <name val="Calibri"/>
      <family val="2"/>
      <charset val="186"/>
    </font>
    <font>
      <b/>
      <sz val="18"/>
      <name val="Calibri"/>
      <family val="2"/>
      <scheme val="minor"/>
    </font>
    <font>
      <sz val="11"/>
      <color theme="1"/>
      <name val="Times New Roman"/>
      <family val="1"/>
    </font>
    <font>
      <sz val="11"/>
      <color rgb="FF000000"/>
      <name val="Times New Roman"/>
      <family val="1"/>
    </font>
    <font>
      <sz val="11"/>
      <color theme="1"/>
      <name val="Calibri"/>
      <family val="2"/>
    </font>
    <font>
      <b/>
      <sz val="14"/>
      <name val="Calibri"/>
      <family val="2"/>
      <scheme val="minor"/>
    </font>
    <font>
      <b/>
      <sz val="9"/>
      <color rgb="FF0D0D0D"/>
      <name val="Calibri"/>
      <family val="2"/>
    </font>
    <font>
      <sz val="10"/>
      <color theme="1"/>
      <name val="Calibri"/>
      <family val="2"/>
    </font>
    <font>
      <sz val="11.5"/>
      <color theme="1"/>
      <name val="Times New Roman"/>
      <family val="1"/>
    </font>
    <font>
      <sz val="5.5"/>
      <color theme="1"/>
      <name val="Times New Roman"/>
      <family val="1"/>
    </font>
    <font>
      <sz val="9"/>
      <color rgb="FF0D0D0D"/>
      <name val="Calibri"/>
      <family val="2"/>
    </font>
    <font>
      <sz val="5"/>
      <color theme="1"/>
      <name val="Times New Roman"/>
      <family val="1"/>
    </font>
    <font>
      <sz val="1.5"/>
      <color theme="1"/>
      <name val="Times New Roman"/>
      <family val="1"/>
    </font>
    <font>
      <sz val="1"/>
      <color theme="1"/>
      <name val="Times New Roman"/>
      <family val="1"/>
    </font>
    <font>
      <sz val="7.5"/>
      <color theme="1"/>
      <name val="Times New Roman"/>
      <family val="1"/>
    </font>
    <font>
      <b/>
      <sz val="16"/>
      <name val="Calibri"/>
      <family val="2"/>
      <scheme val="minor"/>
    </font>
    <font>
      <sz val="3"/>
      <color rgb="FF333333"/>
      <name val="Times New Roman"/>
      <family val="1"/>
    </font>
    <font>
      <sz val="2.5"/>
      <color rgb="FF333333"/>
      <name val="Times New Roman"/>
      <family val="1"/>
    </font>
    <font>
      <sz val="4"/>
      <color theme="1"/>
      <name val="Times New Roman"/>
      <family val="1"/>
    </font>
    <font>
      <b/>
      <sz val="8"/>
      <color theme="1"/>
      <name val="Times New Roman"/>
      <family val="1"/>
    </font>
    <font>
      <sz val="3"/>
      <color theme="1"/>
      <name val="Times New Roman"/>
      <family val="1"/>
    </font>
    <font>
      <sz val="4.5"/>
      <color theme="1"/>
      <name val="Times New Roman"/>
      <family val="1"/>
    </font>
    <font>
      <sz val="6.5"/>
      <color theme="1"/>
      <name val="Times New Roman"/>
      <family val="1"/>
    </font>
    <font>
      <sz val="9"/>
      <color theme="1"/>
      <name val="Times New Roman"/>
      <family val="1"/>
    </font>
    <font>
      <sz val="2"/>
      <color theme="1"/>
      <name val="Times New Roman"/>
      <family val="1"/>
    </font>
    <font>
      <sz val="2.5"/>
      <color theme="1"/>
      <name val="Times New Roman"/>
      <family val="1"/>
    </font>
    <font>
      <b/>
      <sz val="8"/>
      <color rgb="FF333333"/>
      <name val="Times New Roman"/>
      <family val="1"/>
    </font>
    <font>
      <sz val="6"/>
      <color theme="1"/>
      <name val="Times New Roman"/>
      <family val="1"/>
    </font>
    <font>
      <sz val="8"/>
      <color rgb="FF333333"/>
      <name val="Times New Roman"/>
      <family val="1"/>
    </font>
    <font>
      <sz val="9.5"/>
      <color theme="1"/>
      <name val="Times New Roman"/>
      <family val="1"/>
    </font>
    <font>
      <b/>
      <sz val="10"/>
      <color rgb="FFFF0000"/>
      <name val="Calibri"/>
      <family val="2"/>
      <charset val="186"/>
      <scheme val="minor"/>
    </font>
    <font>
      <b/>
      <sz val="8"/>
      <color rgb="FFFF0000"/>
      <name val="Arial"/>
      <family val="2"/>
    </font>
    <font>
      <b/>
      <i/>
      <sz val="8"/>
      <name val="Arial"/>
      <family val="2"/>
    </font>
    <font>
      <sz val="12"/>
      <color theme="1"/>
      <name val="Verdana"/>
      <family val="2"/>
      <charset val="186"/>
    </font>
    <font>
      <sz val="6"/>
      <name val="Arial"/>
      <family val="2"/>
      <charset val="186"/>
    </font>
    <font>
      <b/>
      <i/>
      <sz val="10"/>
      <color theme="1"/>
      <name val="Calibri"/>
      <family val="2"/>
      <charset val="186"/>
      <scheme val="minor"/>
    </font>
    <font>
      <b/>
      <sz val="10"/>
      <name val="Calibri"/>
      <family val="2"/>
      <charset val="186"/>
      <scheme val="minor"/>
    </font>
    <font>
      <sz val="10"/>
      <name val="Calibri"/>
      <family val="2"/>
      <charset val="186"/>
      <scheme val="minor"/>
    </font>
    <font>
      <sz val="8"/>
      <color indexed="56"/>
      <name val="Times New Roman"/>
      <family val="1"/>
      <charset val="186"/>
    </font>
    <font>
      <u/>
      <sz val="8"/>
      <color rgb="FFFF0000"/>
      <name val="Times New Roman"/>
      <family val="1"/>
      <charset val="186"/>
    </font>
    <font>
      <sz val="9"/>
      <color theme="0"/>
      <name val="Arial"/>
      <family val="2"/>
      <charset val="186"/>
    </font>
    <font>
      <sz val="6"/>
      <color rgb="FFFF0000"/>
      <name val="Arial"/>
      <family val="2"/>
      <charset val="186"/>
    </font>
    <font>
      <b/>
      <i/>
      <sz val="11"/>
      <color theme="1"/>
      <name val="Calibri"/>
      <family val="2"/>
      <charset val="186"/>
      <scheme val="minor"/>
    </font>
    <font>
      <sz val="10"/>
      <color rgb="FFFF0000"/>
      <name val="Calibri"/>
      <family val="2"/>
      <charset val="186"/>
      <scheme val="minor"/>
    </font>
    <font>
      <sz val="10.5"/>
      <color theme="1"/>
      <name val="Times New Roman"/>
      <family val="1"/>
    </font>
    <font>
      <b/>
      <sz val="11"/>
      <color theme="1"/>
      <name val="Arial"/>
      <family val="2"/>
    </font>
    <font>
      <b/>
      <sz val="11"/>
      <color rgb="FF090909"/>
      <name val="Arial"/>
      <family val="2"/>
    </font>
    <font>
      <sz val="28"/>
      <color theme="0" tint="-0.499984740745262"/>
      <name val="Calibri Light"/>
      <family val="2"/>
      <scheme val="major"/>
    </font>
    <font>
      <b/>
      <i/>
      <sz val="11"/>
      <name val="Calibri"/>
      <family val="2"/>
      <scheme val="minor"/>
    </font>
    <font>
      <i/>
      <sz val="11"/>
      <name val="Calibri"/>
      <family val="2"/>
      <scheme val="minor"/>
    </font>
    <font>
      <sz val="12"/>
      <color rgb="FF000000"/>
      <name val="Times New Roman"/>
      <family val="1"/>
      <charset val="186"/>
    </font>
    <font>
      <b/>
      <sz val="12"/>
      <color rgb="FFFF0000"/>
      <name val="Arial"/>
      <family val="2"/>
      <charset val="186"/>
    </font>
    <font>
      <i/>
      <sz val="9"/>
      <color theme="4" tint="-0.249977111117893"/>
      <name val="Arial"/>
      <family val="2"/>
      <charset val="186"/>
    </font>
    <font>
      <b/>
      <i/>
      <sz val="9"/>
      <name val="Arial"/>
      <family val="2"/>
      <charset val="186"/>
    </font>
    <font>
      <sz val="9"/>
      <color theme="4" tint="-0.249977111117893"/>
      <name val="Arial"/>
      <family val="2"/>
      <charset val="186"/>
    </font>
    <font>
      <sz val="6"/>
      <color rgb="FF7030A0"/>
      <name val="Arial"/>
      <family val="2"/>
      <charset val="186"/>
    </font>
    <font>
      <b/>
      <sz val="9"/>
      <color theme="0"/>
      <name val="Arial"/>
      <family val="2"/>
      <charset val="186"/>
    </font>
    <font>
      <b/>
      <sz val="12"/>
      <color theme="1"/>
      <name val="Times New Roman"/>
      <family val="1"/>
    </font>
    <font>
      <i/>
      <sz val="8"/>
      <color theme="8" tint="-0.249977111117893"/>
      <name val="Arial"/>
      <family val="2"/>
      <charset val="186"/>
    </font>
    <font>
      <sz val="7"/>
      <color theme="2" tint="-0.499984740745262"/>
      <name val="Times New Roman"/>
      <family val="1"/>
      <charset val="186"/>
    </font>
    <font>
      <i/>
      <sz val="8"/>
      <color theme="3"/>
      <name val="Times New Roman"/>
      <family val="1"/>
    </font>
    <font>
      <i/>
      <sz val="9"/>
      <color theme="8"/>
      <name val="Arial"/>
      <family val="2"/>
      <charset val="186"/>
    </font>
    <font>
      <sz val="9"/>
      <color theme="8"/>
      <name val="Arial"/>
      <family val="2"/>
      <charset val="186"/>
    </font>
    <font>
      <i/>
      <sz val="9"/>
      <color theme="4"/>
      <name val="Arial"/>
      <family val="2"/>
      <charset val="186"/>
    </font>
    <font>
      <sz val="9"/>
      <color theme="4"/>
      <name val="Arial"/>
      <family val="2"/>
      <charset val="186"/>
    </font>
    <font>
      <sz val="11"/>
      <color theme="9" tint="-0.249977111117893"/>
      <name val="Times New Roman"/>
      <family val="1"/>
      <charset val="186"/>
    </font>
    <font>
      <sz val="6"/>
      <color rgb="FFC00000"/>
      <name val="Arial"/>
      <family val="2"/>
      <charset val="186"/>
    </font>
    <font>
      <i/>
      <sz val="6"/>
      <name val="Arial"/>
      <family val="2"/>
      <charset val="186"/>
    </font>
    <font>
      <i/>
      <sz val="6"/>
      <color rgb="FFFF0000"/>
      <name val="Arial"/>
      <family val="2"/>
      <charset val="186"/>
    </font>
    <font>
      <i/>
      <sz val="6"/>
      <color rgb="FF7030A0"/>
      <name val="Arial"/>
      <family val="2"/>
      <charset val="186"/>
    </font>
    <font>
      <i/>
      <sz val="11"/>
      <color rgb="FF8E267F"/>
      <name val="Times New Roman"/>
      <family val="1"/>
      <charset val="186"/>
    </font>
    <font>
      <i/>
      <sz val="9"/>
      <color rgb="FF8E267F"/>
      <name val="Arial"/>
      <family val="2"/>
      <charset val="186"/>
    </font>
    <font>
      <i/>
      <sz val="6"/>
      <color rgb="FF8E267F"/>
      <name val="Arial"/>
      <family val="2"/>
      <charset val="186"/>
    </font>
  </fonts>
  <fills count="71">
    <fill>
      <patternFill patternType="none"/>
    </fill>
    <fill>
      <patternFill patternType="gray125"/>
    </fill>
    <fill>
      <patternFill patternType="solid">
        <fgColor rgb="FFC6EFCE"/>
      </patternFill>
    </fill>
    <fill>
      <patternFill patternType="solid">
        <fgColor indexed="22"/>
        <bgColor indexed="64"/>
      </patternFill>
    </fill>
    <fill>
      <patternFill patternType="solid">
        <fgColor indexed="50"/>
        <bgColor indexed="64"/>
      </patternFill>
    </fill>
    <fill>
      <patternFill patternType="solid">
        <fgColor theme="0"/>
        <bgColor indexed="64"/>
      </patternFill>
    </fill>
    <fill>
      <patternFill patternType="solid">
        <fgColor indexed="9"/>
        <bgColor indexed="64"/>
      </patternFill>
    </fill>
    <fill>
      <patternFill patternType="solid">
        <fgColor rgb="FFFFC000"/>
        <bgColor indexed="64"/>
      </patternFill>
    </fill>
    <fill>
      <patternFill patternType="solid">
        <fgColor indexed="42"/>
        <bgColor indexed="64"/>
      </patternFill>
    </fill>
    <fill>
      <patternFill patternType="solid">
        <fgColor rgb="FFFF0000"/>
        <bgColor indexed="64"/>
      </patternFill>
    </fill>
    <fill>
      <patternFill patternType="solid">
        <fgColor rgb="FFFFFF00"/>
        <bgColor indexed="64"/>
      </patternFill>
    </fill>
    <fill>
      <patternFill patternType="solid">
        <fgColor theme="0" tint="-0.249977111117893"/>
        <bgColor indexed="64"/>
      </patternFill>
    </fill>
    <fill>
      <patternFill patternType="solid">
        <fgColor indexed="4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CCFFCC"/>
        <bgColor indexed="64"/>
      </patternFill>
    </fill>
    <fill>
      <patternFill patternType="solid">
        <fgColor theme="9" tint="0.39997558519241921"/>
        <bgColor indexed="64"/>
      </patternFill>
    </fill>
    <fill>
      <patternFill patternType="solid">
        <fgColor rgb="FF92D050"/>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FFFF99"/>
        <bgColor indexed="64"/>
      </patternFill>
    </fill>
    <fill>
      <patternFill patternType="solid">
        <fgColor rgb="FFFFFFCC"/>
        <bgColor indexed="64"/>
      </patternFill>
    </fill>
    <fill>
      <patternFill patternType="solid">
        <fgColor theme="0" tint="-0.34998626667073579"/>
        <bgColor indexed="64"/>
      </patternFill>
    </fill>
    <fill>
      <patternFill patternType="solid">
        <fgColor theme="5" tint="0.79998168889431442"/>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B05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theme="4"/>
        <bgColor indexed="64"/>
      </patternFill>
    </fill>
    <fill>
      <patternFill patternType="solid">
        <fgColor rgb="FFF7E1F7"/>
        <bgColor indexed="64"/>
      </patternFill>
    </fill>
    <fill>
      <patternFill patternType="solid">
        <fgColor rgb="FFF2F2F2"/>
        <bgColor indexed="64"/>
      </patternFill>
    </fill>
    <fill>
      <patternFill patternType="solid">
        <fgColor rgb="FF000000"/>
        <bgColor indexed="64"/>
      </patternFill>
    </fill>
    <fill>
      <patternFill patternType="solid">
        <fgColor rgb="FFFFD966"/>
        <bgColor indexed="64"/>
      </patternFill>
    </fill>
    <fill>
      <patternFill patternType="solid">
        <fgColor rgb="FFFFE699"/>
        <bgColor indexed="64"/>
      </patternFill>
    </fill>
    <fill>
      <patternFill patternType="solid">
        <fgColor rgb="FFD0FACB"/>
        <bgColor indexed="64"/>
      </patternFill>
    </fill>
    <fill>
      <patternFill patternType="solid">
        <fgColor rgb="FFFFFFFF"/>
        <bgColor indexed="64"/>
      </patternFill>
    </fill>
    <fill>
      <patternFill patternType="solid">
        <fgColor theme="9" tint="0.79998168889431442"/>
        <bgColor indexed="64"/>
      </patternFill>
    </fill>
    <fill>
      <patternFill patternType="solid">
        <fgColor theme="4"/>
        <bgColor theme="4"/>
      </patternFill>
    </fill>
    <fill>
      <patternFill patternType="solid">
        <fgColor theme="8" tint="0.79998168889431442"/>
        <bgColor indexed="64"/>
      </patternFill>
    </fill>
    <fill>
      <patternFill patternType="solid">
        <fgColor theme="2" tint="-9.9978637043366805E-2"/>
        <bgColor indexed="64"/>
      </patternFill>
    </fill>
  </fills>
  <borders count="157">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55"/>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thin">
        <color indexed="55"/>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bottom/>
      <diagonal/>
    </border>
    <border>
      <left style="thin">
        <color indexed="64"/>
      </left>
      <right style="medium">
        <color indexed="64"/>
      </right>
      <top/>
      <bottom/>
      <diagonal/>
    </border>
    <border>
      <left/>
      <right style="thin">
        <color indexed="64"/>
      </right>
      <top/>
      <bottom/>
      <diagonal/>
    </border>
    <border>
      <left style="medium">
        <color indexed="64"/>
      </left>
      <right style="medium">
        <color indexed="64"/>
      </right>
      <top/>
      <bottom style="thin">
        <color indexed="64"/>
      </bottom>
      <diagonal/>
    </border>
    <border>
      <left/>
      <right style="medium">
        <color indexed="64"/>
      </right>
      <top/>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style="medium">
        <color indexed="64"/>
      </left>
      <right style="medium">
        <color indexed="64"/>
      </right>
      <top/>
      <bottom style="thin">
        <color indexed="55"/>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medium">
        <color indexed="64"/>
      </top>
      <bottom style="thin">
        <color auto="1"/>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indexed="64"/>
      </left>
      <right style="medium">
        <color indexed="64"/>
      </right>
      <top style="medium">
        <color indexed="64"/>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top style="thin">
        <color auto="1"/>
      </top>
      <bottom/>
      <diagonal/>
    </border>
    <border>
      <left style="thin">
        <color indexed="64"/>
      </left>
      <right/>
      <top style="medium">
        <color indexed="64"/>
      </top>
      <bottom style="thin">
        <color indexed="55"/>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auto="1"/>
      </top>
      <bottom style="thin">
        <color auto="1"/>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thin">
        <color indexed="64"/>
      </top>
      <bottom style="thin">
        <color indexed="64"/>
      </bottom>
      <diagonal/>
    </border>
    <border>
      <left style="thin">
        <color auto="1"/>
      </left>
      <right style="thin">
        <color auto="1"/>
      </right>
      <top style="medium">
        <color indexed="64"/>
      </top>
      <bottom style="thin">
        <color auto="1"/>
      </bottom>
      <diagonal/>
    </border>
    <border>
      <left style="thin">
        <color indexed="64"/>
      </left>
      <right/>
      <top style="medium">
        <color indexed="64"/>
      </top>
      <bottom style="thin">
        <color indexed="64"/>
      </bottom>
      <diagonal/>
    </border>
    <border>
      <left style="thin">
        <color auto="1"/>
      </left>
      <right/>
      <top style="thin">
        <color auto="1"/>
      </top>
      <bottom/>
      <diagonal/>
    </border>
    <border>
      <left style="medium">
        <color indexed="64"/>
      </left>
      <right style="thin">
        <color auto="1"/>
      </right>
      <top/>
      <bottom style="thin">
        <color auto="1"/>
      </bottom>
      <diagonal/>
    </border>
    <border>
      <left style="thin">
        <color indexed="64"/>
      </left>
      <right style="medium">
        <color indexed="64"/>
      </right>
      <top/>
      <bottom style="thin">
        <color indexed="64"/>
      </bottom>
      <diagonal/>
    </border>
    <border>
      <left/>
      <right style="medium">
        <color rgb="FFFFD966"/>
      </right>
      <top/>
      <bottom/>
      <diagonal/>
    </border>
    <border>
      <left/>
      <right style="medium">
        <color rgb="FFFFD966"/>
      </right>
      <top/>
      <bottom style="medium">
        <color indexed="64"/>
      </bottom>
      <diagonal/>
    </border>
    <border>
      <left/>
      <right/>
      <top/>
      <bottom style="medium">
        <color rgb="FFFFE699"/>
      </bottom>
      <diagonal/>
    </border>
    <border>
      <left/>
      <right/>
      <top style="medium">
        <color rgb="FFFFE699"/>
      </top>
      <bottom/>
      <diagonal/>
    </border>
    <border>
      <left/>
      <right style="medium">
        <color rgb="FFFFE699"/>
      </right>
      <top style="medium">
        <color rgb="FFFFE699"/>
      </top>
      <bottom/>
      <diagonal/>
    </border>
    <border>
      <left/>
      <right style="medium">
        <color rgb="FFFFE699"/>
      </right>
      <top/>
      <bottom/>
      <diagonal/>
    </border>
    <border>
      <left/>
      <right style="medium">
        <color rgb="FFFFE699"/>
      </right>
      <top/>
      <bottom style="medium">
        <color rgb="FFFFE699"/>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auto="1"/>
      </left>
      <right style="thin">
        <color auto="1"/>
      </right>
      <top style="thin">
        <color auto="1"/>
      </top>
      <bottom style="thin">
        <color auto="1"/>
      </bottom>
      <diagonal/>
    </border>
    <border>
      <left/>
      <right/>
      <top/>
      <bottom style="thin">
        <color auto="1"/>
      </bottom>
      <diagonal/>
    </border>
    <border>
      <left style="medium">
        <color rgb="FF9CC2E5"/>
      </left>
      <right style="medium">
        <color rgb="FF9CC2E5"/>
      </right>
      <top style="medium">
        <color rgb="FF9CC2E5"/>
      </top>
      <bottom style="medium">
        <color rgb="FF9CC2E5"/>
      </bottom>
      <diagonal/>
    </border>
    <border>
      <left style="medium">
        <color rgb="FF9CC2E5"/>
      </left>
      <right/>
      <top/>
      <bottom/>
      <diagonal/>
    </border>
    <border>
      <left/>
      <right style="medium">
        <color rgb="FF9CC2E5"/>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right style="thin">
        <color theme="0" tint="-0.499984740745262"/>
      </right>
      <top style="thin">
        <color theme="0" tint="-0.499984740745262"/>
      </top>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right/>
      <top style="medium">
        <color theme="4" tint="-0.249977111117893"/>
      </top>
      <bottom/>
      <diagonal/>
    </border>
    <border>
      <left style="thin">
        <color theme="4" tint="0.39997558519241921"/>
      </left>
      <right style="thin">
        <color theme="4" tint="0.39997558519241921"/>
      </right>
      <top/>
      <bottom/>
      <diagonal/>
    </border>
    <border>
      <left/>
      <right/>
      <top style="thin">
        <color theme="4" tint="-0.249977111117893"/>
      </top>
      <bottom style="medium">
        <color theme="4" tint="-0.249977111117893"/>
      </bottom>
      <diagonal/>
    </border>
    <border>
      <left style="thin">
        <color theme="4" tint="0.39997558519241921"/>
      </left>
      <right style="thin">
        <color theme="4" tint="0.39997558519241921"/>
      </right>
      <top style="thin">
        <color theme="4" tint="-0.249977111117893"/>
      </top>
      <bottom style="medium">
        <color theme="4" tint="-0.249977111117893"/>
      </bottom>
      <diagonal/>
    </border>
    <border>
      <left style="medium">
        <color rgb="FF9CC2E5"/>
      </left>
      <right/>
      <top style="medium">
        <color rgb="FF9CC2E5"/>
      </top>
      <bottom style="medium">
        <color rgb="FF9CC2E5"/>
      </bottom>
      <diagonal/>
    </border>
    <border>
      <left/>
      <right/>
      <top style="medium">
        <color rgb="FF9CC2E5"/>
      </top>
      <bottom style="medium">
        <color rgb="FF9CC2E5"/>
      </bottom>
      <diagonal/>
    </border>
    <border>
      <left/>
      <right style="medium">
        <color rgb="FF9CC2E5"/>
      </right>
      <top style="medium">
        <color rgb="FF9CC2E5"/>
      </top>
      <bottom style="medium">
        <color rgb="FF9CC2E5"/>
      </bottom>
      <diagonal/>
    </border>
    <border>
      <left style="medium">
        <color rgb="FF9CC2E5"/>
      </left>
      <right/>
      <top/>
      <bottom style="medium">
        <color rgb="FF9CC2E5"/>
      </bottom>
      <diagonal/>
    </border>
    <border>
      <left/>
      <right/>
      <top/>
      <bottom style="medium">
        <color rgb="FF9CC2E5"/>
      </bottom>
      <diagonal/>
    </border>
    <border>
      <left/>
      <right style="medium">
        <color rgb="FF9CC2E5"/>
      </right>
      <top/>
      <bottom style="medium">
        <color rgb="FF9CC2E5"/>
      </bottom>
      <diagonal/>
    </border>
    <border>
      <left/>
      <right/>
      <top style="thin">
        <color indexed="64"/>
      </top>
      <bottom style="medium">
        <color indexed="64"/>
      </bottom>
      <diagonal/>
    </border>
    <border>
      <left/>
      <right/>
      <top/>
      <bottom style="double">
        <color indexed="64"/>
      </bottom>
      <diagonal/>
    </border>
    <border>
      <left/>
      <right style="thin">
        <color theme="5" tint="-0.249977111117893"/>
      </right>
      <top/>
      <bottom/>
      <diagonal/>
    </border>
    <border>
      <left style="medium">
        <color theme="5" tint="-0.249977111117893"/>
      </left>
      <right style="medium">
        <color theme="5" tint="-0.249977111117893"/>
      </right>
      <top style="medium">
        <color theme="5" tint="-0.249977111117893"/>
      </top>
      <bottom/>
      <diagonal/>
    </border>
    <border>
      <left style="medium">
        <color theme="5" tint="-0.249977111117893"/>
      </left>
      <right style="medium">
        <color theme="5" tint="-0.249977111117893"/>
      </right>
      <top/>
      <bottom style="double">
        <color indexed="64"/>
      </bottom>
      <diagonal/>
    </border>
    <border>
      <left style="medium">
        <color theme="5" tint="-0.249977111117893"/>
      </left>
      <right style="medium">
        <color theme="5" tint="-0.249977111117893"/>
      </right>
      <top/>
      <bottom/>
      <diagonal/>
    </border>
    <border>
      <left style="medium">
        <color theme="5" tint="-0.249977111117893"/>
      </left>
      <right style="medium">
        <color theme="5" tint="-0.249977111117893"/>
      </right>
      <top/>
      <bottom style="medium">
        <color theme="5" tint="-0.249977111117893"/>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s>
  <cellStyleXfs count="219">
    <xf numFmtId="0" fontId="0" fillId="0" borderId="0"/>
    <xf numFmtId="43" fontId="43" fillId="0" borderId="0" applyFont="0" applyFill="0" applyBorder="0" applyAlignment="0" applyProtection="0"/>
    <xf numFmtId="9" fontId="43" fillId="0" borderId="0" applyFont="0" applyFill="0" applyBorder="0" applyAlignment="0" applyProtection="0"/>
    <xf numFmtId="0" fontId="36" fillId="0" borderId="0"/>
    <xf numFmtId="9" fontId="41" fillId="0" borderId="0" applyFont="0" applyFill="0" applyBorder="0" applyAlignment="0" applyProtection="0"/>
    <xf numFmtId="43" fontId="41" fillId="0" borderId="0" applyFont="0" applyFill="0" applyBorder="0" applyAlignment="0" applyProtection="0"/>
    <xf numFmtId="9" fontId="41" fillId="0" borderId="0" applyFont="0" applyFill="0" applyBorder="0" applyAlignment="0" applyProtection="0"/>
    <xf numFmtId="0" fontId="44" fillId="0" borderId="0"/>
    <xf numFmtId="43" fontId="41" fillId="0" borderId="0" applyFont="0" applyFill="0" applyBorder="0" applyAlignment="0" applyProtection="0"/>
    <xf numFmtId="9" fontId="41" fillId="0" borderId="0" applyFont="0" applyFill="0" applyBorder="0" applyAlignment="0" applyProtection="0"/>
    <xf numFmtId="0" fontId="44" fillId="0" borderId="0"/>
    <xf numFmtId="43" fontId="44" fillId="0" borderId="0" applyFont="0" applyFill="0" applyBorder="0" applyAlignment="0" applyProtection="0"/>
    <xf numFmtId="43" fontId="41" fillId="0" borderId="0" applyFont="0" applyFill="0" applyBorder="0" applyAlignment="0" applyProtection="0"/>
    <xf numFmtId="0" fontId="35" fillId="0" borderId="0"/>
    <xf numFmtId="9" fontId="44" fillId="0" borderId="0" applyFont="0" applyFill="0" applyBorder="0" applyAlignment="0" applyProtection="0"/>
    <xf numFmtId="43" fontId="41" fillId="0" borderId="0" applyFont="0" applyFill="0" applyBorder="0" applyAlignment="0" applyProtection="0"/>
    <xf numFmtId="0" fontId="41" fillId="0" borderId="0"/>
    <xf numFmtId="43" fontId="41" fillId="0" borderId="0" applyFont="0" applyFill="0" applyBorder="0" applyAlignment="0" applyProtection="0"/>
    <xf numFmtId="0" fontId="47" fillId="0" borderId="0"/>
    <xf numFmtId="43" fontId="43" fillId="0" borderId="0" applyFont="0" applyFill="0" applyBorder="0" applyAlignment="0" applyProtection="0"/>
    <xf numFmtId="43" fontId="41" fillId="0" borderId="0" applyFont="0" applyFill="0" applyBorder="0" applyAlignment="0" applyProtection="0"/>
    <xf numFmtId="166" fontId="43" fillId="0" borderId="0" applyFont="0" applyFill="0" applyBorder="0" applyAlignment="0" applyProtection="0"/>
    <xf numFmtId="43" fontId="41" fillId="0" borderId="0" applyFont="0" applyFill="0" applyBorder="0" applyAlignment="0" applyProtection="0"/>
    <xf numFmtId="43" fontId="82" fillId="0" borderId="0" applyFont="0" applyFill="0" applyBorder="0" applyAlignment="0" applyProtection="0"/>
    <xf numFmtId="43" fontId="35" fillId="0" borderId="0" applyFont="0" applyFill="0" applyBorder="0" applyAlignment="0" applyProtection="0"/>
    <xf numFmtId="43" fontId="41" fillId="0" borderId="0" applyFont="0" applyFill="0" applyBorder="0" applyAlignment="0" applyProtection="0"/>
    <xf numFmtId="0" fontId="35" fillId="0" borderId="0"/>
    <xf numFmtId="0" fontId="85" fillId="2" borderId="0" applyNumberFormat="0" applyBorder="0" applyAlignment="0" applyProtection="0"/>
    <xf numFmtId="0" fontId="44" fillId="0" borderId="0"/>
    <xf numFmtId="43" fontId="44" fillId="0" borderId="0" applyFont="0" applyFill="0" applyBorder="0" applyAlignment="0" applyProtection="0"/>
    <xf numFmtId="43" fontId="44" fillId="0" borderId="0" applyFont="0" applyFill="0" applyBorder="0" applyAlignment="0" applyProtection="0"/>
    <xf numFmtId="9" fontId="44" fillId="0" borderId="0" applyFont="0" applyFill="0" applyBorder="0" applyAlignment="0" applyProtection="0"/>
    <xf numFmtId="0" fontId="34" fillId="0" borderId="0"/>
    <xf numFmtId="0" fontId="33" fillId="0" borderId="0"/>
    <xf numFmtId="9" fontId="33" fillId="0" borderId="0" applyFont="0" applyFill="0" applyBorder="0" applyAlignment="0" applyProtection="0"/>
    <xf numFmtId="0" fontId="33" fillId="0" borderId="0"/>
    <xf numFmtId="43" fontId="41" fillId="0" borderId="0" applyFont="0" applyFill="0" applyBorder="0" applyAlignment="0" applyProtection="0"/>
    <xf numFmtId="0" fontId="41" fillId="0" borderId="0"/>
    <xf numFmtId="0" fontId="41" fillId="0" borderId="0"/>
    <xf numFmtId="43" fontId="33" fillId="0" borderId="0" applyFont="0" applyFill="0" applyBorder="0" applyAlignment="0" applyProtection="0"/>
    <xf numFmtId="0" fontId="87" fillId="0" borderId="0"/>
    <xf numFmtId="0" fontId="96" fillId="0" borderId="0" applyNumberFormat="0" applyFill="0" applyBorder="0" applyAlignment="0" applyProtection="0"/>
    <xf numFmtId="0" fontId="44" fillId="0" borderId="0" applyNumberFormat="0" applyFill="0" applyBorder="0" applyAlignment="0" applyProtection="0"/>
    <xf numFmtId="0" fontId="32" fillId="0" borderId="0"/>
    <xf numFmtId="0" fontId="32" fillId="0" borderId="0"/>
    <xf numFmtId="0" fontId="41" fillId="0" borderId="0"/>
    <xf numFmtId="0" fontId="41" fillId="0" borderId="0"/>
    <xf numFmtId="0" fontId="44" fillId="0" borderId="0"/>
    <xf numFmtId="0" fontId="31" fillId="0" borderId="0"/>
    <xf numFmtId="43" fontId="31" fillId="0" borderId="0" applyFont="0" applyFill="0" applyBorder="0" applyAlignment="0" applyProtection="0"/>
    <xf numFmtId="43" fontId="43" fillId="0" borderId="0" applyFont="0" applyFill="0" applyBorder="0" applyAlignment="0" applyProtection="0"/>
    <xf numFmtId="0" fontId="44" fillId="0" borderId="0"/>
    <xf numFmtId="0" fontId="31" fillId="0" borderId="0"/>
    <xf numFmtId="0" fontId="109" fillId="0" borderId="0"/>
    <xf numFmtId="170" fontId="101" fillId="0" borderId="0"/>
    <xf numFmtId="0" fontId="30" fillId="0" borderId="0"/>
    <xf numFmtId="9" fontId="30" fillId="0" borderId="0" applyFont="0" applyFill="0" applyBorder="0" applyAlignment="0" applyProtection="0"/>
    <xf numFmtId="43" fontId="43" fillId="0" borderId="0" applyFont="0" applyFill="0" applyBorder="0" applyAlignment="0" applyProtection="0"/>
    <xf numFmtId="43" fontId="82" fillId="0" borderId="0" applyFont="0" applyFill="0" applyBorder="0" applyAlignment="0" applyProtection="0"/>
    <xf numFmtId="43" fontId="30" fillId="0" borderId="0" applyFont="0" applyFill="0" applyBorder="0" applyAlignment="0" applyProtection="0"/>
    <xf numFmtId="43" fontId="44" fillId="0" borderId="0" applyFont="0" applyFill="0" applyBorder="0" applyAlignment="0" applyProtection="0"/>
    <xf numFmtId="43" fontId="41" fillId="0" borderId="0" applyFont="0" applyFill="0" applyBorder="0" applyAlignment="0" applyProtection="0"/>
    <xf numFmtId="0" fontId="30" fillId="0" borderId="0"/>
    <xf numFmtId="43" fontId="30" fillId="0" borderId="0" applyFont="0" applyFill="0" applyBorder="0" applyAlignment="0" applyProtection="0"/>
    <xf numFmtId="0" fontId="29" fillId="0" borderId="0"/>
    <xf numFmtId="0" fontId="28" fillId="0" borderId="0"/>
    <xf numFmtId="0" fontId="26" fillId="0" borderId="0"/>
    <xf numFmtId="43" fontId="26" fillId="0" borderId="0" applyFont="0" applyFill="0" applyBorder="0" applyAlignment="0" applyProtection="0"/>
    <xf numFmtId="171" fontId="101" fillId="0" borderId="0" applyBorder="0" applyProtection="0"/>
    <xf numFmtId="172" fontId="101" fillId="0" borderId="0" applyBorder="0" applyProtection="0"/>
    <xf numFmtId="0" fontId="44" fillId="0" borderId="0"/>
    <xf numFmtId="0" fontId="25" fillId="0" borderId="0"/>
    <xf numFmtId="43" fontId="25" fillId="0" borderId="0" applyFont="0" applyFill="0" applyBorder="0" applyAlignment="0" applyProtection="0"/>
    <xf numFmtId="9" fontId="25" fillId="0" borderId="0" applyFont="0" applyFill="0" applyBorder="0" applyAlignment="0" applyProtection="0"/>
    <xf numFmtId="0" fontId="24" fillId="0" borderId="0"/>
    <xf numFmtId="43" fontId="24" fillId="0" borderId="0" applyFont="0" applyFill="0" applyBorder="0" applyAlignment="0" applyProtection="0"/>
    <xf numFmtId="0" fontId="132" fillId="0" borderId="0"/>
    <xf numFmtId="0" fontId="23" fillId="0" borderId="0"/>
    <xf numFmtId="43" fontId="23" fillId="0" borderId="0" applyFont="0" applyFill="0" applyBorder="0" applyAlignment="0" applyProtection="0"/>
    <xf numFmtId="165" fontId="23" fillId="0" borderId="0" applyFont="0" applyFill="0" applyBorder="0" applyAlignment="0" applyProtection="0"/>
    <xf numFmtId="9" fontId="23" fillId="0" borderId="0" applyFont="0" applyFill="0" applyBorder="0" applyAlignment="0" applyProtection="0"/>
    <xf numFmtId="43" fontId="43" fillId="0" borderId="0" applyFont="0" applyFill="0" applyBorder="0" applyAlignment="0" applyProtection="0"/>
    <xf numFmtId="0" fontId="22" fillId="0" borderId="0"/>
    <xf numFmtId="0" fontId="20" fillId="0" borderId="0"/>
    <xf numFmtId="0" fontId="19" fillId="0" borderId="0"/>
    <xf numFmtId="0" fontId="144" fillId="0" borderId="0" applyNumberFormat="0" applyProtection="0">
      <alignment vertical="top"/>
    </xf>
    <xf numFmtId="0" fontId="109" fillId="0" borderId="0"/>
    <xf numFmtId="43" fontId="19" fillId="0" borderId="0" applyFont="0" applyFill="0" applyBorder="0" applyAlignment="0" applyProtection="0"/>
    <xf numFmtId="0" fontId="19" fillId="0" borderId="0"/>
    <xf numFmtId="0" fontId="18" fillId="0" borderId="0"/>
    <xf numFmtId="0" fontId="17" fillId="0" borderId="0"/>
    <xf numFmtId="0" fontId="145" fillId="0" borderId="0" applyNumberFormat="0" applyFill="0" applyBorder="0" applyAlignment="0" applyProtection="0"/>
    <xf numFmtId="0" fontId="146" fillId="0" borderId="0"/>
    <xf numFmtId="0" fontId="16" fillId="0" borderId="0"/>
    <xf numFmtId="0" fontId="16" fillId="0" borderId="0"/>
    <xf numFmtId="9" fontId="44" fillId="0" borderId="0" applyFont="0" applyFill="0" applyBorder="0" applyAlignment="0" applyProtection="0"/>
    <xf numFmtId="0" fontId="15" fillId="0" borderId="0"/>
    <xf numFmtId="0" fontId="44" fillId="0" borderId="0"/>
    <xf numFmtId="43" fontId="44" fillId="0" borderId="0" applyFont="0" applyFill="0" applyBorder="0" applyAlignment="0" applyProtection="0"/>
    <xf numFmtId="43" fontId="15" fillId="0" borderId="0" applyFont="0" applyFill="0" applyBorder="0" applyAlignment="0" applyProtection="0"/>
    <xf numFmtId="0" fontId="43" fillId="0" borderId="0"/>
    <xf numFmtId="0" fontId="150" fillId="0" borderId="0" applyNumberFormat="0" applyFill="0" applyBorder="0" applyAlignment="0" applyProtection="0"/>
    <xf numFmtId="0" fontId="151" fillId="0" borderId="59" applyNumberFormat="0" applyFill="0" applyAlignment="0" applyProtection="0"/>
    <xf numFmtId="0" fontId="152" fillId="0" borderId="60" applyNumberFormat="0" applyFill="0" applyAlignment="0" applyProtection="0"/>
    <xf numFmtId="0" fontId="153" fillId="0" borderId="61" applyNumberFormat="0" applyFill="0" applyAlignment="0" applyProtection="0"/>
    <xf numFmtId="0" fontId="153" fillId="0" borderId="0" applyNumberFormat="0" applyFill="0" applyBorder="0" applyAlignment="0" applyProtection="0"/>
    <xf numFmtId="0" fontId="154" fillId="2" borderId="0" applyNumberFormat="0" applyBorder="0" applyAlignment="0" applyProtection="0"/>
    <xf numFmtId="0" fontId="155" fillId="26" borderId="0" applyNumberFormat="0" applyBorder="0" applyAlignment="0" applyProtection="0"/>
    <xf numFmtId="0" fontId="156" fillId="27" borderId="0" applyNumberFormat="0" applyBorder="0" applyAlignment="0" applyProtection="0"/>
    <xf numFmtId="0" fontId="157" fillId="28" borderId="62" applyNumberFormat="0" applyAlignment="0" applyProtection="0"/>
    <xf numFmtId="0" fontId="158" fillId="29" borderId="63" applyNumberFormat="0" applyAlignment="0" applyProtection="0"/>
    <xf numFmtId="0" fontId="159" fillId="29" borderId="62" applyNumberFormat="0" applyAlignment="0" applyProtection="0"/>
    <xf numFmtId="0" fontId="160" fillId="0" borderId="64" applyNumberFormat="0" applyFill="0" applyAlignment="0" applyProtection="0"/>
    <xf numFmtId="0" fontId="161" fillId="30" borderId="65" applyNumberFormat="0" applyAlignment="0" applyProtection="0"/>
    <xf numFmtId="0" fontId="37" fillId="0" borderId="0" applyNumberFormat="0" applyFill="0" applyBorder="0" applyAlignment="0" applyProtection="0"/>
    <xf numFmtId="0" fontId="162" fillId="0" borderId="0" applyNumberFormat="0" applyFill="0" applyBorder="0" applyAlignment="0" applyProtection="0"/>
    <xf numFmtId="0" fontId="92" fillId="0" borderId="67" applyNumberFormat="0" applyFill="0" applyAlignment="0" applyProtection="0"/>
    <xf numFmtId="0" fontId="163" fillId="32" borderId="0" applyNumberFormat="0" applyBorder="0" applyAlignment="0" applyProtection="0"/>
    <xf numFmtId="0" fontId="14" fillId="33" borderId="0" applyNumberFormat="0" applyBorder="0" applyAlignment="0" applyProtection="0"/>
    <xf numFmtId="0" fontId="14" fillId="34" borderId="0" applyNumberFormat="0" applyBorder="0" applyAlignment="0" applyProtection="0"/>
    <xf numFmtId="0" fontId="163" fillId="35" borderId="0" applyNumberFormat="0" applyBorder="0" applyAlignment="0" applyProtection="0"/>
    <xf numFmtId="0" fontId="163" fillId="36" borderId="0" applyNumberFormat="0" applyBorder="0" applyAlignment="0" applyProtection="0"/>
    <xf numFmtId="0" fontId="14" fillId="37" borderId="0" applyNumberFormat="0" applyBorder="0" applyAlignment="0" applyProtection="0"/>
    <xf numFmtId="0" fontId="14" fillId="38" borderId="0" applyNumberFormat="0" applyBorder="0" applyAlignment="0" applyProtection="0"/>
    <xf numFmtId="0" fontId="163" fillId="39" borderId="0" applyNumberFormat="0" applyBorder="0" applyAlignment="0" applyProtection="0"/>
    <xf numFmtId="0" fontId="163" fillId="40" borderId="0" applyNumberFormat="0" applyBorder="0" applyAlignment="0" applyProtection="0"/>
    <xf numFmtId="0" fontId="14" fillId="41" borderId="0" applyNumberFormat="0" applyBorder="0" applyAlignment="0" applyProtection="0"/>
    <xf numFmtId="0" fontId="14" fillId="42" borderId="0" applyNumberFormat="0" applyBorder="0" applyAlignment="0" applyProtection="0"/>
    <xf numFmtId="0" fontId="163" fillId="43" borderId="0" applyNumberFormat="0" applyBorder="0" applyAlignment="0" applyProtection="0"/>
    <xf numFmtId="0" fontId="163" fillId="44" borderId="0" applyNumberFormat="0" applyBorder="0" applyAlignment="0" applyProtection="0"/>
    <xf numFmtId="0" fontId="14" fillId="45" borderId="0" applyNumberFormat="0" applyBorder="0" applyAlignment="0" applyProtection="0"/>
    <xf numFmtId="0" fontId="14" fillId="46" borderId="0" applyNumberFormat="0" applyBorder="0" applyAlignment="0" applyProtection="0"/>
    <xf numFmtId="0" fontId="163" fillId="47" borderId="0" applyNumberFormat="0" applyBorder="0" applyAlignment="0" applyProtection="0"/>
    <xf numFmtId="0" fontId="163" fillId="48" borderId="0" applyNumberFormat="0" applyBorder="0" applyAlignment="0" applyProtection="0"/>
    <xf numFmtId="0" fontId="14" fillId="49" borderId="0" applyNumberFormat="0" applyBorder="0" applyAlignment="0" applyProtection="0"/>
    <xf numFmtId="0" fontId="14" fillId="50" borderId="0" applyNumberFormat="0" applyBorder="0" applyAlignment="0" applyProtection="0"/>
    <xf numFmtId="0" fontId="163" fillId="51" borderId="0" applyNumberFormat="0" applyBorder="0" applyAlignment="0" applyProtection="0"/>
    <xf numFmtId="0" fontId="163" fillId="52" borderId="0" applyNumberFormat="0" applyBorder="0" applyAlignment="0" applyProtection="0"/>
    <xf numFmtId="0" fontId="14" fillId="53" borderId="0" applyNumberFormat="0" applyBorder="0" applyAlignment="0" applyProtection="0"/>
    <xf numFmtId="0" fontId="14" fillId="54" borderId="0" applyNumberFormat="0" applyBorder="0" applyAlignment="0" applyProtection="0"/>
    <xf numFmtId="0" fontId="163" fillId="55" borderId="0" applyNumberFormat="0" applyBorder="0" applyAlignment="0" applyProtection="0"/>
    <xf numFmtId="0" fontId="14" fillId="0" borderId="0"/>
    <xf numFmtId="0" fontId="14" fillId="31" borderId="66" applyNumberFormat="0" applyFont="0" applyAlignment="0" applyProtection="0"/>
    <xf numFmtId="0" fontId="13" fillId="0" borderId="0"/>
    <xf numFmtId="43" fontId="13" fillId="0" borderId="0" applyFont="0" applyFill="0" applyBorder="0" applyAlignment="0" applyProtection="0"/>
    <xf numFmtId="43" fontId="146" fillId="0" borderId="0" applyFont="0" applyFill="0" applyBorder="0" applyAlignment="0" applyProtection="0"/>
    <xf numFmtId="0" fontId="12" fillId="0" borderId="0"/>
    <xf numFmtId="0" fontId="12" fillId="31" borderId="66" applyNumberFormat="0" applyFont="0" applyAlignment="0" applyProtection="0"/>
    <xf numFmtId="0" fontId="12" fillId="33" borderId="0" applyNumberFormat="0" applyBorder="0" applyAlignment="0" applyProtection="0"/>
    <xf numFmtId="0" fontId="12" fillId="34" borderId="0" applyNumberFormat="0" applyBorder="0" applyAlignment="0" applyProtection="0"/>
    <xf numFmtId="0" fontId="12" fillId="37" borderId="0" applyNumberFormat="0" applyBorder="0" applyAlignment="0" applyProtection="0"/>
    <xf numFmtId="0" fontId="12" fillId="38" borderId="0" applyNumberFormat="0" applyBorder="0" applyAlignment="0" applyProtection="0"/>
    <xf numFmtId="0" fontId="12" fillId="41" borderId="0" applyNumberFormat="0" applyBorder="0" applyAlignment="0" applyProtection="0"/>
    <xf numFmtId="0" fontId="12" fillId="42" borderId="0" applyNumberFormat="0" applyBorder="0" applyAlignment="0" applyProtection="0"/>
    <xf numFmtId="0" fontId="12" fillId="45" borderId="0" applyNumberFormat="0" applyBorder="0" applyAlignment="0" applyProtection="0"/>
    <xf numFmtId="0" fontId="12" fillId="46" borderId="0" applyNumberFormat="0" applyBorder="0" applyAlignment="0" applyProtection="0"/>
    <xf numFmtId="0" fontId="12" fillId="49" borderId="0" applyNumberFormat="0" applyBorder="0" applyAlignment="0" applyProtection="0"/>
    <xf numFmtId="0" fontId="12" fillId="50" borderId="0" applyNumberFormat="0" applyBorder="0" applyAlignment="0" applyProtection="0"/>
    <xf numFmtId="0" fontId="12" fillId="53" borderId="0" applyNumberFormat="0" applyBorder="0" applyAlignment="0" applyProtection="0"/>
    <xf numFmtId="0" fontId="12" fillId="54" borderId="0" applyNumberFormat="0" applyBorder="0" applyAlignment="0" applyProtection="0"/>
    <xf numFmtId="0" fontId="75" fillId="0" borderId="0" pivotButton="1"/>
    <xf numFmtId="43" fontId="75" fillId="0" borderId="0" applyFont="0" applyFill="0" applyBorder="0" applyAlignment="0" applyProtection="0"/>
    <xf numFmtId="0" fontId="146" fillId="0" borderId="0"/>
    <xf numFmtId="0" fontId="142" fillId="0" borderId="0"/>
    <xf numFmtId="0" fontId="44" fillId="0" borderId="0"/>
    <xf numFmtId="43" fontId="44" fillId="0" borderId="0" applyFont="0" applyFill="0" applyBorder="0" applyAlignment="0" applyProtection="0"/>
    <xf numFmtId="0" fontId="11" fillId="0" borderId="0"/>
    <xf numFmtId="0" fontId="44" fillId="0" borderId="0" applyBorder="0"/>
    <xf numFmtId="0" fontId="11" fillId="0" borderId="0"/>
    <xf numFmtId="0" fontId="167" fillId="0" borderId="0"/>
    <xf numFmtId="0" fontId="43" fillId="0" borderId="0"/>
    <xf numFmtId="9" fontId="43" fillId="0" borderId="0" applyFont="0" applyFill="0" applyBorder="0" applyAlignment="0" applyProtection="0"/>
    <xf numFmtId="0" fontId="10" fillId="0" borderId="0"/>
    <xf numFmtId="0" fontId="181" fillId="0" borderId="0" applyNumberFormat="0" applyFill="0" applyBorder="0" applyAlignment="0" applyProtection="0"/>
    <xf numFmtId="0" fontId="9" fillId="0" borderId="0"/>
    <xf numFmtId="0" fontId="8" fillId="0" borderId="0"/>
    <xf numFmtId="0" fontId="191" fillId="27" borderId="0" applyNumberFormat="0" applyBorder="0" applyAlignment="0" applyProtection="0"/>
    <xf numFmtId="0" fontId="8" fillId="31" borderId="66" applyNumberFormat="0" applyFont="0" applyAlignment="0" applyProtection="0"/>
    <xf numFmtId="0" fontId="8" fillId="33" borderId="0" applyNumberFormat="0" applyBorder="0" applyAlignment="0" applyProtection="0"/>
    <xf numFmtId="0" fontId="8" fillId="34" borderId="0" applyNumberFormat="0" applyBorder="0" applyAlignment="0" applyProtection="0"/>
    <xf numFmtId="0" fontId="8" fillId="35" borderId="0" applyNumberFormat="0" applyBorder="0" applyAlignment="0" applyProtection="0"/>
    <xf numFmtId="0" fontId="8" fillId="37" borderId="0" applyNumberFormat="0" applyBorder="0" applyAlignment="0" applyProtection="0"/>
    <xf numFmtId="0" fontId="8" fillId="38" borderId="0" applyNumberFormat="0" applyBorder="0" applyAlignment="0" applyProtection="0"/>
    <xf numFmtId="0" fontId="8" fillId="39" borderId="0" applyNumberFormat="0" applyBorder="0" applyAlignment="0" applyProtection="0"/>
    <xf numFmtId="0" fontId="8" fillId="41" borderId="0" applyNumberFormat="0" applyBorder="0" applyAlignment="0" applyProtection="0"/>
    <xf numFmtId="0" fontId="8" fillId="42" borderId="0" applyNumberFormat="0" applyBorder="0" applyAlignment="0" applyProtection="0"/>
    <xf numFmtId="0" fontId="8" fillId="43" borderId="0" applyNumberFormat="0" applyBorder="0" applyAlignment="0" applyProtection="0"/>
    <xf numFmtId="0" fontId="8" fillId="45" borderId="0" applyNumberFormat="0" applyBorder="0" applyAlignment="0" applyProtection="0"/>
    <xf numFmtId="0" fontId="8" fillId="46" borderId="0" applyNumberFormat="0" applyBorder="0" applyAlignment="0" applyProtection="0"/>
    <xf numFmtId="0" fontId="8" fillId="47" borderId="0" applyNumberFormat="0" applyBorder="0" applyAlignment="0" applyProtection="0"/>
    <xf numFmtId="0" fontId="8" fillId="49" borderId="0" applyNumberFormat="0" applyBorder="0" applyAlignment="0" applyProtection="0"/>
    <xf numFmtId="0" fontId="8" fillId="50" borderId="0" applyNumberFormat="0" applyBorder="0" applyAlignment="0" applyProtection="0"/>
    <xf numFmtId="0" fontId="8" fillId="51" borderId="0" applyNumberFormat="0" applyBorder="0" applyAlignment="0" applyProtection="0"/>
    <xf numFmtId="0" fontId="8" fillId="53" borderId="0" applyNumberFormat="0" applyBorder="0" applyAlignment="0" applyProtection="0"/>
    <xf numFmtId="0" fontId="8" fillId="54" borderId="0" applyNumberFormat="0" applyBorder="0" applyAlignment="0" applyProtection="0"/>
    <xf numFmtId="0" fontId="8" fillId="55" borderId="0" applyNumberFormat="0" applyBorder="0" applyAlignment="0" applyProtection="0"/>
    <xf numFmtId="0" fontId="7" fillId="0" borderId="0"/>
    <xf numFmtId="0" fontId="44" fillId="0" borderId="0" applyNumberFormat="0"/>
    <xf numFmtId="0" fontId="209" fillId="0" borderId="0" applyNumberFormat="0" applyFill="0" applyBorder="0" applyAlignment="0" applyProtection="0">
      <alignment vertical="top"/>
      <protection locked="0"/>
    </xf>
    <xf numFmtId="0" fontId="6" fillId="0" borderId="0"/>
    <xf numFmtId="0" fontId="6" fillId="0" borderId="0"/>
    <xf numFmtId="0" fontId="5" fillId="0" borderId="0"/>
    <xf numFmtId="43" fontId="5" fillId="0" borderId="0" applyFont="0" applyFill="0" applyBorder="0" applyAlignment="0" applyProtection="0"/>
    <xf numFmtId="0" fontId="3" fillId="0" borderId="0"/>
    <xf numFmtId="0" fontId="3" fillId="0" borderId="0"/>
    <xf numFmtId="0" fontId="211" fillId="0" borderId="0">
      <alignment horizontal="left" wrapText="1"/>
    </xf>
    <xf numFmtId="0" fontId="257" fillId="0" borderId="0">
      <alignment horizontal="right"/>
    </xf>
    <xf numFmtId="0" fontId="147" fillId="0" borderId="0">
      <alignment horizontal="left" wrapText="1"/>
    </xf>
    <xf numFmtId="0" fontId="258" fillId="0" borderId="0">
      <alignment vertical="top" wrapText="1"/>
    </xf>
    <xf numFmtId="0" fontId="182" fillId="0" borderId="0">
      <alignment horizontal="right" indent="1"/>
    </xf>
    <xf numFmtId="14" fontId="147" fillId="0" borderId="0" applyFont="0" applyFill="0" applyBorder="0" applyAlignment="0" applyProtection="0">
      <alignment horizontal="left"/>
    </xf>
    <xf numFmtId="174" fontId="147" fillId="0" borderId="0" applyFont="0" applyFill="0" applyBorder="0" applyProtection="0">
      <alignment horizontal="left" vertical="top" wrapText="1"/>
    </xf>
    <xf numFmtId="0" fontId="182" fillId="0" borderId="0">
      <alignment horizontal="left" vertical="top"/>
    </xf>
    <xf numFmtId="0" fontId="259" fillId="0" borderId="0">
      <alignment horizontal="right" indent="1"/>
    </xf>
    <xf numFmtId="0" fontId="147" fillId="0" borderId="0">
      <alignment horizontal="left" vertical="top" wrapText="1"/>
    </xf>
    <xf numFmtId="175" fontId="147" fillId="0" borderId="0" applyFont="0" applyFill="0" applyBorder="0" applyProtection="0">
      <alignment horizontal="right"/>
    </xf>
    <xf numFmtId="0" fontId="182" fillId="0" borderId="0">
      <alignment horizontal="center" wrapText="1"/>
    </xf>
    <xf numFmtId="0" fontId="1" fillId="0" borderId="0"/>
    <xf numFmtId="43" fontId="1" fillId="0" borderId="0" applyFont="0" applyFill="0" applyBorder="0" applyAlignment="0" applyProtection="0"/>
  </cellStyleXfs>
  <cellXfs count="1647">
    <xf numFmtId="0" fontId="0" fillId="0" borderId="0" xfId="0"/>
    <xf numFmtId="3" fontId="40" fillId="3" borderId="11" xfId="3" applyNumberFormat="1" applyFont="1" applyFill="1" applyBorder="1"/>
    <xf numFmtId="0" fontId="46" fillId="0" borderId="3" xfId="7" applyFont="1" applyBorder="1" applyAlignment="1">
      <alignment horizontal="center" vertical="center" wrapText="1"/>
    </xf>
    <xf numFmtId="0" fontId="54" fillId="0" borderId="0" xfId="10" applyFont="1"/>
    <xf numFmtId="0" fontId="54" fillId="0" borderId="0" xfId="10" applyFont="1" applyAlignment="1">
      <alignment horizontal="right"/>
    </xf>
    <xf numFmtId="167" fontId="54" fillId="0" borderId="0" xfId="11" applyNumberFormat="1" applyFont="1" applyFill="1"/>
    <xf numFmtId="167" fontId="55" fillId="0" borderId="0" xfId="11" applyNumberFormat="1" applyFont="1" applyFill="1"/>
    <xf numFmtId="0" fontId="55" fillId="0" borderId="0" xfId="10" applyFont="1"/>
    <xf numFmtId="167" fontId="54" fillId="0" borderId="0" xfId="12" applyNumberFormat="1" applyFont="1" applyFill="1"/>
    <xf numFmtId="0" fontId="56" fillId="0" borderId="0" xfId="10" applyFont="1"/>
    <xf numFmtId="167" fontId="55" fillId="0" borderId="0" xfId="11" applyNumberFormat="1" applyFont="1"/>
    <xf numFmtId="167" fontId="54" fillId="0" borderId="0" xfId="11" applyNumberFormat="1" applyFont="1"/>
    <xf numFmtId="0" fontId="60" fillId="0" borderId="0" xfId="10" applyFont="1"/>
    <xf numFmtId="0" fontId="56" fillId="0" borderId="0" xfId="10" applyFont="1" applyAlignment="1">
      <alignment horizontal="right"/>
    </xf>
    <xf numFmtId="0" fontId="61" fillId="0" borderId="2" xfId="10" applyFont="1" applyBorder="1" applyAlignment="1">
      <alignment horizontal="center" vertical="center" wrapText="1"/>
    </xf>
    <xf numFmtId="167" fontId="61" fillId="0" borderId="4" xfId="11" applyNumberFormat="1" applyFont="1" applyBorder="1" applyAlignment="1">
      <alignment horizontal="center" vertical="center" wrapText="1"/>
    </xf>
    <xf numFmtId="167" fontId="56" fillId="0" borderId="3" xfId="12" applyNumberFormat="1" applyFont="1" applyBorder="1" applyAlignment="1">
      <alignment horizontal="center" vertical="center" wrapText="1"/>
    </xf>
    <xf numFmtId="167" fontId="56" fillId="0" borderId="3" xfId="11" applyNumberFormat="1" applyFont="1" applyBorder="1" applyAlignment="1">
      <alignment horizontal="center" vertical="center" wrapText="1"/>
    </xf>
    <xf numFmtId="0" fontId="61" fillId="0" borderId="21" xfId="10" applyFont="1" applyBorder="1" applyAlignment="1">
      <alignment horizontal="center" vertical="center" wrapText="1"/>
    </xf>
    <xf numFmtId="0" fontId="61" fillId="0" borderId="3" xfId="10" applyFont="1" applyBorder="1" applyAlignment="1">
      <alignment horizontal="center" vertical="center" wrapText="1"/>
    </xf>
    <xf numFmtId="0" fontId="54" fillId="0" borderId="0" xfId="10" applyFont="1" applyAlignment="1">
      <alignment wrapText="1"/>
    </xf>
    <xf numFmtId="0" fontId="63" fillId="0" borderId="24" xfId="10" applyFont="1" applyBorder="1" applyAlignment="1">
      <alignment vertical="center"/>
    </xf>
    <xf numFmtId="0" fontId="63" fillId="0" borderId="22" xfId="10" applyFont="1" applyBorder="1" applyAlignment="1">
      <alignment horizontal="center" vertical="center"/>
    </xf>
    <xf numFmtId="167" fontId="63" fillId="0" borderId="22" xfId="11" applyNumberFormat="1" applyFont="1" applyFill="1" applyBorder="1" applyAlignment="1">
      <alignment horizontal="center" vertical="center"/>
    </xf>
    <xf numFmtId="169" fontId="63" fillId="0" borderId="22" xfId="14" applyNumberFormat="1" applyFont="1" applyFill="1" applyBorder="1" applyAlignment="1">
      <alignment horizontal="center" vertical="center"/>
    </xf>
    <xf numFmtId="3" fontId="61" fillId="0" borderId="25" xfId="10" applyNumberFormat="1" applyFont="1" applyBorder="1" applyAlignment="1">
      <alignment vertical="center"/>
    </xf>
    <xf numFmtId="0" fontId="54" fillId="0" borderId="0" xfId="10" applyFont="1" applyAlignment="1">
      <alignment vertical="center"/>
    </xf>
    <xf numFmtId="0" fontId="63" fillId="0" borderId="26" xfId="10" applyFont="1" applyBorder="1" applyAlignment="1">
      <alignment vertical="center"/>
    </xf>
    <xf numFmtId="0" fontId="63" fillId="0" borderId="16" xfId="10" applyFont="1" applyBorder="1" applyAlignment="1">
      <alignment horizontal="center" vertical="center"/>
    </xf>
    <xf numFmtId="167" fontId="63" fillId="0" borderId="16" xfId="11" applyNumberFormat="1" applyFont="1" applyFill="1" applyBorder="1" applyAlignment="1">
      <alignment horizontal="center" vertical="center"/>
    </xf>
    <xf numFmtId="0" fontId="63" fillId="0" borderId="26" xfId="10" applyFont="1" applyBorder="1" applyAlignment="1">
      <alignment horizontal="center" vertical="center"/>
    </xf>
    <xf numFmtId="167" fontId="63" fillId="0" borderId="16" xfId="12" applyNumberFormat="1" applyFont="1" applyFill="1" applyBorder="1" applyAlignment="1">
      <alignment horizontal="center" vertical="center"/>
    </xf>
    <xf numFmtId="3" fontId="61" fillId="0" borderId="27" xfId="10" applyNumberFormat="1" applyFont="1" applyBorder="1" applyAlignment="1">
      <alignment vertical="center"/>
    </xf>
    <xf numFmtId="0" fontId="63" fillId="0" borderId="15" xfId="10" applyFont="1" applyBorder="1" applyAlignment="1">
      <alignment horizontal="center" vertical="center"/>
    </xf>
    <xf numFmtId="3" fontId="61" fillId="0" borderId="27" xfId="10" applyNumberFormat="1" applyFont="1" applyBorder="1" applyAlignment="1">
      <alignment horizontal="right" vertical="center"/>
    </xf>
    <xf numFmtId="0" fontId="63" fillId="0" borderId="32" xfId="10" applyFont="1" applyBorder="1" applyAlignment="1">
      <alignment horizontal="center" vertical="center"/>
    </xf>
    <xf numFmtId="14" fontId="63" fillId="0" borderId="24" xfId="10" applyNumberFormat="1" applyFont="1" applyBorder="1" applyAlignment="1">
      <alignment horizontal="right" vertical="center"/>
    </xf>
    <xf numFmtId="167" fontId="63" fillId="0" borderId="32" xfId="11" applyNumberFormat="1" applyFont="1" applyFill="1" applyBorder="1" applyAlignment="1">
      <alignment horizontal="center" vertical="center"/>
    </xf>
    <xf numFmtId="14" fontId="63" fillId="0" borderId="32" xfId="10" applyNumberFormat="1" applyFont="1" applyBorder="1" applyAlignment="1">
      <alignment horizontal="center" vertical="center"/>
    </xf>
    <xf numFmtId="10" fontId="63" fillId="0" borderId="32" xfId="10" applyNumberFormat="1" applyFont="1" applyBorder="1" applyAlignment="1">
      <alignment horizontal="center" vertical="center"/>
    </xf>
    <xf numFmtId="0" fontId="63" fillId="0" borderId="26" xfId="10" applyFont="1" applyBorder="1" applyAlignment="1">
      <alignment horizontal="right" vertical="center"/>
    </xf>
    <xf numFmtId="167" fontId="63" fillId="0" borderId="16" xfId="11" applyNumberFormat="1" applyFont="1" applyBorder="1" applyAlignment="1">
      <alignment horizontal="center" vertical="center"/>
    </xf>
    <xf numFmtId="0" fontId="56" fillId="0" borderId="0" xfId="10" applyFont="1" applyAlignment="1">
      <alignment vertical="center"/>
    </xf>
    <xf numFmtId="0" fontId="63" fillId="0" borderId="38" xfId="10" applyFont="1" applyBorder="1" applyAlignment="1">
      <alignment vertical="center"/>
    </xf>
    <xf numFmtId="14" fontId="63" fillId="0" borderId="38" xfId="10" applyNumberFormat="1" applyFont="1" applyBorder="1" applyAlignment="1">
      <alignment horizontal="right" vertical="center"/>
    </xf>
    <xf numFmtId="14" fontId="63" fillId="0" borderId="38" xfId="10" applyNumberFormat="1" applyFont="1" applyBorder="1" applyAlignment="1">
      <alignment horizontal="center" vertical="center"/>
    </xf>
    <xf numFmtId="167" fontId="64" fillId="0" borderId="39" xfId="11" applyNumberFormat="1" applyFont="1" applyFill="1" applyBorder="1" applyAlignment="1">
      <alignment horizontal="center" vertical="center"/>
    </xf>
    <xf numFmtId="0" fontId="63" fillId="0" borderId="39" xfId="10" applyFont="1" applyBorder="1" applyAlignment="1">
      <alignment horizontal="center" vertical="center"/>
    </xf>
    <xf numFmtId="3" fontId="61" fillId="0" borderId="40" xfId="10" applyNumberFormat="1" applyFont="1" applyBorder="1" applyAlignment="1">
      <alignment vertical="center"/>
    </xf>
    <xf numFmtId="0" fontId="63" fillId="0" borderId="41" xfId="10" applyFont="1" applyBorder="1" applyAlignment="1">
      <alignment horizontal="center" vertical="center"/>
    </xf>
    <xf numFmtId="3" fontId="61" fillId="0" borderId="29" xfId="10" applyNumberFormat="1" applyFont="1" applyBorder="1" applyAlignment="1">
      <alignment horizontal="right" vertical="center"/>
    </xf>
    <xf numFmtId="14" fontId="63" fillId="0" borderId="24" xfId="10" applyNumberFormat="1" applyFont="1" applyBorder="1" applyAlignment="1">
      <alignment horizontal="center" vertical="center"/>
    </xf>
    <xf numFmtId="14" fontId="63" fillId="0" borderId="39" xfId="10" applyNumberFormat="1" applyFont="1" applyBorder="1" applyAlignment="1">
      <alignment horizontal="center" vertical="center"/>
    </xf>
    <xf numFmtId="10" fontId="63" fillId="0" borderId="39" xfId="10" applyNumberFormat="1" applyFont="1" applyBorder="1" applyAlignment="1">
      <alignment horizontal="center" vertical="center"/>
    </xf>
    <xf numFmtId="167" fontId="63" fillId="0" borderId="39" xfId="12" applyNumberFormat="1" applyFont="1" applyFill="1" applyBorder="1" applyAlignment="1">
      <alignment horizontal="center" vertical="center"/>
    </xf>
    <xf numFmtId="167" fontId="63" fillId="0" borderId="39" xfId="11" applyNumberFormat="1" applyFont="1" applyFill="1" applyBorder="1" applyAlignment="1">
      <alignment horizontal="center" vertical="center"/>
    </xf>
    <xf numFmtId="0" fontId="63" fillId="0" borderId="38" xfId="10" applyFont="1" applyBorder="1" applyAlignment="1">
      <alignment horizontal="right" vertical="center"/>
    </xf>
    <xf numFmtId="3" fontId="61" fillId="0" borderId="25" xfId="10" applyNumberFormat="1" applyFont="1" applyBorder="1" applyAlignment="1">
      <alignment horizontal="right" vertical="center"/>
    </xf>
    <xf numFmtId="169" fontId="63" fillId="0" borderId="32" xfId="14" applyNumberFormat="1" applyFont="1" applyFill="1" applyBorder="1" applyAlignment="1">
      <alignment horizontal="center" vertical="center"/>
    </xf>
    <xf numFmtId="167" fontId="63" fillId="0" borderId="32" xfId="12" applyNumberFormat="1" applyFont="1" applyFill="1" applyBorder="1" applyAlignment="1">
      <alignment horizontal="center" vertical="center"/>
    </xf>
    <xf numFmtId="0" fontId="63" fillId="0" borderId="33" xfId="10" applyFont="1" applyBorder="1" applyAlignment="1">
      <alignment horizontal="center" vertical="center"/>
    </xf>
    <xf numFmtId="167" fontId="63" fillId="0" borderId="0" xfId="11" applyNumberFormat="1" applyFont="1" applyFill="1" applyBorder="1" applyAlignment="1">
      <alignment horizontal="center" vertical="center"/>
    </xf>
    <xf numFmtId="0" fontId="61" fillId="0" borderId="23" xfId="10" applyFont="1" applyBorder="1" applyAlignment="1">
      <alignment vertical="center"/>
    </xf>
    <xf numFmtId="3" fontId="61" fillId="0" borderId="0" xfId="10" applyNumberFormat="1" applyFont="1" applyAlignment="1">
      <alignment vertical="center"/>
    </xf>
    <xf numFmtId="0" fontId="63" fillId="0" borderId="0" xfId="10" applyFont="1" applyAlignment="1">
      <alignment vertical="center"/>
    </xf>
    <xf numFmtId="0" fontId="63" fillId="0" borderId="0" xfId="10" applyFont="1" applyAlignment="1">
      <alignment horizontal="center" vertical="center"/>
    </xf>
    <xf numFmtId="0" fontId="63" fillId="0" borderId="0" xfId="10" applyFont="1" applyAlignment="1">
      <alignment horizontal="right" vertical="center"/>
    </xf>
    <xf numFmtId="167" fontId="64" fillId="0" borderId="0" xfId="11" applyNumberFormat="1" applyFont="1" applyBorder="1" applyAlignment="1">
      <alignment horizontal="center" vertical="center"/>
    </xf>
    <xf numFmtId="167" fontId="63" fillId="0" borderId="0" xfId="11" applyNumberFormat="1" applyFont="1" applyBorder="1" applyAlignment="1">
      <alignment horizontal="center" vertical="center"/>
    </xf>
    <xf numFmtId="3" fontId="61" fillId="0" borderId="0" xfId="10" applyNumberFormat="1" applyFont="1" applyAlignment="1">
      <alignment horizontal="right" vertical="center"/>
    </xf>
    <xf numFmtId="0" fontId="63" fillId="0" borderId="30" xfId="10" applyFont="1" applyBorder="1" applyAlignment="1">
      <alignment vertical="center"/>
    </xf>
    <xf numFmtId="0" fontId="63" fillId="0" borderId="30" xfId="10" applyFont="1" applyBorder="1" applyAlignment="1">
      <alignment horizontal="center" vertical="center"/>
    </xf>
    <xf numFmtId="0" fontId="63" fillId="0" borderId="30" xfId="10" applyFont="1" applyBorder="1" applyAlignment="1">
      <alignment horizontal="right" vertical="center"/>
    </xf>
    <xf numFmtId="167" fontId="64" fillId="0" borderId="30" xfId="11" applyNumberFormat="1" applyFont="1" applyBorder="1" applyAlignment="1">
      <alignment horizontal="center" vertical="center"/>
    </xf>
    <xf numFmtId="167" fontId="63" fillId="0" borderId="30" xfId="11" applyNumberFormat="1" applyFont="1" applyBorder="1" applyAlignment="1">
      <alignment horizontal="center" vertical="center"/>
    </xf>
    <xf numFmtId="3" fontId="61" fillId="0" borderId="30" xfId="10" applyNumberFormat="1" applyFont="1" applyBorder="1" applyAlignment="1">
      <alignment vertical="center"/>
    </xf>
    <xf numFmtId="3" fontId="61" fillId="0" borderId="30" xfId="10" applyNumberFormat="1" applyFont="1" applyBorder="1" applyAlignment="1">
      <alignment horizontal="right" vertical="center"/>
    </xf>
    <xf numFmtId="0" fontId="63" fillId="0" borderId="39" xfId="10" applyFont="1" applyBorder="1" applyAlignment="1">
      <alignment vertical="center"/>
    </xf>
    <xf numFmtId="167" fontId="61" fillId="0" borderId="40" xfId="12" applyNumberFormat="1" applyFont="1" applyBorder="1" applyAlignment="1">
      <alignment horizontal="right" vertical="center"/>
    </xf>
    <xf numFmtId="0" fontId="63" fillId="0" borderId="16" xfId="10" applyFont="1" applyBorder="1" applyAlignment="1">
      <alignment vertical="center"/>
    </xf>
    <xf numFmtId="167" fontId="64" fillId="0" borderId="16" xfId="11" applyNumberFormat="1" applyFont="1" applyBorder="1" applyAlignment="1">
      <alignment horizontal="center" vertical="center"/>
    </xf>
    <xf numFmtId="167" fontId="64" fillId="0" borderId="0" xfId="11" applyNumberFormat="1" applyFont="1" applyAlignment="1">
      <alignment vertical="center"/>
    </xf>
    <xf numFmtId="167" fontId="63" fillId="0" borderId="0" xfId="11" applyNumberFormat="1" applyFont="1" applyAlignment="1">
      <alignment vertical="center"/>
    </xf>
    <xf numFmtId="3" fontId="63" fillId="0" borderId="0" xfId="10" applyNumberFormat="1" applyFont="1" applyAlignment="1">
      <alignment vertical="center"/>
    </xf>
    <xf numFmtId="0" fontId="61" fillId="0" borderId="0" xfId="10" applyFont="1" applyAlignment="1">
      <alignment vertical="center"/>
    </xf>
    <xf numFmtId="0" fontId="61" fillId="0" borderId="14" xfId="10" applyFont="1" applyBorder="1" applyAlignment="1">
      <alignment horizontal="center" vertical="center"/>
    </xf>
    <xf numFmtId="0" fontId="61" fillId="0" borderId="23" xfId="10" applyFont="1" applyBorder="1" applyAlignment="1">
      <alignment horizontal="right" vertical="center"/>
    </xf>
    <xf numFmtId="0" fontId="61" fillId="0" borderId="1" xfId="10" applyFont="1" applyBorder="1" applyAlignment="1">
      <alignment horizontal="center" vertical="center"/>
    </xf>
    <xf numFmtId="167" fontId="62" fillId="0" borderId="14" xfId="11" applyNumberFormat="1" applyFont="1" applyBorder="1" applyAlignment="1">
      <alignment horizontal="center" vertical="center"/>
    </xf>
    <xf numFmtId="167" fontId="61" fillId="0" borderId="14" xfId="11" applyNumberFormat="1" applyFont="1" applyBorder="1" applyAlignment="1">
      <alignment horizontal="center" vertical="center"/>
    </xf>
    <xf numFmtId="3" fontId="61" fillId="0" borderId="2" xfId="10" applyNumberFormat="1" applyFont="1" applyBorder="1" applyAlignment="1">
      <alignment vertical="center"/>
    </xf>
    <xf numFmtId="0" fontId="61" fillId="0" borderId="2" xfId="10" applyFont="1" applyBorder="1" applyAlignment="1">
      <alignment horizontal="center" vertical="center"/>
    </xf>
    <xf numFmtId="3" fontId="54" fillId="0" borderId="0" xfId="10" applyNumberFormat="1" applyFont="1"/>
    <xf numFmtId="3" fontId="56" fillId="0" borderId="0" xfId="10" applyNumberFormat="1" applyFont="1"/>
    <xf numFmtId="0" fontId="67" fillId="0" borderId="0" xfId="10" applyFont="1" applyAlignment="1">
      <alignment vertical="center"/>
    </xf>
    <xf numFmtId="0" fontId="54" fillId="0" borderId="0" xfId="10" applyFont="1" applyAlignment="1">
      <alignment horizontal="left"/>
    </xf>
    <xf numFmtId="0" fontId="56" fillId="0" borderId="30" xfId="10" applyFont="1" applyBorder="1" applyAlignment="1">
      <alignment horizontal="right"/>
    </xf>
    <xf numFmtId="167" fontId="54" fillId="0" borderId="0" xfId="11" applyNumberFormat="1" applyFont="1" applyAlignment="1">
      <alignment horizontal="left"/>
    </xf>
    <xf numFmtId="3" fontId="69" fillId="0" borderId="0" xfId="16" applyNumberFormat="1" applyFont="1"/>
    <xf numFmtId="0" fontId="69" fillId="0" borderId="0" xfId="16" applyFont="1"/>
    <xf numFmtId="0" fontId="70" fillId="0" borderId="0" xfId="16" applyFont="1"/>
    <xf numFmtId="0" fontId="60" fillId="0" borderId="0" xfId="10" applyFont="1" applyAlignment="1">
      <alignment horizontal="right"/>
    </xf>
    <xf numFmtId="167" fontId="60" fillId="0" borderId="0" xfId="11" applyNumberFormat="1" applyFont="1"/>
    <xf numFmtId="0" fontId="71" fillId="0" borderId="0" xfId="10" applyFont="1"/>
    <xf numFmtId="0" fontId="0" fillId="5" borderId="0" xfId="0" applyFill="1"/>
    <xf numFmtId="0" fontId="83" fillId="0" borderId="0" xfId="0" applyFont="1"/>
    <xf numFmtId="0" fontId="53" fillId="0" borderId="0" xfId="0" applyFont="1"/>
    <xf numFmtId="0" fontId="0" fillId="0" borderId="0" xfId="0" applyAlignment="1">
      <alignment wrapText="1"/>
    </xf>
    <xf numFmtId="167" fontId="0" fillId="0" borderId="0" xfId="1" applyNumberFormat="1" applyFont="1"/>
    <xf numFmtId="0" fontId="84" fillId="0" borderId="0" xfId="0" applyFont="1"/>
    <xf numFmtId="0" fontId="90" fillId="0" borderId="0" xfId="0" applyFont="1"/>
    <xf numFmtId="167" fontId="0" fillId="0" borderId="0" xfId="0" applyNumberFormat="1"/>
    <xf numFmtId="0" fontId="42" fillId="0" borderId="1" xfId="43" applyFont="1" applyBorder="1" applyAlignment="1">
      <alignment horizontal="center" vertical="center"/>
    </xf>
    <xf numFmtId="0" fontId="42" fillId="0" borderId="2" xfId="43" applyFont="1" applyBorder="1" applyAlignment="1">
      <alignment horizontal="center" vertical="center" wrapText="1"/>
    </xf>
    <xf numFmtId="0" fontId="42" fillId="3" borderId="6" xfId="43" applyFont="1" applyFill="1" applyBorder="1"/>
    <xf numFmtId="0" fontId="42" fillId="3" borderId="7" xfId="43" applyFont="1" applyFill="1" applyBorder="1" applyAlignment="1">
      <alignment wrapText="1"/>
    </xf>
    <xf numFmtId="3" fontId="42" fillId="3" borderId="8" xfId="43" applyNumberFormat="1" applyFont="1" applyFill="1" applyBorder="1"/>
    <xf numFmtId="0" fontId="42" fillId="4" borderId="6" xfId="43" quotePrefix="1" applyFont="1" applyFill="1" applyBorder="1"/>
    <xf numFmtId="0" fontId="42" fillId="4" borderId="7" xfId="43" applyFont="1" applyFill="1" applyBorder="1" applyAlignment="1">
      <alignment wrapText="1"/>
    </xf>
    <xf numFmtId="3" fontId="42" fillId="4" borderId="8" xfId="43" applyNumberFormat="1" applyFont="1" applyFill="1" applyBorder="1"/>
    <xf numFmtId="0" fontId="38" fillId="0" borderId="9" xfId="43" applyFont="1" applyBorder="1" applyAlignment="1">
      <alignment horizontal="left" indent="1"/>
    </xf>
    <xf numFmtId="0" fontId="38" fillId="0" borderId="10" xfId="43" applyFont="1" applyBorder="1" applyAlignment="1">
      <alignment horizontal="left" wrapText="1" indent="2"/>
    </xf>
    <xf numFmtId="3" fontId="38" fillId="0" borderId="11" xfId="43" applyNumberFormat="1" applyFont="1" applyBorder="1"/>
    <xf numFmtId="3" fontId="39" fillId="0" borderId="11" xfId="43" applyNumberFormat="1" applyFont="1" applyBorder="1"/>
    <xf numFmtId="0" fontId="42" fillId="4" borderId="9" xfId="43" applyFont="1" applyFill="1" applyBorder="1"/>
    <xf numFmtId="0" fontId="42" fillId="4" borderId="10" xfId="43" applyFont="1" applyFill="1" applyBorder="1" applyAlignment="1">
      <alignment wrapText="1"/>
    </xf>
    <xf numFmtId="3" fontId="42" fillId="4" borderId="11" xfId="43" applyNumberFormat="1" applyFont="1" applyFill="1" applyBorder="1"/>
    <xf numFmtId="3" fontId="46" fillId="4" borderId="11" xfId="43" applyNumberFormat="1" applyFont="1" applyFill="1" applyBorder="1"/>
    <xf numFmtId="3" fontId="38" fillId="0" borderId="12" xfId="43" applyNumberFormat="1" applyFont="1" applyBorder="1"/>
    <xf numFmtId="0" fontId="42" fillId="4" borderId="9" xfId="43" quotePrefix="1" applyFont="1" applyFill="1" applyBorder="1"/>
    <xf numFmtId="0" fontId="38" fillId="3" borderId="9" xfId="43" applyFont="1" applyFill="1" applyBorder="1" applyAlignment="1">
      <alignment horizontal="left" indent="1"/>
    </xf>
    <xf numFmtId="0" fontId="38" fillId="3" borderId="10" xfId="43" applyFont="1" applyFill="1" applyBorder="1" applyAlignment="1">
      <alignment horizontal="left" wrapText="1" indent="2"/>
    </xf>
    <xf numFmtId="3" fontId="38" fillId="3" borderId="11" xfId="43" applyNumberFormat="1" applyFont="1" applyFill="1" applyBorder="1"/>
    <xf numFmtId="0" fontId="38" fillId="6" borderId="9" xfId="43" applyFont="1" applyFill="1" applyBorder="1" applyAlignment="1">
      <alignment horizontal="left" indent="2"/>
    </xf>
    <xf numFmtId="0" fontId="38" fillId="6" borderId="10" xfId="43" applyFont="1" applyFill="1" applyBorder="1" applyAlignment="1">
      <alignment horizontal="left" wrapText="1" indent="3"/>
    </xf>
    <xf numFmtId="0" fontId="42" fillId="0" borderId="13" xfId="43" applyFont="1" applyBorder="1"/>
    <xf numFmtId="0" fontId="42" fillId="0" borderId="14" xfId="43" applyFont="1" applyBorder="1" applyAlignment="1">
      <alignment horizontal="right" wrapText="1"/>
    </xf>
    <xf numFmtId="49" fontId="38" fillId="0" borderId="10" xfId="43" applyNumberFormat="1" applyFont="1" applyBorder="1" applyAlignment="1">
      <alignment horizontal="left" wrapText="1" indent="4"/>
    </xf>
    <xf numFmtId="49" fontId="42" fillId="4" borderId="18" xfId="43" applyNumberFormat="1" applyFont="1" applyFill="1" applyBorder="1" applyAlignment="1">
      <alignment horizontal="left" indent="2"/>
    </xf>
    <xf numFmtId="49" fontId="42" fillId="4" borderId="19" xfId="43" applyNumberFormat="1" applyFont="1" applyFill="1" applyBorder="1" applyAlignment="1">
      <alignment wrapText="1"/>
    </xf>
    <xf numFmtId="3" fontId="42" fillId="4" borderId="20" xfId="43" applyNumberFormat="1" applyFont="1" applyFill="1" applyBorder="1"/>
    <xf numFmtId="49" fontId="38" fillId="3" borderId="9" xfId="43" applyNumberFormat="1" applyFont="1" applyFill="1" applyBorder="1" applyAlignment="1">
      <alignment horizontal="left" indent="1"/>
    </xf>
    <xf numFmtId="49" fontId="38" fillId="3" borderId="10" xfId="43" applyNumberFormat="1" applyFont="1" applyFill="1" applyBorder="1" applyAlignment="1">
      <alignment horizontal="left" wrapText="1" indent="2"/>
    </xf>
    <xf numFmtId="49" fontId="42" fillId="4" borderId="9" xfId="43" applyNumberFormat="1" applyFont="1" applyFill="1" applyBorder="1"/>
    <xf numFmtId="49" fontId="42" fillId="4" borderId="10" xfId="43" applyNumberFormat="1" applyFont="1" applyFill="1" applyBorder="1" applyAlignment="1">
      <alignment wrapText="1"/>
    </xf>
    <xf numFmtId="49" fontId="42" fillId="3" borderId="10" xfId="43" applyNumberFormat="1" applyFont="1" applyFill="1" applyBorder="1" applyAlignment="1">
      <alignment horizontal="left" wrapText="1" indent="2"/>
    </xf>
    <xf numFmtId="3" fontId="42" fillId="3" borderId="11" xfId="43" applyNumberFormat="1" applyFont="1" applyFill="1" applyBorder="1"/>
    <xf numFmtId="49" fontId="38" fillId="0" borderId="9" xfId="43" applyNumberFormat="1" applyFont="1" applyBorder="1" applyAlignment="1">
      <alignment horizontal="left" indent="2"/>
    </xf>
    <xf numFmtId="3" fontId="52" fillId="3" borderId="11" xfId="43" applyNumberFormat="1" applyFont="1" applyFill="1" applyBorder="1"/>
    <xf numFmtId="49" fontId="38" fillId="6" borderId="9" xfId="43" applyNumberFormat="1" applyFont="1" applyFill="1" applyBorder="1" applyAlignment="1">
      <alignment horizontal="left" indent="2"/>
    </xf>
    <xf numFmtId="49" fontId="38" fillId="6" borderId="10" xfId="43" applyNumberFormat="1" applyFont="1" applyFill="1" applyBorder="1" applyAlignment="1">
      <alignment horizontal="left" wrapText="1" indent="4"/>
    </xf>
    <xf numFmtId="49" fontId="42" fillId="3" borderId="9" xfId="43" applyNumberFormat="1" applyFont="1" applyFill="1" applyBorder="1" applyAlignment="1">
      <alignment horizontal="left" indent="1"/>
    </xf>
    <xf numFmtId="3" fontId="42" fillId="0" borderId="0" xfId="43" applyNumberFormat="1" applyFont="1"/>
    <xf numFmtId="3" fontId="38" fillId="5" borderId="11" xfId="43" applyNumberFormat="1" applyFont="1" applyFill="1" applyBorder="1"/>
    <xf numFmtId="3" fontId="40" fillId="5" borderId="11" xfId="43" applyNumberFormat="1" applyFont="1" applyFill="1" applyBorder="1"/>
    <xf numFmtId="0" fontId="43" fillId="0" borderId="0" xfId="0" applyFont="1"/>
    <xf numFmtId="2" fontId="102" fillId="0" borderId="0" xfId="0" applyNumberFormat="1" applyFont="1"/>
    <xf numFmtId="9" fontId="0" fillId="0" borderId="0" xfId="2" applyFont="1"/>
    <xf numFmtId="0" fontId="0" fillId="0" borderId="0" xfId="0" applyAlignment="1">
      <alignment horizontal="right"/>
    </xf>
    <xf numFmtId="49" fontId="38" fillId="5" borderId="9" xfId="43" applyNumberFormat="1" applyFont="1" applyFill="1" applyBorder="1" applyAlignment="1">
      <alignment horizontal="left" indent="1"/>
    </xf>
    <xf numFmtId="49" fontId="38" fillId="5" borderId="10" xfId="43" applyNumberFormat="1" applyFont="1" applyFill="1" applyBorder="1" applyAlignment="1">
      <alignment horizontal="right" wrapText="1" indent="2"/>
    </xf>
    <xf numFmtId="3" fontId="52" fillId="5" borderId="11" xfId="43" applyNumberFormat="1" applyFont="1" applyFill="1" applyBorder="1"/>
    <xf numFmtId="49" fontId="49" fillId="5" borderId="9" xfId="43" applyNumberFormat="1" applyFont="1" applyFill="1" applyBorder="1" applyAlignment="1">
      <alignment horizontal="left" indent="1"/>
    </xf>
    <xf numFmtId="49" fontId="49" fillId="5" borderId="10" xfId="43" applyNumberFormat="1" applyFont="1" applyFill="1" applyBorder="1" applyAlignment="1">
      <alignment horizontal="right" wrapText="1" indent="2"/>
    </xf>
    <xf numFmtId="0" fontId="108" fillId="5" borderId="0" xfId="0" applyFont="1" applyFill="1"/>
    <xf numFmtId="0" fontId="61" fillId="0" borderId="4" xfId="10" applyFont="1" applyBorder="1" applyAlignment="1">
      <alignment horizontal="center" vertical="center" wrapText="1"/>
    </xf>
    <xf numFmtId="0" fontId="114" fillId="0" borderId="0" xfId="10" applyFont="1"/>
    <xf numFmtId="167" fontId="95" fillId="0" borderId="0" xfId="11" applyNumberFormat="1" applyFont="1" applyFill="1"/>
    <xf numFmtId="0" fontId="95" fillId="0" borderId="0" xfId="10" applyFont="1"/>
    <xf numFmtId="0" fontId="28" fillId="0" borderId="0" xfId="65" applyAlignment="1">
      <alignment horizontal="right"/>
    </xf>
    <xf numFmtId="0" fontId="57" fillId="0" borderId="0" xfId="65" applyFont="1"/>
    <xf numFmtId="0" fontId="114" fillId="0" borderId="0" xfId="10" applyFont="1" applyAlignment="1">
      <alignment horizontal="right"/>
    </xf>
    <xf numFmtId="167" fontId="95" fillId="0" borderId="0" xfId="12" applyNumberFormat="1" applyFont="1"/>
    <xf numFmtId="167" fontId="95" fillId="0" borderId="0" xfId="11" applyNumberFormat="1" applyFont="1"/>
    <xf numFmtId="0" fontId="58" fillId="0" borderId="0" xfId="65" applyFont="1"/>
    <xf numFmtId="0" fontId="59" fillId="0" borderId="0" xfId="65" applyFont="1"/>
    <xf numFmtId="0" fontId="28" fillId="0" borderId="0" xfId="65"/>
    <xf numFmtId="0" fontId="37" fillId="0" borderId="0" xfId="65" applyFont="1"/>
    <xf numFmtId="0" fontId="115" fillId="0" borderId="2" xfId="10" applyFont="1" applyBorder="1" applyAlignment="1">
      <alignment horizontal="center" vertical="center" wrapText="1"/>
    </xf>
    <xf numFmtId="167" fontId="116" fillId="0" borderId="4" xfId="11" applyNumberFormat="1" applyFont="1" applyBorder="1" applyAlignment="1">
      <alignment horizontal="center" vertical="center" wrapText="1"/>
    </xf>
    <xf numFmtId="167" fontId="117" fillId="0" borderId="16" xfId="11" applyNumberFormat="1" applyFont="1" applyFill="1" applyBorder="1" applyAlignment="1">
      <alignment horizontal="center" vertical="center"/>
    </xf>
    <xf numFmtId="14" fontId="114" fillId="0" borderId="24" xfId="10" applyNumberFormat="1" applyFont="1" applyBorder="1" applyAlignment="1">
      <alignment horizontal="right" vertical="center"/>
    </xf>
    <xf numFmtId="167" fontId="117" fillId="0" borderId="32" xfId="11" applyNumberFormat="1" applyFont="1" applyFill="1" applyBorder="1" applyAlignment="1">
      <alignment horizontal="center" vertical="center"/>
    </xf>
    <xf numFmtId="0" fontId="63" fillId="0" borderId="24" xfId="10" applyFont="1" applyBorder="1" applyAlignment="1">
      <alignment horizontal="right" vertical="center"/>
    </xf>
    <xf numFmtId="167" fontId="61" fillId="0" borderId="25" xfId="12" applyNumberFormat="1" applyFont="1" applyFill="1" applyBorder="1" applyAlignment="1">
      <alignment horizontal="right" vertical="center"/>
    </xf>
    <xf numFmtId="0" fontId="114" fillId="0" borderId="26" xfId="10" applyFont="1" applyBorder="1" applyAlignment="1">
      <alignment horizontal="right" vertical="center"/>
    </xf>
    <xf numFmtId="3" fontId="61" fillId="0" borderId="43" xfId="10" applyNumberFormat="1" applyFont="1" applyBorder="1" applyAlignment="1">
      <alignment vertical="center"/>
    </xf>
    <xf numFmtId="167" fontId="117" fillId="0" borderId="39" xfId="11" applyNumberFormat="1" applyFont="1" applyFill="1" applyBorder="1" applyAlignment="1">
      <alignment horizontal="center" vertical="center"/>
    </xf>
    <xf numFmtId="1" fontId="114" fillId="0" borderId="24" xfId="10" applyNumberFormat="1" applyFont="1" applyBorder="1" applyAlignment="1">
      <alignment horizontal="right" vertical="center"/>
    </xf>
    <xf numFmtId="0" fontId="118" fillId="0" borderId="26" xfId="65" applyFont="1" applyBorder="1"/>
    <xf numFmtId="0" fontId="114" fillId="0" borderId="0" xfId="10" applyFont="1" applyAlignment="1">
      <alignment horizontal="right" vertical="center"/>
    </xf>
    <xf numFmtId="167" fontId="65" fillId="0" borderId="0" xfId="12" applyNumberFormat="1" applyFont="1" applyBorder="1" applyAlignment="1">
      <alignment horizontal="center" vertical="center"/>
    </xf>
    <xf numFmtId="167" fontId="65" fillId="0" borderId="0" xfId="11" applyNumberFormat="1" applyFont="1" applyBorder="1" applyAlignment="1">
      <alignment horizontal="center" vertical="center"/>
    </xf>
    <xf numFmtId="0" fontId="114" fillId="0" borderId="30" xfId="10" applyFont="1" applyBorder="1" applyAlignment="1">
      <alignment horizontal="right" vertical="center"/>
    </xf>
    <xf numFmtId="167" fontId="65" fillId="0" borderId="30" xfId="12" applyNumberFormat="1" applyFont="1" applyBorder="1" applyAlignment="1">
      <alignment horizontal="center" vertical="center"/>
    </xf>
    <xf numFmtId="167" fontId="65" fillId="0" borderId="30" xfId="11" applyNumberFormat="1" applyFont="1" applyBorder="1" applyAlignment="1">
      <alignment horizontal="center" vertical="center"/>
    </xf>
    <xf numFmtId="14" fontId="114" fillId="0" borderId="38" xfId="10" applyNumberFormat="1" applyFont="1" applyBorder="1" applyAlignment="1">
      <alignment horizontal="right" vertical="center"/>
    </xf>
    <xf numFmtId="167" fontId="65" fillId="0" borderId="39" xfId="12" applyNumberFormat="1" applyFont="1" applyBorder="1" applyAlignment="1">
      <alignment horizontal="center" vertical="center"/>
    </xf>
    <xf numFmtId="167" fontId="65" fillId="0" borderId="39" xfId="11" applyNumberFormat="1" applyFont="1" applyBorder="1" applyAlignment="1">
      <alignment horizontal="center" vertical="center"/>
    </xf>
    <xf numFmtId="167" fontId="65" fillId="0" borderId="16" xfId="12" applyNumberFormat="1" applyFont="1" applyBorder="1" applyAlignment="1">
      <alignment horizontal="center" vertical="center"/>
    </xf>
    <xf numFmtId="167" fontId="65" fillId="0" borderId="16" xfId="11" applyNumberFormat="1" applyFont="1" applyBorder="1" applyAlignment="1">
      <alignment horizontal="center" vertical="center"/>
    </xf>
    <xf numFmtId="167" fontId="65" fillId="0" borderId="0" xfId="12" applyNumberFormat="1" applyFont="1" applyAlignment="1">
      <alignment vertical="center"/>
    </xf>
    <xf numFmtId="167" fontId="65" fillId="0" borderId="0" xfId="11" applyNumberFormat="1" applyFont="1" applyAlignment="1">
      <alignment vertical="center"/>
    </xf>
    <xf numFmtId="0" fontId="115" fillId="0" borderId="23" xfId="10" applyFont="1" applyBorder="1" applyAlignment="1">
      <alignment horizontal="right" vertical="center"/>
    </xf>
    <xf numFmtId="167" fontId="110" fillId="0" borderId="14" xfId="12" applyNumberFormat="1" applyFont="1" applyBorder="1" applyAlignment="1">
      <alignment horizontal="center" vertical="center"/>
    </xf>
    <xf numFmtId="167" fontId="110" fillId="0" borderId="14" xfId="11" applyNumberFormat="1" applyFont="1" applyBorder="1" applyAlignment="1">
      <alignment horizontal="center" vertical="center"/>
    </xf>
    <xf numFmtId="3" fontId="120" fillId="0" borderId="0" xfId="16" applyNumberFormat="1" applyFont="1"/>
    <xf numFmtId="0" fontId="112" fillId="0" borderId="0" xfId="16" applyFont="1"/>
    <xf numFmtId="0" fontId="120" fillId="0" borderId="0" xfId="10" applyFont="1" applyAlignment="1">
      <alignment horizontal="right"/>
    </xf>
    <xf numFmtId="3" fontId="113" fillId="0" borderId="0" xfId="10" applyNumberFormat="1" applyFont="1" applyAlignment="1">
      <alignment horizontal="right" vertical="center"/>
    </xf>
    <xf numFmtId="0" fontId="27" fillId="0" borderId="0" xfId="65" applyFont="1" applyAlignment="1">
      <alignment horizontal="right"/>
    </xf>
    <xf numFmtId="0" fontId="63" fillId="0" borderId="38" xfId="10" applyFont="1" applyBorder="1" applyAlignment="1">
      <alignment horizontal="center" vertical="center"/>
    </xf>
    <xf numFmtId="0" fontId="121" fillId="0" borderId="26" xfId="10" applyFont="1" applyBorder="1" applyAlignment="1">
      <alignment vertical="center"/>
    </xf>
    <xf numFmtId="0" fontId="89" fillId="0" borderId="0" xfId="0" applyFont="1" applyAlignment="1">
      <alignment vertical="center"/>
    </xf>
    <xf numFmtId="49" fontId="38" fillId="5" borderId="52" xfId="43" applyNumberFormat="1" applyFont="1" applyFill="1" applyBorder="1" applyAlignment="1">
      <alignment horizontal="left" indent="1"/>
    </xf>
    <xf numFmtId="49" fontId="38" fillId="5" borderId="53" xfId="43" applyNumberFormat="1" applyFont="1" applyFill="1" applyBorder="1" applyAlignment="1">
      <alignment horizontal="right" wrapText="1" indent="2"/>
    </xf>
    <xf numFmtId="0" fontId="125" fillId="5" borderId="0" xfId="0" applyFont="1" applyFill="1"/>
    <xf numFmtId="167" fontId="38" fillId="3" borderId="11" xfId="1" applyNumberFormat="1" applyFont="1" applyFill="1" applyBorder="1"/>
    <xf numFmtId="167" fontId="38" fillId="5" borderId="11" xfId="1" applyNumberFormat="1" applyFont="1" applyFill="1" applyBorder="1"/>
    <xf numFmtId="167" fontId="52" fillId="5" borderId="11" xfId="1" applyNumberFormat="1" applyFont="1" applyFill="1" applyBorder="1"/>
    <xf numFmtId="167" fontId="127" fillId="3" borderId="11" xfId="1" applyNumberFormat="1" applyFont="1" applyFill="1" applyBorder="1"/>
    <xf numFmtId="167" fontId="39" fillId="3" borderId="11" xfId="1" applyNumberFormat="1" applyFont="1" applyFill="1" applyBorder="1"/>
    <xf numFmtId="3" fontId="128" fillId="3" borderId="11" xfId="43" applyNumberFormat="1" applyFont="1" applyFill="1" applyBorder="1"/>
    <xf numFmtId="0" fontId="125" fillId="0" borderId="0" xfId="0" applyFont="1"/>
    <xf numFmtId="3" fontId="0" fillId="0" borderId="0" xfId="0" applyNumberFormat="1"/>
    <xf numFmtId="3" fontId="52" fillId="0" borderId="11" xfId="43" applyNumberFormat="1" applyFont="1" applyBorder="1"/>
    <xf numFmtId="0" fontId="137" fillId="0" borderId="0" xfId="10" applyFont="1" applyAlignment="1">
      <alignment vertical="center"/>
    </xf>
    <xf numFmtId="3" fontId="42" fillId="0" borderId="15" xfId="43" applyNumberFormat="1" applyFont="1" applyBorder="1"/>
    <xf numFmtId="0" fontId="63" fillId="5" borderId="22" xfId="10" applyFont="1" applyFill="1" applyBorder="1" applyAlignment="1">
      <alignment horizontal="center" vertical="center"/>
    </xf>
    <xf numFmtId="14" fontId="63" fillId="5" borderId="32" xfId="10" applyNumberFormat="1" applyFont="1" applyFill="1" applyBorder="1" applyAlignment="1">
      <alignment horizontal="center" vertical="center"/>
    </xf>
    <xf numFmtId="1" fontId="63" fillId="5" borderId="24" xfId="10" applyNumberFormat="1" applyFont="1" applyFill="1" applyBorder="1" applyAlignment="1">
      <alignment horizontal="right" vertical="center"/>
    </xf>
    <xf numFmtId="0" fontId="63" fillId="5" borderId="38" xfId="10" applyFont="1" applyFill="1" applyBorder="1" applyAlignment="1">
      <alignment horizontal="right" vertical="center"/>
    </xf>
    <xf numFmtId="0" fontId="63" fillId="5" borderId="38" xfId="10" applyFont="1" applyFill="1" applyBorder="1" applyAlignment="1">
      <alignment horizontal="center" vertical="center"/>
    </xf>
    <xf numFmtId="167" fontId="117" fillId="5" borderId="32" xfId="11" applyNumberFormat="1" applyFont="1" applyFill="1" applyBorder="1" applyAlignment="1">
      <alignment horizontal="center" vertical="center"/>
    </xf>
    <xf numFmtId="167" fontId="63" fillId="5" borderId="22" xfId="11" applyNumberFormat="1" applyFont="1" applyFill="1" applyBorder="1" applyAlignment="1">
      <alignment horizontal="center" vertical="center"/>
    </xf>
    <xf numFmtId="10" fontId="63" fillId="5" borderId="32" xfId="10" applyNumberFormat="1" applyFont="1" applyFill="1" applyBorder="1" applyAlignment="1">
      <alignment horizontal="center" vertical="center"/>
    </xf>
    <xf numFmtId="0" fontId="63" fillId="5" borderId="32" xfId="10" applyFont="1" applyFill="1" applyBorder="1" applyAlignment="1">
      <alignment horizontal="center" vertical="center"/>
    </xf>
    <xf numFmtId="167" fontId="63" fillId="5" borderId="32" xfId="12" applyNumberFormat="1" applyFont="1" applyFill="1" applyBorder="1" applyAlignment="1">
      <alignment horizontal="center" vertical="center"/>
    </xf>
    <xf numFmtId="167" fontId="63" fillId="5" borderId="32" xfId="11" applyNumberFormat="1" applyFont="1" applyFill="1" applyBorder="1" applyAlignment="1">
      <alignment horizontal="center" vertical="center"/>
    </xf>
    <xf numFmtId="3" fontId="61" fillId="5" borderId="25" xfId="10" applyNumberFormat="1" applyFont="1" applyFill="1" applyBorder="1" applyAlignment="1">
      <alignment vertical="center"/>
    </xf>
    <xf numFmtId="0" fontId="63" fillId="5" borderId="33" xfId="10" applyFont="1" applyFill="1" applyBorder="1" applyAlignment="1">
      <alignment horizontal="center" vertical="center"/>
    </xf>
    <xf numFmtId="3" fontId="61" fillId="5" borderId="25" xfId="10" applyNumberFormat="1" applyFont="1" applyFill="1" applyBorder="1" applyAlignment="1">
      <alignment horizontal="right" vertical="center"/>
    </xf>
    <xf numFmtId="0" fontId="54" fillId="5" borderId="0" xfId="10" applyFont="1" applyFill="1" applyAlignment="1">
      <alignment vertical="center"/>
    </xf>
    <xf numFmtId="0" fontId="63" fillId="5" borderId="16" xfId="10" applyFont="1" applyFill="1" applyBorder="1" applyAlignment="1">
      <alignment horizontal="center" vertical="center"/>
    </xf>
    <xf numFmtId="0" fontId="114" fillId="5" borderId="26" xfId="10" applyFont="1" applyFill="1" applyBorder="1" applyAlignment="1">
      <alignment horizontal="right" vertical="center"/>
    </xf>
    <xf numFmtId="0" fontId="63" fillId="5" borderId="26" xfId="10" applyFont="1" applyFill="1" applyBorder="1" applyAlignment="1">
      <alignment horizontal="right" vertical="center"/>
    </xf>
    <xf numFmtId="0" fontId="63" fillId="5" borderId="26" xfId="10" applyFont="1" applyFill="1" applyBorder="1" applyAlignment="1">
      <alignment horizontal="center" vertical="center"/>
    </xf>
    <xf numFmtId="167" fontId="117" fillId="5" borderId="16" xfId="11" applyNumberFormat="1" applyFont="1" applyFill="1" applyBorder="1" applyAlignment="1">
      <alignment horizontal="center" vertical="center"/>
    </xf>
    <xf numFmtId="0" fontId="118" fillId="5" borderId="26" xfId="65" applyFont="1" applyFill="1" applyBorder="1"/>
    <xf numFmtId="167" fontId="63" fillId="5" borderId="0" xfId="11" applyNumberFormat="1" applyFont="1" applyFill="1" applyBorder="1" applyAlignment="1">
      <alignment horizontal="center" vertical="center"/>
    </xf>
    <xf numFmtId="167" fontId="63" fillId="5" borderId="16" xfId="12" applyNumberFormat="1" applyFont="1" applyFill="1" applyBorder="1" applyAlignment="1">
      <alignment horizontal="center" vertical="center"/>
    </xf>
    <xf numFmtId="167" fontId="63" fillId="5" borderId="16" xfId="11" applyNumberFormat="1" applyFont="1" applyFill="1" applyBorder="1" applyAlignment="1">
      <alignment horizontal="center" vertical="center"/>
    </xf>
    <xf numFmtId="3" fontId="61" fillId="5" borderId="27" xfId="10" applyNumberFormat="1" applyFont="1" applyFill="1" applyBorder="1" applyAlignment="1">
      <alignment vertical="center"/>
    </xf>
    <xf numFmtId="0" fontId="63" fillId="5" borderId="15" xfId="10" applyFont="1" applyFill="1" applyBorder="1" applyAlignment="1">
      <alignment horizontal="center" vertical="center"/>
    </xf>
    <xf numFmtId="0" fontId="56" fillId="5" borderId="0" xfId="10" applyFont="1" applyFill="1" applyAlignment="1">
      <alignment vertical="center"/>
    </xf>
    <xf numFmtId="0" fontId="114" fillId="0" borderId="38" xfId="10" applyFont="1" applyBorder="1" applyAlignment="1">
      <alignment horizontal="right" vertical="center"/>
    </xf>
    <xf numFmtId="0" fontId="118" fillId="0" borderId="39" xfId="65" applyFont="1" applyBorder="1"/>
    <xf numFmtId="3" fontId="61" fillId="0" borderId="40" xfId="10" applyNumberFormat="1" applyFont="1" applyBorder="1" applyAlignment="1">
      <alignment horizontal="right" vertical="center"/>
    </xf>
    <xf numFmtId="0" fontId="118" fillId="0" borderId="16" xfId="65" applyFont="1" applyBorder="1"/>
    <xf numFmtId="167" fontId="63" fillId="0" borderId="30" xfId="11" applyNumberFormat="1" applyFont="1" applyFill="1" applyBorder="1" applyAlignment="1">
      <alignment horizontal="center" vertical="center"/>
    </xf>
    <xf numFmtId="1" fontId="63" fillId="0" borderId="24" xfId="10" applyNumberFormat="1" applyFont="1" applyBorder="1" applyAlignment="1">
      <alignment horizontal="right" vertical="center"/>
    </xf>
    <xf numFmtId="0" fontId="136" fillId="0" borderId="26" xfId="65" applyFont="1" applyBorder="1"/>
    <xf numFmtId="167" fontId="133" fillId="0" borderId="0" xfId="11" applyNumberFormat="1" applyFont="1" applyFill="1" applyBorder="1" applyAlignment="1">
      <alignment horizontal="center" vertical="center"/>
    </xf>
    <xf numFmtId="0" fontId="133" fillId="0" borderId="16" xfId="10" applyFont="1" applyBorder="1" applyAlignment="1">
      <alignment horizontal="center" vertical="center"/>
    </xf>
    <xf numFmtId="167" fontId="133" fillId="0" borderId="16" xfId="12" applyNumberFormat="1" applyFont="1" applyFill="1" applyBorder="1" applyAlignment="1">
      <alignment horizontal="center" vertical="center"/>
    </xf>
    <xf numFmtId="167" fontId="133" fillId="0" borderId="16" xfId="11" applyNumberFormat="1" applyFont="1" applyFill="1" applyBorder="1" applyAlignment="1">
      <alignment horizontal="center" vertical="center"/>
    </xf>
    <xf numFmtId="3" fontId="134" fillId="0" borderId="27" xfId="10" applyNumberFormat="1" applyFont="1" applyBorder="1" applyAlignment="1">
      <alignment vertical="center"/>
    </xf>
    <xf numFmtId="0" fontId="135" fillId="0" borderId="0" xfId="10" applyFont="1"/>
    <xf numFmtId="0" fontId="137" fillId="0" borderId="0" xfId="10" applyFont="1"/>
    <xf numFmtId="3" fontId="134" fillId="0" borderId="27" xfId="10" applyNumberFormat="1" applyFont="1" applyBorder="1" applyAlignment="1">
      <alignment horizontal="right" vertical="center"/>
    </xf>
    <xf numFmtId="3" fontId="134" fillId="0" borderId="0" xfId="10" applyNumberFormat="1" applyFont="1" applyAlignment="1">
      <alignment horizontal="right" vertical="center"/>
    </xf>
    <xf numFmtId="3" fontId="134" fillId="0" borderId="30" xfId="10" applyNumberFormat="1" applyFont="1" applyBorder="1" applyAlignment="1">
      <alignment horizontal="right" vertical="center"/>
    </xf>
    <xf numFmtId="0" fontId="134" fillId="0" borderId="0" xfId="10" applyFont="1" applyAlignment="1">
      <alignment vertical="center"/>
    </xf>
    <xf numFmtId="3" fontId="139" fillId="0" borderId="0" xfId="16" applyNumberFormat="1" applyFont="1"/>
    <xf numFmtId="3" fontId="135" fillId="0" borderId="0" xfId="10" applyNumberFormat="1" applyFont="1"/>
    <xf numFmtId="167" fontId="137" fillId="0" borderId="0" xfId="1" applyNumberFormat="1" applyFont="1"/>
    <xf numFmtId="3" fontId="52" fillId="5" borderId="54" xfId="43" applyNumberFormat="1" applyFont="1" applyFill="1" applyBorder="1"/>
    <xf numFmtId="49" fontId="49" fillId="3" borderId="9" xfId="43" applyNumberFormat="1" applyFont="1" applyFill="1" applyBorder="1" applyAlignment="1">
      <alignment horizontal="right" indent="1"/>
    </xf>
    <xf numFmtId="49" fontId="49" fillId="5" borderId="52" xfId="43" applyNumberFormat="1" applyFont="1" applyFill="1" applyBorder="1" applyAlignment="1">
      <alignment horizontal="left" indent="1"/>
    </xf>
    <xf numFmtId="0" fontId="0" fillId="0" borderId="0" xfId="0" applyAlignment="1">
      <alignment horizontal="left"/>
    </xf>
    <xf numFmtId="167" fontId="38" fillId="0" borderId="8" xfId="5" applyNumberFormat="1" applyFont="1" applyFill="1" applyBorder="1"/>
    <xf numFmtId="0" fontId="21" fillId="0" borderId="0" xfId="65" applyFont="1" applyAlignment="1">
      <alignment horizontal="right"/>
    </xf>
    <xf numFmtId="0" fontId="42" fillId="0" borderId="3" xfId="7" applyFont="1" applyBorder="1" applyAlignment="1">
      <alignment horizontal="center" vertical="center" wrapText="1"/>
    </xf>
    <xf numFmtId="0" fontId="63" fillId="0" borderId="24" xfId="10" applyFont="1" applyBorder="1" applyAlignment="1">
      <alignment horizontal="center" vertical="center"/>
    </xf>
    <xf numFmtId="3" fontId="134" fillId="5" borderId="27" xfId="10" applyNumberFormat="1" applyFont="1" applyFill="1" applyBorder="1" applyAlignment="1">
      <alignment horizontal="right" vertical="center"/>
    </xf>
    <xf numFmtId="3" fontId="134" fillId="0" borderId="25" xfId="10" applyNumberFormat="1" applyFont="1" applyBorder="1" applyAlignment="1">
      <alignment horizontal="right" vertical="center"/>
    </xf>
    <xf numFmtId="0" fontId="114" fillId="0" borderId="24" xfId="10" applyFont="1" applyBorder="1" applyAlignment="1">
      <alignment vertical="center"/>
    </xf>
    <xf numFmtId="0" fontId="114" fillId="0" borderId="26" xfId="10" applyFont="1" applyBorder="1" applyAlignment="1">
      <alignment vertical="center"/>
    </xf>
    <xf numFmtId="0" fontId="114" fillId="0" borderId="38" xfId="10" applyFont="1" applyBorder="1" applyAlignment="1">
      <alignment vertical="center"/>
    </xf>
    <xf numFmtId="0" fontId="63" fillId="0" borderId="57" xfId="10" applyFont="1" applyBorder="1" applyAlignment="1">
      <alignment horizontal="right" vertical="center"/>
    </xf>
    <xf numFmtId="167" fontId="38" fillId="0" borderId="11" xfId="5" applyNumberFormat="1" applyFont="1" applyFill="1" applyBorder="1"/>
    <xf numFmtId="3" fontId="42" fillId="4" borderId="8" xfId="3" applyNumberFormat="1" applyFont="1" applyFill="1" applyBorder="1"/>
    <xf numFmtId="3" fontId="42" fillId="4" borderId="51" xfId="43" applyNumberFormat="1" applyFont="1" applyFill="1" applyBorder="1"/>
    <xf numFmtId="43" fontId="84" fillId="0" borderId="0" xfId="1" applyFont="1" applyAlignment="1">
      <alignment wrapText="1"/>
    </xf>
    <xf numFmtId="3" fontId="46" fillId="4" borderId="11" xfId="3" applyNumberFormat="1" applyFont="1" applyFill="1" applyBorder="1"/>
    <xf numFmtId="3" fontId="42" fillId="4" borderId="11" xfId="3" applyNumberFormat="1" applyFont="1" applyFill="1" applyBorder="1"/>
    <xf numFmtId="3" fontId="40" fillId="5" borderId="11" xfId="3" applyNumberFormat="1" applyFont="1" applyFill="1" applyBorder="1"/>
    <xf numFmtId="3" fontId="48" fillId="5" borderId="11" xfId="3" applyNumberFormat="1" applyFont="1" applyFill="1" applyBorder="1"/>
    <xf numFmtId="0" fontId="149" fillId="0" borderId="0" xfId="0" applyFont="1"/>
    <xf numFmtId="3" fontId="49" fillId="5" borderId="11" xfId="43" applyNumberFormat="1" applyFont="1" applyFill="1" applyBorder="1"/>
    <xf numFmtId="3" fontId="46" fillId="3" borderId="11" xfId="3" applyNumberFormat="1" applyFont="1" applyFill="1" applyBorder="1"/>
    <xf numFmtId="3" fontId="49" fillId="5" borderId="11" xfId="3" applyNumberFormat="1" applyFont="1" applyFill="1" applyBorder="1"/>
    <xf numFmtId="3" fontId="38" fillId="3" borderId="11" xfId="3" applyNumberFormat="1" applyFont="1" applyFill="1" applyBorder="1"/>
    <xf numFmtId="3" fontId="38" fillId="5" borderId="54" xfId="43" applyNumberFormat="1" applyFont="1" applyFill="1" applyBorder="1"/>
    <xf numFmtId="3" fontId="38" fillId="5" borderId="11" xfId="3" applyNumberFormat="1" applyFont="1" applyFill="1" applyBorder="1"/>
    <xf numFmtId="43" fontId="38" fillId="5" borderId="11" xfId="1" applyFont="1" applyFill="1" applyBorder="1" applyAlignment="1">
      <alignment wrapText="1"/>
    </xf>
    <xf numFmtId="49" fontId="128" fillId="3" borderId="10" xfId="43" applyNumberFormat="1" applyFont="1" applyFill="1" applyBorder="1" applyAlignment="1">
      <alignment horizontal="left" wrapText="1" indent="2"/>
    </xf>
    <xf numFmtId="3" fontId="38" fillId="0" borderId="11" xfId="3" applyNumberFormat="1" applyFont="1" applyBorder="1"/>
    <xf numFmtId="3" fontId="38" fillId="0" borderId="12" xfId="3" applyNumberFormat="1" applyFont="1" applyBorder="1"/>
    <xf numFmtId="3" fontId="42" fillId="3" borderId="8" xfId="3" applyNumberFormat="1" applyFont="1" applyFill="1" applyBorder="1"/>
    <xf numFmtId="3" fontId="42" fillId="4" borderId="20" xfId="3" applyNumberFormat="1" applyFont="1" applyFill="1" applyBorder="1"/>
    <xf numFmtId="3" fontId="42" fillId="3" borderId="11" xfId="3" applyNumberFormat="1" applyFont="1" applyFill="1" applyBorder="1"/>
    <xf numFmtId="3" fontId="134" fillId="0" borderId="58" xfId="10" applyNumberFormat="1" applyFont="1" applyBorder="1" applyAlignment="1">
      <alignment horizontal="right" vertical="center"/>
    </xf>
    <xf numFmtId="3" fontId="134" fillId="5" borderId="25" xfId="10" applyNumberFormat="1" applyFont="1" applyFill="1" applyBorder="1" applyAlignment="1">
      <alignment horizontal="right" vertical="center"/>
    </xf>
    <xf numFmtId="3" fontId="134" fillId="5" borderId="40" xfId="10" applyNumberFormat="1" applyFont="1" applyFill="1" applyBorder="1" applyAlignment="1">
      <alignment horizontal="right" vertical="center"/>
    </xf>
    <xf numFmtId="3" fontId="134" fillId="0" borderId="40" xfId="10" applyNumberFormat="1" applyFont="1" applyBorder="1" applyAlignment="1">
      <alignment horizontal="right" vertical="center"/>
    </xf>
    <xf numFmtId="0" fontId="114" fillId="0" borderId="24" xfId="10" applyFont="1" applyBorder="1" applyAlignment="1">
      <alignment horizontal="right" vertical="center"/>
    </xf>
    <xf numFmtId="0" fontId="111" fillId="0" borderId="0" xfId="10" applyFont="1" applyAlignment="1">
      <alignment vertical="center"/>
    </xf>
    <xf numFmtId="167" fontId="39" fillId="5" borderId="11" xfId="1" applyNumberFormat="1" applyFont="1" applyFill="1" applyBorder="1"/>
    <xf numFmtId="167" fontId="127" fillId="5" borderId="11" xfId="1" applyNumberFormat="1" applyFont="1" applyFill="1" applyBorder="1"/>
    <xf numFmtId="3" fontId="165" fillId="5" borderId="11" xfId="43" applyNumberFormat="1" applyFont="1" applyFill="1" applyBorder="1"/>
    <xf numFmtId="167" fontId="38" fillId="6" borderId="11" xfId="1" applyNumberFormat="1" applyFont="1" applyFill="1" applyBorder="1"/>
    <xf numFmtId="3" fontId="50" fillId="3" borderId="11" xfId="43" applyNumberFormat="1" applyFont="1" applyFill="1" applyBorder="1"/>
    <xf numFmtId="0" fontId="108" fillId="0" borderId="0" xfId="0" applyFont="1"/>
    <xf numFmtId="3" fontId="46" fillId="4" borderId="20" xfId="3" applyNumberFormat="1" applyFont="1" applyFill="1" applyBorder="1"/>
    <xf numFmtId="3" fontId="38" fillId="0" borderId="73" xfId="43" applyNumberFormat="1" applyFont="1" applyBorder="1"/>
    <xf numFmtId="49" fontId="38" fillId="5" borderId="72" xfId="43" applyNumberFormat="1" applyFont="1" applyFill="1" applyBorder="1" applyAlignment="1">
      <alignment horizontal="left" indent="1"/>
    </xf>
    <xf numFmtId="49" fontId="38" fillId="5" borderId="70" xfId="43" applyNumberFormat="1" applyFont="1" applyFill="1" applyBorder="1" applyAlignment="1">
      <alignment horizontal="right" wrapText="1" indent="2"/>
    </xf>
    <xf numFmtId="3" fontId="40" fillId="5" borderId="73" xfId="3" applyNumberFormat="1" applyFont="1" applyFill="1" applyBorder="1"/>
    <xf numFmtId="49" fontId="138" fillId="5" borderId="9" xfId="43" applyNumberFormat="1" applyFont="1" applyFill="1" applyBorder="1" applyAlignment="1">
      <alignment horizontal="left" indent="1"/>
    </xf>
    <xf numFmtId="3" fontId="138" fillId="5" borderId="11" xfId="43" applyNumberFormat="1" applyFont="1" applyFill="1" applyBorder="1"/>
    <xf numFmtId="49" fontId="138" fillId="5" borderId="52" xfId="43" applyNumberFormat="1" applyFont="1" applyFill="1" applyBorder="1" applyAlignment="1">
      <alignment horizontal="left" indent="1"/>
    </xf>
    <xf numFmtId="3" fontId="169" fillId="5" borderId="11" xfId="43" applyNumberFormat="1" applyFont="1" applyFill="1" applyBorder="1"/>
    <xf numFmtId="0" fontId="97" fillId="5" borderId="0" xfId="0" applyFont="1" applyFill="1"/>
    <xf numFmtId="0" fontId="164" fillId="5" borderId="0" xfId="0" applyFont="1" applyFill="1"/>
    <xf numFmtId="49" fontId="138" fillId="5" borderId="72" xfId="43" applyNumberFormat="1" applyFont="1" applyFill="1" applyBorder="1" applyAlignment="1">
      <alignment horizontal="left" indent="1"/>
    </xf>
    <xf numFmtId="49" fontId="138" fillId="5" borderId="70" xfId="43" applyNumberFormat="1" applyFont="1" applyFill="1" applyBorder="1" applyAlignment="1">
      <alignment horizontal="right" wrapText="1" indent="2"/>
    </xf>
    <xf numFmtId="3" fontId="138" fillId="5" borderId="73" xfId="3" applyNumberFormat="1" applyFont="1" applyFill="1" applyBorder="1"/>
    <xf numFmtId="49" fontId="126" fillId="5" borderId="9" xfId="43" applyNumberFormat="1" applyFont="1" applyFill="1" applyBorder="1" applyAlignment="1">
      <alignment horizontal="left" indent="1"/>
    </xf>
    <xf numFmtId="49" fontId="126" fillId="5" borderId="10" xfId="43" applyNumberFormat="1" applyFont="1" applyFill="1" applyBorder="1" applyAlignment="1">
      <alignment horizontal="right" wrapText="1" indent="2"/>
    </xf>
    <xf numFmtId="3" fontId="126" fillId="5" borderId="11" xfId="3" applyNumberFormat="1" applyFont="1" applyFill="1" applyBorder="1"/>
    <xf numFmtId="3" fontId="126" fillId="5" borderId="11" xfId="43" applyNumberFormat="1" applyFont="1" applyFill="1" applyBorder="1"/>
    <xf numFmtId="167" fontId="126" fillId="5" borderId="11" xfId="1" applyNumberFormat="1" applyFont="1" applyFill="1" applyBorder="1"/>
    <xf numFmtId="0" fontId="107" fillId="5" borderId="0" xfId="0" applyFont="1" applyFill="1"/>
    <xf numFmtId="49" fontId="126" fillId="5" borderId="52" xfId="43" applyNumberFormat="1" applyFont="1" applyFill="1" applyBorder="1" applyAlignment="1">
      <alignment horizontal="left" indent="1"/>
    </xf>
    <xf numFmtId="49" fontId="126" fillId="5" borderId="53" xfId="43" applyNumberFormat="1" applyFont="1" applyFill="1" applyBorder="1" applyAlignment="1">
      <alignment horizontal="right" wrapText="1" indent="2"/>
    </xf>
    <xf numFmtId="3" fontId="126" fillId="0" borderId="51" xfId="3" applyNumberFormat="1" applyFont="1" applyBorder="1"/>
    <xf numFmtId="0" fontId="164" fillId="0" borderId="0" xfId="0" applyFont="1"/>
    <xf numFmtId="167" fontId="126" fillId="5" borderId="54" xfId="1" applyNumberFormat="1" applyFont="1" applyFill="1" applyBorder="1"/>
    <xf numFmtId="3" fontId="126" fillId="0" borderId="54" xfId="3" applyNumberFormat="1" applyFont="1" applyBorder="1"/>
    <xf numFmtId="167" fontId="63" fillId="0" borderId="39" xfId="12" applyNumberFormat="1" applyFont="1" applyBorder="1" applyAlignment="1">
      <alignment horizontal="center" vertical="center"/>
    </xf>
    <xf numFmtId="167" fontId="63" fillId="0" borderId="39" xfId="11" applyNumberFormat="1" applyFont="1" applyBorder="1" applyAlignment="1">
      <alignment horizontal="center" vertical="center"/>
    </xf>
    <xf numFmtId="3" fontId="61" fillId="0" borderId="58" xfId="10" applyNumberFormat="1" applyFont="1" applyBorder="1" applyAlignment="1">
      <alignment horizontal="right" vertical="center"/>
    </xf>
    <xf numFmtId="167" fontId="117" fillId="0" borderId="16" xfId="11" applyNumberFormat="1" applyFont="1" applyBorder="1" applyAlignment="1">
      <alignment horizontal="center" vertical="center"/>
    </xf>
    <xf numFmtId="167" fontId="63" fillId="0" borderId="16" xfId="12" applyNumberFormat="1" applyFont="1" applyBorder="1" applyAlignment="1">
      <alignment horizontal="center" vertical="center"/>
    </xf>
    <xf numFmtId="3" fontId="126" fillId="4" borderId="11" xfId="43" applyNumberFormat="1" applyFont="1" applyFill="1" applyBorder="1"/>
    <xf numFmtId="0" fontId="61" fillId="0" borderId="14" xfId="10" applyFont="1" applyBorder="1" applyAlignment="1">
      <alignment horizontal="center" vertical="center" wrapText="1"/>
    </xf>
    <xf numFmtId="0" fontId="63" fillId="0" borderId="0" xfId="0" applyFont="1" applyAlignment="1">
      <alignment vertical="center"/>
    </xf>
    <xf numFmtId="0" fontId="38" fillId="6" borderId="72" xfId="43" applyFont="1" applyFill="1" applyBorder="1" applyAlignment="1">
      <alignment horizontal="left" indent="2"/>
    </xf>
    <xf numFmtId="0" fontId="38" fillId="6" borderId="70" xfId="43" applyFont="1" applyFill="1" applyBorder="1" applyAlignment="1">
      <alignment horizontal="left" wrapText="1" indent="3"/>
    </xf>
    <xf numFmtId="0" fontId="54" fillId="13" borderId="0" xfId="10" applyFont="1" applyFill="1" applyAlignment="1">
      <alignment vertical="center"/>
    </xf>
    <xf numFmtId="0" fontId="56" fillId="13" borderId="0" xfId="10" applyFont="1" applyFill="1" applyAlignment="1">
      <alignment vertical="center"/>
    </xf>
    <xf numFmtId="0" fontId="63" fillId="0" borderId="46" xfId="28" applyFont="1" applyBorder="1" applyAlignment="1">
      <alignment horizontal="center" vertical="center" wrapText="1"/>
    </xf>
    <xf numFmtId="169" fontId="63" fillId="0" borderId="77" xfId="28" applyNumberFormat="1" applyFont="1" applyBorder="1" applyAlignment="1">
      <alignment horizontal="center" vertical="center"/>
    </xf>
    <xf numFmtId="0" fontId="172" fillId="0" borderId="68" xfId="28" applyFont="1" applyBorder="1"/>
    <xf numFmtId="0" fontId="172" fillId="0" borderId="69" xfId="28" applyFont="1" applyBorder="1"/>
    <xf numFmtId="167" fontId="61" fillId="0" borderId="22" xfId="11" applyNumberFormat="1" applyFont="1" applyFill="1" applyBorder="1" applyAlignment="1">
      <alignment horizontal="center" vertical="center"/>
    </xf>
    <xf numFmtId="0" fontId="51" fillId="0" borderId="0" xfId="10" applyFont="1"/>
    <xf numFmtId="0" fontId="103" fillId="0" borderId="0" xfId="10" applyFont="1"/>
    <xf numFmtId="0" fontId="51" fillId="0" borderId="35" xfId="10" applyFont="1" applyBorder="1" applyAlignment="1">
      <alignment vertical="center"/>
    </xf>
    <xf numFmtId="0" fontId="51" fillId="0" borderId="37" xfId="10" applyFont="1" applyBorder="1" applyAlignment="1">
      <alignment vertical="center"/>
    </xf>
    <xf numFmtId="0" fontId="51" fillId="0" borderId="0" xfId="10" applyFont="1" applyAlignment="1">
      <alignment vertical="center"/>
    </xf>
    <xf numFmtId="0" fontId="173" fillId="0" borderId="30" xfId="65" applyFont="1" applyBorder="1"/>
    <xf numFmtId="167" fontId="51" fillId="0" borderId="22" xfId="11" applyNumberFormat="1" applyFont="1" applyFill="1" applyBorder="1" applyAlignment="1">
      <alignment horizontal="center" vertical="center"/>
    </xf>
    <xf numFmtId="0" fontId="51" fillId="0" borderId="13" xfId="10" applyFont="1" applyBorder="1" applyAlignment="1">
      <alignment vertical="center"/>
    </xf>
    <xf numFmtId="0" fontId="174" fillId="0" borderId="0" xfId="10" applyFont="1"/>
    <xf numFmtId="167" fontId="61" fillId="0" borderId="16" xfId="11" applyNumberFormat="1" applyFont="1" applyFill="1" applyBorder="1" applyAlignment="1">
      <alignment horizontal="center" vertical="center"/>
    </xf>
    <xf numFmtId="167" fontId="61" fillId="0" borderId="26" xfId="11" applyNumberFormat="1" applyFont="1" applyFill="1" applyBorder="1" applyAlignment="1">
      <alignment horizontal="center" vertical="center"/>
    </xf>
    <xf numFmtId="167" fontId="61" fillId="5" borderId="22" xfId="11" applyNumberFormat="1" applyFont="1" applyFill="1" applyBorder="1" applyAlignment="1">
      <alignment horizontal="center" vertical="center"/>
    </xf>
    <xf numFmtId="167" fontId="61" fillId="5" borderId="26" xfId="11" applyNumberFormat="1" applyFont="1" applyFill="1" applyBorder="1" applyAlignment="1">
      <alignment horizontal="center" vertical="center"/>
    </xf>
    <xf numFmtId="167" fontId="61" fillId="0" borderId="39" xfId="11" applyNumberFormat="1" applyFont="1" applyFill="1" applyBorder="1" applyAlignment="1">
      <alignment horizontal="center" vertical="center"/>
    </xf>
    <xf numFmtId="167" fontId="61" fillId="0" borderId="24" xfId="11" applyNumberFormat="1" applyFont="1" applyFill="1" applyBorder="1" applyAlignment="1">
      <alignment horizontal="center" vertical="center"/>
    </xf>
    <xf numFmtId="167" fontId="110" fillId="0" borderId="26" xfId="11" applyNumberFormat="1" applyFont="1" applyFill="1" applyBorder="1" applyAlignment="1">
      <alignment horizontal="center" vertical="center"/>
    </xf>
    <xf numFmtId="167" fontId="134" fillId="0" borderId="26" xfId="11" applyNumberFormat="1" applyFont="1" applyFill="1" applyBorder="1" applyAlignment="1">
      <alignment horizontal="center" vertical="center"/>
    </xf>
    <xf numFmtId="0" fontId="56" fillId="14" borderId="0" xfId="10" applyFont="1" applyFill="1" applyAlignment="1">
      <alignment horizontal="right"/>
    </xf>
    <xf numFmtId="167" fontId="117" fillId="0" borderId="0" xfId="11" applyNumberFormat="1" applyFont="1" applyFill="1" applyBorder="1" applyAlignment="1">
      <alignment horizontal="center" vertical="center"/>
    </xf>
    <xf numFmtId="167" fontId="61" fillId="0" borderId="0" xfId="11" applyNumberFormat="1" applyFont="1" applyFill="1" applyBorder="1" applyAlignment="1">
      <alignment horizontal="center" vertical="center"/>
    </xf>
    <xf numFmtId="0" fontId="118" fillId="0" borderId="0" xfId="65" applyFont="1"/>
    <xf numFmtId="167" fontId="63" fillId="0" borderId="0" xfId="12" applyNumberFormat="1" applyFont="1" applyFill="1" applyBorder="1" applyAlignment="1">
      <alignment horizontal="center" vertical="center"/>
    </xf>
    <xf numFmtId="0" fontId="61" fillId="0" borderId="13" xfId="10" applyFont="1" applyBorder="1" applyAlignment="1">
      <alignment horizontal="center" vertical="center" wrapText="1"/>
    </xf>
    <xf numFmtId="3" fontId="61" fillId="0" borderId="48" xfId="10" applyNumberFormat="1" applyFont="1" applyBorder="1" applyAlignment="1">
      <alignment vertical="center"/>
    </xf>
    <xf numFmtId="3" fontId="61" fillId="0" borderId="78" xfId="10" applyNumberFormat="1" applyFont="1" applyBorder="1" applyAlignment="1">
      <alignment vertical="center"/>
    </xf>
    <xf numFmtId="3" fontId="61" fillId="0" borderId="28" xfId="10" applyNumberFormat="1" applyFont="1" applyBorder="1" applyAlignment="1">
      <alignment vertical="center"/>
    </xf>
    <xf numFmtId="3" fontId="61" fillId="5" borderId="48" xfId="10" applyNumberFormat="1" applyFont="1" applyFill="1" applyBorder="1" applyAlignment="1">
      <alignment vertical="center"/>
    </xf>
    <xf numFmtId="3" fontId="61" fillId="5" borderId="28" xfId="10" applyNumberFormat="1" applyFont="1" applyFill="1" applyBorder="1" applyAlignment="1">
      <alignment vertical="center"/>
    </xf>
    <xf numFmtId="3" fontId="61" fillId="0" borderId="50" xfId="10" applyNumberFormat="1" applyFont="1" applyBorder="1" applyAlignment="1">
      <alignment vertical="center"/>
    </xf>
    <xf numFmtId="3" fontId="134" fillId="0" borderId="28" xfId="10" applyNumberFormat="1" applyFont="1" applyBorder="1" applyAlignment="1">
      <alignment vertical="center"/>
    </xf>
    <xf numFmtId="0" fontId="61" fillId="5" borderId="21" xfId="10" applyFont="1" applyFill="1" applyBorder="1" applyAlignment="1">
      <alignment horizontal="center" vertical="center" wrapText="1"/>
    </xf>
    <xf numFmtId="1" fontId="65" fillId="0" borderId="24" xfId="10" applyNumberFormat="1" applyFont="1" applyBorder="1" applyAlignment="1">
      <alignment horizontal="right" vertical="center"/>
    </xf>
    <xf numFmtId="3" fontId="110" fillId="0" borderId="25" xfId="10" applyNumberFormat="1" applyFont="1" applyBorder="1" applyAlignment="1">
      <alignment horizontal="right" vertical="center"/>
    </xf>
    <xf numFmtId="0" fontId="65" fillId="0" borderId="16" xfId="10" applyFont="1" applyBorder="1" applyAlignment="1">
      <alignment horizontal="center" vertical="center"/>
    </xf>
    <xf numFmtId="0" fontId="65" fillId="0" borderId="26" xfId="10" applyFont="1" applyBorder="1" applyAlignment="1">
      <alignment horizontal="right" vertical="center"/>
    </xf>
    <xf numFmtId="3" fontId="110" fillId="0" borderId="27" xfId="10" applyNumberFormat="1" applyFont="1" applyBorder="1" applyAlignment="1">
      <alignment horizontal="right" vertical="center"/>
    </xf>
    <xf numFmtId="0" fontId="0" fillId="0" borderId="0" xfId="0" applyAlignment="1">
      <alignment horizontal="center" vertical="center"/>
    </xf>
    <xf numFmtId="0" fontId="0" fillId="0" borderId="0" xfId="0" applyAlignment="1">
      <alignment horizontal="center" vertical="center" wrapText="1"/>
    </xf>
    <xf numFmtId="0" fontId="87" fillId="5" borderId="21" xfId="0" applyFont="1" applyFill="1" applyBorder="1" applyAlignment="1">
      <alignment horizontal="center"/>
    </xf>
    <xf numFmtId="0" fontId="86" fillId="5" borderId="23" xfId="0" applyFont="1" applyFill="1" applyBorder="1" applyAlignment="1">
      <alignment horizontal="right"/>
    </xf>
    <xf numFmtId="0" fontId="86" fillId="5" borderId="21" xfId="0" applyFont="1" applyFill="1" applyBorder="1" applyAlignment="1">
      <alignment horizontal="center"/>
    </xf>
    <xf numFmtId="0" fontId="178" fillId="0" borderId="0" xfId="0" applyFont="1"/>
    <xf numFmtId="0" fontId="178" fillId="0" borderId="0" xfId="0" applyFont="1" applyAlignment="1">
      <alignment wrapText="1"/>
    </xf>
    <xf numFmtId="0" fontId="140" fillId="0" borderId="0" xfId="0" applyFont="1"/>
    <xf numFmtId="43" fontId="0" fillId="0" borderId="0" xfId="1" applyFont="1"/>
    <xf numFmtId="43" fontId="42" fillId="0" borderId="3" xfId="1" applyFont="1" applyBorder="1" applyAlignment="1">
      <alignment horizontal="center" vertical="center" wrapText="1"/>
    </xf>
    <xf numFmtId="43" fontId="90" fillId="0" borderId="0" xfId="1" applyFont="1" applyAlignment="1"/>
    <xf numFmtId="43" fontId="90" fillId="0" borderId="0" xfId="1" applyFont="1" applyAlignment="1">
      <alignment horizontal="left" wrapText="1"/>
    </xf>
    <xf numFmtId="43" fontId="38" fillId="3" borderId="11" xfId="1" applyFont="1" applyFill="1" applyBorder="1"/>
    <xf numFmtId="43" fontId="45" fillId="0" borderId="3" xfId="1" applyFont="1" applyBorder="1" applyAlignment="1">
      <alignment horizontal="center" vertical="center" wrapText="1"/>
    </xf>
    <xf numFmtId="43" fontId="45" fillId="4" borderId="20" xfId="1" applyFont="1" applyFill="1" applyBorder="1"/>
    <xf numFmtId="43" fontId="39" fillId="3" borderId="11" xfId="1" applyFont="1" applyFill="1" applyBorder="1"/>
    <xf numFmtId="43" fontId="38" fillId="5" borderId="11" xfId="1" applyFont="1" applyFill="1" applyBorder="1"/>
    <xf numFmtId="43" fontId="129" fillId="5" borderId="11" xfId="1" applyFont="1" applyFill="1" applyBorder="1"/>
    <xf numFmtId="43" fontId="38" fillId="5" borderId="11" xfId="1" quotePrefix="1" applyFont="1" applyFill="1" applyBorder="1" applyAlignment="1">
      <alignment wrapText="1"/>
    </xf>
    <xf numFmtId="43" fontId="38" fillId="3" borderId="11" xfId="1" applyFont="1" applyFill="1" applyBorder="1" applyAlignment="1">
      <alignment wrapText="1"/>
    </xf>
    <xf numFmtId="43" fontId="45" fillId="4" borderId="11" xfId="1" applyFont="1" applyFill="1" applyBorder="1"/>
    <xf numFmtId="43" fontId="126" fillId="5" borderId="11" xfId="1" applyFont="1" applyFill="1" applyBorder="1"/>
    <xf numFmtId="43" fontId="138" fillId="5" borderId="11" xfId="1" applyFont="1" applyFill="1" applyBorder="1"/>
    <xf numFmtId="43" fontId="138" fillId="5" borderId="73" xfId="1" applyFont="1" applyFill="1" applyBorder="1"/>
    <xf numFmtId="43" fontId="45" fillId="3" borderId="11" xfId="1" applyFont="1" applyFill="1" applyBorder="1"/>
    <xf numFmtId="43" fontId="39" fillId="5" borderId="11" xfId="1" applyFont="1" applyFill="1" applyBorder="1"/>
    <xf numFmtId="43" fontId="39" fillId="5" borderId="73" xfId="1" applyFont="1" applyFill="1" applyBorder="1"/>
    <xf numFmtId="43" fontId="52" fillId="5" borderId="11" xfId="1" applyFont="1" applyFill="1" applyBorder="1"/>
    <xf numFmtId="43" fontId="129" fillId="5" borderId="54" xfId="1" applyFont="1" applyFill="1" applyBorder="1"/>
    <xf numFmtId="43" fontId="52" fillId="5" borderId="54" xfId="1" applyFont="1" applyFill="1" applyBorder="1"/>
    <xf numFmtId="43" fontId="39" fillId="5" borderId="54" xfId="1" applyFont="1" applyFill="1" applyBorder="1"/>
    <xf numFmtId="43" fontId="52" fillId="3" borderId="11" xfId="1" applyFont="1" applyFill="1" applyBorder="1"/>
    <xf numFmtId="43" fontId="52" fillId="5" borderId="73" xfId="1" applyFont="1" applyFill="1" applyBorder="1"/>
    <xf numFmtId="43" fontId="52" fillId="5" borderId="11" xfId="1" quotePrefix="1" applyFont="1" applyFill="1" applyBorder="1" applyAlignment="1">
      <alignment wrapText="1"/>
    </xf>
    <xf numFmtId="167" fontId="38" fillId="3" borderId="11" xfId="1" applyNumberFormat="1" applyFont="1" applyFill="1" applyBorder="1" applyAlignment="1">
      <alignment wrapText="1"/>
    </xf>
    <xf numFmtId="167" fontId="38" fillId="5" borderId="11" xfId="1" applyNumberFormat="1" applyFont="1" applyFill="1" applyBorder="1" applyAlignment="1">
      <alignment wrapText="1"/>
    </xf>
    <xf numFmtId="3" fontId="91" fillId="0" borderId="11" xfId="43" applyNumberFormat="1" applyFont="1" applyBorder="1"/>
    <xf numFmtId="43" fontId="181" fillId="0" borderId="0" xfId="173" applyNumberFormat="1" applyAlignment="1">
      <alignment wrapText="1"/>
    </xf>
    <xf numFmtId="43" fontId="84" fillId="0" borderId="0" xfId="1" applyFont="1" applyFill="1" applyAlignment="1">
      <alignment wrapText="1"/>
    </xf>
    <xf numFmtId="3" fontId="42" fillId="0" borderId="15" xfId="3" applyNumberFormat="1" applyFont="1" applyBorder="1"/>
    <xf numFmtId="3" fontId="38" fillId="0" borderId="73" xfId="3" applyNumberFormat="1" applyFont="1" applyBorder="1"/>
    <xf numFmtId="0" fontId="63" fillId="0" borderId="82" xfId="10" applyFont="1" applyBorder="1" applyAlignment="1">
      <alignment horizontal="center" vertical="center"/>
    </xf>
    <xf numFmtId="3" fontId="90" fillId="0" borderId="0" xfId="0" applyNumberFormat="1" applyFont="1"/>
    <xf numFmtId="49" fontId="42" fillId="0" borderId="0" xfId="43" applyNumberFormat="1" applyFont="1" applyAlignment="1">
      <alignment horizontal="left" indent="1"/>
    </xf>
    <xf numFmtId="49" fontId="42" fillId="0" borderId="0" xfId="43" applyNumberFormat="1" applyFont="1" applyAlignment="1">
      <alignment horizontal="left" wrapText="1" indent="2"/>
    </xf>
    <xf numFmtId="3" fontId="40" fillId="0" borderId="0" xfId="3" applyNumberFormat="1" applyFont="1"/>
    <xf numFmtId="3" fontId="38" fillId="0" borderId="0" xfId="3" applyNumberFormat="1" applyFont="1"/>
    <xf numFmtId="167" fontId="38" fillId="0" borderId="0" xfId="1" applyNumberFormat="1" applyFont="1" applyFill="1" applyBorder="1"/>
    <xf numFmtId="3" fontId="46" fillId="0" borderId="0" xfId="3" applyNumberFormat="1" applyFont="1"/>
    <xf numFmtId="3" fontId="42" fillId="0" borderId="0" xfId="3" applyNumberFormat="1" applyFont="1"/>
    <xf numFmtId="167" fontId="42" fillId="0" borderId="0" xfId="1" applyNumberFormat="1" applyFont="1" applyFill="1" applyBorder="1"/>
    <xf numFmtId="49" fontId="48" fillId="3" borderId="9" xfId="43" applyNumberFormat="1" applyFont="1" applyFill="1" applyBorder="1" applyAlignment="1">
      <alignment horizontal="right" indent="1"/>
    </xf>
    <xf numFmtId="167" fontId="38" fillId="5" borderId="11" xfId="1" quotePrefix="1" applyNumberFormat="1" applyFont="1" applyFill="1" applyBorder="1" applyAlignment="1">
      <alignment wrapText="1"/>
    </xf>
    <xf numFmtId="43" fontId="52" fillId="5" borderId="11" xfId="1" applyFont="1" applyFill="1" applyBorder="1" applyAlignment="1">
      <alignment wrapText="1"/>
    </xf>
    <xf numFmtId="167" fontId="91" fillId="5" borderId="11" xfId="1" applyNumberFormat="1" applyFont="1" applyFill="1" applyBorder="1" applyAlignment="1">
      <alignment wrapText="1"/>
    </xf>
    <xf numFmtId="167" fontId="52" fillId="5" borderId="11" xfId="1" quotePrefix="1" applyNumberFormat="1" applyFont="1" applyFill="1" applyBorder="1" applyAlignment="1">
      <alignment wrapText="1"/>
    </xf>
    <xf numFmtId="3" fontId="38" fillId="0" borderId="75" xfId="43" applyNumberFormat="1" applyFont="1" applyBorder="1"/>
    <xf numFmtId="43" fontId="90" fillId="0" borderId="0" xfId="1" applyFont="1" applyAlignment="1">
      <alignment wrapText="1"/>
    </xf>
    <xf numFmtId="49" fontId="50" fillId="3" borderId="10" xfId="43" applyNumberFormat="1" applyFont="1" applyFill="1" applyBorder="1" applyAlignment="1">
      <alignment horizontal="left" wrapText="1" indent="2"/>
    </xf>
    <xf numFmtId="0" fontId="38" fillId="6" borderId="79" xfId="43" applyFont="1" applyFill="1" applyBorder="1" applyAlignment="1">
      <alignment horizontal="left" wrapText="1" indent="3"/>
    </xf>
    <xf numFmtId="167" fontId="38" fillId="6" borderId="11" xfId="1" applyNumberFormat="1" applyFont="1" applyFill="1" applyBorder="1" applyAlignment="1">
      <alignment wrapText="1"/>
    </xf>
    <xf numFmtId="167" fontId="90" fillId="0" borderId="0" xfId="1" applyNumberFormat="1" applyFont="1"/>
    <xf numFmtId="49" fontId="126" fillId="0" borderId="10" xfId="43" applyNumberFormat="1" applyFont="1" applyBorder="1" applyAlignment="1">
      <alignment horizontal="right" wrapText="1" indent="2"/>
    </xf>
    <xf numFmtId="3" fontId="126" fillId="0" borderId="11" xfId="3" applyNumberFormat="1" applyFont="1" applyBorder="1"/>
    <xf numFmtId="3" fontId="126" fillId="0" borderId="11" xfId="43" applyNumberFormat="1" applyFont="1" applyBorder="1"/>
    <xf numFmtId="49" fontId="126" fillId="0" borderId="53" xfId="43" applyNumberFormat="1" applyFont="1" applyBorder="1" applyAlignment="1">
      <alignment horizontal="right" wrapText="1" indent="2"/>
    </xf>
    <xf numFmtId="49" fontId="170" fillId="0" borderId="10" xfId="43" applyNumberFormat="1" applyFont="1" applyBorder="1" applyAlignment="1">
      <alignment horizontal="right" wrapText="1" indent="2"/>
    </xf>
    <xf numFmtId="3" fontId="97" fillId="0" borderId="0" xfId="0" applyNumberFormat="1" applyFont="1"/>
    <xf numFmtId="49" fontId="138" fillId="5" borderId="86" xfId="43" applyNumberFormat="1" applyFont="1" applyFill="1" applyBorder="1" applyAlignment="1">
      <alignment horizontal="left" indent="1"/>
    </xf>
    <xf numFmtId="49" fontId="138" fillId="5" borderId="80" xfId="43" applyNumberFormat="1" applyFont="1" applyFill="1" applyBorder="1" applyAlignment="1">
      <alignment horizontal="right" wrapText="1" indent="2"/>
    </xf>
    <xf numFmtId="3" fontId="138" fillId="5" borderId="87" xfId="3" applyNumberFormat="1" applyFont="1" applyFill="1" applyBorder="1"/>
    <xf numFmtId="43" fontId="138" fillId="5" borderId="87" xfId="1" applyFont="1" applyFill="1" applyBorder="1"/>
    <xf numFmtId="49" fontId="169" fillId="5" borderId="86" xfId="43" applyNumberFormat="1" applyFont="1" applyFill="1" applyBorder="1" applyAlignment="1">
      <alignment horizontal="left" indent="1"/>
    </xf>
    <xf numFmtId="49" fontId="169" fillId="5" borderId="80" xfId="43" applyNumberFormat="1" applyFont="1" applyFill="1" applyBorder="1" applyAlignment="1">
      <alignment horizontal="right" wrapText="1" indent="2"/>
    </xf>
    <xf numFmtId="3" fontId="169" fillId="5" borderId="87" xfId="3" applyNumberFormat="1" applyFont="1" applyFill="1" applyBorder="1"/>
    <xf numFmtId="43" fontId="169" fillId="5" borderId="87" xfId="1" applyFont="1" applyFill="1" applyBorder="1"/>
    <xf numFmtId="3" fontId="40" fillId="3" borderId="11" xfId="43" applyNumberFormat="1" applyFont="1" applyFill="1" applyBorder="1"/>
    <xf numFmtId="3" fontId="40" fillId="0" borderId="11" xfId="3" applyNumberFormat="1" applyFont="1" applyBorder="1"/>
    <xf numFmtId="4" fontId="176" fillId="5" borderId="71" xfId="10" applyNumberFormat="1" applyFont="1" applyFill="1" applyBorder="1" applyAlignment="1">
      <alignment horizontal="center" vertical="center"/>
    </xf>
    <xf numFmtId="4" fontId="176" fillId="5" borderId="88" xfId="10" applyNumberFormat="1" applyFont="1" applyFill="1" applyBorder="1" applyAlignment="1">
      <alignment horizontal="center" vertical="center"/>
    </xf>
    <xf numFmtId="3" fontId="183" fillId="0" borderId="0" xfId="43" applyNumberFormat="1" applyFont="1"/>
    <xf numFmtId="3" fontId="184" fillId="0" borderId="0" xfId="43" applyNumberFormat="1" applyFont="1"/>
    <xf numFmtId="3" fontId="83" fillId="0" borderId="0" xfId="0" applyNumberFormat="1" applyFont="1"/>
    <xf numFmtId="43" fontId="100" fillId="3" borderId="11" xfId="1" applyFont="1" applyFill="1" applyBorder="1"/>
    <xf numFmtId="3" fontId="46" fillId="3" borderId="8" xfId="3" applyNumberFormat="1" applyFont="1" applyFill="1" applyBorder="1"/>
    <xf numFmtId="3" fontId="46" fillId="4" borderId="8" xfId="3" applyNumberFormat="1" applyFont="1" applyFill="1" applyBorder="1"/>
    <xf numFmtId="167" fontId="40" fillId="0" borderId="11" xfId="5" applyNumberFormat="1" applyFont="1" applyFill="1" applyBorder="1"/>
    <xf numFmtId="167" fontId="40" fillId="0" borderId="8" xfId="5" applyNumberFormat="1" applyFont="1" applyFill="1" applyBorder="1"/>
    <xf numFmtId="3" fontId="40" fillId="0" borderId="12" xfId="3" applyNumberFormat="1" applyFont="1" applyBorder="1"/>
    <xf numFmtId="3" fontId="46" fillId="4" borderId="51" xfId="3" applyNumberFormat="1" applyFont="1" applyFill="1" applyBorder="1"/>
    <xf numFmtId="3" fontId="40" fillId="0" borderId="73" xfId="3" applyNumberFormat="1" applyFont="1" applyBorder="1"/>
    <xf numFmtId="3" fontId="46" fillId="0" borderId="15" xfId="3" applyNumberFormat="1" applyFont="1" applyBorder="1"/>
    <xf numFmtId="0" fontId="59" fillId="0" borderId="0" xfId="65" applyFont="1" applyAlignment="1">
      <alignment horizontal="right"/>
    </xf>
    <xf numFmtId="0" fontId="111" fillId="0" borderId="0" xfId="10" applyFont="1"/>
    <xf numFmtId="0" fontId="185" fillId="0" borderId="0" xfId="10" applyFont="1" applyAlignment="1">
      <alignment horizontal="right"/>
    </xf>
    <xf numFmtId="3" fontId="186" fillId="0" borderId="0" xfId="16" applyNumberFormat="1" applyFont="1"/>
    <xf numFmtId="3" fontId="38" fillId="0" borderId="89" xfId="43" applyNumberFormat="1" applyFont="1" applyBorder="1"/>
    <xf numFmtId="49" fontId="38" fillId="5" borderId="90" xfId="43" applyNumberFormat="1" applyFont="1" applyFill="1" applyBorder="1" applyAlignment="1">
      <alignment horizontal="left" indent="1"/>
    </xf>
    <xf numFmtId="43" fontId="39" fillId="5" borderId="89" xfId="1" applyFont="1" applyFill="1" applyBorder="1"/>
    <xf numFmtId="3" fontId="38" fillId="3" borderId="89" xfId="43" applyNumberFormat="1" applyFont="1" applyFill="1" applyBorder="1"/>
    <xf numFmtId="3" fontId="187" fillId="0" borderId="0" xfId="3" applyNumberFormat="1" applyFont="1"/>
    <xf numFmtId="3" fontId="166" fillId="5" borderId="11" xfId="3" applyNumberFormat="1" applyFont="1" applyFill="1" applyBorder="1"/>
    <xf numFmtId="3" fontId="187" fillId="5" borderId="11" xfId="3" applyNumberFormat="1" applyFont="1" applyFill="1" applyBorder="1"/>
    <xf numFmtId="3" fontId="166" fillId="5" borderId="73" xfId="3" applyNumberFormat="1" applyFont="1" applyFill="1" applyBorder="1"/>
    <xf numFmtId="3" fontId="178" fillId="0" borderId="0" xfId="0" applyNumberFormat="1" applyFont="1"/>
    <xf numFmtId="3" fontId="187" fillId="5" borderId="73" xfId="3" applyNumberFormat="1" applyFont="1" applyFill="1" applyBorder="1"/>
    <xf numFmtId="3" fontId="166" fillId="5" borderId="11" xfId="43" applyNumberFormat="1" applyFont="1" applyFill="1" applyBorder="1"/>
    <xf numFmtId="3" fontId="187" fillId="5" borderId="11" xfId="43" applyNumberFormat="1" applyFont="1" applyFill="1" applyBorder="1"/>
    <xf numFmtId="3" fontId="166" fillId="0" borderId="54" xfId="43" applyNumberFormat="1" applyFont="1" applyBorder="1"/>
    <xf numFmtId="3" fontId="187" fillId="5" borderId="87" xfId="3" applyNumberFormat="1" applyFont="1" applyFill="1" applyBorder="1"/>
    <xf numFmtId="3" fontId="187" fillId="0" borderId="11" xfId="43" applyNumberFormat="1" applyFont="1" applyBorder="1"/>
    <xf numFmtId="3" fontId="187" fillId="0" borderId="73" xfId="43" applyNumberFormat="1" applyFont="1" applyBorder="1"/>
    <xf numFmtId="0" fontId="189" fillId="0" borderId="0" xfId="0" applyFont="1"/>
    <xf numFmtId="167" fontId="166" fillId="5" borderId="11" xfId="1" applyNumberFormat="1" applyFont="1" applyFill="1" applyBorder="1"/>
    <xf numFmtId="0" fontId="178" fillId="5" borderId="0" xfId="0" applyFont="1" applyFill="1"/>
    <xf numFmtId="3" fontId="187" fillId="0" borderId="11" xfId="3" applyNumberFormat="1" applyFont="1" applyBorder="1"/>
    <xf numFmtId="49" fontId="166" fillId="5" borderId="52" xfId="43" applyNumberFormat="1" applyFont="1" applyFill="1" applyBorder="1" applyAlignment="1">
      <alignment horizontal="left" indent="1"/>
    </xf>
    <xf numFmtId="49" fontId="187" fillId="5" borderId="10" xfId="43" applyNumberFormat="1" applyFont="1" applyFill="1" applyBorder="1" applyAlignment="1">
      <alignment horizontal="right" wrapText="1" indent="2"/>
    </xf>
    <xf numFmtId="3" fontId="166" fillId="5" borderId="54" xfId="3" applyNumberFormat="1" applyFont="1" applyFill="1" applyBorder="1"/>
    <xf numFmtId="43" fontId="166" fillId="5" borderId="54" xfId="1" applyFont="1" applyFill="1" applyBorder="1"/>
    <xf numFmtId="49" fontId="187" fillId="5" borderId="9" xfId="43" applyNumberFormat="1" applyFont="1" applyFill="1" applyBorder="1" applyAlignment="1">
      <alignment horizontal="left" indent="1"/>
    </xf>
    <xf numFmtId="43" fontId="166" fillId="5" borderId="11" xfId="1" applyFont="1" applyFill="1" applyBorder="1"/>
    <xf numFmtId="0" fontId="189" fillId="5" borderId="0" xfId="0" applyFont="1" applyFill="1"/>
    <xf numFmtId="43" fontId="187" fillId="5" borderId="11" xfId="1" applyFont="1" applyFill="1" applyBorder="1"/>
    <xf numFmtId="43" fontId="166" fillId="5" borderId="73" xfId="1" applyFont="1" applyFill="1" applyBorder="1"/>
    <xf numFmtId="49" fontId="187" fillId="5" borderId="52" xfId="43" applyNumberFormat="1" applyFont="1" applyFill="1" applyBorder="1" applyAlignment="1">
      <alignment horizontal="left" indent="1"/>
    </xf>
    <xf numFmtId="3" fontId="187" fillId="5" borderId="73" xfId="43" applyNumberFormat="1" applyFont="1" applyFill="1" applyBorder="1"/>
    <xf numFmtId="49" fontId="166" fillId="5" borderId="72" xfId="43" applyNumberFormat="1" applyFont="1" applyFill="1" applyBorder="1" applyAlignment="1">
      <alignment horizontal="left" indent="1"/>
    </xf>
    <xf numFmtId="49" fontId="166" fillId="5" borderId="70" xfId="43" applyNumberFormat="1" applyFont="1" applyFill="1" applyBorder="1" applyAlignment="1">
      <alignment horizontal="right" wrapText="1" indent="2"/>
    </xf>
    <xf numFmtId="49" fontId="188" fillId="5" borderId="52" xfId="43" applyNumberFormat="1" applyFont="1" applyFill="1" applyBorder="1" applyAlignment="1">
      <alignment horizontal="left" indent="1"/>
    </xf>
    <xf numFmtId="49" fontId="188" fillId="5" borderId="56" xfId="43" applyNumberFormat="1" applyFont="1" applyFill="1" applyBorder="1" applyAlignment="1">
      <alignment horizontal="right" wrapText="1" indent="2"/>
    </xf>
    <xf numFmtId="3" fontId="188" fillId="5" borderId="54" xfId="3" applyNumberFormat="1" applyFont="1" applyFill="1" applyBorder="1"/>
    <xf numFmtId="3" fontId="188" fillId="5" borderId="11" xfId="43" applyNumberFormat="1" applyFont="1" applyFill="1" applyBorder="1"/>
    <xf numFmtId="43" fontId="188" fillId="5" borderId="54" xfId="1" applyFont="1" applyFill="1" applyBorder="1"/>
    <xf numFmtId="0" fontId="190" fillId="5" borderId="0" xfId="0" applyFont="1" applyFill="1"/>
    <xf numFmtId="49" fontId="187" fillId="5" borderId="86" xfId="43" applyNumberFormat="1" applyFont="1" applyFill="1" applyBorder="1" applyAlignment="1">
      <alignment horizontal="left" indent="1"/>
    </xf>
    <xf numFmtId="49" fontId="187" fillId="5" borderId="80" xfId="43" applyNumberFormat="1" applyFont="1" applyFill="1" applyBorder="1" applyAlignment="1">
      <alignment horizontal="right" wrapText="1" indent="2"/>
    </xf>
    <xf numFmtId="43" fontId="187" fillId="5" borderId="87" xfId="1" applyFont="1" applyFill="1" applyBorder="1"/>
    <xf numFmtId="3" fontId="39" fillId="0" borderId="0" xfId="9" applyNumberFormat="1" applyFont="1"/>
    <xf numFmtId="167" fontId="53" fillId="0" borderId="0" xfId="1" applyNumberFormat="1" applyFont="1"/>
    <xf numFmtId="167" fontId="39" fillId="0" borderId="0" xfId="1" applyNumberFormat="1" applyFont="1"/>
    <xf numFmtId="167" fontId="61" fillId="0" borderId="38" xfId="11" applyNumberFormat="1" applyFont="1" applyFill="1" applyBorder="1" applyAlignment="1">
      <alignment horizontal="center" vertical="center"/>
    </xf>
    <xf numFmtId="0" fontId="7" fillId="0" borderId="0" xfId="196" applyAlignment="1">
      <alignment vertical="top"/>
    </xf>
    <xf numFmtId="0" fontId="147" fillId="0" borderId="0" xfId="196" applyFont="1" applyAlignment="1">
      <alignment vertical="top"/>
    </xf>
    <xf numFmtId="2" fontId="193" fillId="0" borderId="0" xfId="196" applyNumberFormat="1" applyFont="1" applyAlignment="1">
      <alignment vertical="top"/>
    </xf>
    <xf numFmtId="0" fontId="194" fillId="0" borderId="0" xfId="196" applyFont="1" applyAlignment="1">
      <alignment vertical="top"/>
    </xf>
    <xf numFmtId="0" fontId="7" fillId="0" borderId="0" xfId="196"/>
    <xf numFmtId="0" fontId="195" fillId="0" borderId="0" xfId="196" applyFont="1" applyAlignment="1">
      <alignment vertical="top"/>
    </xf>
    <xf numFmtId="2" fontId="197" fillId="0" borderId="0" xfId="196" applyNumberFormat="1" applyFont="1" applyAlignment="1">
      <alignment vertical="top"/>
    </xf>
    <xf numFmtId="0" fontId="198" fillId="0" borderId="0" xfId="196" applyFont="1" applyAlignment="1">
      <alignment vertical="top"/>
    </xf>
    <xf numFmtId="0" fontId="7" fillId="13" borderId="96" xfId="196" applyFill="1" applyBorder="1" applyAlignment="1">
      <alignment vertical="top"/>
    </xf>
    <xf numFmtId="0" fontId="199" fillId="13" borderId="96" xfId="196" applyFont="1" applyFill="1" applyBorder="1" applyAlignment="1">
      <alignment vertical="top" wrapText="1"/>
    </xf>
    <xf numFmtId="2" fontId="199" fillId="13" borderId="96" xfId="196" applyNumberFormat="1" applyFont="1" applyFill="1" applyBorder="1" applyAlignment="1">
      <alignment vertical="top" wrapText="1"/>
    </xf>
    <xf numFmtId="0" fontId="200" fillId="13" borderId="96" xfId="196" applyFont="1" applyFill="1" applyBorder="1" applyAlignment="1">
      <alignment vertical="top" wrapText="1"/>
    </xf>
    <xf numFmtId="0" fontId="141" fillId="13" borderId="96" xfId="196" applyFont="1" applyFill="1" applyBorder="1" applyAlignment="1">
      <alignment vertical="top"/>
    </xf>
    <xf numFmtId="0" fontId="201" fillId="13" borderId="96" xfId="196" applyFont="1" applyFill="1" applyBorder="1" applyAlignment="1">
      <alignment vertical="top"/>
    </xf>
    <xf numFmtId="2" fontId="202" fillId="13" borderId="96" xfId="196" applyNumberFormat="1" applyFont="1" applyFill="1" applyBorder="1" applyAlignment="1">
      <alignment vertical="top" wrapText="1"/>
    </xf>
    <xf numFmtId="0" fontId="203" fillId="13" borderId="96" xfId="196" applyFont="1" applyFill="1" applyBorder="1" applyAlignment="1">
      <alignment vertical="top" wrapText="1"/>
    </xf>
    <xf numFmtId="0" fontId="141" fillId="0" borderId="0" xfId="196" applyFont="1"/>
    <xf numFmtId="0" fontId="92" fillId="24" borderId="96" xfId="196" applyFont="1" applyFill="1" applyBorder="1" applyAlignment="1">
      <alignment vertical="top"/>
    </xf>
    <xf numFmtId="2" fontId="147" fillId="24" borderId="96" xfId="196" applyNumberFormat="1" applyFont="1" applyFill="1" applyBorder="1" applyAlignment="1">
      <alignment vertical="top"/>
    </xf>
    <xf numFmtId="2" fontId="197" fillId="24" borderId="96" xfId="196" applyNumberFormat="1" applyFont="1" applyFill="1" applyBorder="1" applyAlignment="1">
      <alignment vertical="top"/>
    </xf>
    <xf numFmtId="2" fontId="198" fillId="24" borderId="96" xfId="196" applyNumberFormat="1" applyFont="1" applyFill="1" applyBorder="1" applyAlignment="1">
      <alignment vertical="top"/>
    </xf>
    <xf numFmtId="0" fontId="7" fillId="16" borderId="96" xfId="196" applyFill="1" applyBorder="1" applyAlignment="1">
      <alignment vertical="top" wrapText="1"/>
    </xf>
    <xf numFmtId="2" fontId="204" fillId="16" borderId="96" xfId="196" applyNumberFormat="1" applyFont="1" applyFill="1" applyBorder="1" applyAlignment="1">
      <alignment vertical="top"/>
    </xf>
    <xf numFmtId="0" fontId="182" fillId="60" borderId="96" xfId="196" applyFont="1" applyFill="1" applyBorder="1" applyAlignment="1">
      <alignment vertical="top" wrapText="1"/>
    </xf>
    <xf numFmtId="2" fontId="204" fillId="60" borderId="96" xfId="197" applyNumberFormat="1" applyFont="1" applyFill="1" applyBorder="1" applyAlignment="1">
      <alignment vertical="top"/>
    </xf>
    <xf numFmtId="0" fontId="59" fillId="60" borderId="96" xfId="196" applyFont="1" applyFill="1" applyBorder="1" applyAlignment="1">
      <alignment vertical="top" wrapText="1"/>
    </xf>
    <xf numFmtId="0" fontId="148" fillId="60" borderId="96" xfId="196" applyFont="1" applyFill="1" applyBorder="1" applyAlignment="1">
      <alignment vertical="top" wrapText="1"/>
    </xf>
    <xf numFmtId="0" fontId="148" fillId="16" borderId="96" xfId="196" applyFont="1" applyFill="1" applyBorder="1" applyAlignment="1">
      <alignment vertical="top" wrapText="1"/>
    </xf>
    <xf numFmtId="2" fontId="204" fillId="16" borderId="96" xfId="197" applyNumberFormat="1" applyFont="1" applyFill="1" applyBorder="1" applyAlignment="1">
      <alignment vertical="top"/>
    </xf>
    <xf numFmtId="0" fontId="194" fillId="60" borderId="96" xfId="196" applyFont="1" applyFill="1" applyBorder="1" applyAlignment="1">
      <alignment vertical="top"/>
    </xf>
    <xf numFmtId="0" fontId="59" fillId="16" borderId="96" xfId="196" applyFont="1" applyFill="1" applyBorder="1" applyAlignment="1">
      <alignment vertical="top" wrapText="1"/>
    </xf>
    <xf numFmtId="0" fontId="92" fillId="24" borderId="97" xfId="196" applyFont="1" applyFill="1" applyBorder="1" applyAlignment="1">
      <alignment horizontal="left" vertical="top"/>
    </xf>
    <xf numFmtId="2" fontId="198" fillId="24" borderId="97" xfId="196" applyNumberFormat="1" applyFont="1" applyFill="1" applyBorder="1" applyAlignment="1">
      <alignment vertical="top"/>
    </xf>
    <xf numFmtId="0" fontId="7" fillId="0" borderId="96" xfId="196" applyBorder="1"/>
    <xf numFmtId="0" fontId="59" fillId="16" borderId="98" xfId="196" applyFont="1" applyFill="1" applyBorder="1" applyAlignment="1">
      <alignment vertical="top" wrapText="1"/>
    </xf>
    <xf numFmtId="0" fontId="194" fillId="16" borderId="98" xfId="196" applyFont="1" applyFill="1" applyBorder="1" applyAlignment="1">
      <alignment vertical="top"/>
    </xf>
    <xf numFmtId="0" fontId="205" fillId="0" borderId="0" xfId="196" applyFont="1"/>
    <xf numFmtId="2" fontId="204" fillId="60" borderId="38" xfId="197" applyNumberFormat="1" applyFont="1" applyFill="1" applyBorder="1" applyAlignment="1">
      <alignment vertical="top"/>
    </xf>
    <xf numFmtId="0" fontId="59" fillId="16" borderId="96" xfId="196" applyFont="1" applyFill="1" applyBorder="1" applyAlignment="1">
      <alignment horizontal="left" vertical="top" wrapText="1"/>
    </xf>
    <xf numFmtId="0" fontId="59" fillId="16" borderId="96" xfId="196" applyFont="1" applyFill="1" applyBorder="1" applyAlignment="1">
      <alignment vertical="top"/>
    </xf>
    <xf numFmtId="0" fontId="59" fillId="60" borderId="96" xfId="196" applyFont="1" applyFill="1" applyBorder="1" applyAlignment="1">
      <alignment horizontal="left" vertical="top" wrapText="1"/>
    </xf>
    <xf numFmtId="0" fontId="59" fillId="21" borderId="96" xfId="196" applyFont="1" applyFill="1" applyBorder="1" applyAlignment="1">
      <alignment horizontal="left" vertical="top" wrapText="1"/>
    </xf>
    <xf numFmtId="2" fontId="204" fillId="21" borderId="96" xfId="197" applyNumberFormat="1" applyFont="1" applyFill="1" applyBorder="1" applyAlignment="1">
      <alignment vertical="top"/>
    </xf>
    <xf numFmtId="0" fontId="7" fillId="16" borderId="96" xfId="196" applyFill="1" applyBorder="1" applyAlignment="1">
      <alignment horizontal="left" vertical="top" wrapText="1"/>
    </xf>
    <xf numFmtId="0" fontId="59" fillId="16" borderId="96" xfId="196" applyFont="1" applyFill="1" applyBorder="1" applyAlignment="1">
      <alignment horizontal="left" vertical="top"/>
    </xf>
    <xf numFmtId="0" fontId="59" fillId="60" borderId="96" xfId="196" applyFont="1" applyFill="1" applyBorder="1" applyAlignment="1">
      <alignment vertical="top"/>
    </xf>
    <xf numFmtId="0" fontId="204" fillId="60" borderId="96" xfId="196" applyFont="1" applyFill="1" applyBorder="1" applyAlignment="1">
      <alignment vertical="top"/>
    </xf>
    <xf numFmtId="0" fontId="7" fillId="60" borderId="96" xfId="196" applyFill="1" applyBorder="1" applyAlignment="1">
      <alignment vertical="top" wrapText="1"/>
    </xf>
    <xf numFmtId="2" fontId="206" fillId="60" borderId="96" xfId="197" applyNumberFormat="1" applyFont="1" applyFill="1" applyBorder="1" applyAlignment="1">
      <alignment vertical="top"/>
    </xf>
    <xf numFmtId="0" fontId="92" fillId="11" borderId="96" xfId="196" applyFont="1" applyFill="1" applyBorder="1" applyAlignment="1">
      <alignment vertical="top" wrapText="1"/>
    </xf>
    <xf numFmtId="2" fontId="204" fillId="11" borderId="96" xfId="197" applyNumberFormat="1" applyFont="1" applyFill="1" applyBorder="1" applyAlignment="1">
      <alignment vertical="top"/>
    </xf>
    <xf numFmtId="0" fontId="7" fillId="21" borderId="96" xfId="196" applyFill="1" applyBorder="1" applyAlignment="1">
      <alignment vertical="top" wrapText="1"/>
    </xf>
    <xf numFmtId="0" fontId="182" fillId="11" borderId="96" xfId="196" applyFont="1" applyFill="1" applyBorder="1" applyAlignment="1">
      <alignment vertical="top" wrapText="1"/>
    </xf>
    <xf numFmtId="0" fontId="7" fillId="60" borderId="96" xfId="196" applyFill="1" applyBorder="1" applyAlignment="1">
      <alignment vertical="top"/>
    </xf>
    <xf numFmtId="0" fontId="194" fillId="16" borderId="96" xfId="196" applyFont="1" applyFill="1" applyBorder="1" applyAlignment="1">
      <alignment vertical="top"/>
    </xf>
    <xf numFmtId="0" fontId="7" fillId="0" borderId="0" xfId="196" applyAlignment="1">
      <alignment vertical="top" wrapText="1"/>
    </xf>
    <xf numFmtId="2" fontId="147" fillId="0" borderId="0" xfId="196" applyNumberFormat="1" applyFont="1" applyAlignment="1">
      <alignment vertical="top"/>
    </xf>
    <xf numFmtId="2" fontId="193" fillId="0" borderId="0" xfId="197" applyNumberFormat="1" applyFont="1" applyAlignment="1">
      <alignment vertical="top"/>
    </xf>
    <xf numFmtId="2" fontId="204" fillId="0" borderId="0" xfId="197" applyNumberFormat="1" applyFont="1" applyAlignment="1">
      <alignment vertical="top"/>
    </xf>
    <xf numFmtId="2" fontId="207" fillId="0" borderId="0" xfId="196" applyNumberFormat="1" applyFont="1" applyAlignment="1">
      <alignment vertical="top"/>
    </xf>
    <xf numFmtId="0" fontId="59" fillId="0" borderId="0" xfId="196" applyFont="1" applyAlignment="1">
      <alignment vertical="top"/>
    </xf>
    <xf numFmtId="0" fontId="106" fillId="0" borderId="0" xfId="196" applyFont="1" applyAlignment="1">
      <alignment vertical="top"/>
    </xf>
    <xf numFmtId="0" fontId="210" fillId="0" borderId="0" xfId="198" applyFont="1" applyAlignment="1" applyProtection="1">
      <alignment vertical="top"/>
    </xf>
    <xf numFmtId="0" fontId="59" fillId="5" borderId="0" xfId="199" applyFont="1" applyFill="1"/>
    <xf numFmtId="0" fontId="148" fillId="5" borderId="0" xfId="199" applyFont="1" applyFill="1"/>
    <xf numFmtId="0" fontId="102" fillId="5" borderId="0" xfId="199" applyFont="1" applyFill="1" applyAlignment="1">
      <alignment horizontal="center"/>
    </xf>
    <xf numFmtId="0" fontId="86" fillId="17" borderId="21" xfId="199" applyFont="1" applyFill="1" applyBorder="1" applyAlignment="1">
      <alignment horizontal="center" vertical="center"/>
    </xf>
    <xf numFmtId="0" fontId="86" fillId="17" borderId="21" xfId="199" applyFont="1" applyFill="1" applyBorder="1" applyAlignment="1">
      <alignment horizontal="center" vertical="center" wrapText="1"/>
    </xf>
    <xf numFmtId="0" fontId="88" fillId="5" borderId="90" xfId="200" applyFont="1" applyFill="1" applyBorder="1"/>
    <xf numFmtId="4" fontId="87" fillId="10" borderId="96" xfId="200" applyNumberFormat="1" applyFont="1" applyFill="1" applyBorder="1"/>
    <xf numFmtId="4" fontId="87" fillId="10" borderId="96" xfId="199" applyNumberFormat="1" applyFont="1" applyFill="1" applyBorder="1"/>
    <xf numFmtId="4" fontId="87" fillId="5" borderId="96" xfId="199" applyNumberFormat="1" applyFont="1" applyFill="1" applyBorder="1"/>
    <xf numFmtId="4" fontId="87" fillId="5" borderId="95" xfId="199" applyNumberFormat="1" applyFont="1" applyFill="1" applyBorder="1"/>
    <xf numFmtId="4" fontId="86" fillId="5" borderId="89" xfId="199" applyNumberFormat="1" applyFont="1" applyFill="1" applyBorder="1"/>
    <xf numFmtId="0" fontId="87" fillId="5" borderId="99" xfId="200" applyFont="1" applyFill="1" applyBorder="1" applyAlignment="1">
      <alignment wrapText="1"/>
    </xf>
    <xf numFmtId="4" fontId="87" fillId="5" borderId="92" xfId="200" applyNumberFormat="1" applyFont="1" applyFill="1" applyBorder="1"/>
    <xf numFmtId="4" fontId="88" fillId="5" borderId="92" xfId="199" applyNumberFormat="1" applyFont="1" applyFill="1" applyBorder="1"/>
    <xf numFmtId="4" fontId="87" fillId="5" borderId="92" xfId="199" applyNumberFormat="1" applyFont="1" applyFill="1" applyBorder="1"/>
    <xf numFmtId="4" fontId="100" fillId="5" borderId="91" xfId="199" applyNumberFormat="1" applyFont="1" applyFill="1" applyBorder="1"/>
    <xf numFmtId="4" fontId="102" fillId="5" borderId="0" xfId="199" applyNumberFormat="1" applyFont="1" applyFill="1" applyAlignment="1">
      <alignment horizontal="center"/>
    </xf>
    <xf numFmtId="0" fontId="86" fillId="5" borderId="13" xfId="199" applyFont="1" applyFill="1" applyBorder="1"/>
    <xf numFmtId="4" fontId="86" fillId="10" borderId="2" xfId="199" applyNumberFormat="1" applyFont="1" applyFill="1" applyBorder="1"/>
    <xf numFmtId="4" fontId="86" fillId="5" borderId="3" xfId="199" applyNumberFormat="1" applyFont="1" applyFill="1" applyBorder="1"/>
    <xf numFmtId="0" fontId="59" fillId="5" borderId="96" xfId="199" applyFont="1" applyFill="1" applyBorder="1"/>
    <xf numFmtId="0" fontId="171" fillId="5" borderId="50" xfId="200" applyFont="1" applyFill="1" applyBorder="1" applyAlignment="1">
      <alignment horizontal="center" vertical="center"/>
    </xf>
    <xf numFmtId="0" fontId="171" fillId="5" borderId="25" xfId="200" applyFont="1" applyFill="1" applyBorder="1" applyAlignment="1">
      <alignment horizontal="center" vertical="center"/>
    </xf>
    <xf numFmtId="0" fontId="171" fillId="5" borderId="49" xfId="200" applyFont="1" applyFill="1" applyBorder="1" applyAlignment="1">
      <alignment horizontal="center" vertical="center" wrapText="1"/>
    </xf>
    <xf numFmtId="0" fontId="59" fillId="10" borderId="96" xfId="199" applyFont="1" applyFill="1" applyBorder="1" applyAlignment="1">
      <alignment horizontal="left" vertical="top"/>
    </xf>
    <xf numFmtId="0" fontId="59" fillId="5" borderId="96" xfId="199" applyFont="1" applyFill="1" applyBorder="1" applyAlignment="1">
      <alignment horizontal="left" vertical="top"/>
    </xf>
    <xf numFmtId="0" fontId="89" fillId="5" borderId="96" xfId="10" applyFont="1" applyFill="1" applyBorder="1" applyAlignment="1">
      <alignment horizontal="center" vertical="center"/>
    </xf>
    <xf numFmtId="0" fontId="176" fillId="5" borderId="100" xfId="10" applyFont="1" applyFill="1" applyBorder="1" applyAlignment="1">
      <alignment vertical="center" wrapText="1"/>
    </xf>
    <xf numFmtId="0" fontId="176" fillId="5" borderId="101" xfId="10" applyFont="1" applyFill="1" applyBorder="1" applyAlignment="1">
      <alignment vertical="center" wrapText="1"/>
    </xf>
    <xf numFmtId="0" fontId="59" fillId="10" borderId="96" xfId="199" applyFont="1" applyFill="1" applyBorder="1"/>
    <xf numFmtId="4" fontId="59" fillId="5" borderId="0" xfId="199" applyNumberFormat="1" applyFont="1" applyFill="1"/>
    <xf numFmtId="0" fontId="176" fillId="5" borderId="96" xfId="10" applyFont="1" applyFill="1" applyBorder="1" applyAlignment="1">
      <alignment vertical="center" wrapText="1"/>
    </xf>
    <xf numFmtId="0" fontId="176" fillId="5" borderId="95" xfId="10" applyFont="1" applyFill="1" applyBorder="1" applyAlignment="1">
      <alignment vertical="center" wrapText="1"/>
    </xf>
    <xf numFmtId="4" fontId="176" fillId="5" borderId="89" xfId="10" applyNumberFormat="1" applyFont="1" applyFill="1" applyBorder="1" applyAlignment="1">
      <alignment horizontal="center" vertical="center"/>
    </xf>
    <xf numFmtId="0" fontId="59" fillId="22" borderId="96" xfId="199" applyFont="1" applyFill="1" applyBorder="1" applyAlignment="1">
      <alignment horizontal="left" wrapText="1"/>
    </xf>
    <xf numFmtId="0" fontId="59" fillId="22" borderId="96" xfId="199" applyFont="1" applyFill="1" applyBorder="1" applyAlignment="1">
      <alignment horizontal="left" vertical="top"/>
    </xf>
    <xf numFmtId="0" fontId="59" fillId="5" borderId="96" xfId="199" applyFont="1" applyFill="1" applyBorder="1" applyAlignment="1">
      <alignment horizontal="left" vertical="top" wrapText="1"/>
    </xf>
    <xf numFmtId="0" fontId="59" fillId="22" borderId="96" xfId="199" applyFont="1" applyFill="1" applyBorder="1" applyAlignment="1">
      <alignment horizontal="left" vertical="top" wrapText="1"/>
    </xf>
    <xf numFmtId="4" fontId="176" fillId="5" borderId="89" xfId="10" applyNumberFormat="1" applyFont="1" applyFill="1" applyBorder="1" applyAlignment="1">
      <alignment horizontal="left" vertical="center" wrapText="1"/>
    </xf>
    <xf numFmtId="0" fontId="176" fillId="5" borderId="102" xfId="10" applyFont="1" applyFill="1" applyBorder="1" applyAlignment="1">
      <alignment vertical="center" wrapText="1"/>
    </xf>
    <xf numFmtId="0" fontId="89" fillId="5" borderId="35" xfId="200" applyFont="1" applyFill="1" applyBorder="1" applyAlignment="1">
      <alignment horizontal="center"/>
    </xf>
    <xf numFmtId="0" fontId="171" fillId="5" borderId="16" xfId="200" applyFont="1" applyFill="1" applyBorder="1" applyAlignment="1">
      <alignment horizontal="right"/>
    </xf>
    <xf numFmtId="4" fontId="171" fillId="10" borderId="15" xfId="200" applyNumberFormat="1" applyFont="1" applyFill="1" applyBorder="1" applyAlignment="1">
      <alignment horizontal="center" vertical="center"/>
    </xf>
    <xf numFmtId="0" fontId="86" fillId="5" borderId="13" xfId="0" applyFont="1" applyFill="1" applyBorder="1" applyAlignment="1">
      <alignment horizontal="center"/>
    </xf>
    <xf numFmtId="0" fontId="86" fillId="5" borderId="5" xfId="0" applyFont="1" applyFill="1" applyBorder="1" applyAlignment="1">
      <alignment horizontal="center"/>
    </xf>
    <xf numFmtId="0" fontId="87" fillId="5" borderId="103" xfId="0" applyFont="1" applyFill="1" applyBorder="1" applyAlignment="1">
      <alignment horizontal="center"/>
    </xf>
    <xf numFmtId="0" fontId="87" fillId="5" borderId="98" xfId="0" applyFont="1" applyFill="1" applyBorder="1"/>
    <xf numFmtId="0" fontId="87" fillId="5" borderId="104" xfId="0" applyFont="1" applyFill="1" applyBorder="1" applyAlignment="1">
      <alignment horizontal="center"/>
    </xf>
    <xf numFmtId="0" fontId="87" fillId="5" borderId="90" xfId="0" applyFont="1" applyFill="1" applyBorder="1" applyAlignment="1">
      <alignment horizontal="center"/>
    </xf>
    <xf numFmtId="0" fontId="87" fillId="5" borderId="96" xfId="0" applyFont="1" applyFill="1" applyBorder="1"/>
    <xf numFmtId="0" fontId="87" fillId="5" borderId="89" xfId="0" applyFont="1" applyFill="1" applyBorder="1" applyAlignment="1">
      <alignment horizontal="center"/>
    </xf>
    <xf numFmtId="0" fontId="86" fillId="10" borderId="21" xfId="0" applyFont="1" applyFill="1" applyBorder="1" applyAlignment="1">
      <alignment horizontal="center"/>
    </xf>
    <xf numFmtId="0" fontId="87" fillId="5" borderId="0" xfId="0" applyFont="1" applyFill="1" applyAlignment="1">
      <alignment horizontal="center"/>
    </xf>
    <xf numFmtId="0" fontId="86" fillId="5" borderId="0" xfId="0" applyFont="1" applyFill="1" applyAlignment="1">
      <alignment horizontal="right"/>
    </xf>
    <xf numFmtId="0" fontId="86" fillId="10" borderId="0" xfId="0" applyFont="1" applyFill="1" applyAlignment="1">
      <alignment horizontal="center"/>
    </xf>
    <xf numFmtId="0" fontId="176" fillId="0" borderId="21" xfId="0" applyFont="1" applyBorder="1" applyAlignment="1">
      <alignment horizontal="center" vertical="center" wrapText="1"/>
    </xf>
    <xf numFmtId="0" fontId="176" fillId="0" borderId="5" xfId="0" applyFont="1" applyBorder="1" applyAlignment="1">
      <alignment horizontal="center" vertical="center" wrapText="1"/>
    </xf>
    <xf numFmtId="0" fontId="176" fillId="0" borderId="27" xfId="0" applyFont="1" applyBorder="1" applyAlignment="1">
      <alignment horizontal="center" vertical="center" wrapText="1"/>
    </xf>
    <xf numFmtId="0" fontId="212" fillId="0" borderId="17" xfId="0" applyFont="1" applyBorder="1" applyAlignment="1">
      <alignment vertical="center" wrapText="1"/>
    </xf>
    <xf numFmtId="0" fontId="213" fillId="0" borderId="17" xfId="0" applyFont="1" applyBorder="1" applyAlignment="1">
      <alignment vertical="center" wrapText="1"/>
    </xf>
    <xf numFmtId="0" fontId="212" fillId="0" borderId="17" xfId="0" applyFont="1" applyBorder="1" applyAlignment="1">
      <alignment horizontal="center" vertical="center" wrapText="1"/>
    </xf>
    <xf numFmtId="0" fontId="212" fillId="10" borderId="17" xfId="0" applyFont="1" applyFill="1" applyBorder="1" applyAlignment="1">
      <alignment horizontal="center" vertical="center" wrapText="1"/>
    </xf>
    <xf numFmtId="0" fontId="214" fillId="0" borderId="17" xfId="0" applyFont="1" applyBorder="1" applyAlignment="1">
      <alignment vertical="center" wrapText="1"/>
    </xf>
    <xf numFmtId="0" fontId="176" fillId="61" borderId="25" xfId="0" applyFont="1" applyFill="1" applyBorder="1" applyAlignment="1">
      <alignment vertical="center" wrapText="1"/>
    </xf>
    <xf numFmtId="0" fontId="176" fillId="61" borderId="49" xfId="0" applyFont="1" applyFill="1" applyBorder="1" applyAlignment="1">
      <alignment vertical="center" wrapText="1"/>
    </xf>
    <xf numFmtId="0" fontId="216" fillId="61" borderId="49" xfId="0" applyFont="1" applyFill="1" applyBorder="1" applyAlignment="1">
      <alignment horizontal="right" vertical="center" wrapText="1"/>
    </xf>
    <xf numFmtId="0" fontId="217" fillId="0" borderId="0" xfId="0" applyFont="1" applyAlignment="1">
      <alignment vertical="center" wrapText="1"/>
    </xf>
    <xf numFmtId="0" fontId="216" fillId="61" borderId="40" xfId="0" applyFont="1" applyFill="1" applyBorder="1" applyAlignment="1">
      <alignment vertical="center" wrapText="1"/>
    </xf>
    <xf numFmtId="0" fontId="216" fillId="61" borderId="44" xfId="0" applyFont="1" applyFill="1" applyBorder="1" applyAlignment="1">
      <alignment horizontal="center" vertical="center" wrapText="1"/>
    </xf>
    <xf numFmtId="0" fontId="216" fillId="61" borderId="44" xfId="0" applyFont="1" applyFill="1" applyBorder="1" applyAlignment="1">
      <alignment horizontal="left" vertical="center" wrapText="1" indent="1"/>
    </xf>
    <xf numFmtId="0" fontId="216" fillId="61" borderId="44" xfId="0" applyFont="1" applyFill="1" applyBorder="1" applyAlignment="1">
      <alignment horizontal="right" vertical="center" wrapText="1"/>
    </xf>
    <xf numFmtId="0" fontId="218" fillId="61" borderId="40" xfId="0" applyFont="1" applyFill="1" applyBorder="1" applyAlignment="1">
      <alignment vertical="center" wrapText="1"/>
    </xf>
    <xf numFmtId="0" fontId="218" fillId="61" borderId="44" xfId="0" applyFont="1" applyFill="1" applyBorder="1" applyAlignment="1">
      <alignment vertical="center" wrapText="1"/>
    </xf>
    <xf numFmtId="0" fontId="216" fillId="61" borderId="44" xfId="0" applyFont="1" applyFill="1" applyBorder="1" applyAlignment="1">
      <alignment vertical="center" wrapText="1"/>
    </xf>
    <xf numFmtId="0" fontId="219" fillId="61" borderId="27" xfId="0" applyFont="1" applyFill="1" applyBorder="1" applyAlignment="1">
      <alignment vertical="center" wrapText="1"/>
    </xf>
    <xf numFmtId="0" fontId="219" fillId="61" borderId="17" xfId="0" applyFont="1" applyFill="1" applyBorder="1" applyAlignment="1">
      <alignment vertical="center" wrapText="1"/>
    </xf>
    <xf numFmtId="0" fontId="220" fillId="0" borderId="27" xfId="0" applyFont="1" applyBorder="1" applyAlignment="1">
      <alignment vertical="center" wrapText="1"/>
    </xf>
    <xf numFmtId="0" fontId="220" fillId="0" borderId="17" xfId="0" applyFont="1" applyBorder="1" applyAlignment="1">
      <alignment horizontal="center" vertical="center" wrapText="1"/>
    </xf>
    <xf numFmtId="0" fontId="220" fillId="0" borderId="40" xfId="0" applyFont="1" applyBorder="1" applyAlignment="1">
      <alignment vertical="center" wrapText="1"/>
    </xf>
    <xf numFmtId="0" fontId="221" fillId="0" borderId="17" xfId="0" applyFont="1" applyBorder="1" applyAlignment="1">
      <alignment vertical="center" wrapText="1"/>
    </xf>
    <xf numFmtId="0" fontId="221" fillId="0" borderId="44" xfId="0" applyFont="1" applyBorder="1" applyAlignment="1">
      <alignment vertical="center" wrapText="1"/>
    </xf>
    <xf numFmtId="0" fontId="222" fillId="0" borderId="27" xfId="0" applyFont="1" applyBorder="1" applyAlignment="1">
      <alignment vertical="center" wrapText="1"/>
    </xf>
    <xf numFmtId="0" fontId="222" fillId="0" borderId="17" xfId="0" applyFont="1" applyBorder="1" applyAlignment="1">
      <alignment vertical="center" wrapText="1"/>
    </xf>
    <xf numFmtId="0" fontId="123" fillId="0" borderId="50" xfId="0" applyFont="1" applyBorder="1" applyAlignment="1">
      <alignment vertical="center" wrapText="1"/>
    </xf>
    <xf numFmtId="0" fontId="123" fillId="0" borderId="0" xfId="0" applyFont="1" applyAlignment="1">
      <alignment vertical="center" wrapText="1"/>
    </xf>
    <xf numFmtId="0" fontId="220" fillId="0" borderId="44" xfId="0" applyFont="1" applyBorder="1" applyAlignment="1">
      <alignment horizontal="center" vertical="center" wrapText="1"/>
    </xf>
    <xf numFmtId="0" fontId="223" fillId="0" borderId="28" xfId="0" applyFont="1" applyBorder="1" applyAlignment="1">
      <alignment vertical="center" wrapText="1"/>
    </xf>
    <xf numFmtId="0" fontId="223" fillId="0" borderId="30" xfId="0" applyFont="1" applyBorder="1" applyAlignment="1">
      <alignment vertical="center" wrapText="1"/>
    </xf>
    <xf numFmtId="0" fontId="223" fillId="0" borderId="17" xfId="0" applyFont="1" applyBorder="1" applyAlignment="1">
      <alignment vertical="center" wrapText="1"/>
    </xf>
    <xf numFmtId="0" fontId="224" fillId="0" borderId="50" xfId="0" applyFont="1" applyBorder="1" applyAlignment="1">
      <alignment vertical="center" wrapText="1"/>
    </xf>
    <xf numFmtId="0" fontId="224" fillId="0" borderId="0" xfId="0" applyFont="1" applyAlignment="1">
      <alignment vertical="center" wrapText="1"/>
    </xf>
    <xf numFmtId="0" fontId="220" fillId="0" borderId="44" xfId="0" applyFont="1" applyBorder="1" applyAlignment="1">
      <alignment horizontal="right" vertical="center" wrapText="1"/>
    </xf>
    <xf numFmtId="0" fontId="216" fillId="0" borderId="44" xfId="0" applyFont="1" applyBorder="1" applyAlignment="1">
      <alignment horizontal="center" vertical="center" wrapText="1"/>
    </xf>
    <xf numFmtId="0" fontId="176" fillId="62" borderId="45" xfId="0" applyFont="1" applyFill="1" applyBorder="1" applyAlignment="1">
      <alignment vertical="center" wrapText="1"/>
    </xf>
    <xf numFmtId="0" fontId="123" fillId="0" borderId="49" xfId="0" applyFont="1" applyBorder="1" applyAlignment="1">
      <alignment vertical="center" textRotation="90" wrapText="1"/>
    </xf>
    <xf numFmtId="0" fontId="226" fillId="0" borderId="49" xfId="0" applyFont="1" applyBorder="1" applyAlignment="1">
      <alignment horizontal="left" vertical="center" wrapText="1" indent="4"/>
    </xf>
    <xf numFmtId="0" fontId="227" fillId="0" borderId="49" xfId="0" applyFont="1" applyBorder="1" applyAlignment="1">
      <alignment horizontal="left" vertical="center" wrapText="1" indent="2"/>
    </xf>
    <xf numFmtId="0" fontId="226" fillId="0" borderId="49" xfId="0" applyFont="1" applyBorder="1" applyAlignment="1">
      <alignment horizontal="left" vertical="center" wrapText="1" indent="3"/>
    </xf>
    <xf numFmtId="0" fontId="227" fillId="0" borderId="49" xfId="0" applyFont="1" applyBorder="1" applyAlignment="1">
      <alignment vertical="center" textRotation="90" wrapText="1"/>
    </xf>
    <xf numFmtId="0" fontId="223" fillId="62" borderId="0" xfId="0" applyFont="1" applyFill="1" applyAlignment="1">
      <alignment vertical="center" wrapText="1"/>
    </xf>
    <xf numFmtId="0" fontId="223" fillId="0" borderId="44" xfId="0" applyFont="1" applyBorder="1" applyAlignment="1">
      <alignment vertical="center" wrapText="1"/>
    </xf>
    <xf numFmtId="0" fontId="228" fillId="62" borderId="0" xfId="0" applyFont="1" applyFill="1" applyAlignment="1">
      <alignment vertical="center" wrapText="1"/>
    </xf>
    <xf numFmtId="0" fontId="228" fillId="0" borderId="44" xfId="0" applyFont="1" applyBorder="1" applyAlignment="1">
      <alignment vertical="center" wrapText="1"/>
    </xf>
    <xf numFmtId="0" fontId="221" fillId="62" borderId="0" xfId="0" applyFont="1" applyFill="1" applyAlignment="1">
      <alignment vertical="center" wrapText="1"/>
    </xf>
    <xf numFmtId="0" fontId="221" fillId="63" borderId="105" xfId="0" applyFont="1" applyFill="1" applyBorder="1" applyAlignment="1">
      <alignment vertical="center" wrapText="1"/>
    </xf>
    <xf numFmtId="0" fontId="221" fillId="63" borderId="44" xfId="0" applyFont="1" applyFill="1" applyBorder="1" applyAlignment="1">
      <alignment vertical="center" wrapText="1"/>
    </xf>
    <xf numFmtId="0" fontId="176" fillId="62" borderId="30" xfId="0" applyFont="1" applyFill="1" applyBorder="1" applyAlignment="1">
      <alignment vertical="center" wrapText="1"/>
    </xf>
    <xf numFmtId="0" fontId="176" fillId="63" borderId="106" xfId="0" applyFont="1" applyFill="1" applyBorder="1" applyAlignment="1">
      <alignment vertical="center" wrapText="1"/>
    </xf>
    <xf numFmtId="0" fontId="176" fillId="63" borderId="17" xfId="0" applyFont="1" applyFill="1" applyBorder="1" applyAlignment="1">
      <alignment vertical="center" wrapText="1"/>
    </xf>
    <xf numFmtId="0" fontId="176" fillId="0" borderId="17" xfId="0" applyFont="1" applyBorder="1" applyAlignment="1">
      <alignment vertical="center" wrapText="1"/>
    </xf>
    <xf numFmtId="0" fontId="212" fillId="62" borderId="0" xfId="0" applyFont="1" applyFill="1" applyAlignment="1">
      <alignment vertical="center" wrapText="1"/>
    </xf>
    <xf numFmtId="0" fontId="229" fillId="0" borderId="44" xfId="0" applyFont="1" applyBorder="1" applyAlignment="1">
      <alignment horizontal="center" vertical="center" wrapText="1"/>
    </xf>
    <xf numFmtId="0" fontId="229" fillId="0" borderId="44" xfId="0" applyFont="1" applyBorder="1" applyAlignment="1">
      <alignment horizontal="left" vertical="center" wrapText="1" indent="7"/>
    </xf>
    <xf numFmtId="0" fontId="212" fillId="0" borderId="44" xfId="0" applyFont="1" applyBorder="1" applyAlignment="1">
      <alignment vertical="center" wrapText="1"/>
    </xf>
    <xf numFmtId="0" fontId="230" fillId="62" borderId="30" xfId="0" applyFont="1" applyFill="1" applyBorder="1" applyAlignment="1">
      <alignment vertical="center" wrapText="1"/>
    </xf>
    <xf numFmtId="0" fontId="230" fillId="0" borderId="17" xfId="0" applyFont="1" applyBorder="1" applyAlignment="1">
      <alignment vertical="center" wrapText="1"/>
    </xf>
    <xf numFmtId="0" fontId="176" fillId="62" borderId="0" xfId="0" applyFont="1" applyFill="1" applyAlignment="1">
      <alignment vertical="center" wrapText="1"/>
    </xf>
    <xf numFmtId="0" fontId="123" fillId="0" borderId="44" xfId="0" applyFont="1" applyBorder="1" applyAlignment="1">
      <alignment horizontal="center" vertical="center" wrapText="1"/>
    </xf>
    <xf numFmtId="0" fontId="176" fillId="0" borderId="44" xfId="0" applyFont="1" applyBorder="1" applyAlignment="1">
      <alignment vertical="center" wrapText="1"/>
    </xf>
    <xf numFmtId="0" fontId="123" fillId="0" borderId="44" xfId="0" applyFont="1" applyBorder="1" applyAlignment="1">
      <alignment horizontal="left" vertical="center" wrapText="1" indent="1"/>
    </xf>
    <xf numFmtId="0" fontId="231" fillId="62" borderId="0" xfId="0" applyFont="1" applyFill="1" applyAlignment="1">
      <alignment vertical="center" wrapText="1"/>
    </xf>
    <xf numFmtId="0" fontId="231" fillId="0" borderId="44" xfId="0" applyFont="1" applyBorder="1" applyAlignment="1">
      <alignment vertical="center" wrapText="1"/>
    </xf>
    <xf numFmtId="0" fontId="232" fillId="62" borderId="30" xfId="0" applyFont="1" applyFill="1" applyBorder="1" applyAlignment="1">
      <alignment vertical="center" wrapText="1"/>
    </xf>
    <xf numFmtId="0" fontId="232" fillId="0" borderId="17" xfId="0" applyFont="1" applyBorder="1" applyAlignment="1">
      <alignment vertical="center" wrapText="1"/>
    </xf>
    <xf numFmtId="0" fontId="233" fillId="0" borderId="0" xfId="0" applyFont="1" applyAlignment="1">
      <alignment vertical="center" wrapText="1"/>
    </xf>
    <xf numFmtId="0" fontId="233" fillId="0" borderId="44" xfId="0" applyFont="1" applyBorder="1" applyAlignment="1">
      <alignment vertical="center" wrapText="1"/>
    </xf>
    <xf numFmtId="0" fontId="223" fillId="0" borderId="0" xfId="0" applyFont="1" applyAlignment="1">
      <alignment vertical="center" wrapText="1"/>
    </xf>
    <xf numFmtId="0" fontId="223" fillId="0" borderId="107" xfId="0" applyFont="1" applyBorder="1" applyAlignment="1">
      <alignment vertical="center" wrapText="1"/>
    </xf>
    <xf numFmtId="0" fontId="234" fillId="0" borderId="0" xfId="0" applyFont="1" applyAlignment="1">
      <alignment vertical="center" wrapText="1"/>
    </xf>
    <xf numFmtId="0" fontId="234" fillId="0" borderId="44" xfId="0" applyFont="1" applyBorder="1" applyAlignment="1">
      <alignment vertical="center" wrapText="1"/>
    </xf>
    <xf numFmtId="0" fontId="234" fillId="0" borderId="30" xfId="0" applyFont="1" applyBorder="1" applyAlignment="1">
      <alignment vertical="center" wrapText="1"/>
    </xf>
    <xf numFmtId="0" fontId="234" fillId="0" borderId="17" xfId="0" applyFont="1" applyBorder="1" applyAlignment="1">
      <alignment vertical="center" wrapText="1"/>
    </xf>
    <xf numFmtId="0" fontId="235" fillId="0" borderId="0" xfId="0" applyFont="1" applyAlignment="1">
      <alignment vertical="center" wrapText="1"/>
    </xf>
    <xf numFmtId="0" fontId="235" fillId="0" borderId="44" xfId="0" applyFont="1" applyBorder="1" applyAlignment="1">
      <alignment vertical="center" wrapText="1"/>
    </xf>
    <xf numFmtId="0" fontId="212" fillId="0" borderId="0" xfId="0" applyFont="1" applyAlignment="1">
      <alignment vertical="center" wrapText="1"/>
    </xf>
    <xf numFmtId="0" fontId="237" fillId="0" borderId="0" xfId="0" applyFont="1" applyAlignment="1">
      <alignment vertical="center" wrapText="1"/>
    </xf>
    <xf numFmtId="0" fontId="237" fillId="64" borderId="111" xfId="0" applyFont="1" applyFill="1" applyBorder="1" applyAlignment="1">
      <alignment vertical="center" wrapText="1"/>
    </xf>
    <xf numFmtId="0" fontId="237" fillId="0" borderId="44" xfId="0" applyFont="1" applyBorder="1" applyAlignment="1">
      <alignment vertical="center" wrapText="1"/>
    </xf>
    <xf numFmtId="0" fontId="237" fillId="0" borderId="30" xfId="0" applyFont="1" applyBorder="1" applyAlignment="1">
      <alignment vertical="center" wrapText="1"/>
    </xf>
    <xf numFmtId="0" fontId="237" fillId="0" borderId="17" xfId="0" applyFont="1" applyBorder="1" applyAlignment="1">
      <alignment vertical="center" wrapText="1"/>
    </xf>
    <xf numFmtId="0" fontId="238" fillId="0" borderId="44" xfId="0" applyFont="1" applyBorder="1" applyAlignment="1">
      <alignment horizontal="right" vertical="center" wrapText="1"/>
    </xf>
    <xf numFmtId="0" fontId="222" fillId="0" borderId="0" xfId="0" applyFont="1" applyAlignment="1">
      <alignment vertical="center" wrapText="1"/>
    </xf>
    <xf numFmtId="0" fontId="222" fillId="0" borderId="44" xfId="0" applyFont="1" applyBorder="1" applyAlignment="1">
      <alignment vertical="center" wrapText="1"/>
    </xf>
    <xf numFmtId="0" fontId="222" fillId="0" borderId="30" xfId="0" applyFont="1" applyBorder="1" applyAlignment="1">
      <alignment vertical="center" wrapText="1"/>
    </xf>
    <xf numFmtId="0" fontId="239" fillId="0" borderId="0" xfId="0" applyFont="1" applyAlignment="1">
      <alignment vertical="center" wrapText="1"/>
    </xf>
    <xf numFmtId="0" fontId="239" fillId="0" borderId="44" xfId="0" applyFont="1" applyBorder="1" applyAlignment="1">
      <alignment vertical="center" wrapText="1"/>
    </xf>
    <xf numFmtId="0" fontId="5" fillId="0" borderId="0" xfId="201"/>
    <xf numFmtId="0" fontId="141" fillId="0" borderId="0" xfId="201" applyFont="1"/>
    <xf numFmtId="0" fontId="72" fillId="0" borderId="114" xfId="201" applyFont="1" applyBorder="1"/>
    <xf numFmtId="0" fontId="72" fillId="0" borderId="114" xfId="201" applyFont="1" applyBorder="1" applyAlignment="1">
      <alignment horizontal="left"/>
    </xf>
    <xf numFmtId="0" fontId="72" fillId="0" borderId="114" xfId="201" applyFont="1" applyBorder="1" applyAlignment="1">
      <alignment horizontal="right"/>
    </xf>
    <xf numFmtId="0" fontId="168" fillId="0" borderId="114" xfId="201" applyFont="1" applyBorder="1" applyAlignment="1">
      <alignment wrapText="1"/>
    </xf>
    <xf numFmtId="0" fontId="72" fillId="0" borderId="114" xfId="202" applyNumberFormat="1" applyFont="1" applyFill="1" applyBorder="1" applyAlignment="1" applyProtection="1">
      <alignment horizontal="center" vertical="center" wrapText="1"/>
    </xf>
    <xf numFmtId="0" fontId="72" fillId="0" borderId="114" xfId="201" applyFont="1" applyBorder="1" applyAlignment="1">
      <alignment horizontal="center" vertical="center" wrapText="1"/>
    </xf>
    <xf numFmtId="167" fontId="61" fillId="11" borderId="114" xfId="202" applyNumberFormat="1" applyFont="1" applyFill="1" applyBorder="1" applyAlignment="1" applyProtection="1">
      <alignment horizontal="center" vertical="center" wrapText="1"/>
    </xf>
    <xf numFmtId="167" fontId="110" fillId="0" borderId="114" xfId="202" applyNumberFormat="1" applyFont="1" applyFill="1" applyBorder="1" applyAlignment="1" applyProtection="1">
      <alignment horizontal="center" vertical="center" wrapText="1"/>
    </xf>
    <xf numFmtId="167" fontId="65" fillId="0" borderId="114" xfId="202" applyNumberFormat="1" applyFont="1" applyFill="1" applyBorder="1" applyAlignment="1" applyProtection="1">
      <alignment horizontal="center" vertical="center" wrapText="1"/>
    </xf>
    <xf numFmtId="0" fontId="73" fillId="0" borderId="114" xfId="201" applyFont="1" applyBorder="1"/>
    <xf numFmtId="0" fontId="73" fillId="0" borderId="114" xfId="201" quotePrefix="1" applyFont="1" applyBorder="1" applyAlignment="1">
      <alignment horizontal="right"/>
    </xf>
    <xf numFmtId="0" fontId="73" fillId="0" borderId="114" xfId="201" applyFont="1" applyBorder="1" applyAlignment="1">
      <alignment horizontal="center"/>
    </xf>
    <xf numFmtId="0" fontId="73" fillId="0" borderId="114" xfId="201" applyFont="1" applyBorder="1" applyAlignment="1">
      <alignment horizontal="left" vertical="center" wrapText="1"/>
    </xf>
    <xf numFmtId="167" fontId="74" fillId="11" borderId="114" xfId="19" applyNumberFormat="1" applyFont="1" applyFill="1" applyBorder="1" applyProtection="1">
      <protection locked="0"/>
    </xf>
    <xf numFmtId="167" fontId="99" fillId="12" borderId="114" xfId="19" applyNumberFormat="1" applyFont="1" applyFill="1" applyBorder="1" applyProtection="1">
      <protection locked="0"/>
    </xf>
    <xf numFmtId="167" fontId="80" fillId="12" borderId="114" xfId="19" applyNumberFormat="1" applyFont="1" applyFill="1" applyBorder="1" applyProtection="1">
      <protection locked="0"/>
    </xf>
    <xf numFmtId="0" fontId="76" fillId="8" borderId="114" xfId="201" applyFont="1" applyFill="1" applyBorder="1"/>
    <xf numFmtId="0" fontId="76" fillId="8" borderId="114" xfId="201" applyFont="1" applyFill="1" applyBorder="1" applyAlignment="1">
      <alignment horizontal="right"/>
    </xf>
    <xf numFmtId="0" fontId="76" fillId="8" borderId="114" xfId="201" applyFont="1" applyFill="1" applyBorder="1" applyAlignment="1">
      <alignment horizontal="center"/>
    </xf>
    <xf numFmtId="0" fontId="78" fillId="8" borderId="114" xfId="201" applyFont="1" applyFill="1" applyBorder="1" applyAlignment="1">
      <alignment horizontal="right" vertical="center" wrapText="1"/>
    </xf>
    <xf numFmtId="167" fontId="79" fillId="8" borderId="95" xfId="19" applyNumberFormat="1" applyFont="1" applyFill="1" applyBorder="1" applyProtection="1">
      <protection locked="0"/>
    </xf>
    <xf numFmtId="167" fontId="79" fillId="8" borderId="114" xfId="19" applyNumberFormat="1" applyFont="1" applyFill="1" applyBorder="1" applyProtection="1">
      <protection locked="0"/>
    </xf>
    <xf numFmtId="167" fontId="73" fillId="11" borderId="114" xfId="19" applyNumberFormat="1" applyFont="1" applyFill="1" applyBorder="1" applyProtection="1">
      <protection locked="0"/>
    </xf>
    <xf numFmtId="167" fontId="99" fillId="12" borderId="95" xfId="19" applyNumberFormat="1" applyFont="1" applyFill="1" applyBorder="1" applyProtection="1">
      <protection locked="0"/>
    </xf>
    <xf numFmtId="0" fontId="73" fillId="16" borderId="114" xfId="201" applyFont="1" applyFill="1" applyBorder="1"/>
    <xf numFmtId="0" fontId="73" fillId="16" borderId="114" xfId="201" applyFont="1" applyFill="1" applyBorder="1" applyAlignment="1">
      <alignment horizontal="right"/>
    </xf>
    <xf numFmtId="0" fontId="76" fillId="16" borderId="114" xfId="201" applyFont="1" applyFill="1" applyBorder="1" applyAlignment="1">
      <alignment horizontal="center"/>
    </xf>
    <xf numFmtId="167" fontId="80" fillId="16" borderId="95" xfId="19" applyNumberFormat="1" applyFont="1" applyFill="1" applyBorder="1" applyProtection="1">
      <protection locked="0"/>
    </xf>
    <xf numFmtId="167" fontId="79" fillId="16" borderId="114" xfId="19" applyNumberFormat="1" applyFont="1" applyFill="1" applyBorder="1" applyProtection="1">
      <protection locked="0"/>
    </xf>
    <xf numFmtId="0" fontId="76" fillId="8" borderId="114" xfId="201" applyFont="1" applyFill="1" applyBorder="1" applyAlignment="1">
      <alignment horizontal="left" vertical="center" wrapText="1"/>
    </xf>
    <xf numFmtId="167" fontId="77" fillId="11" borderId="114" xfId="19" applyNumberFormat="1" applyFont="1" applyFill="1" applyBorder="1" applyProtection="1">
      <protection locked="0"/>
    </xf>
    <xf numFmtId="0" fontId="141" fillId="0" borderId="0" xfId="201" applyFont="1" applyAlignment="1">
      <alignment wrapText="1"/>
    </xf>
    <xf numFmtId="0" fontId="73" fillId="18" borderId="114" xfId="201" applyFont="1" applyFill="1" applyBorder="1"/>
    <xf numFmtId="0" fontId="73" fillId="18" borderId="114" xfId="201" quotePrefix="1" applyFont="1" applyFill="1" applyBorder="1" applyAlignment="1">
      <alignment horizontal="right"/>
    </xf>
    <xf numFmtId="0" fontId="73" fillId="18" borderId="114" xfId="201" applyFont="1" applyFill="1" applyBorder="1" applyAlignment="1">
      <alignment horizontal="center"/>
    </xf>
    <xf numFmtId="0" fontId="73" fillId="18" borderId="114" xfId="201" applyFont="1" applyFill="1" applyBorder="1" applyAlignment="1">
      <alignment horizontal="left" vertical="center" wrapText="1"/>
    </xf>
    <xf numFmtId="167" fontId="73" fillId="18" borderId="114" xfId="19" applyNumberFormat="1" applyFont="1" applyFill="1" applyBorder="1" applyProtection="1">
      <protection locked="0"/>
    </xf>
    <xf numFmtId="0" fontId="177" fillId="0" borderId="0" xfId="201" applyFont="1"/>
    <xf numFmtId="0" fontId="76" fillId="18" borderId="114" xfId="201" applyFont="1" applyFill="1" applyBorder="1"/>
    <xf numFmtId="0" fontId="76" fillId="18" borderId="114" xfId="201" applyFont="1" applyFill="1" applyBorder="1" applyAlignment="1">
      <alignment horizontal="right"/>
    </xf>
    <xf numFmtId="0" fontId="76" fillId="18" borderId="114" xfId="201" applyFont="1" applyFill="1" applyBorder="1" applyAlignment="1">
      <alignment horizontal="center"/>
    </xf>
    <xf numFmtId="0" fontId="76" fillId="18" borderId="114" xfId="201" applyFont="1" applyFill="1" applyBorder="1" applyAlignment="1">
      <alignment horizontal="left" vertical="center" wrapText="1"/>
    </xf>
    <xf numFmtId="167" fontId="77" fillId="18" borderId="114" xfId="19" applyNumberFormat="1" applyFont="1" applyFill="1" applyBorder="1" applyProtection="1">
      <protection locked="0"/>
    </xf>
    <xf numFmtId="16" fontId="5" fillId="0" borderId="0" xfId="201" applyNumberFormat="1"/>
    <xf numFmtId="0" fontId="76" fillId="65" borderId="114" xfId="201" applyFont="1" applyFill="1" applyBorder="1" applyAlignment="1">
      <alignment horizontal="center"/>
    </xf>
    <xf numFmtId="0" fontId="177" fillId="0" borderId="0" xfId="201" applyFont="1" applyAlignment="1">
      <alignment wrapText="1"/>
    </xf>
    <xf numFmtId="0" fontId="242" fillId="8" borderId="114" xfId="201" applyFont="1" applyFill="1" applyBorder="1" applyAlignment="1">
      <alignment horizontal="left" vertical="center" wrapText="1"/>
    </xf>
    <xf numFmtId="0" fontId="76" fillId="8" borderId="114" xfId="201" applyFont="1" applyFill="1" applyBorder="1" applyAlignment="1">
      <alignment horizontal="left" vertical="top" wrapText="1"/>
    </xf>
    <xf numFmtId="167" fontId="77" fillId="11" borderId="114" xfId="19" applyNumberFormat="1" applyFont="1" applyFill="1" applyBorder="1" applyAlignment="1" applyProtection="1">
      <alignment vertical="top"/>
      <protection locked="0"/>
    </xf>
    <xf numFmtId="0" fontId="141" fillId="0" borderId="0" xfId="201" applyFont="1" applyAlignment="1">
      <alignment vertical="top" wrapText="1"/>
    </xf>
    <xf numFmtId="0" fontId="5" fillId="0" borderId="0" xfId="201" applyAlignment="1">
      <alignment vertical="top"/>
    </xf>
    <xf numFmtId="0" fontId="73" fillId="8" borderId="114" xfId="201" applyFont="1" applyFill="1" applyBorder="1" applyAlignment="1">
      <alignment horizontal="left" vertical="center" wrapText="1"/>
    </xf>
    <xf numFmtId="0" fontId="37" fillId="0" borderId="0" xfId="201" applyFont="1"/>
    <xf numFmtId="0" fontId="243" fillId="0" borderId="0" xfId="201" applyFont="1" applyAlignment="1">
      <alignment vertical="center"/>
    </xf>
    <xf numFmtId="0" fontId="244" fillId="0" borderId="0" xfId="0" quotePrefix="1" applyFont="1"/>
    <xf numFmtId="49" fontId="49" fillId="5" borderId="90" xfId="43" applyNumberFormat="1" applyFont="1" applyFill="1" applyBorder="1" applyAlignment="1">
      <alignment horizontal="left" indent="1"/>
    </xf>
    <xf numFmtId="43" fontId="49" fillId="5" borderId="89" xfId="1" applyFont="1" applyFill="1" applyBorder="1"/>
    <xf numFmtId="0" fontId="245" fillId="0" borderId="0" xfId="0" applyFont="1"/>
    <xf numFmtId="0" fontId="173" fillId="0" borderId="0" xfId="0" applyFont="1"/>
    <xf numFmtId="0" fontId="173" fillId="0" borderId="0" xfId="0" applyFont="1" applyAlignment="1">
      <alignment horizontal="center"/>
    </xf>
    <xf numFmtId="0" fontId="246" fillId="0" borderId="0" xfId="0" applyFont="1" applyAlignment="1">
      <alignment horizontal="center" vertical="center" wrapText="1"/>
    </xf>
    <xf numFmtId="0" fontId="240" fillId="0" borderId="0" xfId="0" applyFont="1" applyAlignment="1">
      <alignment horizontal="center" vertical="center" wrapText="1"/>
    </xf>
    <xf numFmtId="2" fontId="92" fillId="10" borderId="0" xfId="0" applyNumberFormat="1" applyFont="1" applyFill="1"/>
    <xf numFmtId="0" fontId="0" fillId="10" borderId="0" xfId="0" applyFill="1"/>
    <xf numFmtId="0" fontId="0" fillId="0" borderId="114" xfId="0" applyBorder="1" applyAlignment="1">
      <alignment wrapText="1"/>
    </xf>
    <xf numFmtId="0" fontId="0" fillId="0" borderId="114" xfId="0" applyBorder="1" applyAlignment="1">
      <alignment horizontal="center" wrapText="1"/>
    </xf>
    <xf numFmtId="0" fontId="0" fillId="0" borderId="114" xfId="0" applyBorder="1" applyAlignment="1">
      <alignment horizontal="left" wrapText="1"/>
    </xf>
    <xf numFmtId="0" fontId="59" fillId="0" borderId="114" xfId="0" applyFont="1" applyBorder="1" applyAlignment="1">
      <alignment horizontal="center" vertical="center" wrapText="1"/>
    </xf>
    <xf numFmtId="0" fontId="0" fillId="0" borderId="114" xfId="0" applyBorder="1" applyAlignment="1">
      <alignment horizontal="center" vertical="center" wrapText="1"/>
    </xf>
    <xf numFmtId="0" fontId="105" fillId="10" borderId="114" xfId="0" applyFont="1" applyFill="1" applyBorder="1"/>
    <xf numFmtId="0" fontId="53" fillId="10" borderId="114" xfId="0" applyFont="1" applyFill="1" applyBorder="1"/>
    <xf numFmtId="0" fontId="59" fillId="0" borderId="114" xfId="0" applyFont="1" applyBorder="1" applyAlignment="1">
      <alignment horizontal="left" wrapText="1"/>
    </xf>
    <xf numFmtId="0" fontId="59" fillId="10" borderId="114" xfId="0" applyFont="1" applyFill="1" applyBorder="1" applyAlignment="1">
      <alignment horizontal="center" vertical="center" wrapText="1"/>
    </xf>
    <xf numFmtId="0" fontId="0" fillId="0" borderId="117" xfId="0" applyBorder="1" applyAlignment="1">
      <alignment horizontal="center" vertical="center" wrapText="1"/>
    </xf>
    <xf numFmtId="0" fontId="105" fillId="10" borderId="114" xfId="0" applyFont="1" applyFill="1" applyBorder="1" applyAlignment="1">
      <alignment horizontal="left"/>
    </xf>
    <xf numFmtId="0" fontId="0" fillId="10" borderId="114" xfId="0" applyFill="1" applyBorder="1"/>
    <xf numFmtId="0" fontId="0" fillId="5" borderId="114" xfId="0" applyFill="1" applyBorder="1" applyAlignment="1">
      <alignment horizontal="left" wrapText="1"/>
    </xf>
    <xf numFmtId="0" fontId="92" fillId="0" borderId="114" xfId="0" applyFont="1" applyBorder="1" applyAlignment="1">
      <alignment wrapText="1"/>
    </xf>
    <xf numFmtId="0" fontId="0" fillId="10" borderId="0" xfId="0" applyFill="1" applyAlignment="1">
      <alignment horizontal="center"/>
    </xf>
    <xf numFmtId="0" fontId="0" fillId="0" borderId="114" xfId="0" applyBorder="1" applyAlignment="1">
      <alignment horizontal="right" wrapText="1"/>
    </xf>
    <xf numFmtId="0" fontId="0" fillId="0" borderId="0" xfId="0" applyAlignment="1">
      <alignment horizontal="center"/>
    </xf>
    <xf numFmtId="0" fontId="0" fillId="5" borderId="114" xfId="0" applyFill="1" applyBorder="1" applyAlignment="1">
      <alignment wrapText="1"/>
    </xf>
    <xf numFmtId="1" fontId="59" fillId="0" borderId="0" xfId="0" applyNumberFormat="1" applyFont="1" applyAlignment="1">
      <alignment horizontal="center"/>
    </xf>
    <xf numFmtId="2" fontId="4" fillId="0" borderId="0" xfId="0" applyNumberFormat="1" applyFont="1"/>
    <xf numFmtId="1" fontId="4" fillId="0" borderId="0" xfId="0" applyNumberFormat="1" applyFont="1" applyAlignment="1">
      <alignment horizontal="center"/>
    </xf>
    <xf numFmtId="0" fontId="4" fillId="0" borderId="114" xfId="0" applyFont="1" applyBorder="1" applyAlignment="1">
      <alignment horizontal="left" wrapText="1"/>
    </xf>
    <xf numFmtId="2" fontId="37" fillId="0" borderId="85" xfId="0" applyNumberFormat="1" applyFont="1" applyBorder="1" applyAlignment="1">
      <alignment vertical="center"/>
    </xf>
    <xf numFmtId="0" fontId="4" fillId="0" borderId="114" xfId="0" applyFont="1" applyBorder="1" applyAlignment="1">
      <alignment wrapText="1"/>
    </xf>
    <xf numFmtId="0" fontId="149" fillId="0" borderId="81" xfId="0" applyFont="1" applyBorder="1"/>
    <xf numFmtId="0" fontId="149" fillId="0" borderId="0" xfId="0" applyFont="1" applyAlignment="1">
      <alignment horizontal="center"/>
    </xf>
    <xf numFmtId="0" fontId="247" fillId="0" borderId="0" xfId="0" applyFont="1" applyAlignment="1">
      <alignment horizontal="center" vertical="center"/>
    </xf>
    <xf numFmtId="2" fontId="240" fillId="0" borderId="0" xfId="0" applyNumberFormat="1" applyFont="1" applyAlignment="1">
      <alignment horizontal="center" vertical="center"/>
    </xf>
    <xf numFmtId="0" fontId="59" fillId="0" borderId="0" xfId="0" applyFont="1" applyAlignment="1">
      <alignment horizontal="center" vertical="center"/>
    </xf>
    <xf numFmtId="167" fontId="61" fillId="0" borderId="0" xfId="1" applyNumberFormat="1" applyFont="1" applyAlignment="1">
      <alignment vertical="center"/>
    </xf>
    <xf numFmtId="0" fontId="63" fillId="0" borderId="0" xfId="10" applyFont="1"/>
    <xf numFmtId="0" fontId="63" fillId="0" borderId="0" xfId="10" applyFont="1" applyAlignment="1">
      <alignment wrapText="1"/>
    </xf>
    <xf numFmtId="0" fontId="63" fillId="0" borderId="0" xfId="16" applyFont="1"/>
    <xf numFmtId="0" fontId="248" fillId="0" borderId="0" xfId="10" applyFont="1"/>
    <xf numFmtId="0" fontId="249" fillId="0" borderId="0" xfId="10" applyFont="1" applyAlignment="1">
      <alignment horizontal="center" wrapText="1"/>
    </xf>
    <xf numFmtId="3" fontId="63" fillId="0" borderId="0" xfId="10" applyNumberFormat="1" applyFont="1"/>
    <xf numFmtId="0" fontId="0" fillId="0" borderId="30" xfId="0" applyBorder="1"/>
    <xf numFmtId="0" fontId="37" fillId="0" borderId="0" xfId="0" applyFont="1"/>
    <xf numFmtId="0" fontId="244" fillId="9" borderId="0" xfId="0" quotePrefix="1" applyFont="1" applyFill="1"/>
    <xf numFmtId="49" fontId="49" fillId="5" borderId="114" xfId="43" applyNumberFormat="1" applyFont="1" applyFill="1" applyBorder="1" applyAlignment="1">
      <alignment horizontal="right" wrapText="1" indent="2"/>
    </xf>
    <xf numFmtId="49" fontId="187" fillId="0" borderId="10" xfId="43" applyNumberFormat="1" applyFont="1" applyBorder="1" applyAlignment="1">
      <alignment horizontal="right" wrapText="1" indent="2"/>
    </xf>
    <xf numFmtId="9" fontId="42" fillId="3" borderId="8" xfId="2" applyFont="1" applyFill="1" applyBorder="1" applyAlignment="1">
      <alignment horizontal="right"/>
    </xf>
    <xf numFmtId="9" fontId="42" fillId="4" borderId="8" xfId="2" applyFont="1" applyFill="1" applyBorder="1" applyAlignment="1">
      <alignment horizontal="right"/>
    </xf>
    <xf numFmtId="9" fontId="38" fillId="0" borderId="11" xfId="2" applyFont="1" applyFill="1" applyBorder="1" applyAlignment="1">
      <alignment horizontal="right"/>
    </xf>
    <xf numFmtId="9" fontId="42" fillId="4" borderId="11" xfId="2" applyFont="1" applyFill="1" applyBorder="1" applyAlignment="1">
      <alignment horizontal="right"/>
    </xf>
    <xf numFmtId="9" fontId="38" fillId="0" borderId="11" xfId="2" applyFont="1" applyBorder="1" applyAlignment="1">
      <alignment horizontal="right"/>
    </xf>
    <xf numFmtId="9" fontId="38" fillId="0" borderId="12" xfId="2" applyFont="1" applyFill="1" applyBorder="1" applyAlignment="1">
      <alignment horizontal="right"/>
    </xf>
    <xf numFmtId="9" fontId="38" fillId="3" borderId="11" xfId="2" applyFont="1" applyFill="1" applyBorder="1" applyAlignment="1">
      <alignment horizontal="right"/>
    </xf>
    <xf numFmtId="9" fontId="38" fillId="0" borderId="73" xfId="2" applyFont="1" applyFill="1" applyBorder="1" applyAlignment="1">
      <alignment horizontal="right"/>
    </xf>
    <xf numFmtId="9" fontId="38" fillId="0" borderId="75" xfId="2" applyFont="1" applyFill="1" applyBorder="1" applyAlignment="1">
      <alignment horizontal="right"/>
    </xf>
    <xf numFmtId="9" fontId="42" fillId="0" borderId="15" xfId="2" applyFont="1" applyBorder="1" applyAlignment="1">
      <alignment horizontal="right"/>
    </xf>
    <xf numFmtId="43" fontId="0" fillId="0" borderId="0" xfId="1" applyFont="1" applyAlignment="1">
      <alignment horizontal="right"/>
    </xf>
    <xf numFmtId="43" fontId="39" fillId="0" borderId="0" xfId="1" applyFont="1" applyAlignment="1">
      <alignment horizontal="right"/>
    </xf>
    <xf numFmtId="9" fontId="126" fillId="5" borderId="11" xfId="2" applyFont="1" applyFill="1" applyBorder="1" applyAlignment="1">
      <alignment horizontal="right"/>
    </xf>
    <xf numFmtId="9" fontId="138" fillId="5" borderId="11" xfId="2" applyFont="1" applyFill="1" applyBorder="1" applyAlignment="1">
      <alignment horizontal="right"/>
    </xf>
    <xf numFmtId="9" fontId="169" fillId="5" borderId="11" xfId="2" applyFont="1" applyFill="1" applyBorder="1" applyAlignment="1">
      <alignment horizontal="right"/>
    </xf>
    <xf numFmtId="9" fontId="187" fillId="5" borderId="11" xfId="2" applyFont="1" applyFill="1" applyBorder="1" applyAlignment="1">
      <alignment horizontal="right"/>
    </xf>
    <xf numFmtId="9" fontId="42" fillId="4" borderId="20" xfId="2" applyFont="1" applyFill="1" applyBorder="1" applyAlignment="1">
      <alignment horizontal="right"/>
    </xf>
    <xf numFmtId="9" fontId="38" fillId="5" borderId="11" xfId="2" applyFont="1" applyFill="1" applyBorder="1" applyAlignment="1">
      <alignment horizontal="right"/>
    </xf>
    <xf numFmtId="9" fontId="49" fillId="5" borderId="11" xfId="2" applyFont="1" applyFill="1" applyBorder="1" applyAlignment="1">
      <alignment horizontal="right"/>
    </xf>
    <xf numFmtId="9" fontId="166" fillId="5" borderId="11" xfId="2" applyFont="1" applyFill="1" applyBorder="1" applyAlignment="1">
      <alignment horizontal="right"/>
    </xf>
    <xf numFmtId="9" fontId="188" fillId="5" borderId="11" xfId="2" applyFont="1" applyFill="1" applyBorder="1" applyAlignment="1">
      <alignment horizontal="right"/>
    </xf>
    <xf numFmtId="9" fontId="42" fillId="3" borderId="11" xfId="2" applyFont="1" applyFill="1" applyBorder="1" applyAlignment="1">
      <alignment horizontal="right"/>
    </xf>
    <xf numFmtId="9" fontId="128" fillId="3" borderId="11" xfId="2" applyFont="1" applyFill="1" applyBorder="1" applyAlignment="1">
      <alignment horizontal="right"/>
    </xf>
    <xf numFmtId="9" fontId="52" fillId="5" borderId="11" xfId="2" applyFont="1" applyFill="1" applyBorder="1" applyAlignment="1">
      <alignment horizontal="right"/>
    </xf>
    <xf numFmtId="9" fontId="165" fillId="5" borderId="11" xfId="2" applyFont="1" applyFill="1" applyBorder="1" applyAlignment="1">
      <alignment horizontal="right"/>
    </xf>
    <xf numFmtId="9" fontId="187" fillId="5" borderId="73" xfId="2" applyFont="1" applyFill="1" applyBorder="1" applyAlignment="1">
      <alignment horizontal="right"/>
    </xf>
    <xf numFmtId="9" fontId="52" fillId="5" borderId="54" xfId="2" applyFont="1" applyFill="1" applyBorder="1" applyAlignment="1">
      <alignment horizontal="right"/>
    </xf>
    <xf numFmtId="9" fontId="52" fillId="0" borderId="11" xfId="2" applyFont="1" applyBorder="1" applyAlignment="1">
      <alignment horizontal="right"/>
    </xf>
    <xf numFmtId="9" fontId="52" fillId="3" borderId="11" xfId="2" applyFont="1" applyFill="1" applyBorder="1" applyAlignment="1">
      <alignment horizontal="right"/>
    </xf>
    <xf numFmtId="9" fontId="38" fillId="5" borderId="54" xfId="2" applyFont="1" applyFill="1" applyBorder="1" applyAlignment="1">
      <alignment horizontal="right"/>
    </xf>
    <xf numFmtId="9" fontId="126" fillId="0" borderId="11" xfId="2" applyFont="1" applyBorder="1" applyAlignment="1">
      <alignment horizontal="right"/>
    </xf>
    <xf numFmtId="9" fontId="187" fillId="0" borderId="11" xfId="2" applyFont="1" applyBorder="1" applyAlignment="1">
      <alignment horizontal="right"/>
    </xf>
    <xf numFmtId="9" fontId="50" fillId="3" borderId="11" xfId="2" applyFont="1" applyFill="1" applyBorder="1" applyAlignment="1">
      <alignment horizontal="right"/>
    </xf>
    <xf numFmtId="9" fontId="91" fillId="0" borderId="11" xfId="2" applyFont="1" applyBorder="1" applyAlignment="1">
      <alignment horizontal="right"/>
    </xf>
    <xf numFmtId="9" fontId="42" fillId="0" borderId="0" xfId="2" applyFont="1" applyFill="1" applyBorder="1" applyAlignment="1">
      <alignment horizontal="right"/>
    </xf>
    <xf numFmtId="9" fontId="183" fillId="0" borderId="0" xfId="2" applyFont="1" applyFill="1" applyBorder="1" applyAlignment="1">
      <alignment horizontal="right"/>
    </xf>
    <xf numFmtId="43" fontId="147" fillId="16" borderId="96" xfId="1" applyFont="1" applyFill="1" applyBorder="1" applyAlignment="1">
      <alignment vertical="top"/>
    </xf>
    <xf numFmtId="43" fontId="193" fillId="16" borderId="96" xfId="1" applyFont="1" applyFill="1" applyBorder="1" applyAlignment="1">
      <alignment vertical="top"/>
    </xf>
    <xf numFmtId="43" fontId="147" fillId="60" borderId="96" xfId="1" applyFont="1" applyFill="1" applyBorder="1" applyAlignment="1">
      <alignment vertical="top"/>
    </xf>
    <xf numFmtId="43" fontId="193" fillId="60" borderId="96" xfId="1" applyFont="1" applyFill="1" applyBorder="1" applyAlignment="1">
      <alignment vertical="top"/>
    </xf>
    <xf numFmtId="43" fontId="147" fillId="60" borderId="38" xfId="1" applyFont="1" applyFill="1" applyBorder="1" applyAlignment="1">
      <alignment vertical="top"/>
    </xf>
    <xf numFmtId="43" fontId="147" fillId="24" borderId="97" xfId="1" applyFont="1" applyFill="1" applyBorder="1" applyAlignment="1">
      <alignment vertical="top"/>
    </xf>
    <xf numFmtId="43" fontId="197" fillId="24" borderId="97" xfId="1" applyFont="1" applyFill="1" applyBorder="1" applyAlignment="1">
      <alignment vertical="top"/>
    </xf>
    <xf numFmtId="43" fontId="193" fillId="60" borderId="95" xfId="1" applyFont="1" applyFill="1" applyBorder="1" applyAlignment="1">
      <alignment vertical="top"/>
    </xf>
    <xf numFmtId="43" fontId="147" fillId="16" borderId="98" xfId="1" applyFont="1" applyFill="1" applyBorder="1" applyAlignment="1">
      <alignment vertical="top"/>
    </xf>
    <xf numFmtId="43" fontId="193" fillId="16" borderId="98" xfId="1" applyFont="1" applyFill="1" applyBorder="1" applyAlignment="1">
      <alignment vertical="top"/>
    </xf>
    <xf numFmtId="43" fontId="146" fillId="60" borderId="0" xfId="1" applyFont="1" applyFill="1" applyAlignment="1">
      <alignment vertical="top"/>
    </xf>
    <xf numFmtId="43" fontId="147" fillId="21" borderId="96" xfId="1" applyFont="1" applyFill="1" applyBorder="1" applyAlignment="1">
      <alignment vertical="top"/>
    </xf>
    <xf numFmtId="43" fontId="193" fillId="21" borderId="96" xfId="1" applyFont="1" applyFill="1" applyBorder="1" applyAlignment="1">
      <alignment vertical="top"/>
    </xf>
    <xf numFmtId="43" fontId="147" fillId="60" borderId="0" xfId="1" applyFont="1" applyFill="1" applyAlignment="1">
      <alignment vertical="top"/>
    </xf>
    <xf numFmtId="43" fontId="146" fillId="60" borderId="96" xfId="1" applyFont="1" applyFill="1" applyBorder="1" applyAlignment="1">
      <alignment vertical="top"/>
    </xf>
    <xf numFmtId="43" fontId="147" fillId="24" borderId="96" xfId="1" applyFont="1" applyFill="1" applyBorder="1" applyAlignment="1">
      <alignment vertical="top"/>
    </xf>
    <xf numFmtId="43" fontId="197" fillId="24" borderId="96" xfId="1" applyFont="1" applyFill="1" applyBorder="1" applyAlignment="1">
      <alignment vertical="top"/>
    </xf>
    <xf numFmtId="43" fontId="147" fillId="11" borderId="96" xfId="1" applyFont="1" applyFill="1" applyBorder="1" applyAlignment="1">
      <alignment vertical="top"/>
    </xf>
    <xf numFmtId="43" fontId="193" fillId="11" borderId="96" xfId="1" applyFont="1" applyFill="1" applyBorder="1" applyAlignment="1">
      <alignment vertical="top"/>
    </xf>
    <xf numFmtId="43" fontId="193" fillId="60" borderId="0" xfId="1" applyFont="1" applyFill="1" applyAlignment="1">
      <alignment vertical="top"/>
    </xf>
    <xf numFmtId="43" fontId="147" fillId="11" borderId="96" xfId="1" quotePrefix="1" applyFont="1" applyFill="1" applyBorder="1" applyAlignment="1">
      <alignment vertical="top"/>
    </xf>
    <xf numFmtId="43" fontId="201" fillId="13" borderId="96" xfId="1" applyFont="1" applyFill="1" applyBorder="1" applyAlignment="1">
      <alignment vertical="top"/>
    </xf>
    <xf numFmtId="43" fontId="202" fillId="13" borderId="96" xfId="1" applyFont="1" applyFill="1" applyBorder="1" applyAlignment="1">
      <alignment vertical="top" wrapText="1"/>
    </xf>
    <xf numFmtId="167" fontId="244" fillId="0" borderId="0" xfId="1" quotePrefix="1" applyNumberFormat="1" applyFont="1"/>
    <xf numFmtId="49" fontId="39" fillId="5" borderId="70" xfId="43" applyNumberFormat="1" applyFont="1" applyFill="1" applyBorder="1" applyAlignment="1">
      <alignment horizontal="right" wrapText="1" indent="2"/>
    </xf>
    <xf numFmtId="167" fontId="251" fillId="0" borderId="0" xfId="0" quotePrefix="1" applyNumberFormat="1" applyFont="1"/>
    <xf numFmtId="167" fontId="251" fillId="0" borderId="0" xfId="1" quotePrefix="1" applyNumberFormat="1" applyFont="1"/>
    <xf numFmtId="0" fontId="107" fillId="0" borderId="0" xfId="0" applyFont="1"/>
    <xf numFmtId="0" fontId="97" fillId="0" borderId="0" xfId="0" applyFont="1"/>
    <xf numFmtId="0" fontId="190" fillId="0" borderId="0" xfId="0" applyFont="1"/>
    <xf numFmtId="3" fontId="39" fillId="3" borderId="11" xfId="3" applyNumberFormat="1" applyFont="1" applyFill="1" applyBorder="1"/>
    <xf numFmtId="3" fontId="45" fillId="3" borderId="11" xfId="3" applyNumberFormat="1" applyFont="1" applyFill="1" applyBorder="1"/>
    <xf numFmtId="3" fontId="129" fillId="5" borderId="11" xfId="3" applyNumberFormat="1" applyFont="1" applyFill="1" applyBorder="1"/>
    <xf numFmtId="3" fontId="39" fillId="5" borderId="73" xfId="3" applyNumberFormat="1" applyFont="1" applyFill="1" applyBorder="1"/>
    <xf numFmtId="3" fontId="47" fillId="3" borderId="11" xfId="3" applyNumberFormat="1" applyFont="1" applyFill="1" applyBorder="1"/>
    <xf numFmtId="3" fontId="47" fillId="5" borderId="11" xfId="3" applyNumberFormat="1" applyFont="1" applyFill="1" applyBorder="1"/>
    <xf numFmtId="0" fontId="0" fillId="59" borderId="0" xfId="0" applyFill="1"/>
    <xf numFmtId="0" fontId="252" fillId="59" borderId="116" xfId="0" applyFont="1" applyFill="1" applyBorder="1"/>
    <xf numFmtId="0" fontId="59" fillId="59" borderId="0" xfId="0" applyFont="1" applyFill="1" applyAlignment="1">
      <alignment horizontal="center" vertical="center"/>
    </xf>
    <xf numFmtId="0" fontId="0" fillId="59" borderId="0" xfId="0" applyFill="1" applyAlignment="1">
      <alignment horizontal="center" vertical="center"/>
    </xf>
    <xf numFmtId="2" fontId="92" fillId="59" borderId="0" xfId="0" applyNumberFormat="1" applyFont="1" applyFill="1"/>
    <xf numFmtId="0" fontId="0" fillId="59" borderId="114" xfId="0" applyFill="1" applyBorder="1" applyAlignment="1">
      <alignment horizontal="center" vertical="center"/>
    </xf>
    <xf numFmtId="0" fontId="0" fillId="59" borderId="114" xfId="0" applyFill="1" applyBorder="1" applyAlignment="1">
      <alignment horizontal="left" wrapText="1"/>
    </xf>
    <xf numFmtId="0" fontId="0" fillId="59" borderId="114" xfId="0" applyFill="1" applyBorder="1" applyAlignment="1">
      <alignment horizontal="center"/>
    </xf>
    <xf numFmtId="0" fontId="0" fillId="59" borderId="114" xfId="0" applyFill="1" applyBorder="1"/>
    <xf numFmtId="0" fontId="59" fillId="59" borderId="114" xfId="0" applyFont="1" applyFill="1" applyBorder="1" applyAlignment="1">
      <alignment horizontal="center" vertical="center"/>
    </xf>
    <xf numFmtId="0" fontId="37" fillId="59" borderId="114" xfId="0" applyFont="1" applyFill="1" applyBorder="1" applyAlignment="1">
      <alignment horizontal="center" vertical="center"/>
    </xf>
    <xf numFmtId="0" fontId="0" fillId="59" borderId="114" xfId="0" applyFill="1" applyBorder="1" applyAlignment="1">
      <alignment wrapText="1"/>
    </xf>
    <xf numFmtId="0" fontId="0" fillId="59" borderId="0" xfId="0" applyFill="1" applyAlignment="1">
      <alignment horizontal="center"/>
    </xf>
    <xf numFmtId="0" fontId="245" fillId="0" borderId="121" xfId="0" applyFont="1" applyBorder="1"/>
    <xf numFmtId="0" fontId="0" fillId="10" borderId="114" xfId="0" applyFill="1" applyBorder="1" applyAlignment="1">
      <alignment horizontal="center" wrapText="1"/>
    </xf>
    <xf numFmtId="0" fontId="149" fillId="10" borderId="114" xfId="0" applyFont="1" applyFill="1" applyBorder="1"/>
    <xf numFmtId="0" fontId="149" fillId="10" borderId="114" xfId="0" applyFont="1" applyFill="1" applyBorder="1" applyAlignment="1">
      <alignment horizontal="center"/>
    </xf>
    <xf numFmtId="0" fontId="247" fillId="10" borderId="114" xfId="0" applyFont="1" applyFill="1" applyBorder="1" applyAlignment="1">
      <alignment horizontal="center" vertical="center"/>
    </xf>
    <xf numFmtId="2" fontId="240" fillId="10" borderId="114" xfId="0" applyNumberFormat="1" applyFont="1" applyFill="1" applyBorder="1" applyAlignment="1">
      <alignment horizontal="center" vertical="center"/>
    </xf>
    <xf numFmtId="0" fontId="0" fillId="10" borderId="114" xfId="0" applyFill="1" applyBorder="1" applyAlignment="1">
      <alignment horizontal="center"/>
    </xf>
    <xf numFmtId="0" fontId="0" fillId="10" borderId="115" xfId="0" applyFill="1" applyBorder="1" applyAlignment="1">
      <alignment horizontal="left"/>
    </xf>
    <xf numFmtId="0" fontId="0" fillId="10" borderId="119" xfId="0" applyFill="1" applyBorder="1" applyAlignment="1">
      <alignment wrapText="1"/>
    </xf>
    <xf numFmtId="0" fontId="59" fillId="10" borderId="114" xfId="0" applyFont="1" applyFill="1" applyBorder="1" applyAlignment="1">
      <alignment horizontal="center" vertical="center"/>
    </xf>
    <xf numFmtId="0" fontId="0" fillId="10" borderId="114" xfId="0" applyFill="1" applyBorder="1" applyAlignment="1">
      <alignment horizontal="center" vertical="center"/>
    </xf>
    <xf numFmtId="0" fontId="0" fillId="59" borderId="115" xfId="0" applyFill="1" applyBorder="1" applyAlignment="1">
      <alignment horizontal="left"/>
    </xf>
    <xf numFmtId="0" fontId="0" fillId="59" borderId="119" xfId="0" applyFill="1" applyBorder="1" applyAlignment="1">
      <alignment wrapText="1"/>
    </xf>
    <xf numFmtId="0" fontId="0" fillId="59" borderId="0" xfId="0" applyFill="1" applyAlignment="1">
      <alignment wrapText="1"/>
    </xf>
    <xf numFmtId="0" fontId="0" fillId="10" borderId="114" xfId="0" applyFill="1" applyBorder="1" applyAlignment="1">
      <alignment horizontal="left" wrapText="1"/>
    </xf>
    <xf numFmtId="0" fontId="149" fillId="0" borderId="114" xfId="0" applyFont="1" applyBorder="1" applyAlignment="1">
      <alignment wrapText="1"/>
    </xf>
    <xf numFmtId="0" fontId="247" fillId="0" borderId="114" xfId="0" applyFont="1" applyBorder="1" applyAlignment="1">
      <alignment horizontal="center" vertical="center" wrapText="1"/>
    </xf>
    <xf numFmtId="2" fontId="253" fillId="0" borderId="114" xfId="0" applyNumberFormat="1" applyFont="1" applyBorder="1" applyAlignment="1">
      <alignment horizontal="center" vertical="center"/>
    </xf>
    <xf numFmtId="0" fontId="149" fillId="0" borderId="0" xfId="0" applyFont="1" applyAlignment="1">
      <alignment wrapText="1"/>
    </xf>
    <xf numFmtId="0" fontId="0" fillId="0" borderId="114" xfId="0" applyBorder="1" applyAlignment="1">
      <alignment horizontal="center"/>
    </xf>
    <xf numFmtId="0" fontId="149" fillId="10" borderId="114" xfId="0" applyFont="1" applyFill="1" applyBorder="1" applyAlignment="1">
      <alignment wrapText="1"/>
    </xf>
    <xf numFmtId="0" fontId="247" fillId="10" borderId="114" xfId="0" applyFont="1" applyFill="1" applyBorder="1" applyAlignment="1">
      <alignment horizontal="center" vertical="center" wrapText="1"/>
    </xf>
    <xf numFmtId="2" fontId="253" fillId="10" borderId="114" xfId="0" applyNumberFormat="1" applyFont="1" applyFill="1" applyBorder="1" applyAlignment="1">
      <alignment horizontal="center" vertical="center"/>
    </xf>
    <xf numFmtId="2" fontId="253" fillId="0" borderId="114" xfId="0" applyNumberFormat="1" applyFont="1" applyBorder="1" applyAlignment="1">
      <alignment horizontal="center" vertical="center" wrapText="1"/>
    </xf>
    <xf numFmtId="0" fontId="149" fillId="0" borderId="114" xfId="0" applyFont="1" applyBorder="1"/>
    <xf numFmtId="0" fontId="247" fillId="0" borderId="114" xfId="0" applyFont="1" applyBorder="1" applyAlignment="1">
      <alignment horizontal="center" vertical="center"/>
    </xf>
    <xf numFmtId="2" fontId="240" fillId="0" borderId="114" xfId="0" applyNumberFormat="1" applyFont="1" applyBorder="1" applyAlignment="1">
      <alignment horizontal="center" vertical="center"/>
    </xf>
    <xf numFmtId="0" fontId="37" fillId="0" borderId="114" xfId="0" applyFont="1" applyBorder="1" applyAlignment="1">
      <alignment horizontal="center" vertical="center"/>
    </xf>
    <xf numFmtId="0" fontId="92" fillId="0" borderId="0" xfId="0" applyFont="1"/>
    <xf numFmtId="0" fontId="0" fillId="0" borderId="114" xfId="0" applyBorder="1" applyAlignment="1">
      <alignment vertical="center" wrapText="1"/>
    </xf>
    <xf numFmtId="0" fontId="37" fillId="0" borderId="114" xfId="0" applyFont="1" applyBorder="1" applyAlignment="1">
      <alignment horizontal="center" vertical="center" wrapText="1"/>
    </xf>
    <xf numFmtId="0" fontId="92" fillId="0" borderId="119" xfId="0" applyFont="1" applyBorder="1"/>
    <xf numFmtId="0" fontId="59" fillId="0" borderId="114" xfId="0" applyFont="1" applyBorder="1" applyAlignment="1">
      <alignment horizontal="center" vertical="center"/>
    </xf>
    <xf numFmtId="0" fontId="0" fillId="0" borderId="114" xfId="0" applyBorder="1" applyAlignment="1">
      <alignment horizontal="center" vertical="center"/>
    </xf>
    <xf numFmtId="0" fontId="0" fillId="0" borderId="115" xfId="0" applyBorder="1" applyAlignment="1">
      <alignment horizontal="left" wrapText="1"/>
    </xf>
    <xf numFmtId="0" fontId="0" fillId="0" borderId="119" xfId="0" applyBorder="1" applyAlignment="1">
      <alignment wrapText="1"/>
    </xf>
    <xf numFmtId="0" fontId="59" fillId="10" borderId="114" xfId="0" applyFont="1" applyFill="1" applyBorder="1" applyAlignment="1">
      <alignment vertical="center" wrapText="1"/>
    </xf>
    <xf numFmtId="0" fontId="0" fillId="10" borderId="114" xfId="0" applyFill="1" applyBorder="1" applyAlignment="1">
      <alignment wrapText="1"/>
    </xf>
    <xf numFmtId="0" fontId="37" fillId="10" borderId="114" xfId="0" applyFont="1" applyFill="1" applyBorder="1" applyAlignment="1">
      <alignment horizontal="center" vertical="center"/>
    </xf>
    <xf numFmtId="0" fontId="59" fillId="0" borderId="114" xfId="0" applyFont="1" applyBorder="1" applyAlignment="1">
      <alignment vertical="center" wrapText="1"/>
    </xf>
    <xf numFmtId="0" fontId="37" fillId="0" borderId="114" xfId="0" applyFont="1" applyBorder="1" applyAlignment="1">
      <alignment horizontal="center" wrapText="1"/>
    </xf>
    <xf numFmtId="0" fontId="59" fillId="0" borderId="114" xfId="0" applyFont="1" applyBorder="1" applyAlignment="1">
      <alignment wrapText="1"/>
    </xf>
    <xf numFmtId="0" fontId="37" fillId="5" borderId="114" xfId="0" applyFont="1" applyFill="1" applyBorder="1" applyAlignment="1">
      <alignment horizontal="center" vertical="center"/>
    </xf>
    <xf numFmtId="0" fontId="59" fillId="10" borderId="114" xfId="0" applyFont="1" applyFill="1" applyBorder="1" applyAlignment="1">
      <alignment horizontal="left" vertical="center" wrapText="1"/>
    </xf>
    <xf numFmtId="0" fontId="37" fillId="10" borderId="114" xfId="0" applyFont="1" applyFill="1" applyBorder="1" applyAlignment="1">
      <alignment horizontal="center" wrapText="1"/>
    </xf>
    <xf numFmtId="0" fontId="59" fillId="10" borderId="114" xfId="0" applyFont="1" applyFill="1" applyBorder="1" applyAlignment="1">
      <alignment wrapText="1"/>
    </xf>
    <xf numFmtId="0" fontId="59" fillId="10" borderId="114" xfId="0" applyFont="1" applyFill="1" applyBorder="1" applyAlignment="1">
      <alignment horizontal="center" wrapText="1"/>
    </xf>
    <xf numFmtId="0" fontId="0" fillId="0" borderId="114" xfId="0" applyBorder="1"/>
    <xf numFmtId="0" fontId="0" fillId="5" borderId="114" xfId="0" applyFill="1" applyBorder="1" applyAlignment="1">
      <alignment horizontal="center" vertical="center"/>
    </xf>
    <xf numFmtId="0" fontId="59" fillId="0" borderId="114" xfId="0" applyFont="1" applyBorder="1" applyAlignment="1">
      <alignment horizontal="center" wrapText="1"/>
    </xf>
    <xf numFmtId="167" fontId="38" fillId="5" borderId="89" xfId="1" quotePrefix="1" applyNumberFormat="1" applyFont="1" applyFill="1" applyBorder="1" applyAlignment="1">
      <alignment wrapText="1"/>
    </xf>
    <xf numFmtId="167" fontId="251" fillId="9" borderId="0" xfId="1" quotePrefix="1" applyNumberFormat="1" applyFont="1" applyFill="1"/>
    <xf numFmtId="43" fontId="38" fillId="5" borderId="89" xfId="1" applyFont="1" applyFill="1" applyBorder="1"/>
    <xf numFmtId="167" fontId="251" fillId="0" borderId="0" xfId="1" quotePrefix="1" applyNumberFormat="1" applyFont="1" applyFill="1"/>
    <xf numFmtId="49" fontId="38" fillId="5" borderId="122" xfId="43" applyNumberFormat="1" applyFont="1" applyFill="1" applyBorder="1" applyAlignment="1">
      <alignment horizontal="right" wrapText="1" indent="2"/>
    </xf>
    <xf numFmtId="167" fontId="38" fillId="5" borderId="11" xfId="1" quotePrefix="1" applyNumberFormat="1" applyFont="1" applyFill="1" applyBorder="1"/>
    <xf numFmtId="167" fontId="52" fillId="5" borderId="89" xfId="1" quotePrefix="1" applyNumberFormat="1" applyFont="1" applyFill="1" applyBorder="1"/>
    <xf numFmtId="0" fontId="38" fillId="3" borderId="90" xfId="43" applyFont="1" applyFill="1" applyBorder="1" applyAlignment="1">
      <alignment horizontal="left" indent="1"/>
    </xf>
    <xf numFmtId="0" fontId="38" fillId="3" borderId="122" xfId="43" applyFont="1" applyFill="1" applyBorder="1" applyAlignment="1">
      <alignment horizontal="left" wrapText="1" indent="2"/>
    </xf>
    <xf numFmtId="9" fontId="38" fillId="3" borderId="89" xfId="2" applyFont="1" applyFill="1" applyBorder="1" applyAlignment="1">
      <alignment horizontal="right"/>
    </xf>
    <xf numFmtId="0" fontId="254" fillId="0" borderId="0" xfId="0" applyFont="1" applyAlignment="1">
      <alignment vertical="center" wrapText="1"/>
    </xf>
    <xf numFmtId="0" fontId="255" fillId="0" borderId="0" xfId="0" applyFont="1" applyAlignment="1">
      <alignment horizontal="center" vertical="center" wrapText="1"/>
    </xf>
    <xf numFmtId="0" fontId="255" fillId="10" borderId="0" xfId="0" applyFont="1" applyFill="1" applyAlignment="1">
      <alignment horizontal="center" vertical="center" wrapText="1"/>
    </xf>
    <xf numFmtId="0" fontId="176" fillId="0" borderId="0" xfId="0" applyFont="1" applyAlignment="1">
      <alignment vertical="center" wrapText="1"/>
    </xf>
    <xf numFmtId="0" fontId="255" fillId="10" borderId="0" xfId="0" applyFont="1" applyFill="1"/>
    <xf numFmtId="0" fontId="255" fillId="0" borderId="124" xfId="0" applyFont="1" applyBorder="1" applyAlignment="1">
      <alignment vertical="center" wrapText="1"/>
    </xf>
    <xf numFmtId="0" fontId="255" fillId="0" borderId="124" xfId="0" applyFont="1" applyBorder="1" applyAlignment="1">
      <alignment horizontal="center" vertical="center" wrapText="1"/>
    </xf>
    <xf numFmtId="0" fontId="176" fillId="0" borderId="124" xfId="0" applyFont="1" applyBorder="1" applyAlignment="1">
      <alignment vertical="center" wrapText="1"/>
    </xf>
    <xf numFmtId="0" fontId="255" fillId="10" borderId="124" xfId="0" applyFont="1" applyFill="1" applyBorder="1"/>
    <xf numFmtId="0" fontId="218" fillId="0" borderId="125" xfId="0" applyFont="1" applyBorder="1" applyAlignment="1">
      <alignment vertical="center" wrapText="1"/>
    </xf>
    <xf numFmtId="0" fontId="218" fillId="0" borderId="0" xfId="0" applyFont="1" applyAlignment="1">
      <alignment vertical="center" wrapText="1"/>
    </xf>
    <xf numFmtId="0" fontId="218" fillId="0" borderId="126" xfId="0" applyFont="1" applyBorder="1" applyAlignment="1">
      <alignment vertical="center" wrapText="1"/>
    </xf>
    <xf numFmtId="0" fontId="255" fillId="0" borderId="126" xfId="0" applyFont="1" applyBorder="1" applyAlignment="1">
      <alignment horizontal="center" vertical="center" wrapText="1"/>
    </xf>
    <xf numFmtId="43" fontId="39" fillId="0" borderId="11" xfId="1" applyFont="1" applyFill="1" applyBorder="1"/>
    <xf numFmtId="0" fontId="211" fillId="0" borderId="0" xfId="205">
      <alignment horizontal="left" wrapText="1"/>
    </xf>
    <xf numFmtId="0" fontId="147" fillId="0" borderId="0" xfId="207">
      <alignment horizontal="left" wrapText="1"/>
    </xf>
    <xf numFmtId="0" fontId="258" fillId="0" borderId="0" xfId="208">
      <alignment vertical="top" wrapText="1"/>
    </xf>
    <xf numFmtId="0" fontId="182" fillId="0" borderId="0" xfId="209">
      <alignment horizontal="right" indent="1"/>
    </xf>
    <xf numFmtId="14" fontId="0" fillId="0" borderId="0" xfId="210" applyFont="1">
      <alignment horizontal="left"/>
    </xf>
    <xf numFmtId="174" fontId="0" fillId="0" borderId="0" xfId="211" applyFont="1">
      <alignment horizontal="left" vertical="top" wrapText="1"/>
    </xf>
    <xf numFmtId="0" fontId="182" fillId="0" borderId="0" xfId="212">
      <alignment horizontal="left" vertical="top"/>
    </xf>
    <xf numFmtId="0" fontId="259" fillId="0" borderId="0" xfId="213" applyAlignment="1"/>
    <xf numFmtId="0" fontId="259" fillId="0" borderId="0" xfId="213">
      <alignment horizontal="right" indent="1"/>
    </xf>
    <xf numFmtId="0" fontId="147" fillId="0" borderId="0" xfId="207" applyAlignment="1">
      <alignment horizontal="center" vertical="center"/>
    </xf>
    <xf numFmtId="0" fontId="147" fillId="0" borderId="0" xfId="207" applyAlignment="1">
      <alignment vertical="center"/>
    </xf>
    <xf numFmtId="175" fontId="0" fillId="0" borderId="0" xfId="215" applyFont="1">
      <alignment horizontal="right"/>
    </xf>
    <xf numFmtId="0" fontId="147" fillId="0" borderId="0" xfId="207" applyAlignment="1">
      <alignment horizontal="left" vertical="center" wrapText="1"/>
    </xf>
    <xf numFmtId="0" fontId="148" fillId="0" borderId="0" xfId="207" applyFont="1" applyAlignment="1">
      <alignment horizontal="right" wrapText="1" indent="1"/>
    </xf>
    <xf numFmtId="176" fontId="147" fillId="0" borderId="0" xfId="207" applyNumberFormat="1">
      <alignment horizontal="left" wrapText="1"/>
    </xf>
    <xf numFmtId="14" fontId="89" fillId="0" borderId="0" xfId="0" applyNumberFormat="1" applyFont="1" applyAlignment="1">
      <alignment vertical="center"/>
    </xf>
    <xf numFmtId="0" fontId="171" fillId="0" borderId="0" xfId="0" applyFont="1" applyAlignment="1">
      <alignment horizontal="right" vertical="center"/>
    </xf>
    <xf numFmtId="0" fontId="89" fillId="0" borderId="0" xfId="0" applyFont="1" applyAlignment="1">
      <alignment horizontal="right" vertical="center"/>
    </xf>
    <xf numFmtId="0" fontId="124" fillId="0" borderId="0" xfId="0" applyFont="1" applyAlignment="1">
      <alignment vertical="center"/>
    </xf>
    <xf numFmtId="0" fontId="88" fillId="0" borderId="0" xfId="0" applyFont="1" applyAlignment="1">
      <alignment vertical="center"/>
    </xf>
    <xf numFmtId="0" fontId="89" fillId="0" borderId="0" xfId="0" applyFont="1" applyAlignment="1">
      <alignment horizontal="justify" vertical="center"/>
    </xf>
    <xf numFmtId="0" fontId="260" fillId="66" borderId="0" xfId="0" applyFont="1" applyFill="1" applyAlignment="1">
      <alignment vertical="center" wrapText="1"/>
    </xf>
    <xf numFmtId="0" fontId="260" fillId="66" borderId="0" xfId="0" applyFont="1" applyFill="1" applyAlignment="1">
      <alignment horizontal="right" vertical="center" wrapText="1"/>
    </xf>
    <xf numFmtId="167" fontId="242" fillId="8" borderId="114" xfId="19" applyNumberFormat="1" applyFont="1" applyFill="1" applyBorder="1" applyProtection="1">
      <protection locked="0"/>
    </xf>
    <xf numFmtId="167" fontId="242" fillId="8" borderId="114" xfId="19" applyNumberFormat="1" applyFont="1" applyFill="1" applyBorder="1" applyAlignment="1" applyProtection="1">
      <alignment vertical="top"/>
      <protection locked="0"/>
    </xf>
    <xf numFmtId="167" fontId="79" fillId="8" borderId="114" xfId="19" applyNumberFormat="1" applyFont="1" applyFill="1" applyBorder="1" applyAlignment="1" applyProtection="1">
      <alignment vertical="top"/>
      <protection locked="0"/>
    </xf>
    <xf numFmtId="167" fontId="241" fillId="18" borderId="114" xfId="19" applyNumberFormat="1" applyFont="1" applyFill="1" applyBorder="1" applyProtection="1">
      <protection locked="0"/>
    </xf>
    <xf numFmtId="167" fontId="179" fillId="18" borderId="114" xfId="19" applyNumberFormat="1" applyFont="1" applyFill="1" applyBorder="1" applyProtection="1">
      <protection locked="0"/>
    </xf>
    <xf numFmtId="167" fontId="98" fillId="18" borderId="114" xfId="19" applyNumberFormat="1" applyFont="1" applyFill="1" applyBorder="1" applyProtection="1">
      <protection locked="0"/>
    </xf>
    <xf numFmtId="167" fontId="93" fillId="18" borderId="114" xfId="19" applyNumberFormat="1" applyFont="1" applyFill="1" applyBorder="1" applyProtection="1">
      <protection locked="0"/>
    </xf>
    <xf numFmtId="0" fontId="261" fillId="0" borderId="0" xfId="0" quotePrefix="1" applyFont="1"/>
    <xf numFmtId="0" fontId="0" fillId="67" borderId="0" xfId="0" applyFill="1" applyAlignment="1">
      <alignment horizontal="right"/>
    </xf>
    <xf numFmtId="0" fontId="0" fillId="15" borderId="0" xfId="0" applyFill="1"/>
    <xf numFmtId="0" fontId="0" fillId="17" borderId="0" xfId="0" applyFill="1"/>
    <xf numFmtId="0" fontId="0" fillId="17" borderId="0" xfId="0" applyFill="1" applyAlignment="1">
      <alignment horizontal="right"/>
    </xf>
    <xf numFmtId="0" fontId="0" fillId="0" borderId="123" xfId="0" applyBorder="1" applyAlignment="1">
      <alignment horizontal="right"/>
    </xf>
    <xf numFmtId="0" fontId="0" fillId="0" borderId="127" xfId="0" applyBorder="1"/>
    <xf numFmtId="0" fontId="0" fillId="0" borderId="127" xfId="0" applyBorder="1" applyAlignment="1">
      <alignment wrapText="1"/>
    </xf>
    <xf numFmtId="0" fontId="90" fillId="0" borderId="0" xfId="0" applyFont="1" applyAlignment="1">
      <alignment wrapText="1"/>
    </xf>
    <xf numFmtId="0" fontId="0" fillId="0" borderId="127" xfId="0" applyBorder="1" applyAlignment="1">
      <alignment horizontal="left"/>
    </xf>
    <xf numFmtId="49" fontId="0" fillId="0" borderId="127" xfId="0" applyNumberFormat="1" applyBorder="1" applyAlignment="1">
      <alignment horizontal="left"/>
    </xf>
    <xf numFmtId="49" fontId="0" fillId="0" borderId="0" xfId="0" applyNumberFormat="1" applyAlignment="1">
      <alignment horizontal="left"/>
    </xf>
    <xf numFmtId="0" fontId="0" fillId="20" borderId="127" xfId="0" applyFill="1" applyBorder="1"/>
    <xf numFmtId="0" fontId="0" fillId="0" borderId="127" xfId="0" applyBorder="1" applyAlignment="1">
      <alignment horizontal="left" indent="2"/>
    </xf>
    <xf numFmtId="0" fontId="0" fillId="0" borderId="127" xfId="0" applyBorder="1" applyAlignment="1">
      <alignment horizontal="left" wrapText="1" indent="2"/>
    </xf>
    <xf numFmtId="0" fontId="263" fillId="20" borderId="127" xfId="0" applyFont="1" applyFill="1" applyBorder="1" applyAlignment="1">
      <alignment wrapText="1"/>
    </xf>
    <xf numFmtId="167" fontId="84" fillId="0" borderId="127" xfId="1" applyNumberFormat="1" applyFont="1" applyBorder="1"/>
    <xf numFmtId="0" fontId="0" fillId="0" borderId="127" xfId="0" quotePrefix="1" applyBorder="1" applyAlignment="1">
      <alignment wrapText="1"/>
    </xf>
    <xf numFmtId="0" fontId="53" fillId="0" borderId="129" xfId="0" applyFont="1" applyBorder="1" applyAlignment="1">
      <alignment horizontal="right"/>
    </xf>
    <xf numFmtId="0" fontId="53" fillId="11" borderId="127" xfId="0" applyFont="1" applyFill="1" applyBorder="1" applyAlignment="1">
      <alignment horizontal="center" wrapText="1"/>
    </xf>
    <xf numFmtId="0" fontId="0" fillId="0" borderId="42" xfId="0" applyBorder="1"/>
    <xf numFmtId="0" fontId="53" fillId="0" borderId="42" xfId="0" applyFont="1" applyBorder="1" applyAlignment="1">
      <alignment horizontal="right"/>
    </xf>
    <xf numFmtId="0" fontId="53" fillId="0" borderId="113" xfId="0" applyFont="1" applyBorder="1" applyAlignment="1">
      <alignment horizontal="right"/>
    </xf>
    <xf numFmtId="0" fontId="53" fillId="67" borderId="42" xfId="0" applyFont="1" applyFill="1" applyBorder="1" applyAlignment="1">
      <alignment horizontal="right"/>
    </xf>
    <xf numFmtId="0" fontId="53" fillId="0" borderId="42" xfId="0" applyFont="1" applyBorder="1"/>
    <xf numFmtId="0" fontId="53" fillId="15" borderId="42" xfId="0" applyFont="1" applyFill="1" applyBorder="1"/>
    <xf numFmtId="0" fontId="53" fillId="17" borderId="42" xfId="0" applyFont="1" applyFill="1" applyBorder="1" applyAlignment="1">
      <alignment horizontal="right"/>
    </xf>
    <xf numFmtId="0" fontId="53" fillId="0" borderId="0" xfId="0" applyFont="1" applyAlignment="1">
      <alignment horizontal="center" wrapText="1"/>
    </xf>
    <xf numFmtId="0" fontId="47" fillId="0" borderId="127" xfId="28" applyFont="1" applyBorder="1"/>
    <xf numFmtId="0" fontId="0" fillId="0" borderId="127" xfId="0" applyBorder="1" applyAlignment="1">
      <alignment horizontal="left" wrapText="1"/>
    </xf>
    <xf numFmtId="0" fontId="53" fillId="0" borderId="128" xfId="0" applyFont="1" applyBorder="1" applyAlignment="1">
      <alignment horizontal="right" wrapText="1"/>
    </xf>
    <xf numFmtId="167" fontId="105" fillId="0" borderId="0" xfId="1" applyNumberFormat="1" applyFont="1"/>
    <xf numFmtId="167" fontId="53" fillId="0" borderId="0" xfId="1" applyNumberFormat="1" applyFont="1" applyBorder="1"/>
    <xf numFmtId="0" fontId="0" fillId="9" borderId="0" xfId="0" applyFill="1" applyAlignment="1">
      <alignment horizontal="right"/>
    </xf>
    <xf numFmtId="167" fontId="0" fillId="0" borderId="0" xfId="0" applyNumberFormat="1" applyAlignment="1">
      <alignment horizontal="left"/>
    </xf>
    <xf numFmtId="0" fontId="0" fillId="0" borderId="131" xfId="0" applyBorder="1"/>
    <xf numFmtId="167" fontId="0" fillId="0" borderId="132" xfId="1" applyNumberFormat="1" applyFont="1" applyBorder="1"/>
    <xf numFmtId="167" fontId="0" fillId="0" borderId="134" xfId="1" applyNumberFormat="1" applyFont="1" applyBorder="1"/>
    <xf numFmtId="0" fontId="0" fillId="0" borderId="136" xfId="0" applyBorder="1"/>
    <xf numFmtId="167" fontId="0" fillId="0" borderId="132" xfId="0" applyNumberFormat="1" applyBorder="1"/>
    <xf numFmtId="167" fontId="0" fillId="0" borderId="134" xfId="0" applyNumberFormat="1" applyBorder="1"/>
    <xf numFmtId="167" fontId="0" fillId="0" borderId="137" xfId="1" applyNumberFormat="1" applyFont="1" applyBorder="1"/>
    <xf numFmtId="167" fontId="84" fillId="0" borderId="0" xfId="1" applyNumberFormat="1" applyFont="1"/>
    <xf numFmtId="167" fontId="84" fillId="0" borderId="0" xfId="0" applyNumberFormat="1" applyFont="1" applyAlignment="1">
      <alignment horizontal="right"/>
    </xf>
    <xf numFmtId="0" fontId="0" fillId="0" borderId="42" xfId="0" applyBorder="1" applyAlignment="1">
      <alignment horizontal="right"/>
    </xf>
    <xf numFmtId="0" fontId="265" fillId="0" borderId="0" xfId="0" quotePrefix="1" applyFont="1"/>
    <xf numFmtId="167" fontId="265" fillId="0" borderId="0" xfId="1" quotePrefix="1" applyNumberFormat="1" applyFont="1"/>
    <xf numFmtId="49" fontId="187" fillId="5" borderId="53" xfId="43" applyNumberFormat="1" applyFont="1" applyFill="1" applyBorder="1" applyAlignment="1">
      <alignment horizontal="right" wrapText="1" indent="2"/>
    </xf>
    <xf numFmtId="0" fontId="0" fillId="0" borderId="127" xfId="0" applyBorder="1" applyAlignment="1">
      <alignment horizontal="center" wrapText="1"/>
    </xf>
    <xf numFmtId="167" fontId="90" fillId="0" borderId="127" xfId="1" applyNumberFormat="1" applyFont="1" applyBorder="1"/>
    <xf numFmtId="49" fontId="90" fillId="0" borderId="127" xfId="0" applyNumberFormat="1" applyFont="1" applyBorder="1" applyAlignment="1">
      <alignment wrapText="1"/>
    </xf>
    <xf numFmtId="49" fontId="90" fillId="0" borderId="127" xfId="0" applyNumberFormat="1" applyFont="1" applyBorder="1" applyAlignment="1">
      <alignment horizontal="left"/>
    </xf>
    <xf numFmtId="167" fontId="5" fillId="0" borderId="0" xfId="201" applyNumberFormat="1"/>
    <xf numFmtId="0" fontId="2" fillId="0" borderId="0" xfId="201" applyFont="1" applyAlignment="1">
      <alignment horizontal="right"/>
    </xf>
    <xf numFmtId="167" fontId="148" fillId="0" borderId="115" xfId="201" applyNumberFormat="1" applyFont="1" applyBorder="1"/>
    <xf numFmtId="0" fontId="266" fillId="68" borderId="138" xfId="0" applyFont="1" applyFill="1" applyBorder="1"/>
    <xf numFmtId="0" fontId="53" fillId="0" borderId="140" xfId="0" applyFont="1" applyBorder="1"/>
    <xf numFmtId="9" fontId="0" fillId="0" borderId="0" xfId="0" applyNumberFormat="1"/>
    <xf numFmtId="167" fontId="0" fillId="0" borderId="139" xfId="0" applyNumberFormat="1" applyBorder="1"/>
    <xf numFmtId="167" fontId="53" fillId="0" borderId="141" xfId="0" applyNumberFormat="1" applyFont="1" applyBorder="1"/>
    <xf numFmtId="0" fontId="266" fillId="68" borderId="138" xfId="0" applyFont="1" applyFill="1" applyBorder="1" applyAlignment="1">
      <alignment wrapText="1"/>
    </xf>
    <xf numFmtId="0" fontId="90" fillId="0" borderId="127" xfId="0" applyFont="1" applyBorder="1" applyAlignment="1">
      <alignment wrapText="1"/>
    </xf>
    <xf numFmtId="167" fontId="0" fillId="0" borderId="0" xfId="0" applyNumberFormat="1" applyAlignment="1">
      <alignment wrapText="1"/>
    </xf>
    <xf numFmtId="167" fontId="107" fillId="0" borderId="0" xfId="0" applyNumberFormat="1" applyFont="1"/>
    <xf numFmtId="0" fontId="125" fillId="0" borderId="0" xfId="0" applyFont="1" applyAlignment="1">
      <alignment wrapText="1"/>
    </xf>
    <xf numFmtId="0" fontId="107" fillId="0" borderId="0" xfId="0" applyFont="1" applyAlignment="1">
      <alignment wrapText="1"/>
    </xf>
    <xf numFmtId="0" fontId="189" fillId="0" borderId="0" xfId="0" applyFont="1" applyAlignment="1">
      <alignment wrapText="1"/>
    </xf>
    <xf numFmtId="0" fontId="190" fillId="0" borderId="0" xfId="0" applyFont="1" applyAlignment="1">
      <alignment wrapText="1"/>
    </xf>
    <xf numFmtId="0" fontId="140" fillId="0" borderId="0" xfId="0" applyFont="1" applyAlignment="1">
      <alignment wrapText="1"/>
    </xf>
    <xf numFmtId="0" fontId="97" fillId="0" borderId="0" xfId="0" applyFont="1" applyAlignment="1">
      <alignment wrapText="1"/>
    </xf>
    <xf numFmtId="0" fontId="108" fillId="0" borderId="0" xfId="0" applyFont="1" applyAlignment="1">
      <alignment wrapText="1"/>
    </xf>
    <xf numFmtId="167" fontId="0" fillId="0" borderId="0" xfId="1" applyNumberFormat="1" applyFont="1" applyFill="1"/>
    <xf numFmtId="0" fontId="0" fillId="11" borderId="0" xfId="0" applyFill="1"/>
    <xf numFmtId="167" fontId="90" fillId="0" borderId="127" xfId="1" applyNumberFormat="1" applyFont="1" applyFill="1" applyBorder="1"/>
    <xf numFmtId="0" fontId="84" fillId="0" borderId="127" xfId="0" applyFont="1" applyBorder="1"/>
    <xf numFmtId="43" fontId="38" fillId="5" borderId="89" xfId="1" quotePrefix="1" applyFont="1" applyFill="1" applyBorder="1" applyAlignment="1">
      <alignment wrapText="1"/>
    </xf>
    <xf numFmtId="43" fontId="38" fillId="5" borderId="89" xfId="1" applyFont="1" applyFill="1" applyBorder="1" applyAlignment="1">
      <alignment wrapText="1"/>
    </xf>
    <xf numFmtId="43" fontId="38" fillId="3" borderId="89" xfId="1" applyFont="1" applyFill="1" applyBorder="1"/>
    <xf numFmtId="43" fontId="39" fillId="5" borderId="89" xfId="1" applyFont="1" applyFill="1" applyBorder="1" applyAlignment="1">
      <alignment wrapText="1"/>
    </xf>
    <xf numFmtId="43" fontId="129" fillId="5" borderId="89" xfId="1" applyFont="1" applyFill="1" applyBorder="1"/>
    <xf numFmtId="43" fontId="39" fillId="3" borderId="89" xfId="1" applyFont="1" applyFill="1" applyBorder="1"/>
    <xf numFmtId="43" fontId="38" fillId="3" borderId="89" xfId="1" applyFont="1" applyFill="1" applyBorder="1" applyAlignment="1">
      <alignment wrapText="1"/>
    </xf>
    <xf numFmtId="43" fontId="45" fillId="4" borderId="89" xfId="1" applyFont="1" applyFill="1" applyBorder="1"/>
    <xf numFmtId="43" fontId="42" fillId="4" borderId="89" xfId="1" applyFont="1" applyFill="1" applyBorder="1"/>
    <xf numFmtId="43" fontId="45" fillId="3" borderId="89" xfId="1" applyFont="1" applyFill="1" applyBorder="1"/>
    <xf numFmtId="43" fontId="187" fillId="5" borderId="89" xfId="1" applyFont="1" applyFill="1" applyBorder="1"/>
    <xf numFmtId="43" fontId="128" fillId="3" borderId="89" xfId="1" applyFont="1" applyFill="1" applyBorder="1"/>
    <xf numFmtId="0" fontId="90" fillId="0" borderId="127" xfId="0" applyFont="1" applyBorder="1"/>
    <xf numFmtId="0" fontId="90" fillId="0" borderId="127" xfId="0" applyFont="1" applyBorder="1" applyAlignment="1">
      <alignment horizontal="left"/>
    </xf>
    <xf numFmtId="167" fontId="90" fillId="0" borderId="0" xfId="1" applyNumberFormat="1" applyFont="1" applyFill="1" applyBorder="1"/>
    <xf numFmtId="43" fontId="38" fillId="5" borderId="73" xfId="1" quotePrefix="1" applyFont="1" applyFill="1" applyBorder="1" applyAlignment="1">
      <alignment wrapText="1"/>
    </xf>
    <xf numFmtId="0" fontId="192" fillId="0" borderId="127" xfId="0" applyFont="1" applyBorder="1"/>
    <xf numFmtId="9" fontId="40" fillId="5" borderId="11" xfId="2" applyFont="1" applyFill="1" applyBorder="1" applyAlignment="1">
      <alignment horizontal="right"/>
    </xf>
    <xf numFmtId="49" fontId="40" fillId="5" borderId="79" xfId="43" applyNumberFormat="1" applyFont="1" applyFill="1" applyBorder="1" applyAlignment="1">
      <alignment horizontal="right" wrapText="1" indent="2"/>
    </xf>
    <xf numFmtId="49" fontId="90" fillId="20" borderId="127" xfId="0" applyNumberFormat="1" applyFont="1" applyFill="1" applyBorder="1" applyAlignment="1">
      <alignment horizontal="left"/>
    </xf>
    <xf numFmtId="43" fontId="52" fillId="0" borderId="11" xfId="1" applyFont="1" applyFill="1" applyBorder="1" applyAlignment="1">
      <alignment wrapText="1"/>
    </xf>
    <xf numFmtId="167" fontId="0" fillId="0" borderId="0" xfId="1" applyNumberFormat="1" applyFont="1" applyAlignment="1">
      <alignment wrapText="1"/>
    </xf>
    <xf numFmtId="0" fontId="255" fillId="56" borderId="124" xfId="0" applyFont="1" applyFill="1" applyBorder="1" applyAlignment="1">
      <alignment vertical="center" wrapText="1"/>
    </xf>
    <xf numFmtId="0" fontId="255" fillId="56" borderId="124" xfId="0" applyFont="1" applyFill="1" applyBorder="1" applyAlignment="1">
      <alignment horizontal="center" vertical="center" wrapText="1"/>
    </xf>
    <xf numFmtId="0" fontId="176" fillId="56" borderId="124" xfId="0" applyFont="1" applyFill="1" applyBorder="1" applyAlignment="1">
      <alignment vertical="center" wrapText="1"/>
    </xf>
    <xf numFmtId="0" fontId="255" fillId="56" borderId="124" xfId="0" applyFont="1" applyFill="1" applyBorder="1"/>
    <xf numFmtId="0" fontId="255" fillId="5" borderId="124" xfId="0" applyFont="1" applyFill="1" applyBorder="1" applyAlignment="1">
      <alignment vertical="center" wrapText="1"/>
    </xf>
    <xf numFmtId="0" fontId="255" fillId="5" borderId="124" xfId="0" applyFont="1" applyFill="1" applyBorder="1" applyAlignment="1">
      <alignment horizontal="center" vertical="center" wrapText="1"/>
    </xf>
    <xf numFmtId="0" fontId="176" fillId="5" borderId="124" xfId="0" applyFont="1" applyFill="1" applyBorder="1" applyAlignment="1">
      <alignment vertical="center" wrapText="1"/>
    </xf>
    <xf numFmtId="0" fontId="255" fillId="5" borderId="124" xfId="0" applyFont="1" applyFill="1" applyBorder="1"/>
    <xf numFmtId="2" fontId="176" fillId="0" borderId="0" xfId="0" applyNumberFormat="1" applyFont="1" applyAlignment="1">
      <alignment vertical="center" wrapText="1"/>
    </xf>
    <xf numFmtId="0" fontId="176" fillId="0" borderId="145" xfId="0" applyFont="1" applyBorder="1" applyAlignment="1">
      <alignment vertical="center" wrapText="1"/>
    </xf>
    <xf numFmtId="0" fontId="176" fillId="0" borderId="146" xfId="0" applyFont="1" applyBorder="1" applyAlignment="1">
      <alignment vertical="center" wrapText="1"/>
    </xf>
    <xf numFmtId="0" fontId="176" fillId="0" borderId="147" xfId="0" applyFont="1" applyBorder="1" applyAlignment="1">
      <alignment vertical="center" wrapText="1"/>
    </xf>
    <xf numFmtId="0" fontId="90" fillId="0" borderId="127" xfId="0" applyFont="1" applyBorder="1" applyAlignment="1">
      <alignment horizontal="left" wrapText="1"/>
    </xf>
    <xf numFmtId="0" fontId="38" fillId="0" borderId="122" xfId="43" applyFont="1" applyBorder="1" applyAlignment="1">
      <alignment horizontal="left" wrapText="1" indent="2"/>
    </xf>
    <xf numFmtId="0" fontId="268" fillId="0" borderId="0" xfId="0" applyFont="1"/>
    <xf numFmtId="0" fontId="51" fillId="25" borderId="31" xfId="10" applyFont="1" applyFill="1" applyBorder="1" applyAlignment="1">
      <alignment vertical="center"/>
    </xf>
    <xf numFmtId="0" fontId="51" fillId="25" borderId="35" xfId="10" applyFont="1" applyFill="1" applyBorder="1" applyAlignment="1">
      <alignment vertical="center"/>
    </xf>
    <xf numFmtId="3" fontId="117" fillId="0" borderId="27" xfId="10" applyNumberFormat="1" applyFont="1" applyBorder="1" applyAlignment="1">
      <alignment horizontal="right" vertical="center"/>
    </xf>
    <xf numFmtId="167" fontId="117" fillId="0" borderId="27" xfId="12" applyNumberFormat="1" applyFont="1" applyFill="1" applyBorder="1" applyAlignment="1">
      <alignment horizontal="right" vertical="center"/>
    </xf>
    <xf numFmtId="3" fontId="61" fillId="23" borderId="25" xfId="10" applyNumberFormat="1" applyFont="1" applyFill="1" applyBorder="1" applyAlignment="1">
      <alignment horizontal="right" vertical="center"/>
    </xf>
    <xf numFmtId="167" fontId="56" fillId="0" borderId="0" xfId="1" applyNumberFormat="1" applyFont="1"/>
    <xf numFmtId="0" fontId="134" fillId="11" borderId="21" xfId="10" applyFont="1" applyFill="1" applyBorder="1" applyAlignment="1">
      <alignment horizontal="center" vertical="center" wrapText="1"/>
    </xf>
    <xf numFmtId="0" fontId="61" fillId="11" borderId="21" xfId="10" applyFont="1" applyFill="1" applyBorder="1" applyAlignment="1">
      <alignment horizontal="center" vertical="center" wrapText="1"/>
    </xf>
    <xf numFmtId="3" fontId="61" fillId="69" borderId="25" xfId="10" applyNumberFormat="1" applyFont="1" applyFill="1" applyBorder="1" applyAlignment="1">
      <alignment horizontal="right" vertical="center"/>
    </xf>
    <xf numFmtId="3" fontId="117" fillId="69" borderId="27" xfId="10" applyNumberFormat="1" applyFont="1" applyFill="1" applyBorder="1" applyAlignment="1">
      <alignment horizontal="right" vertical="center"/>
    </xf>
    <xf numFmtId="3" fontId="61" fillId="69" borderId="29" xfId="10" applyNumberFormat="1" applyFont="1" applyFill="1" applyBorder="1" applyAlignment="1">
      <alignment horizontal="right" vertical="center"/>
    </xf>
    <xf numFmtId="167" fontId="61" fillId="69" borderId="25" xfId="12" applyNumberFormat="1" applyFont="1" applyFill="1" applyBorder="1" applyAlignment="1">
      <alignment horizontal="right" vertical="center"/>
    </xf>
    <xf numFmtId="167" fontId="117" fillId="69" borderId="27" xfId="12" applyNumberFormat="1" applyFont="1" applyFill="1" applyBorder="1" applyAlignment="1">
      <alignment horizontal="right" vertical="center"/>
    </xf>
    <xf numFmtId="167" fontId="119" fillId="0" borderId="0" xfId="11" applyNumberFormat="1" applyFont="1" applyBorder="1"/>
    <xf numFmtId="167" fontId="54" fillId="0" borderId="0" xfId="11" applyNumberFormat="1" applyFont="1" applyBorder="1"/>
    <xf numFmtId="167" fontId="54" fillId="0" borderId="0" xfId="12" applyNumberFormat="1" applyFont="1" applyBorder="1"/>
    <xf numFmtId="3" fontId="61" fillId="19" borderId="0" xfId="10" applyNumberFormat="1" applyFont="1" applyFill="1" applyAlignment="1">
      <alignment horizontal="right" vertical="center"/>
    </xf>
    <xf numFmtId="0" fontId="61" fillId="14" borderId="0" xfId="10" applyFont="1" applyFill="1" applyAlignment="1">
      <alignment vertical="center"/>
    </xf>
    <xf numFmtId="0" fontId="63" fillId="14" borderId="0" xfId="10" applyFont="1" applyFill="1" applyAlignment="1">
      <alignment vertical="center"/>
    </xf>
    <xf numFmtId="0" fontId="63" fillId="14" borderId="0" xfId="10" applyFont="1" applyFill="1" applyAlignment="1">
      <alignment horizontal="center" vertical="center"/>
    </xf>
    <xf numFmtId="0" fontId="114" fillId="14" borderId="0" xfId="10" applyFont="1" applyFill="1" applyAlignment="1">
      <alignment horizontal="right" vertical="center"/>
    </xf>
    <xf numFmtId="167" fontId="64" fillId="14" borderId="0" xfId="11" applyNumberFormat="1" applyFont="1" applyFill="1" applyBorder="1" applyAlignment="1">
      <alignment horizontal="center" vertical="center"/>
    </xf>
    <xf numFmtId="167" fontId="63" fillId="14" borderId="0" xfId="11" applyNumberFormat="1" applyFont="1" applyFill="1" applyBorder="1" applyAlignment="1">
      <alignment horizontal="center" vertical="center"/>
    </xf>
    <xf numFmtId="3" fontId="61" fillId="14" borderId="0" xfId="10" applyNumberFormat="1" applyFont="1" applyFill="1" applyAlignment="1">
      <alignment horizontal="right" vertical="center"/>
    </xf>
    <xf numFmtId="0" fontId="61" fillId="17" borderId="0" xfId="10" applyFont="1" applyFill="1" applyAlignment="1">
      <alignment vertical="center"/>
    </xf>
    <xf numFmtId="0" fontId="63" fillId="17" borderId="0" xfId="10" applyFont="1" applyFill="1" applyAlignment="1">
      <alignment vertical="center"/>
    </xf>
    <xf numFmtId="0" fontId="63" fillId="17" borderId="0" xfId="10" applyFont="1" applyFill="1" applyAlignment="1">
      <alignment horizontal="center" vertical="center"/>
    </xf>
    <xf numFmtId="0" fontId="114" fillId="17" borderId="0" xfId="10" applyFont="1" applyFill="1" applyAlignment="1">
      <alignment horizontal="right" vertical="center"/>
    </xf>
    <xf numFmtId="167" fontId="64" fillId="17" borderId="0" xfId="11" applyNumberFormat="1" applyFont="1" applyFill="1" applyBorder="1" applyAlignment="1">
      <alignment horizontal="center" vertical="center"/>
    </xf>
    <xf numFmtId="167" fontId="63" fillId="17" borderId="0" xfId="11" applyNumberFormat="1" applyFont="1" applyFill="1" applyBorder="1" applyAlignment="1">
      <alignment horizontal="center" vertical="center"/>
    </xf>
    <xf numFmtId="0" fontId="54" fillId="0" borderId="30" xfId="10" applyFont="1" applyBorder="1"/>
    <xf numFmtId="0" fontId="63" fillId="0" borderId="30" xfId="10" applyFont="1" applyBorder="1"/>
    <xf numFmtId="167" fontId="64" fillId="0" borderId="149" xfId="11" applyNumberFormat="1" applyFont="1" applyBorder="1" applyAlignment="1">
      <alignment horizontal="center" vertical="center"/>
    </xf>
    <xf numFmtId="167" fontId="63" fillId="0" borderId="149" xfId="11" applyNumberFormat="1" applyFont="1" applyBorder="1" applyAlignment="1">
      <alignment horizontal="center" vertical="center"/>
    </xf>
    <xf numFmtId="3" fontId="134" fillId="0" borderId="149" xfId="10" applyNumberFormat="1" applyFont="1" applyBorder="1" applyAlignment="1">
      <alignment horizontal="right" vertical="center"/>
    </xf>
    <xf numFmtId="3" fontId="117" fillId="19" borderId="149" xfId="10" applyNumberFormat="1" applyFont="1" applyFill="1" applyBorder="1" applyAlignment="1">
      <alignment horizontal="right" vertical="center"/>
    </xf>
    <xf numFmtId="0" fontId="56" fillId="14" borderId="149" xfId="10" applyFont="1" applyFill="1" applyBorder="1" applyAlignment="1">
      <alignment horizontal="right"/>
    </xf>
    <xf numFmtId="0" fontId="63" fillId="14" borderId="149" xfId="10" applyFont="1" applyFill="1" applyBorder="1" applyAlignment="1">
      <alignment vertical="center"/>
    </xf>
    <xf numFmtId="0" fontId="63" fillId="14" borderId="149" xfId="10" applyFont="1" applyFill="1" applyBorder="1" applyAlignment="1">
      <alignment horizontal="center" vertical="center"/>
    </xf>
    <xf numFmtId="0" fontId="114" fillId="14" borderId="149" xfId="10" applyFont="1" applyFill="1" applyBorder="1" applyAlignment="1">
      <alignment horizontal="right" vertical="center"/>
    </xf>
    <xf numFmtId="0" fontId="117" fillId="14" borderId="149" xfId="10" applyFont="1" applyFill="1" applyBorder="1" applyAlignment="1">
      <alignment vertical="center"/>
    </xf>
    <xf numFmtId="0" fontId="61" fillId="14" borderId="149" xfId="10" applyFont="1" applyFill="1" applyBorder="1" applyAlignment="1">
      <alignment vertical="center"/>
    </xf>
    <xf numFmtId="167" fontId="64" fillId="14" borderId="149" xfId="11" applyNumberFormat="1" applyFont="1" applyFill="1" applyBorder="1" applyAlignment="1">
      <alignment horizontal="center" vertical="center"/>
    </xf>
    <xf numFmtId="167" fontId="63" fillId="14" borderId="149" xfId="11" applyNumberFormat="1" applyFont="1" applyFill="1" applyBorder="1" applyAlignment="1">
      <alignment horizontal="center" vertical="center"/>
    </xf>
    <xf numFmtId="3" fontId="117" fillId="14" borderId="149" xfId="10" applyNumberFormat="1" applyFont="1" applyFill="1" applyBorder="1" applyAlignment="1">
      <alignment horizontal="right" vertical="center"/>
    </xf>
    <xf numFmtId="167" fontId="64" fillId="0" borderId="0" xfId="11" applyNumberFormat="1" applyFont="1" applyFill="1" applyBorder="1" applyAlignment="1">
      <alignment horizontal="center" vertical="center"/>
    </xf>
    <xf numFmtId="0" fontId="117" fillId="17" borderId="149" xfId="10" applyFont="1" applyFill="1" applyBorder="1" applyAlignment="1">
      <alignment vertical="center"/>
    </xf>
    <xf numFmtId="0" fontId="56" fillId="17" borderId="149" xfId="10" applyFont="1" applyFill="1" applyBorder="1" applyAlignment="1">
      <alignment horizontal="right"/>
    </xf>
    <xf numFmtId="0" fontId="63" fillId="17" borderId="149" xfId="10" applyFont="1" applyFill="1" applyBorder="1" applyAlignment="1">
      <alignment vertical="center"/>
    </xf>
    <xf numFmtId="0" fontId="63" fillId="17" borderId="149" xfId="10" applyFont="1" applyFill="1" applyBorder="1" applyAlignment="1">
      <alignment horizontal="center" vertical="center"/>
    </xf>
    <xf numFmtId="0" fontId="114" fillId="17" borderId="149" xfId="10" applyFont="1" applyFill="1" applyBorder="1" applyAlignment="1">
      <alignment horizontal="right" vertical="center"/>
    </xf>
    <xf numFmtId="0" fontId="61" fillId="17" borderId="149" xfId="10" applyFont="1" applyFill="1" applyBorder="1" applyAlignment="1">
      <alignment vertical="center"/>
    </xf>
    <xf numFmtId="167" fontId="64" fillId="17" borderId="149" xfId="11" applyNumberFormat="1" applyFont="1" applyFill="1" applyBorder="1" applyAlignment="1">
      <alignment horizontal="center" vertical="center"/>
    </xf>
    <xf numFmtId="167" fontId="63" fillId="17" borderId="149" xfId="11" applyNumberFormat="1" applyFont="1" applyFill="1" applyBorder="1" applyAlignment="1">
      <alignment horizontal="center" vertical="center"/>
    </xf>
    <xf numFmtId="0" fontId="56" fillId="17" borderId="0" xfId="10" applyFont="1" applyFill="1" applyAlignment="1">
      <alignment horizontal="right"/>
    </xf>
    <xf numFmtId="3" fontId="61" fillId="17" borderId="0" xfId="10" applyNumberFormat="1" applyFont="1" applyFill="1" applyAlignment="1">
      <alignment horizontal="right" vertical="center"/>
    </xf>
    <xf numFmtId="3" fontId="117" fillId="17" borderId="149" xfId="10" applyNumberFormat="1" applyFont="1" applyFill="1" applyBorder="1" applyAlignment="1">
      <alignment horizontal="right" vertical="center"/>
    </xf>
    <xf numFmtId="0" fontId="61" fillId="19" borderId="0" xfId="10" applyFont="1" applyFill="1" applyAlignment="1">
      <alignment vertical="center"/>
    </xf>
    <xf numFmtId="0" fontId="63" fillId="19" borderId="0" xfId="10" applyFont="1" applyFill="1" applyAlignment="1">
      <alignment vertical="center"/>
    </xf>
    <xf numFmtId="0" fontId="63" fillId="19" borderId="0" xfId="10" applyFont="1" applyFill="1" applyAlignment="1">
      <alignment horizontal="center" vertical="center"/>
    </xf>
    <xf numFmtId="0" fontId="114" fillId="19" borderId="0" xfId="10" applyFont="1" applyFill="1" applyAlignment="1">
      <alignment horizontal="right" vertical="center"/>
    </xf>
    <xf numFmtId="167" fontId="64" fillId="19" borderId="0" xfId="11" applyNumberFormat="1" applyFont="1" applyFill="1" applyBorder="1" applyAlignment="1">
      <alignment horizontal="center" vertical="center"/>
    </xf>
    <xf numFmtId="167" fontId="63" fillId="19" borderId="0" xfId="11" applyNumberFormat="1" applyFont="1" applyFill="1" applyBorder="1" applyAlignment="1">
      <alignment horizontal="center" vertical="center"/>
    </xf>
    <xf numFmtId="0" fontId="56" fillId="19" borderId="149" xfId="10" applyFont="1" applyFill="1" applyBorder="1" applyAlignment="1">
      <alignment horizontal="right"/>
    </xf>
    <xf numFmtId="0" fontId="63" fillId="19" borderId="149" xfId="10" applyFont="1" applyFill="1" applyBorder="1" applyAlignment="1">
      <alignment vertical="center"/>
    </xf>
    <xf numFmtId="0" fontId="63" fillId="19" borderId="149" xfId="10" applyFont="1" applyFill="1" applyBorder="1" applyAlignment="1">
      <alignment horizontal="center" vertical="center"/>
    </xf>
    <xf numFmtId="0" fontId="114" fillId="19" borderId="149" xfId="10" applyFont="1" applyFill="1" applyBorder="1" applyAlignment="1">
      <alignment horizontal="right" vertical="center"/>
    </xf>
    <xf numFmtId="0" fontId="117" fillId="19" borderId="149" xfId="10" applyFont="1" applyFill="1" applyBorder="1" applyAlignment="1">
      <alignment vertical="center"/>
    </xf>
    <xf numFmtId="0" fontId="61" fillId="19" borderId="149" xfId="10" applyFont="1" applyFill="1" applyBorder="1" applyAlignment="1">
      <alignment vertical="center"/>
    </xf>
    <xf numFmtId="167" fontId="64" fillId="19" borderId="149" xfId="11" applyNumberFormat="1" applyFont="1" applyFill="1" applyBorder="1" applyAlignment="1">
      <alignment horizontal="center" vertical="center"/>
    </xf>
    <xf numFmtId="167" fontId="63" fillId="19" borderId="149" xfId="11" applyNumberFormat="1" applyFont="1" applyFill="1" applyBorder="1" applyAlignment="1">
      <alignment horizontal="center" vertical="center"/>
    </xf>
    <xf numFmtId="0" fontId="56" fillId="19" borderId="0" xfId="10" applyFont="1" applyFill="1" applyAlignment="1">
      <alignment horizontal="right"/>
    </xf>
    <xf numFmtId="0" fontId="61" fillId="70" borderId="21" xfId="10" applyFont="1" applyFill="1" applyBorder="1" applyAlignment="1">
      <alignment horizontal="center" vertical="center" wrapText="1"/>
    </xf>
    <xf numFmtId="3" fontId="269" fillId="0" borderId="0" xfId="10" applyNumberFormat="1" applyFont="1" applyAlignment="1">
      <alignment horizontal="right" vertical="center"/>
    </xf>
    <xf numFmtId="0" fontId="63" fillId="0" borderId="16" xfId="10" applyFont="1" applyBorder="1" applyAlignment="1">
      <alignment horizontal="right" vertical="center"/>
    </xf>
    <xf numFmtId="167" fontId="95" fillId="0" borderId="0" xfId="12" applyNumberFormat="1" applyFont="1" applyFill="1"/>
    <xf numFmtId="169" fontId="63" fillId="0" borderId="30" xfId="14" applyNumberFormat="1" applyFont="1" applyFill="1" applyBorder="1" applyAlignment="1">
      <alignment horizontal="center" vertical="center"/>
    </xf>
    <xf numFmtId="169" fontId="63" fillId="11" borderId="118" xfId="14" applyNumberFormat="1" applyFont="1" applyFill="1" applyBorder="1" applyAlignment="1">
      <alignment horizontal="center" vertical="center"/>
    </xf>
    <xf numFmtId="169" fontId="63" fillId="11" borderId="122" xfId="14" applyNumberFormat="1" applyFont="1" applyFill="1" applyBorder="1" applyAlignment="1">
      <alignment horizontal="center" vertical="center"/>
    </xf>
    <xf numFmtId="169" fontId="63" fillId="0" borderId="148" xfId="14" applyNumberFormat="1" applyFont="1" applyFill="1" applyBorder="1" applyAlignment="1">
      <alignment horizontal="center" vertical="center"/>
    </xf>
    <xf numFmtId="167" fontId="63" fillId="19" borderId="150" xfId="11" applyNumberFormat="1" applyFont="1" applyFill="1" applyBorder="1" applyAlignment="1">
      <alignment horizontal="center" vertical="center"/>
    </xf>
    <xf numFmtId="3" fontId="61" fillId="19" borderId="151" xfId="10" applyNumberFormat="1" applyFont="1" applyFill="1" applyBorder="1" applyAlignment="1">
      <alignment horizontal="right" vertical="center"/>
    </xf>
    <xf numFmtId="3" fontId="117" fillId="19" borderId="152" xfId="10" applyNumberFormat="1" applyFont="1" applyFill="1" applyBorder="1" applyAlignment="1">
      <alignment horizontal="right" vertical="center"/>
    </xf>
    <xf numFmtId="3" fontId="61" fillId="19" borderId="153" xfId="10" applyNumberFormat="1" applyFont="1" applyFill="1" applyBorder="1" applyAlignment="1">
      <alignment horizontal="right" vertical="center"/>
    </xf>
    <xf numFmtId="3" fontId="269" fillId="0" borderId="153" xfId="10" applyNumberFormat="1" applyFont="1" applyBorder="1" applyAlignment="1">
      <alignment horizontal="right" vertical="center"/>
    </xf>
    <xf numFmtId="3" fontId="61" fillId="14" borderId="153" xfId="10" applyNumberFormat="1" applyFont="1" applyFill="1" applyBorder="1" applyAlignment="1">
      <alignment horizontal="right" vertical="center"/>
    </xf>
    <xf numFmtId="3" fontId="117" fillId="14" borderId="152" xfId="10" applyNumberFormat="1" applyFont="1" applyFill="1" applyBorder="1" applyAlignment="1">
      <alignment horizontal="right" vertical="center"/>
    </xf>
    <xf numFmtId="3" fontId="61" fillId="17" borderId="153" xfId="10" applyNumberFormat="1" applyFont="1" applyFill="1" applyBorder="1" applyAlignment="1">
      <alignment horizontal="right" vertical="center"/>
    </xf>
    <xf numFmtId="3" fontId="117" fillId="17" borderId="152" xfId="10" applyNumberFormat="1" applyFont="1" applyFill="1" applyBorder="1" applyAlignment="1">
      <alignment horizontal="right" vertical="center"/>
    </xf>
    <xf numFmtId="3" fontId="61" fillId="17" borderId="154" xfId="10" applyNumberFormat="1" applyFont="1" applyFill="1" applyBorder="1" applyAlignment="1">
      <alignment horizontal="right" vertical="center"/>
    </xf>
    <xf numFmtId="0" fontId="61" fillId="0" borderId="0" xfId="10" applyFont="1" applyAlignment="1">
      <alignment horizontal="center" vertical="center"/>
    </xf>
    <xf numFmtId="0" fontId="61" fillId="0" borderId="0" xfId="10" applyFont="1" applyAlignment="1">
      <alignment horizontal="right" vertical="center"/>
    </xf>
    <xf numFmtId="167" fontId="116" fillId="0" borderId="0" xfId="11" applyNumberFormat="1" applyFont="1" applyFill="1" applyBorder="1" applyAlignment="1">
      <alignment horizontal="center" vertical="center"/>
    </xf>
    <xf numFmtId="167" fontId="61" fillId="0" borderId="0" xfId="12" applyNumberFormat="1" applyFont="1" applyFill="1" applyBorder="1" applyAlignment="1">
      <alignment horizontal="center" vertical="center"/>
    </xf>
    <xf numFmtId="3" fontId="61" fillId="13" borderId="45" xfId="10" applyNumberFormat="1" applyFont="1" applyFill="1" applyBorder="1" applyAlignment="1">
      <alignment horizontal="right" vertical="center"/>
    </xf>
    <xf numFmtId="3" fontId="61" fillId="70" borderId="0" xfId="10" applyNumberFormat="1" applyFont="1" applyFill="1" applyAlignment="1">
      <alignment horizontal="right" vertical="center"/>
    </xf>
    <xf numFmtId="0" fontId="61" fillId="0" borderId="50" xfId="10" applyFont="1" applyBorder="1" applyAlignment="1">
      <alignment vertical="center"/>
    </xf>
    <xf numFmtId="0" fontId="63" fillId="0" borderId="50" xfId="10" applyFont="1" applyBorder="1" applyAlignment="1">
      <alignment vertical="center"/>
    </xf>
    <xf numFmtId="3" fontId="61" fillId="0" borderId="45" xfId="10" applyNumberFormat="1" applyFont="1" applyBorder="1" applyAlignment="1">
      <alignment horizontal="right" vertical="center"/>
    </xf>
    <xf numFmtId="0" fontId="134" fillId="70" borderId="21" xfId="10" applyFont="1" applyFill="1" applyBorder="1" applyAlignment="1">
      <alignment horizontal="center" vertical="center" wrapText="1"/>
    </xf>
    <xf numFmtId="3" fontId="134" fillId="70" borderId="2" xfId="10" applyNumberFormat="1" applyFont="1" applyFill="1" applyBorder="1" applyAlignment="1">
      <alignment vertical="center"/>
    </xf>
    <xf numFmtId="3" fontId="61" fillId="70" borderId="2" xfId="10" applyNumberFormat="1" applyFont="1" applyFill="1" applyBorder="1" applyAlignment="1">
      <alignment vertical="center"/>
    </xf>
    <xf numFmtId="0" fontId="51" fillId="69" borderId="31" xfId="10" applyFont="1" applyFill="1" applyBorder="1" applyAlignment="1">
      <alignment vertical="center"/>
    </xf>
    <xf numFmtId="0" fontId="51" fillId="69" borderId="35" xfId="10" applyFont="1" applyFill="1" applyBorder="1" applyAlignment="1">
      <alignment vertical="center"/>
    </xf>
    <xf numFmtId="0" fontId="51" fillId="69" borderId="37" xfId="10" applyFont="1" applyFill="1" applyBorder="1" applyAlignment="1">
      <alignment vertical="center"/>
    </xf>
    <xf numFmtId="16" fontId="51" fillId="69" borderId="31" xfId="10" applyNumberFormat="1" applyFont="1" applyFill="1" applyBorder="1" applyAlignment="1">
      <alignment vertical="center"/>
    </xf>
    <xf numFmtId="3" fontId="61" fillId="25" borderId="25" xfId="10" applyNumberFormat="1" applyFont="1" applyFill="1" applyBorder="1" applyAlignment="1">
      <alignment horizontal="right" vertical="center"/>
    </xf>
    <xf numFmtId="3" fontId="117" fillId="25" borderId="27" xfId="10" applyNumberFormat="1" applyFont="1" applyFill="1" applyBorder="1" applyAlignment="1">
      <alignment horizontal="right" vertical="center"/>
    </xf>
    <xf numFmtId="167" fontId="55" fillId="0" borderId="0" xfId="11" applyNumberFormat="1" applyFont="1" applyBorder="1"/>
    <xf numFmtId="167" fontId="55" fillId="0" borderId="0" xfId="11" applyNumberFormat="1" applyFont="1" applyFill="1" applyBorder="1"/>
    <xf numFmtId="167" fontId="54" fillId="0" borderId="0" xfId="11" applyNumberFormat="1" applyFont="1" applyFill="1" applyBorder="1"/>
    <xf numFmtId="167" fontId="95" fillId="0" borderId="0" xfId="12" applyNumberFormat="1" applyFont="1" applyFill="1" applyBorder="1"/>
    <xf numFmtId="167" fontId="95" fillId="0" borderId="0" xfId="11" applyNumberFormat="1" applyFont="1" applyFill="1" applyBorder="1"/>
    <xf numFmtId="3" fontId="56" fillId="0" borderId="0" xfId="10" applyNumberFormat="1" applyFont="1" applyAlignment="1">
      <alignment horizontal="right"/>
    </xf>
    <xf numFmtId="167" fontId="54" fillId="0" borderId="0" xfId="11" applyNumberFormat="1" applyFont="1" applyFill="1" applyBorder="1" applyAlignment="1">
      <alignment horizontal="left"/>
    </xf>
    <xf numFmtId="0" fontId="63" fillId="0" borderId="0" xfId="10" applyFont="1" applyAlignment="1">
      <alignment horizontal="right"/>
    </xf>
    <xf numFmtId="0" fontId="133" fillId="0" borderId="0" xfId="10" applyFont="1"/>
    <xf numFmtId="167" fontId="63" fillId="0" borderId="0" xfId="11" applyNumberFormat="1" applyFont="1" applyFill="1" applyBorder="1"/>
    <xf numFmtId="167" fontId="64" fillId="0" borderId="0" xfId="11" applyNumberFormat="1" applyFont="1" applyFill="1" applyBorder="1"/>
    <xf numFmtId="3" fontId="61" fillId="0" borderId="0" xfId="10" applyNumberFormat="1" applyFont="1"/>
    <xf numFmtId="3" fontId="134" fillId="0" borderId="0" xfId="10" applyNumberFormat="1" applyFont="1"/>
    <xf numFmtId="49" fontId="115" fillId="0" borderId="0" xfId="16" applyNumberFormat="1" applyFont="1" applyAlignment="1">
      <alignment wrapText="1"/>
    </xf>
    <xf numFmtId="3" fontId="114" fillId="0" borderId="0" xfId="16" applyNumberFormat="1" applyFont="1"/>
    <xf numFmtId="0" fontId="114" fillId="0" borderId="0" xfId="16" applyFont="1"/>
    <xf numFmtId="0" fontId="270" fillId="0" borderId="0" xfId="16" applyFont="1"/>
    <xf numFmtId="0" fontId="123" fillId="0" borderId="0" xfId="65" applyFont="1"/>
    <xf numFmtId="0" fontId="122" fillId="0" borderId="0" xfId="65" applyFont="1"/>
    <xf numFmtId="3" fontId="61" fillId="0" borderId="30" xfId="10" applyNumberFormat="1" applyFont="1" applyBorder="1"/>
    <xf numFmtId="167" fontId="63" fillId="0" borderId="30" xfId="11" applyNumberFormat="1" applyFont="1" applyFill="1" applyBorder="1"/>
    <xf numFmtId="167" fontId="64" fillId="0" borderId="30" xfId="11" applyNumberFormat="1" applyFont="1" applyFill="1" applyBorder="1"/>
    <xf numFmtId="167" fontId="64" fillId="0" borderId="30" xfId="11" applyNumberFormat="1" applyFont="1" applyBorder="1"/>
    <xf numFmtId="167" fontId="63" fillId="0" borderId="30" xfId="11" applyNumberFormat="1" applyFont="1" applyBorder="1"/>
    <xf numFmtId="167" fontId="65" fillId="0" borderId="30" xfId="12" applyNumberFormat="1" applyFont="1" applyBorder="1"/>
    <xf numFmtId="167" fontId="65" fillId="0" borderId="30" xfId="11" applyNumberFormat="1" applyFont="1" applyBorder="1"/>
    <xf numFmtId="0" fontId="63" fillId="0" borderId="30" xfId="10" applyFont="1" applyBorder="1" applyAlignment="1">
      <alignment horizontal="right"/>
    </xf>
    <xf numFmtId="167" fontId="95" fillId="0" borderId="30" xfId="12" applyNumberFormat="1" applyFont="1" applyFill="1" applyBorder="1"/>
    <xf numFmtId="167" fontId="95" fillId="0" borderId="30" xfId="11" applyNumberFormat="1" applyFont="1" applyFill="1" applyBorder="1"/>
    <xf numFmtId="0" fontId="61" fillId="0" borderId="30" xfId="10" applyFont="1" applyBorder="1" applyAlignment="1">
      <alignment horizontal="right" wrapText="1"/>
    </xf>
    <xf numFmtId="0" fontId="61" fillId="0" borderId="16" xfId="10" applyFont="1" applyBorder="1" applyAlignment="1">
      <alignment horizontal="right" wrapText="1"/>
    </xf>
    <xf numFmtId="3" fontId="61" fillId="0" borderId="85" xfId="10" applyNumberFormat="1" applyFont="1" applyBorder="1"/>
    <xf numFmtId="3" fontId="61" fillId="0" borderId="16" xfId="10" applyNumberFormat="1" applyFont="1" applyBorder="1"/>
    <xf numFmtId="43" fontId="56" fillId="0" borderId="0" xfId="1" applyFont="1" applyAlignment="1">
      <alignment vertical="center"/>
    </xf>
    <xf numFmtId="43" fontId="56" fillId="0" borderId="0" xfId="10" applyNumberFormat="1" applyFont="1" applyAlignment="1">
      <alignment vertical="center"/>
    </xf>
    <xf numFmtId="177" fontId="61" fillId="0" borderId="0" xfId="10" applyNumberFormat="1" applyFont="1" applyAlignment="1">
      <alignment horizontal="right" vertical="center"/>
    </xf>
    <xf numFmtId="169" fontId="63" fillId="0" borderId="0" xfId="2" applyNumberFormat="1" applyFont="1" applyAlignment="1">
      <alignment vertical="center"/>
    </xf>
    <xf numFmtId="0" fontId="56" fillId="0" borderId="0" xfId="10" applyFont="1" applyAlignment="1">
      <alignment wrapText="1"/>
    </xf>
    <xf numFmtId="0" fontId="56" fillId="0" borderId="45" xfId="10" applyFont="1" applyBorder="1" applyAlignment="1">
      <alignment wrapText="1"/>
    </xf>
    <xf numFmtId="0" fontId="115" fillId="0" borderId="0" xfId="10" applyFont="1" applyAlignment="1">
      <alignment horizontal="right"/>
    </xf>
    <xf numFmtId="167" fontId="66" fillId="0" borderId="0" xfId="11" applyNumberFormat="1" applyFont="1" applyFill="1"/>
    <xf numFmtId="167" fontId="56" fillId="0" borderId="0" xfId="11" applyNumberFormat="1" applyFont="1" applyFill="1"/>
    <xf numFmtId="167" fontId="111" fillId="0" borderId="0" xfId="12" applyNumberFormat="1" applyFont="1" applyFill="1"/>
    <xf numFmtId="167" fontId="111" fillId="0" borderId="0" xfId="11" applyNumberFormat="1" applyFont="1" applyFill="1"/>
    <xf numFmtId="168" fontId="56" fillId="0" borderId="0" xfId="14" applyNumberFormat="1" applyFont="1" applyFill="1"/>
    <xf numFmtId="168" fontId="137" fillId="0" borderId="0" xfId="14" applyNumberFormat="1" applyFont="1" applyFill="1"/>
    <xf numFmtId="0" fontId="61" fillId="0" borderId="0" xfId="10" applyFont="1"/>
    <xf numFmtId="0" fontId="115" fillId="0" borderId="0" xfId="10" applyFont="1" applyAlignment="1">
      <alignment horizontal="right" vertical="center"/>
    </xf>
    <xf numFmtId="167" fontId="62" fillId="0" borderId="0" xfId="11" applyNumberFormat="1" applyFont="1" applyFill="1" applyBorder="1" applyAlignment="1">
      <alignment horizontal="center" vertical="center"/>
    </xf>
    <xf numFmtId="167" fontId="110" fillId="0" borderId="0" xfId="12" applyNumberFormat="1" applyFont="1" applyFill="1" applyBorder="1" applyAlignment="1">
      <alignment horizontal="center" vertical="center"/>
    </xf>
    <xf numFmtId="167" fontId="110" fillId="0" borderId="0" xfId="11" applyNumberFormat="1" applyFont="1" applyFill="1" applyBorder="1" applyAlignment="1">
      <alignment horizontal="center" vertical="center"/>
    </xf>
    <xf numFmtId="3" fontId="134" fillId="0" borderId="0" xfId="10" applyNumberFormat="1" applyFont="1" applyAlignment="1">
      <alignment vertical="center"/>
    </xf>
    <xf numFmtId="167" fontId="66" fillId="0" borderId="0" xfId="11" applyNumberFormat="1" applyFont="1" applyFill="1" applyBorder="1"/>
    <xf numFmtId="167" fontId="56" fillId="0" borderId="0" xfId="11" applyNumberFormat="1" applyFont="1" applyFill="1" applyBorder="1"/>
    <xf numFmtId="167" fontId="111" fillId="0" borderId="0" xfId="12" applyNumberFormat="1" applyFont="1" applyFill="1" applyBorder="1"/>
    <xf numFmtId="167" fontId="111" fillId="0" borderId="0" xfId="11" applyNumberFormat="1" applyFont="1" applyFill="1" applyBorder="1"/>
    <xf numFmtId="168" fontId="56" fillId="0" borderId="0" xfId="14" applyNumberFormat="1" applyFont="1" applyFill="1" applyBorder="1"/>
    <xf numFmtId="168" fontId="137" fillId="0" borderId="0" xfId="14" applyNumberFormat="1" applyFont="1" applyFill="1" applyBorder="1"/>
    <xf numFmtId="3" fontId="95" fillId="0" borderId="0" xfId="10" applyNumberFormat="1" applyFont="1"/>
    <xf numFmtId="43" fontId="54" fillId="0" borderId="0" xfId="10" applyNumberFormat="1" applyFont="1"/>
    <xf numFmtId="43" fontId="54" fillId="0" borderId="0" xfId="1" applyFont="1" applyFill="1" applyBorder="1"/>
    <xf numFmtId="167" fontId="54" fillId="0" borderId="0" xfId="1" applyNumberFormat="1" applyFont="1" applyFill="1" applyBorder="1"/>
    <xf numFmtId="3" fontId="66" fillId="0" borderId="0" xfId="10" applyNumberFormat="1" applyFont="1"/>
    <xf numFmtId="0" fontId="63" fillId="0" borderId="85" xfId="10" applyFont="1" applyBorder="1" applyAlignment="1">
      <alignment horizontal="center" vertical="center"/>
    </xf>
    <xf numFmtId="0" fontId="63" fillId="0" borderId="57" xfId="10" applyFont="1" applyBorder="1" applyAlignment="1">
      <alignment horizontal="center" vertical="center"/>
    </xf>
    <xf numFmtId="167" fontId="117" fillId="0" borderId="85" xfId="11" applyNumberFormat="1" applyFont="1" applyFill="1" applyBorder="1" applyAlignment="1">
      <alignment horizontal="center" vertical="center"/>
    </xf>
    <xf numFmtId="167" fontId="110" fillId="0" borderId="85" xfId="11" applyNumberFormat="1" applyFont="1" applyFill="1" applyBorder="1" applyAlignment="1">
      <alignment horizontal="center" vertical="center"/>
    </xf>
    <xf numFmtId="0" fontId="118" fillId="0" borderId="85" xfId="65" applyFont="1" applyBorder="1"/>
    <xf numFmtId="167" fontId="63" fillId="0" borderId="85" xfId="12" applyNumberFormat="1" applyFont="1" applyFill="1" applyBorder="1" applyAlignment="1">
      <alignment horizontal="center" vertical="center"/>
    </xf>
    <xf numFmtId="167" fontId="63" fillId="0" borderId="85" xfId="11" applyNumberFormat="1" applyFont="1" applyFill="1" applyBorder="1" applyAlignment="1">
      <alignment horizontal="center" vertical="center"/>
    </xf>
    <xf numFmtId="3" fontId="117" fillId="0" borderId="40" xfId="10" applyNumberFormat="1" applyFont="1" applyBorder="1" applyAlignment="1">
      <alignment horizontal="right" vertical="center"/>
    </xf>
    <xf numFmtId="0" fontId="94" fillId="57" borderId="31" xfId="10" applyFont="1" applyFill="1" applyBorder="1" applyAlignment="1">
      <alignment vertical="center"/>
    </xf>
    <xf numFmtId="0" fontId="114" fillId="0" borderId="24" xfId="10" applyFont="1" applyBorder="1" applyAlignment="1">
      <alignment vertical="center" wrapText="1"/>
    </xf>
    <xf numFmtId="0" fontId="114" fillId="0" borderId="22" xfId="10" applyFont="1" applyBorder="1" applyAlignment="1">
      <alignment horizontal="center" vertical="center"/>
    </xf>
    <xf numFmtId="14" fontId="114" fillId="0" borderId="32" xfId="10" applyNumberFormat="1" applyFont="1" applyBorder="1" applyAlignment="1">
      <alignment horizontal="center" vertical="center"/>
    </xf>
    <xf numFmtId="0" fontId="114" fillId="0" borderId="57" xfId="10" applyFont="1" applyBorder="1" applyAlignment="1">
      <alignment vertical="center" wrapText="1"/>
    </xf>
    <xf numFmtId="167" fontId="90" fillId="0" borderId="0" xfId="1" applyNumberFormat="1" applyFont="1" applyFill="1"/>
    <xf numFmtId="167" fontId="0" fillId="9" borderId="0" xfId="0" applyNumberFormat="1" applyFill="1"/>
    <xf numFmtId="0" fontId="90" fillId="5" borderId="127" xfId="0" applyFont="1" applyFill="1" applyBorder="1"/>
    <xf numFmtId="0" fontId="38" fillId="6" borderId="90" xfId="43" applyFont="1" applyFill="1" applyBorder="1" applyAlignment="1">
      <alignment horizontal="left" indent="2"/>
    </xf>
    <xf numFmtId="0" fontId="105" fillId="11" borderId="127" xfId="0" applyFont="1" applyFill="1" applyBorder="1" applyAlignment="1">
      <alignment horizontal="center" wrapText="1"/>
    </xf>
    <xf numFmtId="0" fontId="53" fillId="13" borderId="0" xfId="0" applyFont="1" applyFill="1"/>
    <xf numFmtId="164" fontId="53" fillId="13" borderId="0" xfId="0" applyNumberFormat="1" applyFont="1" applyFill="1"/>
    <xf numFmtId="0" fontId="53" fillId="17" borderId="112" xfId="0" applyFont="1" applyFill="1" applyBorder="1" applyAlignment="1">
      <alignment horizontal="right"/>
    </xf>
    <xf numFmtId="0" fontId="250" fillId="58" borderId="0" xfId="0" applyFont="1" applyFill="1"/>
    <xf numFmtId="0" fontId="266" fillId="58" borderId="42" xfId="0" applyFont="1" applyFill="1" applyBorder="1" applyAlignment="1">
      <alignment horizontal="right"/>
    </xf>
    <xf numFmtId="0" fontId="38" fillId="6" borderId="122" xfId="43" applyFont="1" applyFill="1" applyBorder="1" applyAlignment="1">
      <alignment horizontal="left" wrapText="1" indent="3"/>
    </xf>
    <xf numFmtId="3" fontId="40" fillId="0" borderId="89" xfId="43" applyNumberFormat="1" applyFont="1" applyBorder="1"/>
    <xf numFmtId="0" fontId="38" fillId="0" borderId="122" xfId="43" applyFont="1" applyBorder="1" applyAlignment="1">
      <alignment horizontal="left" wrapText="1" indent="3"/>
    </xf>
    <xf numFmtId="43" fontId="90" fillId="0" borderId="0" xfId="1" applyFont="1" applyFill="1" applyAlignment="1">
      <alignment wrapText="1"/>
    </xf>
    <xf numFmtId="3" fontId="40" fillId="0" borderId="93" xfId="43" applyNumberFormat="1" applyFont="1" applyBorder="1"/>
    <xf numFmtId="167" fontId="90" fillId="9" borderId="127" xfId="1" applyNumberFormat="1" applyFont="1" applyFill="1" applyBorder="1"/>
    <xf numFmtId="167" fontId="125" fillId="0" borderId="0" xfId="1" applyNumberFormat="1" applyFont="1"/>
    <xf numFmtId="167" fontId="90" fillId="7" borderId="127" xfId="1" applyNumberFormat="1" applyFont="1" applyFill="1" applyBorder="1"/>
    <xf numFmtId="167" fontId="271" fillId="0" borderId="0" xfId="1" applyNumberFormat="1" applyFont="1" applyFill="1"/>
    <xf numFmtId="167" fontId="105" fillId="21" borderId="0" xfId="1" applyNumberFormat="1" applyFont="1" applyFill="1"/>
    <xf numFmtId="0" fontId="105" fillId="21" borderId="0" xfId="0" applyFont="1" applyFill="1"/>
    <xf numFmtId="167" fontId="90" fillId="21" borderId="0" xfId="1" applyNumberFormat="1" applyFont="1" applyFill="1"/>
    <xf numFmtId="0" fontId="90" fillId="21" borderId="0" xfId="0" applyFont="1" applyFill="1"/>
    <xf numFmtId="167" fontId="105" fillId="21" borderId="0" xfId="0" applyNumberFormat="1" applyFont="1" applyFill="1"/>
    <xf numFmtId="0" fontId="90" fillId="21" borderId="0" xfId="0" applyFont="1" applyFill="1" applyAlignment="1">
      <alignment wrapText="1"/>
    </xf>
    <xf numFmtId="0" fontId="272" fillId="0" borderId="48" xfId="0" applyFont="1" applyBorder="1"/>
    <xf numFmtId="167" fontId="272" fillId="0" borderId="45" xfId="1" applyNumberFormat="1" applyFont="1" applyBorder="1"/>
    <xf numFmtId="3" fontId="0" fillId="0" borderId="45" xfId="0" applyNumberFormat="1" applyBorder="1"/>
    <xf numFmtId="167" fontId="0" fillId="0" borderId="45" xfId="0" applyNumberFormat="1" applyBorder="1"/>
    <xf numFmtId="0" fontId="0" fillId="0" borderId="45" xfId="0" applyBorder="1"/>
    <xf numFmtId="0" fontId="0" fillId="0" borderId="49" xfId="0" applyBorder="1"/>
    <xf numFmtId="0" fontId="272" fillId="0" borderId="50" xfId="0" applyFont="1" applyBorder="1"/>
    <xf numFmtId="0" fontId="272" fillId="0" borderId="0" xfId="0" applyFont="1"/>
    <xf numFmtId="167" fontId="272" fillId="0" borderId="0" xfId="1" applyNumberFormat="1" applyFont="1" applyBorder="1"/>
    <xf numFmtId="167" fontId="272" fillId="0" borderId="0" xfId="1" applyNumberFormat="1" applyFont="1" applyFill="1" applyBorder="1"/>
    <xf numFmtId="0" fontId="0" fillId="0" borderId="44" xfId="0" applyBorder="1"/>
    <xf numFmtId="0" fontId="272" fillId="0" borderId="28" xfId="0" applyFont="1" applyBorder="1"/>
    <xf numFmtId="0" fontId="272" fillId="0" borderId="30" xfId="0" applyFont="1" applyBorder="1"/>
    <xf numFmtId="167" fontId="0" fillId="0" borderId="30" xfId="0" applyNumberFormat="1" applyBorder="1"/>
    <xf numFmtId="0" fontId="0" fillId="0" borderId="17" xfId="0" applyBorder="1"/>
    <xf numFmtId="173" fontId="0" fillId="0" borderId="0" xfId="1" applyNumberFormat="1" applyFont="1"/>
    <xf numFmtId="167" fontId="90" fillId="21" borderId="127" xfId="1" applyNumberFormat="1" applyFont="1" applyFill="1" applyBorder="1"/>
    <xf numFmtId="43" fontId="39" fillId="3" borderId="11" xfId="1" quotePrefix="1" applyFont="1" applyFill="1" applyBorder="1"/>
    <xf numFmtId="167" fontId="273" fillId="0" borderId="0" xfId="1" applyNumberFormat="1" applyFont="1" applyBorder="1"/>
    <xf numFmtId="167" fontId="273" fillId="0" borderId="0" xfId="1" applyNumberFormat="1" applyFont="1" applyFill="1" applyBorder="1"/>
    <xf numFmtId="167" fontId="273" fillId="0" borderId="0" xfId="1" applyNumberFormat="1" applyFont="1" applyFill="1" applyBorder="1" applyAlignment="1">
      <alignment horizontal="left"/>
    </xf>
    <xf numFmtId="167" fontId="274" fillId="0" borderId="0" xfId="1" applyNumberFormat="1" applyFont="1" applyBorder="1"/>
    <xf numFmtId="167" fontId="274" fillId="0" borderId="30" xfId="1" applyNumberFormat="1" applyFont="1" applyBorder="1"/>
    <xf numFmtId="167" fontId="273" fillId="0" borderId="30" xfId="1" applyNumberFormat="1" applyFont="1" applyFill="1" applyBorder="1" applyAlignment="1">
      <alignment horizontal="left"/>
    </xf>
    <xf numFmtId="3" fontId="275" fillId="0" borderId="73" xfId="3" applyNumberFormat="1" applyFont="1" applyBorder="1"/>
    <xf numFmtId="167" fontId="90" fillId="0" borderId="0" xfId="1" applyNumberFormat="1" applyFont="1" applyAlignment="1">
      <alignment wrapText="1"/>
    </xf>
    <xf numFmtId="9" fontId="272" fillId="0" borderId="45" xfId="0" applyNumberFormat="1" applyFont="1" applyBorder="1" applyAlignment="1">
      <alignment horizontal="left"/>
    </xf>
    <xf numFmtId="9" fontId="272" fillId="0" borderId="0" xfId="0" applyNumberFormat="1" applyFont="1" applyAlignment="1">
      <alignment horizontal="left"/>
    </xf>
    <xf numFmtId="167" fontId="276" fillId="0" borderId="0" xfId="1" quotePrefix="1" applyNumberFormat="1" applyFont="1"/>
    <xf numFmtId="167" fontId="97" fillId="0" borderId="139" xfId="0" applyNumberFormat="1" applyFont="1" applyBorder="1"/>
    <xf numFmtId="167" fontId="178" fillId="0" borderId="139" xfId="0" applyNumberFormat="1" applyFont="1" applyBorder="1"/>
    <xf numFmtId="167" fontId="180" fillId="0" borderId="0" xfId="0" applyNumberFormat="1" applyFont="1"/>
    <xf numFmtId="3" fontId="276" fillId="0" borderId="0" xfId="0" quotePrefix="1" applyNumberFormat="1" applyFont="1"/>
    <xf numFmtId="0" fontId="276" fillId="0" borderId="0" xfId="0" quotePrefix="1" applyFont="1"/>
    <xf numFmtId="0" fontId="277" fillId="0" borderId="0" xfId="0" quotePrefix="1" applyFont="1"/>
    <xf numFmtId="167" fontId="278" fillId="0" borderId="0" xfId="1" quotePrefix="1" applyNumberFormat="1" applyFont="1"/>
    <xf numFmtId="0" fontId="279" fillId="0" borderId="0" xfId="0" quotePrefix="1" applyFont="1"/>
    <xf numFmtId="167" fontId="279" fillId="0" borderId="0" xfId="1" quotePrefix="1" applyNumberFormat="1" applyFont="1"/>
    <xf numFmtId="3" fontId="189" fillId="0" borderId="0" xfId="0" applyNumberFormat="1" applyFont="1"/>
    <xf numFmtId="43" fontId="187" fillId="5" borderId="73" xfId="1" applyFont="1" applyFill="1" applyBorder="1"/>
    <xf numFmtId="49" fontId="187" fillId="5" borderId="55" xfId="43" applyNumberFormat="1" applyFont="1" applyFill="1" applyBorder="1" applyAlignment="1">
      <alignment horizontal="right" wrapText="1" indent="2"/>
    </xf>
    <xf numFmtId="3" fontId="187" fillId="5" borderId="54" xfId="43" applyNumberFormat="1" applyFont="1" applyFill="1" applyBorder="1"/>
    <xf numFmtId="43" fontId="187" fillId="5" borderId="54" xfId="1" applyFont="1" applyFill="1" applyBorder="1"/>
    <xf numFmtId="0" fontId="164" fillId="0" borderId="0" xfId="0" applyFont="1" applyAlignment="1">
      <alignment wrapText="1"/>
    </xf>
    <xf numFmtId="49" fontId="187" fillId="5" borderId="114" xfId="43" applyNumberFormat="1" applyFont="1" applyFill="1" applyBorder="1" applyAlignment="1">
      <alignment horizontal="right" wrapText="1" indent="2"/>
    </xf>
    <xf numFmtId="167" fontId="279" fillId="0" borderId="0" xfId="1" quotePrefix="1" applyNumberFormat="1" applyFont="1" applyFill="1"/>
    <xf numFmtId="49" fontId="187" fillId="0" borderId="52" xfId="43" applyNumberFormat="1" applyFont="1" applyBorder="1" applyAlignment="1">
      <alignment horizontal="left" indent="1"/>
    </xf>
    <xf numFmtId="49" fontId="187" fillId="0" borderId="114" xfId="43" applyNumberFormat="1" applyFont="1" applyBorder="1" applyAlignment="1">
      <alignment horizontal="right" wrapText="1" indent="2"/>
    </xf>
    <xf numFmtId="9" fontId="187" fillId="0" borderId="11" xfId="2" applyFont="1" applyFill="1" applyBorder="1" applyAlignment="1">
      <alignment horizontal="right"/>
    </xf>
    <xf numFmtId="43" fontId="187" fillId="0" borderId="89" xfId="1" applyFont="1" applyFill="1" applyBorder="1"/>
    <xf numFmtId="49" fontId="187" fillId="5" borderId="79" xfId="43" applyNumberFormat="1" applyFont="1" applyFill="1" applyBorder="1" applyAlignment="1">
      <alignment horizontal="right" wrapText="1" indent="2"/>
    </xf>
    <xf numFmtId="0" fontId="187" fillId="5" borderId="47" xfId="43" applyFont="1" applyFill="1" applyBorder="1" applyAlignment="1">
      <alignment horizontal="left" indent="3"/>
    </xf>
    <xf numFmtId="43" fontId="187" fillId="5" borderId="89" xfId="1" applyFont="1" applyFill="1" applyBorder="1" applyAlignment="1">
      <alignment wrapText="1"/>
    </xf>
    <xf numFmtId="3" fontId="49" fillId="0" borderId="11" xfId="3" applyNumberFormat="1" applyFont="1" applyBorder="1"/>
    <xf numFmtId="49" fontId="280" fillId="5" borderId="52" xfId="43" applyNumberFormat="1" applyFont="1" applyFill="1" applyBorder="1" applyAlignment="1">
      <alignment horizontal="left" indent="1"/>
    </xf>
    <xf numFmtId="49" fontId="280" fillId="5" borderId="53" xfId="43" applyNumberFormat="1" applyFont="1" applyFill="1" applyBorder="1" applyAlignment="1">
      <alignment horizontal="right" wrapText="1" indent="2"/>
    </xf>
    <xf numFmtId="3" fontId="280" fillId="5" borderId="11" xfId="43" applyNumberFormat="1" applyFont="1" applyFill="1" applyBorder="1"/>
    <xf numFmtId="9" fontId="280" fillId="5" borderId="11" xfId="2" applyFont="1" applyFill="1" applyBorder="1" applyAlignment="1">
      <alignment horizontal="right"/>
    </xf>
    <xf numFmtId="43" fontId="280" fillId="5" borderId="11" xfId="1" applyFont="1" applyFill="1" applyBorder="1"/>
    <xf numFmtId="0" fontId="281" fillId="0" borderId="0" xfId="0" applyFont="1" applyAlignment="1">
      <alignment wrapText="1"/>
    </xf>
    <xf numFmtId="0" fontId="281" fillId="0" borderId="0" xfId="0" applyFont="1"/>
    <xf numFmtId="0" fontId="281" fillId="5" borderId="0" xfId="0" applyFont="1" applyFill="1"/>
    <xf numFmtId="0" fontId="282" fillId="0" borderId="0" xfId="0" quotePrefix="1" applyFont="1"/>
    <xf numFmtId="167" fontId="282" fillId="0" borderId="0" xfId="1" quotePrefix="1" applyNumberFormat="1" applyFont="1"/>
    <xf numFmtId="3" fontId="280" fillId="5" borderId="11" xfId="3" applyNumberFormat="1" applyFont="1" applyFill="1" applyBorder="1"/>
    <xf numFmtId="3" fontId="281" fillId="0" borderId="0" xfId="0" applyNumberFormat="1" applyFont="1"/>
    <xf numFmtId="49" fontId="280" fillId="5" borderId="9" xfId="43" applyNumberFormat="1" applyFont="1" applyFill="1" applyBorder="1" applyAlignment="1">
      <alignment horizontal="left" indent="1"/>
    </xf>
    <xf numFmtId="49" fontId="280" fillId="5" borderId="10" xfId="43" applyNumberFormat="1" applyFont="1" applyFill="1" applyBorder="1" applyAlignment="1">
      <alignment horizontal="right" wrapText="1" indent="2"/>
    </xf>
    <xf numFmtId="49" fontId="126" fillId="4" borderId="9" xfId="43" applyNumberFormat="1" applyFont="1" applyFill="1" applyBorder="1"/>
    <xf numFmtId="49" fontId="126" fillId="4" borderId="10" xfId="43" applyNumberFormat="1" applyFont="1" applyFill="1" applyBorder="1" applyAlignment="1">
      <alignment wrapText="1"/>
    </xf>
    <xf numFmtId="3" fontId="126" fillId="4" borderId="11" xfId="3" applyNumberFormat="1" applyFont="1" applyFill="1" applyBorder="1"/>
    <xf numFmtId="9" fontId="126" fillId="4" borderId="11" xfId="2" applyFont="1" applyFill="1" applyBorder="1" applyAlignment="1">
      <alignment horizontal="right"/>
    </xf>
    <xf numFmtId="167" fontId="126" fillId="4" borderId="11" xfId="1" applyNumberFormat="1" applyFont="1" applyFill="1" applyBorder="1"/>
    <xf numFmtId="49" fontId="188" fillId="5" borderId="9" xfId="43" applyNumberFormat="1" applyFont="1" applyFill="1" applyBorder="1" applyAlignment="1">
      <alignment horizontal="left" indent="1"/>
    </xf>
    <xf numFmtId="49" fontId="188" fillId="0" borderId="10" xfId="43" applyNumberFormat="1" applyFont="1" applyBorder="1" applyAlignment="1">
      <alignment horizontal="right" wrapText="1" indent="2"/>
    </xf>
    <xf numFmtId="3" fontId="188" fillId="0" borderId="11" xfId="3" applyNumberFormat="1" applyFont="1" applyBorder="1"/>
    <xf numFmtId="3" fontId="188" fillId="0" borderId="11" xfId="43" applyNumberFormat="1" applyFont="1" applyBorder="1"/>
    <xf numFmtId="9" fontId="188" fillId="0" borderId="11" xfId="2" applyFont="1" applyBorder="1" applyAlignment="1">
      <alignment horizontal="right"/>
    </xf>
    <xf numFmtId="167" fontId="188" fillId="5" borderId="11" xfId="1" applyNumberFormat="1" applyFont="1" applyFill="1" applyBorder="1"/>
    <xf numFmtId="167" fontId="187" fillId="5" borderId="11" xfId="1" applyNumberFormat="1" applyFont="1" applyFill="1" applyBorder="1"/>
    <xf numFmtId="49" fontId="187" fillId="5" borderId="72" xfId="43" applyNumberFormat="1" applyFont="1" applyFill="1" applyBorder="1" applyAlignment="1">
      <alignment horizontal="left" indent="1"/>
    </xf>
    <xf numFmtId="9" fontId="187" fillId="0" borderId="73" xfId="2" applyFont="1" applyBorder="1" applyAlignment="1">
      <alignment horizontal="right"/>
    </xf>
    <xf numFmtId="167" fontId="187" fillId="5" borderId="73" xfId="1" applyNumberFormat="1" applyFont="1" applyFill="1" applyBorder="1"/>
    <xf numFmtId="49" fontId="166" fillId="0" borderId="9" xfId="43" applyNumberFormat="1" applyFont="1" applyBorder="1" applyAlignment="1">
      <alignment horizontal="left" indent="2"/>
    </xf>
    <xf numFmtId="3" fontId="166" fillId="6" borderId="54" xfId="43" applyNumberFormat="1" applyFont="1" applyFill="1" applyBorder="1"/>
    <xf numFmtId="9" fontId="166" fillId="6" borderId="54" xfId="2" applyFont="1" applyFill="1" applyBorder="1" applyAlignment="1">
      <alignment horizontal="right"/>
    </xf>
    <xf numFmtId="167" fontId="166" fillId="6" borderId="54" xfId="1" applyNumberFormat="1" applyFont="1" applyFill="1" applyBorder="1"/>
    <xf numFmtId="49" fontId="187" fillId="5" borderId="90" xfId="43" applyNumberFormat="1" applyFont="1" applyFill="1" applyBorder="1" applyAlignment="1">
      <alignment horizontal="left" indent="1"/>
    </xf>
    <xf numFmtId="167" fontId="166" fillId="5" borderId="89" xfId="1" applyNumberFormat="1" applyFont="1" applyFill="1" applyBorder="1"/>
    <xf numFmtId="167" fontId="187" fillId="5" borderId="87" xfId="1" applyNumberFormat="1" applyFont="1" applyFill="1" applyBorder="1"/>
    <xf numFmtId="167" fontId="187" fillId="5" borderId="89" xfId="1" applyNumberFormat="1" applyFont="1" applyFill="1" applyBorder="1"/>
    <xf numFmtId="3" fontId="187" fillId="0" borderId="87" xfId="43" applyNumberFormat="1" applyFont="1" applyBorder="1"/>
    <xf numFmtId="9" fontId="187" fillId="0" borderId="87" xfId="2" applyFont="1" applyBorder="1" applyAlignment="1">
      <alignment horizontal="right"/>
    </xf>
    <xf numFmtId="3" fontId="187" fillId="0" borderId="89" xfId="43" applyNumberFormat="1" applyFont="1" applyBorder="1"/>
    <xf numFmtId="9" fontId="187" fillId="0" borderId="89" xfId="2" applyFont="1" applyBorder="1" applyAlignment="1">
      <alignment horizontal="right"/>
    </xf>
    <xf numFmtId="3" fontId="187" fillId="5" borderId="89" xfId="43" applyNumberFormat="1" applyFont="1" applyFill="1" applyBorder="1"/>
    <xf numFmtId="9" fontId="187" fillId="5" borderId="89" xfId="2" applyFont="1" applyFill="1" applyBorder="1" applyAlignment="1">
      <alignment horizontal="right"/>
    </xf>
    <xf numFmtId="0" fontId="90" fillId="0" borderId="0" xfId="0" applyFont="1" applyAlignment="1">
      <alignment horizontal="center" wrapText="1"/>
    </xf>
    <xf numFmtId="167" fontId="90" fillId="0" borderId="127" xfId="0" applyNumberFormat="1" applyFont="1" applyBorder="1" applyAlignment="1">
      <alignment horizontal="center" wrapText="1"/>
    </xf>
    <xf numFmtId="167" fontId="105" fillId="11" borderId="127" xfId="1" applyNumberFormat="1" applyFont="1" applyFill="1" applyBorder="1"/>
    <xf numFmtId="167" fontId="105" fillId="0" borderId="0" xfId="1" applyNumberFormat="1" applyFont="1" applyFill="1" applyBorder="1"/>
    <xf numFmtId="167" fontId="90" fillId="0" borderId="0" xfId="1" applyNumberFormat="1" applyFont="1" applyBorder="1"/>
    <xf numFmtId="0" fontId="105" fillId="0" borderId="0" xfId="0" applyFont="1" applyAlignment="1">
      <alignment horizontal="center" wrapText="1"/>
    </xf>
    <xf numFmtId="167" fontId="90" fillId="0" borderId="127" xfId="1" applyNumberFormat="1" applyFont="1" applyBorder="1" applyAlignment="1">
      <alignment wrapText="1"/>
    </xf>
    <xf numFmtId="167" fontId="90" fillId="0" borderId="0" xfId="1" applyNumberFormat="1" applyFont="1" applyFill="1" applyBorder="1" applyAlignment="1">
      <alignment wrapText="1"/>
    </xf>
    <xf numFmtId="167" fontId="90" fillId="10" borderId="127" xfId="1" applyNumberFormat="1" applyFont="1" applyFill="1" applyBorder="1"/>
    <xf numFmtId="167" fontId="90" fillId="0" borderId="0" xfId="1" applyNumberFormat="1" applyFont="1" applyFill="1" applyBorder="1" applyAlignment="1">
      <alignment horizontal="center"/>
    </xf>
    <xf numFmtId="167" fontId="263" fillId="20" borderId="127" xfId="1" applyNumberFormat="1" applyFont="1" applyFill="1" applyBorder="1"/>
    <xf numFmtId="167" fontId="263" fillId="0" borderId="0" xfId="1" applyNumberFormat="1" applyFont="1" applyFill="1" applyBorder="1"/>
    <xf numFmtId="167" fontId="90" fillId="20" borderId="127" xfId="1" applyNumberFormat="1" applyFont="1" applyFill="1" applyBorder="1"/>
    <xf numFmtId="167" fontId="105" fillId="11" borderId="127" xfId="1" applyNumberFormat="1" applyFont="1" applyFill="1" applyBorder="1" applyAlignment="1">
      <alignment horizontal="center" wrapText="1"/>
    </xf>
    <xf numFmtId="167" fontId="90" fillId="0" borderId="0" xfId="1" applyNumberFormat="1" applyFont="1" applyFill="1" applyBorder="1" applyAlignment="1">
      <alignment horizontal="center" wrapText="1"/>
    </xf>
    <xf numFmtId="167" fontId="90" fillId="0" borderId="127" xfId="1" applyNumberFormat="1" applyFont="1" applyFill="1" applyBorder="1" applyAlignment="1">
      <alignment wrapText="1"/>
    </xf>
    <xf numFmtId="167" fontId="90" fillId="17" borderId="127" xfId="1" applyNumberFormat="1" applyFont="1" applyFill="1" applyBorder="1"/>
    <xf numFmtId="167" fontId="105" fillId="11" borderId="127" xfId="0" applyNumberFormat="1" applyFont="1" applyFill="1" applyBorder="1"/>
    <xf numFmtId="49" fontId="84" fillId="0" borderId="127" xfId="0" applyNumberFormat="1" applyFont="1" applyBorder="1" applyAlignment="1">
      <alignment horizontal="left"/>
    </xf>
    <xf numFmtId="0" fontId="0" fillId="0" borderId="127" xfId="0" quotePrefix="1" applyBorder="1" applyAlignment="1">
      <alignment horizontal="left"/>
    </xf>
    <xf numFmtId="49" fontId="0" fillId="0" borderId="127" xfId="0" quotePrefix="1" applyNumberFormat="1" applyBorder="1" applyAlignment="1">
      <alignment horizontal="left"/>
    </xf>
    <xf numFmtId="0" fontId="0" fillId="0" borderId="122" xfId="0" applyBorder="1"/>
    <xf numFmtId="0" fontId="0" fillId="0" borderId="122" xfId="0" applyBorder="1" applyAlignment="1">
      <alignment wrapText="1"/>
    </xf>
    <xf numFmtId="49" fontId="90" fillId="0" borderId="42" xfId="0" applyNumberFormat="1" applyFont="1" applyBorder="1" applyAlignment="1">
      <alignment wrapText="1"/>
    </xf>
    <xf numFmtId="43" fontId="0" fillId="0" borderId="122" xfId="1" applyFont="1" applyBorder="1"/>
    <xf numFmtId="43" fontId="53" fillId="0" borderId="122" xfId="1" applyFont="1" applyBorder="1"/>
    <xf numFmtId="0" fontId="53" fillId="0" borderId="122" xfId="0" applyFont="1" applyBorder="1"/>
    <xf numFmtId="167" fontId="53" fillId="0" borderId="0" xfId="1" applyNumberFormat="1" applyFont="1" applyAlignment="1">
      <alignment vertical="center" wrapText="1"/>
    </xf>
    <xf numFmtId="167" fontId="53" fillId="11" borderId="127" xfId="1" applyNumberFormat="1" applyFont="1" applyFill="1" applyBorder="1" applyAlignment="1">
      <alignment horizontal="center" wrapText="1"/>
    </xf>
    <xf numFmtId="167" fontId="90" fillId="0" borderId="127" xfId="1" applyNumberFormat="1" applyFont="1" applyBorder="1" applyAlignment="1">
      <alignment horizontal="center" wrapText="1"/>
    </xf>
    <xf numFmtId="173" fontId="90" fillId="0" borderId="0" xfId="1" applyNumberFormat="1" applyFont="1"/>
    <xf numFmtId="173" fontId="0" fillId="0" borderId="123" xfId="1" applyNumberFormat="1" applyFont="1" applyBorder="1"/>
    <xf numFmtId="173" fontId="0" fillId="67" borderId="0" xfId="1" applyNumberFormat="1" applyFont="1" applyFill="1"/>
    <xf numFmtId="173" fontId="0" fillId="15" borderId="0" xfId="1" applyNumberFormat="1" applyFont="1" applyFill="1"/>
    <xf numFmtId="173" fontId="84" fillId="22" borderId="123" xfId="1" applyNumberFormat="1" applyFont="1" applyFill="1" applyBorder="1"/>
    <xf numFmtId="173" fontId="0" fillId="17" borderId="0" xfId="1" applyNumberFormat="1" applyFont="1" applyFill="1"/>
    <xf numFmtId="173" fontId="250" fillId="58" borderId="0" xfId="1" applyNumberFormat="1" applyFont="1" applyFill="1"/>
    <xf numFmtId="0" fontId="53" fillId="0" borderId="0" xfId="0" applyFont="1" applyAlignment="1">
      <alignment horizontal="right"/>
    </xf>
    <xf numFmtId="167" fontId="90" fillId="18" borderId="127" xfId="1" applyNumberFormat="1" applyFont="1" applyFill="1" applyBorder="1" applyAlignment="1">
      <alignment wrapText="1"/>
    </xf>
    <xf numFmtId="167" fontId="90" fillId="18" borderId="127" xfId="1" applyNumberFormat="1" applyFont="1" applyFill="1" applyBorder="1"/>
    <xf numFmtId="0" fontId="0" fillId="18" borderId="127" xfId="0" applyFill="1" applyBorder="1" applyAlignment="1">
      <alignment wrapText="1"/>
    </xf>
    <xf numFmtId="0" fontId="32" fillId="0" borderId="0" xfId="43"/>
    <xf numFmtId="3" fontId="38" fillId="0" borderId="94" xfId="43" applyNumberFormat="1" applyFont="1" applyBorder="1" applyAlignment="1">
      <alignment horizontal="right" vertical="center"/>
    </xf>
    <xf numFmtId="3" fontId="38" fillId="0" borderId="43" xfId="43" applyNumberFormat="1" applyFont="1" applyBorder="1" applyAlignment="1">
      <alignment horizontal="right" vertical="center"/>
    </xf>
    <xf numFmtId="9" fontId="38" fillId="0" borderId="94" xfId="2" applyFont="1" applyBorder="1" applyAlignment="1">
      <alignment horizontal="right" vertical="center"/>
    </xf>
    <xf numFmtId="9" fontId="38" fillId="0" borderId="43" xfId="2" applyFont="1" applyBorder="1" applyAlignment="1">
      <alignment horizontal="right" vertical="center"/>
    </xf>
    <xf numFmtId="0" fontId="105" fillId="11" borderId="127" xfId="0" applyFont="1" applyFill="1" applyBorder="1" applyAlignment="1">
      <alignment horizontal="center"/>
    </xf>
    <xf numFmtId="0" fontId="53" fillId="11" borderId="127" xfId="0" applyFont="1" applyFill="1" applyBorder="1" applyAlignment="1">
      <alignment horizontal="center" wrapText="1"/>
    </xf>
    <xf numFmtId="0" fontId="53" fillId="11" borderId="155" xfId="0" applyFont="1" applyFill="1" applyBorder="1" applyAlignment="1">
      <alignment horizontal="center" wrapText="1"/>
    </xf>
    <xf numFmtId="0" fontId="53" fillId="11" borderId="156" xfId="0" applyFont="1" applyFill="1" applyBorder="1" applyAlignment="1">
      <alignment horizontal="center" wrapText="1"/>
    </xf>
    <xf numFmtId="0" fontId="105" fillId="11" borderId="127" xfId="0" applyFont="1" applyFill="1" applyBorder="1" applyAlignment="1">
      <alignment horizontal="center" wrapText="1"/>
    </xf>
    <xf numFmtId="167" fontId="90" fillId="0" borderId="155" xfId="1" applyNumberFormat="1" applyFont="1" applyFill="1" applyBorder="1" applyAlignment="1">
      <alignment horizontal="center"/>
    </xf>
    <xf numFmtId="167" fontId="90" fillId="0" borderId="156" xfId="1" applyNumberFormat="1" applyFont="1" applyFill="1" applyBorder="1" applyAlignment="1">
      <alignment horizontal="center"/>
    </xf>
    <xf numFmtId="0" fontId="53" fillId="11" borderId="127" xfId="0" applyFont="1" applyFill="1" applyBorder="1" applyAlignment="1">
      <alignment horizontal="center"/>
    </xf>
    <xf numFmtId="167" fontId="90" fillId="0" borderId="155" xfId="1" applyNumberFormat="1" applyFont="1" applyBorder="1" applyAlignment="1">
      <alignment horizontal="center"/>
    </xf>
    <xf numFmtId="167" fontId="90" fillId="0" borderId="156" xfId="1" applyNumberFormat="1" applyFont="1" applyBorder="1" applyAlignment="1">
      <alignment horizontal="center"/>
    </xf>
    <xf numFmtId="0" fontId="0" fillId="0" borderId="130" xfId="0" applyBorder="1" applyAlignment="1">
      <alignment horizontal="center" wrapText="1"/>
    </xf>
    <xf numFmtId="0" fontId="0" fillId="0" borderId="133" xfId="0" applyBorder="1" applyAlignment="1">
      <alignment horizontal="center" wrapText="1"/>
    </xf>
    <xf numFmtId="0" fontId="0" fillId="0" borderId="135" xfId="0" applyBorder="1" applyAlignment="1">
      <alignment horizontal="center" wrapText="1"/>
    </xf>
    <xf numFmtId="167" fontId="90" fillId="0" borderId="127" xfId="1" applyNumberFormat="1" applyFont="1" applyBorder="1" applyAlignment="1">
      <alignment horizontal="center"/>
    </xf>
    <xf numFmtId="0" fontId="63" fillId="0" borderId="24" xfId="7" applyFont="1" applyBorder="1" applyAlignment="1">
      <alignment horizontal="left" vertical="center" wrapText="1"/>
    </xf>
    <xf numFmtId="0" fontId="63" fillId="0" borderId="26" xfId="7" applyFont="1" applyBorder="1" applyAlignment="1">
      <alignment horizontal="left" vertical="center" wrapText="1"/>
    </xf>
    <xf numFmtId="0" fontId="63" fillId="0" borderId="57" xfId="7" applyFont="1" applyBorder="1" applyAlignment="1">
      <alignment horizontal="center" vertical="center" wrapText="1"/>
    </xf>
    <xf numFmtId="0" fontId="63" fillId="0" borderId="26" xfId="7" applyFont="1" applyBorder="1" applyAlignment="1">
      <alignment horizontal="center" vertical="center" wrapText="1"/>
    </xf>
    <xf numFmtId="14" fontId="63" fillId="0" borderId="24" xfId="28" applyNumberFormat="1" applyFont="1" applyBorder="1" applyAlignment="1">
      <alignment horizontal="center" vertical="center" wrapText="1"/>
    </xf>
    <xf numFmtId="14" fontId="63" fillId="0" borderId="26" xfId="28" applyNumberFormat="1" applyFont="1" applyBorder="1" applyAlignment="1">
      <alignment horizontal="center" vertical="center" wrapText="1"/>
    </xf>
    <xf numFmtId="0" fontId="63" fillId="0" borderId="24" xfId="28" applyFont="1" applyBorder="1" applyAlignment="1">
      <alignment horizontal="center" vertical="center" wrapText="1"/>
    </xf>
    <xf numFmtId="0" fontId="44" fillId="0" borderId="26" xfId="28" applyBorder="1" applyAlignment="1">
      <alignment horizontal="center" vertical="center" wrapText="1"/>
    </xf>
    <xf numFmtId="167" fontId="61" fillId="0" borderId="24" xfId="1" applyNumberFormat="1" applyFont="1" applyFill="1" applyBorder="1" applyAlignment="1">
      <alignment horizontal="center" vertical="center" wrapText="1"/>
    </xf>
    <xf numFmtId="167" fontId="61" fillId="0" borderId="26" xfId="1" applyNumberFormat="1" applyFont="1" applyFill="1" applyBorder="1" applyAlignment="1">
      <alignment horizontal="center" vertical="center" wrapText="1"/>
    </xf>
    <xf numFmtId="0" fontId="63" fillId="0" borderId="24" xfId="7" applyFont="1" applyBorder="1" applyAlignment="1">
      <alignment horizontal="center" vertical="center" wrapText="1"/>
    </xf>
    <xf numFmtId="0" fontId="63" fillId="0" borderId="26" xfId="28" applyFont="1" applyBorder="1" applyAlignment="1">
      <alignment horizontal="center" vertical="center" wrapText="1"/>
    </xf>
    <xf numFmtId="0" fontId="63" fillId="0" borderId="24" xfId="28" applyFont="1" applyBorder="1" applyAlignment="1">
      <alignment horizontal="left" vertical="center" wrapText="1"/>
    </xf>
    <xf numFmtId="0" fontId="47" fillId="0" borderId="26" xfId="28" applyFont="1" applyBorder="1" applyAlignment="1">
      <alignment horizontal="left" vertical="center" wrapText="1"/>
    </xf>
    <xf numFmtId="0" fontId="47" fillId="0" borderId="26" xfId="7" applyFont="1" applyBorder="1" applyAlignment="1">
      <alignment horizontal="left" vertical="center" wrapText="1"/>
    </xf>
    <xf numFmtId="0" fontId="61" fillId="0" borderId="4" xfId="10" applyFont="1" applyBorder="1" applyAlignment="1">
      <alignment horizontal="center" vertical="center" wrapText="1"/>
    </xf>
    <xf numFmtId="0" fontId="61" fillId="0" borderId="14" xfId="10" applyFont="1" applyBorder="1" applyAlignment="1">
      <alignment horizontal="center" vertical="center" wrapText="1"/>
    </xf>
    <xf numFmtId="0" fontId="63" fillId="0" borderId="26" xfId="28" applyFont="1" applyBorder="1" applyAlignment="1">
      <alignment horizontal="left" vertical="center" wrapText="1"/>
    </xf>
    <xf numFmtId="0" fontId="63" fillId="0" borderId="57" xfId="28" applyFont="1" applyBorder="1" applyAlignment="1">
      <alignment horizontal="center" vertical="center" wrapText="1"/>
    </xf>
    <xf numFmtId="0" fontId="47" fillId="0" borderId="26" xfId="28" applyFont="1" applyBorder="1" applyAlignment="1">
      <alignment horizontal="center" vertical="center" wrapText="1"/>
    </xf>
    <xf numFmtId="14" fontId="63" fillId="0" borderId="68" xfId="28" applyNumberFormat="1" applyFont="1" applyBorder="1" applyAlignment="1">
      <alignment horizontal="center" vertical="center" wrapText="1"/>
    </xf>
    <xf numFmtId="0" fontId="38" fillId="0" borderId="74" xfId="28" applyFont="1" applyBorder="1" applyAlignment="1">
      <alignment horizontal="center" vertical="center" wrapText="1"/>
    </xf>
    <xf numFmtId="0" fontId="44" fillId="0" borderId="26" xfId="28" applyBorder="1" applyAlignment="1">
      <alignment horizontal="left" vertical="center" wrapText="1"/>
    </xf>
    <xf numFmtId="0" fontId="63" fillId="0" borderId="57" xfId="28" applyFont="1" applyBorder="1" applyAlignment="1">
      <alignment horizontal="left" vertical="center" wrapText="1"/>
    </xf>
    <xf numFmtId="0" fontId="38" fillId="0" borderId="26" xfId="28" applyFont="1" applyBorder="1" applyAlignment="1">
      <alignment horizontal="left" vertical="center" wrapText="1"/>
    </xf>
    <xf numFmtId="0" fontId="63" fillId="0" borderId="34" xfId="7" applyFont="1" applyBorder="1" applyAlignment="1">
      <alignment horizontal="left" vertical="center" wrapText="1"/>
    </xf>
    <xf numFmtId="0" fontId="63" fillId="0" borderId="36" xfId="7" applyFont="1" applyBorder="1" applyAlignment="1">
      <alignment horizontal="left" vertical="center" wrapText="1"/>
    </xf>
    <xf numFmtId="0" fontId="63" fillId="0" borderId="69" xfId="28" applyFont="1" applyBorder="1" applyAlignment="1">
      <alignment horizontal="center" vertical="center" wrapText="1"/>
    </xf>
    <xf numFmtId="14" fontId="63" fillId="0" borderId="76" xfId="28" applyNumberFormat="1" applyFont="1" applyBorder="1" applyAlignment="1">
      <alignment horizontal="center" vertical="center" wrapText="1"/>
    </xf>
    <xf numFmtId="14" fontId="63" fillId="0" borderId="69" xfId="28" applyNumberFormat="1" applyFont="1" applyBorder="1" applyAlignment="1">
      <alignment horizontal="center" vertical="center" wrapText="1"/>
    </xf>
    <xf numFmtId="0" fontId="63" fillId="0" borderId="74" xfId="28" applyFont="1" applyBorder="1" applyAlignment="1">
      <alignment horizontal="center" vertical="center" wrapText="1"/>
    </xf>
    <xf numFmtId="0" fontId="47" fillId="0" borderId="26" xfId="7" applyFont="1" applyBorder="1" applyAlignment="1">
      <alignment horizontal="center" vertical="center" wrapText="1"/>
    </xf>
    <xf numFmtId="167" fontId="104" fillId="0" borderId="26" xfId="1" applyNumberFormat="1" applyFont="1" applyBorder="1" applyAlignment="1">
      <alignment horizontal="center" vertical="center" wrapText="1"/>
    </xf>
    <xf numFmtId="167" fontId="61" fillId="0" borderId="24" xfId="1" applyNumberFormat="1" applyFont="1" applyBorder="1" applyAlignment="1">
      <alignment horizontal="center" vertical="center" wrapText="1"/>
    </xf>
    <xf numFmtId="0" fontId="63" fillId="0" borderId="25" xfId="7" applyFont="1" applyBorder="1" applyAlignment="1">
      <alignment horizontal="center" vertical="center" wrapText="1"/>
    </xf>
    <xf numFmtId="0" fontId="63" fillId="0" borderId="27" xfId="7" applyFont="1" applyBorder="1" applyAlignment="1">
      <alignment horizontal="center" vertical="center" wrapText="1"/>
    </xf>
    <xf numFmtId="167" fontId="51" fillId="0" borderId="26" xfId="1" applyNumberFormat="1" applyFont="1" applyBorder="1" applyAlignment="1">
      <alignment horizontal="center" vertical="center" wrapText="1"/>
    </xf>
    <xf numFmtId="167" fontId="61" fillId="0" borderId="26" xfId="1" applyNumberFormat="1" applyFont="1" applyBorder="1" applyAlignment="1">
      <alignment horizontal="center" vertical="center" wrapText="1"/>
    </xf>
    <xf numFmtId="0" fontId="257" fillId="0" borderId="0" xfId="206">
      <alignment horizontal="right"/>
    </xf>
    <xf numFmtId="0" fontId="0" fillId="0" borderId="0" xfId="214" applyFont="1">
      <alignment horizontal="left" vertical="top" wrapText="1"/>
    </xf>
    <xf numFmtId="0" fontId="147" fillId="0" borderId="0" xfId="214">
      <alignment horizontal="left" vertical="top" wrapText="1"/>
    </xf>
    <xf numFmtId="0" fontId="147" fillId="0" borderId="0" xfId="207">
      <alignment horizontal="left" wrapText="1"/>
    </xf>
    <xf numFmtId="0" fontId="182" fillId="0" borderId="0" xfId="216">
      <alignment horizontal="center" wrapText="1"/>
    </xf>
    <xf numFmtId="0" fontId="255" fillId="0" borderId="124" xfId="0" applyFont="1" applyBorder="1" applyAlignment="1">
      <alignment vertical="center" wrapText="1"/>
    </xf>
    <xf numFmtId="0" fontId="236" fillId="0" borderId="45" xfId="0" applyFont="1" applyBorder="1" applyAlignment="1">
      <alignment horizontal="right" vertical="center" wrapText="1"/>
    </xf>
    <xf numFmtId="0" fontId="236" fillId="0" borderId="49" xfId="0" applyFont="1" applyBorder="1" applyAlignment="1">
      <alignment horizontal="right" vertical="center" wrapText="1"/>
    </xf>
    <xf numFmtId="0" fontId="123" fillId="0" borderId="25" xfId="0" applyFont="1" applyBorder="1" applyAlignment="1">
      <alignment horizontal="center" vertical="center" wrapText="1"/>
    </xf>
    <xf numFmtId="0" fontId="123" fillId="0" borderId="40" xfId="0" applyFont="1" applyBorder="1" applyAlignment="1">
      <alignment horizontal="center" vertical="center" wrapText="1"/>
    </xf>
    <xf numFmtId="0" fontId="123" fillId="0" borderId="44" xfId="0" applyFont="1" applyBorder="1" applyAlignment="1">
      <alignment horizontal="center" vertical="center" wrapText="1"/>
    </xf>
    <xf numFmtId="0" fontId="123" fillId="0" borderId="25" xfId="0" applyFont="1" applyBorder="1" applyAlignment="1">
      <alignment horizontal="left" vertical="center" wrapText="1" indent="1"/>
    </xf>
    <xf numFmtId="0" fontId="123" fillId="0" borderId="40" xfId="0" applyFont="1" applyBorder="1" applyAlignment="1">
      <alignment horizontal="left" vertical="center" wrapText="1" indent="1"/>
    </xf>
    <xf numFmtId="0" fontId="229" fillId="64" borderId="108" xfId="0" applyFont="1" applyFill="1" applyBorder="1" applyAlignment="1">
      <alignment vertical="center" wrapText="1"/>
    </xf>
    <xf numFmtId="0" fontId="229" fillId="64" borderId="109" xfId="0" applyFont="1" applyFill="1" applyBorder="1" applyAlignment="1">
      <alignment vertical="center" wrapText="1"/>
    </xf>
    <xf numFmtId="0" fontId="229" fillId="64" borderId="0" xfId="0" applyFont="1" applyFill="1" applyAlignment="1">
      <alignment vertical="center" wrapText="1"/>
    </xf>
    <xf numFmtId="0" fontId="229" fillId="64" borderId="110" xfId="0" applyFont="1" applyFill="1" applyBorder="1" applyAlignment="1">
      <alignment vertical="center" wrapText="1"/>
    </xf>
    <xf numFmtId="0" fontId="123" fillId="0" borderId="45" xfId="0" applyFont="1" applyBorder="1" applyAlignment="1">
      <alignment horizontal="right" vertical="center" wrapText="1"/>
    </xf>
    <xf numFmtId="0" fontId="123" fillId="0" borderId="49" xfId="0" applyFont="1" applyBorder="1" applyAlignment="1">
      <alignment horizontal="right" vertical="center" wrapText="1"/>
    </xf>
    <xf numFmtId="0" fontId="236" fillId="0" borderId="0" xfId="0" applyFont="1" applyAlignment="1">
      <alignment horizontal="right" vertical="center" wrapText="1"/>
    </xf>
    <xf numFmtId="0" fontId="236" fillId="0" borderId="44" xfId="0" applyFont="1" applyBorder="1" applyAlignment="1">
      <alignment horizontal="right" vertical="center" wrapText="1"/>
    </xf>
    <xf numFmtId="0" fontId="222" fillId="0" borderId="30" xfId="0" applyFont="1" applyBorder="1" applyAlignment="1">
      <alignment vertical="center" wrapText="1"/>
    </xf>
    <xf numFmtId="0" fontId="222" fillId="0" borderId="17" xfId="0" applyFont="1" applyBorder="1" applyAlignment="1">
      <alignment vertical="center" wrapText="1"/>
    </xf>
    <xf numFmtId="0" fontId="225" fillId="5" borderId="30" xfId="199" applyFont="1" applyFill="1" applyBorder="1" applyAlignment="1">
      <alignment horizontal="center"/>
    </xf>
    <xf numFmtId="0" fontId="123" fillId="63" borderId="45" xfId="0" applyFont="1" applyFill="1" applyBorder="1" applyAlignment="1">
      <alignment horizontal="left" vertical="center" wrapText="1" indent="13"/>
    </xf>
    <xf numFmtId="0" fontId="123" fillId="63" borderId="49" xfId="0" applyFont="1" applyFill="1" applyBorder="1" applyAlignment="1">
      <alignment horizontal="left" vertical="center" wrapText="1" indent="13"/>
    </xf>
    <xf numFmtId="0" fontId="123" fillId="63" borderId="0" xfId="0" applyFont="1" applyFill="1" applyAlignment="1">
      <alignment horizontal="left" vertical="center" wrapText="1" indent="13"/>
    </xf>
    <xf numFmtId="0" fontId="123" fillId="63" borderId="44" xfId="0" applyFont="1" applyFill="1" applyBorder="1" applyAlignment="1">
      <alignment horizontal="left" vertical="center" wrapText="1" indent="13"/>
    </xf>
    <xf numFmtId="0" fontId="220" fillId="0" borderId="45" xfId="0" applyFont="1" applyBorder="1" applyAlignment="1">
      <alignment horizontal="right" vertical="center" wrapText="1"/>
    </xf>
    <xf numFmtId="0" fontId="220" fillId="0" borderId="49" xfId="0" applyFont="1" applyBorder="1" applyAlignment="1">
      <alignment horizontal="right" vertical="center" wrapText="1"/>
    </xf>
    <xf numFmtId="0" fontId="220" fillId="0" borderId="25" xfId="0" applyFont="1" applyBorder="1" applyAlignment="1">
      <alignment horizontal="center" vertical="center" wrapText="1"/>
    </xf>
    <xf numFmtId="0" fontId="220" fillId="0" borderId="40" xfId="0" applyFont="1" applyBorder="1" applyAlignment="1">
      <alignment horizontal="center" vertical="center" wrapText="1"/>
    </xf>
    <xf numFmtId="0" fontId="223" fillId="0" borderId="30" xfId="0" applyFont="1" applyBorder="1" applyAlignment="1">
      <alignment vertical="center" wrapText="1"/>
    </xf>
    <xf numFmtId="0" fontId="223" fillId="0" borderId="17" xfId="0" applyFont="1" applyBorder="1" applyAlignment="1">
      <alignment vertical="center" wrapText="1"/>
    </xf>
    <xf numFmtId="0" fontId="220" fillId="0" borderId="40" xfId="0" applyFont="1" applyBorder="1" applyAlignment="1">
      <alignment vertical="center" wrapText="1"/>
    </xf>
    <xf numFmtId="0" fontId="220" fillId="0" borderId="27" xfId="0" applyFont="1" applyBorder="1" applyAlignment="1">
      <alignment vertical="center" wrapText="1"/>
    </xf>
    <xf numFmtId="0" fontId="216" fillId="61" borderId="25" xfId="0" applyFont="1" applyFill="1" applyBorder="1" applyAlignment="1">
      <alignment vertical="center" wrapText="1"/>
    </xf>
    <xf numFmtId="0" fontId="216" fillId="61" borderId="40" xfId="0" applyFont="1" applyFill="1" applyBorder="1" applyAlignment="1">
      <alignment vertical="center" wrapText="1"/>
    </xf>
    <xf numFmtId="0" fontId="68" fillId="17" borderId="13" xfId="199" applyFont="1" applyFill="1" applyBorder="1" applyAlignment="1">
      <alignment horizontal="center" vertical="center" wrapText="1"/>
    </xf>
    <xf numFmtId="0" fontId="68" fillId="17" borderId="23" xfId="199" applyFont="1" applyFill="1" applyBorder="1" applyAlignment="1">
      <alignment horizontal="center" vertical="center" wrapText="1"/>
    </xf>
    <xf numFmtId="0" fontId="68" fillId="17" borderId="5" xfId="199" applyFont="1" applyFill="1" applyBorder="1" applyAlignment="1">
      <alignment horizontal="center" vertical="center" wrapText="1"/>
    </xf>
    <xf numFmtId="0" fontId="86" fillId="5" borderId="13" xfId="167" applyFont="1" applyFill="1" applyBorder="1" applyAlignment="1">
      <alignment horizontal="center" vertical="center" wrapText="1"/>
    </xf>
    <xf numFmtId="0" fontId="86" fillId="5" borderId="23" xfId="167" applyFont="1" applyFill="1" applyBorder="1" applyAlignment="1">
      <alignment horizontal="center" vertical="center" wrapText="1"/>
    </xf>
    <xf numFmtId="0" fontId="86" fillId="5" borderId="5" xfId="167" applyFont="1" applyFill="1" applyBorder="1" applyAlignment="1">
      <alignment horizontal="center" vertical="center" wrapText="1"/>
    </xf>
    <xf numFmtId="0" fontId="86" fillId="5" borderId="99" xfId="200" applyFont="1" applyFill="1" applyBorder="1" applyAlignment="1">
      <alignment horizontal="left" wrapText="1"/>
    </xf>
    <xf numFmtId="0" fontId="86" fillId="5" borderId="92" xfId="200" applyFont="1" applyFill="1" applyBorder="1" applyAlignment="1">
      <alignment horizontal="left" wrapText="1"/>
    </xf>
    <xf numFmtId="0" fontId="86" fillId="5" borderId="91" xfId="200" applyFont="1" applyFill="1" applyBorder="1" applyAlignment="1">
      <alignment horizontal="left" wrapText="1"/>
    </xf>
    <xf numFmtId="0" fontId="175" fillId="5" borderId="13" xfId="167" applyFont="1" applyFill="1" applyBorder="1" applyAlignment="1">
      <alignment horizontal="center" vertical="center" wrapText="1"/>
    </xf>
    <xf numFmtId="0" fontId="175" fillId="5" borderId="23" xfId="167" applyFont="1" applyFill="1" applyBorder="1" applyAlignment="1">
      <alignment horizontal="center" vertical="center" wrapText="1"/>
    </xf>
    <xf numFmtId="0" fontId="175" fillId="5" borderId="5" xfId="167" applyFont="1" applyFill="1" applyBorder="1" applyAlignment="1">
      <alignment horizontal="center" vertical="center" wrapText="1"/>
    </xf>
    <xf numFmtId="0" fontId="148" fillId="5" borderId="95" xfId="199" applyFont="1" applyFill="1" applyBorder="1" applyAlignment="1">
      <alignment horizontal="center"/>
    </xf>
    <xf numFmtId="0" fontId="148" fillId="5" borderId="83" xfId="199" applyFont="1" applyFill="1" applyBorder="1" applyAlignment="1">
      <alignment horizontal="center"/>
    </xf>
    <xf numFmtId="0" fontId="86" fillId="5" borderId="13" xfId="167" applyFont="1" applyFill="1" applyBorder="1" applyAlignment="1">
      <alignment horizontal="center" vertical="center"/>
    </xf>
    <xf numFmtId="0" fontId="86" fillId="5" borderId="23" xfId="167" applyFont="1" applyFill="1" applyBorder="1" applyAlignment="1">
      <alignment horizontal="center" vertical="center"/>
    </xf>
    <xf numFmtId="0" fontId="86" fillId="5" borderId="5" xfId="167" applyFont="1" applyFill="1" applyBorder="1" applyAlignment="1">
      <alignment horizontal="center" vertical="center"/>
    </xf>
    <xf numFmtId="0" fontId="143" fillId="5" borderId="13" xfId="0" applyFont="1" applyFill="1" applyBorder="1" applyAlignment="1">
      <alignment horizontal="center"/>
    </xf>
    <xf numFmtId="0" fontId="143" fillId="5" borderId="23" xfId="0" applyFont="1" applyFill="1" applyBorder="1" applyAlignment="1">
      <alignment horizontal="center"/>
    </xf>
    <xf numFmtId="0" fontId="143" fillId="5" borderId="5" xfId="0" applyFont="1" applyFill="1" applyBorder="1" applyAlignment="1">
      <alignment horizontal="center"/>
    </xf>
    <xf numFmtId="0" fontId="211" fillId="5" borderId="30" xfId="199" applyFont="1" applyFill="1" applyBorder="1" applyAlignment="1">
      <alignment horizontal="center"/>
    </xf>
    <xf numFmtId="0" fontId="215" fillId="5" borderId="30" xfId="199" applyFont="1" applyFill="1" applyBorder="1" applyAlignment="1">
      <alignment horizontal="center"/>
    </xf>
    <xf numFmtId="0" fontId="267" fillId="0" borderId="142" xfId="0" applyFont="1" applyBorder="1" applyAlignment="1">
      <alignment horizontal="center" vertical="center" wrapText="1"/>
    </xf>
    <xf numFmtId="0" fontId="267" fillId="0" borderId="143" xfId="0" applyFont="1" applyBorder="1" applyAlignment="1">
      <alignment horizontal="center" vertical="center" wrapText="1"/>
    </xf>
    <xf numFmtId="0" fontId="267" fillId="0" borderId="144" xfId="0" applyFont="1" applyBorder="1" applyAlignment="1">
      <alignment horizontal="center" vertical="center" wrapText="1"/>
    </xf>
    <xf numFmtId="0" fontId="59" fillId="10" borderId="97" xfId="0" applyFont="1" applyFill="1" applyBorder="1" applyAlignment="1">
      <alignment horizontal="center" vertical="center" wrapText="1"/>
    </xf>
    <xf numFmtId="0" fontId="59" fillId="10" borderId="117" xfId="0" applyFont="1" applyFill="1" applyBorder="1" applyAlignment="1">
      <alignment horizontal="center" vertical="center" wrapText="1"/>
    </xf>
    <xf numFmtId="0" fontId="37" fillId="0" borderId="84" xfId="0" applyFont="1" applyBorder="1" applyAlignment="1">
      <alignment horizontal="center" vertical="center" wrapText="1"/>
    </xf>
    <xf numFmtId="0" fontId="37" fillId="0" borderId="117" xfId="0" applyFont="1" applyBorder="1" applyAlignment="1">
      <alignment horizontal="center" vertical="center" wrapText="1"/>
    </xf>
    <xf numFmtId="0" fontId="37" fillId="0" borderId="97" xfId="0" applyFont="1" applyBorder="1" applyAlignment="1">
      <alignment horizontal="center" vertical="center" wrapText="1"/>
    </xf>
    <xf numFmtId="0" fontId="0" fillId="0" borderId="85" xfId="0" applyBorder="1" applyAlignment="1">
      <alignment horizontal="center" vertical="center"/>
    </xf>
    <xf numFmtId="0" fontId="0" fillId="0" borderId="114" xfId="0" applyBorder="1" applyAlignment="1">
      <alignment horizontal="center" vertical="center" wrapText="1"/>
    </xf>
    <xf numFmtId="2" fontId="37" fillId="0" borderId="85" xfId="0" applyNumberFormat="1" applyFont="1" applyBorder="1" applyAlignment="1">
      <alignment horizontal="center" vertical="center"/>
    </xf>
    <xf numFmtId="0" fontId="92" fillId="0" borderId="118" xfId="0" applyFont="1" applyBorder="1" applyAlignment="1">
      <alignment horizontal="center"/>
    </xf>
    <xf numFmtId="0" fontId="92" fillId="0" borderId="115" xfId="0" applyFont="1" applyBorder="1" applyAlignment="1">
      <alignment horizontal="center"/>
    </xf>
    <xf numFmtId="0" fontId="252" fillId="0" borderId="116" xfId="0" applyFont="1" applyBorder="1" applyAlignment="1">
      <alignment horizontal="center"/>
    </xf>
    <xf numFmtId="0" fontId="0" fillId="0" borderId="0" xfId="0" applyAlignment="1">
      <alignment wrapText="1"/>
    </xf>
    <xf numFmtId="0" fontId="0" fillId="0" borderId="0" xfId="0"/>
    <xf numFmtId="0" fontId="252" fillId="0" borderId="115" xfId="0" applyFont="1" applyBorder="1" applyAlignment="1">
      <alignment horizontal="center"/>
    </xf>
    <xf numFmtId="0" fontId="0" fillId="0" borderId="120" xfId="0" applyBorder="1" applyAlignment="1">
      <alignment horizontal="center" vertical="center"/>
    </xf>
    <xf numFmtId="0" fontId="0" fillId="0" borderId="117" xfId="0" applyBorder="1" applyAlignment="1">
      <alignment horizontal="center" vertical="center"/>
    </xf>
    <xf numFmtId="0" fontId="59" fillId="0" borderId="120" xfId="0" applyFont="1" applyBorder="1" applyAlignment="1">
      <alignment horizontal="center" vertical="center" wrapText="1"/>
    </xf>
    <xf numFmtId="0" fontId="59" fillId="0" borderId="117" xfId="0" applyFont="1" applyBorder="1" applyAlignment="1">
      <alignment horizontal="center" vertical="center" wrapText="1"/>
    </xf>
  </cellXfs>
  <cellStyles count="219">
    <cellStyle name="20% - Accent1" xfId="118" builtinId="30" customBuiltin="1"/>
    <cellStyle name="20% - Accent1 2" xfId="178" xr:uid="{363495CB-4EFD-4075-8AF2-8C15E33F265E}"/>
    <cellStyle name="20% - Accent2" xfId="122" builtinId="34" customBuiltin="1"/>
    <cellStyle name="20% - Accent2 2" xfId="181" xr:uid="{A18B77CC-0EE2-4068-8D7D-EF36B82D4569}"/>
    <cellStyle name="20% - Accent3" xfId="126" builtinId="38" customBuiltin="1"/>
    <cellStyle name="20% - Accent3 2" xfId="184" xr:uid="{828B7FC4-D874-45AB-90C4-80E102CDA5BC}"/>
    <cellStyle name="20% - Accent4" xfId="130" builtinId="42" customBuiltin="1"/>
    <cellStyle name="20% - Accent4 2" xfId="187" xr:uid="{D6C29F7D-F1D1-4B50-B51D-8C757C4F426E}"/>
    <cellStyle name="20% - Accent5" xfId="134" builtinId="46" customBuiltin="1"/>
    <cellStyle name="20% - Accent5 2" xfId="190" xr:uid="{FCD4D055-3930-49A6-8889-90B080C6E772}"/>
    <cellStyle name="20% - Accent6" xfId="138" builtinId="50" customBuiltin="1"/>
    <cellStyle name="20% - Accent6 2" xfId="193" xr:uid="{27DC87F4-78AB-4578-80CF-0B1BFA91BF76}"/>
    <cellStyle name="20% no 1. izcēluma 2" xfId="148" xr:uid="{00000000-0005-0000-0000-000001000000}"/>
    <cellStyle name="20% no 2. izcēluma 2" xfId="150" xr:uid="{00000000-0005-0000-0000-000003000000}"/>
    <cellStyle name="20% no 3. izcēluma 2" xfId="152" xr:uid="{00000000-0005-0000-0000-000005000000}"/>
    <cellStyle name="20% no 4. izcēluma 2" xfId="154" xr:uid="{00000000-0005-0000-0000-000007000000}"/>
    <cellStyle name="20% no 5. izcēluma 2" xfId="156" xr:uid="{00000000-0005-0000-0000-000009000000}"/>
    <cellStyle name="20% no 6. izcēluma 2" xfId="158" xr:uid="{00000000-0005-0000-0000-00000B000000}"/>
    <cellStyle name="40% - Accent1" xfId="119" builtinId="31" customBuiltin="1"/>
    <cellStyle name="40% - Accent1 2" xfId="179" xr:uid="{52F15773-EEB9-4FAB-B1D0-72EF0155F97D}"/>
    <cellStyle name="40% - Accent2" xfId="123" builtinId="35" customBuiltin="1"/>
    <cellStyle name="40% - Accent2 2" xfId="182" xr:uid="{3B8FAB79-3B2B-45F3-A5EB-B230A3278B50}"/>
    <cellStyle name="40% - Accent3" xfId="127" builtinId="39" customBuiltin="1"/>
    <cellStyle name="40% - Accent3 2" xfId="185" xr:uid="{2B662775-B899-4B35-8D7E-FCE4CD58456D}"/>
    <cellStyle name="40% - Accent4" xfId="131" builtinId="43" customBuiltin="1"/>
    <cellStyle name="40% - Accent4 2" xfId="188" xr:uid="{64C688F0-7CEF-4FE8-9E4F-59C5F7B42BEF}"/>
    <cellStyle name="40% - Accent5" xfId="135" builtinId="47" customBuiltin="1"/>
    <cellStyle name="40% - Accent5 2" xfId="191" xr:uid="{AF63A63F-2393-4DDD-B11E-1E8547F0F85D}"/>
    <cellStyle name="40% - Accent6" xfId="139" builtinId="51" customBuiltin="1"/>
    <cellStyle name="40% - Accent6 2" xfId="194" xr:uid="{3A5C1458-F927-4ED5-9DF6-2B52D0C9B7BA}"/>
    <cellStyle name="40% no 1. izcēluma 2" xfId="149" xr:uid="{00000000-0005-0000-0000-00000D000000}"/>
    <cellStyle name="40% no 2. izcēluma 2" xfId="151" xr:uid="{00000000-0005-0000-0000-00000F000000}"/>
    <cellStyle name="40% no 3. izcēluma 2" xfId="153" xr:uid="{00000000-0005-0000-0000-000011000000}"/>
    <cellStyle name="40% no 4. izcēluma 2" xfId="155" xr:uid="{00000000-0005-0000-0000-000013000000}"/>
    <cellStyle name="40% no 5. izcēluma 2" xfId="157" xr:uid="{00000000-0005-0000-0000-000015000000}"/>
    <cellStyle name="40% no 6. izcēluma 2" xfId="159" xr:uid="{00000000-0005-0000-0000-000017000000}"/>
    <cellStyle name="60% - Accent1" xfId="120" builtinId="32" customBuiltin="1"/>
    <cellStyle name="60% - Accent1 2" xfId="180" xr:uid="{2FF805B4-7736-476D-9441-E38DA002F17C}"/>
    <cellStyle name="60% - Accent2" xfId="124" builtinId="36" customBuiltin="1"/>
    <cellStyle name="60% - Accent2 2" xfId="183" xr:uid="{C36BDC48-DDDB-44C7-9E4B-3FEFC6C7EE83}"/>
    <cellStyle name="60% - Accent3" xfId="128" builtinId="40" customBuiltin="1"/>
    <cellStyle name="60% - Accent3 2" xfId="186" xr:uid="{129DABD0-E58B-4402-90C0-1CDA297E49E8}"/>
    <cellStyle name="60% - Accent4" xfId="132" builtinId="44" customBuiltin="1"/>
    <cellStyle name="60% - Accent4 2" xfId="189" xr:uid="{4DF1C865-0303-4E8E-8163-9614765FC054}"/>
    <cellStyle name="60% - Accent5" xfId="136" builtinId="48" customBuiltin="1"/>
    <cellStyle name="60% - Accent5 2" xfId="192" xr:uid="{49CE04F7-7C67-4035-B478-D5A0BC67A4F9}"/>
    <cellStyle name="60% - Accent6" xfId="140" builtinId="52" customBuiltin="1"/>
    <cellStyle name="60% - Accent6 2" xfId="195" xr:uid="{E49FFC8E-C988-475A-9C83-E9CFCB701DBF}"/>
    <cellStyle name="Accent1" xfId="117" builtinId="29" customBuiltin="1"/>
    <cellStyle name="Accent2" xfId="121" builtinId="33" customBuiltin="1"/>
    <cellStyle name="Accent3" xfId="125" builtinId="37" customBuiltin="1"/>
    <cellStyle name="Accent4" xfId="129" builtinId="41" customBuiltin="1"/>
    <cellStyle name="Accent5" xfId="133" builtinId="45" customBuiltin="1"/>
    <cellStyle name="Accent6" xfId="137" builtinId="49" customBuiltin="1"/>
    <cellStyle name="Bad" xfId="107" builtinId="27" customBuiltin="1"/>
    <cellStyle name="Calculation" xfId="111" builtinId="22" customBuiltin="1"/>
    <cellStyle name="Check Cell" xfId="113" builtinId="23" customBuiltin="1"/>
    <cellStyle name="Comma" xfId="1" builtinId="3"/>
    <cellStyle name="Comma 2" xfId="218" xr:uid="{A6C95BC1-19F2-4D14-8F05-F1BCAFFD66B6}"/>
    <cellStyle name="Comma 2 2" xfId="25" xr:uid="{00000000-0005-0000-0000-000020000000}"/>
    <cellStyle name="Comma 3" xfId="30" xr:uid="{00000000-0005-0000-0000-000021000000}"/>
    <cellStyle name="Comma 3 2" xfId="98" xr:uid="{00000000-0005-0000-0000-000022000000}"/>
    <cellStyle name="Comma 3 3" xfId="12" xr:uid="{00000000-0005-0000-0000-000023000000}"/>
    <cellStyle name="Comma 4 2" xfId="11" xr:uid="{00000000-0005-0000-0000-000024000000}"/>
    <cellStyle name="Comma 5" xfId="8" xr:uid="{00000000-0005-0000-0000-000025000000}"/>
    <cellStyle name="Comma 6 2" xfId="15" xr:uid="{00000000-0005-0000-0000-000026000000}"/>
    <cellStyle name="Currency 2" xfId="215" xr:uid="{A0439C78-5394-45FD-B783-E1E5BD692DBF}"/>
    <cellStyle name="Datums" xfId="210" xr:uid="{177CD88D-07C8-4806-B238-51403151868B}"/>
    <cellStyle name="Excel Built-in Comma" xfId="69" xr:uid="{00000000-0005-0000-0000-000028000000}"/>
    <cellStyle name="Excel Built-in Normal" xfId="54" xr:uid="{00000000-0005-0000-0000-000029000000}"/>
    <cellStyle name="Excel Built-in Percent" xfId="68" xr:uid="{00000000-0005-0000-0000-00002A000000}"/>
    <cellStyle name="Explanatory Text" xfId="115" builtinId="53" customBuiltin="1"/>
    <cellStyle name="Explanatory Text 2" xfId="208" xr:uid="{A0498B9A-D992-4E78-BF25-546CAE2BE786}"/>
    <cellStyle name="Good" xfId="106" builtinId="26" customBuiltin="1"/>
    <cellStyle name="Heading 1" xfId="102" builtinId="16" customBuiltin="1"/>
    <cellStyle name="Heading 1 2" xfId="205" xr:uid="{E98B7448-A897-4EA1-9906-18A8FE0D192D}"/>
    <cellStyle name="Heading 2" xfId="103" builtinId="17" customBuiltin="1"/>
    <cellStyle name="Heading 2 2" xfId="209" xr:uid="{FF1DA6CD-3B3A-4E9F-90B0-39C524CC5C89}"/>
    <cellStyle name="Heading 3" xfId="104" builtinId="18" customBuiltin="1"/>
    <cellStyle name="Heading 3 2" xfId="212" xr:uid="{EC5204E5-D883-4752-94D0-7259464FE54C}"/>
    <cellStyle name="Heading 4" xfId="105" builtinId="19" customBuiltin="1"/>
    <cellStyle name="Heading 4 2" xfId="213" xr:uid="{5BE628C0-8046-4E7E-9D76-388CC31BADE7}"/>
    <cellStyle name="Hipersaite 2" xfId="41" xr:uid="{00000000-0005-0000-0000-00002C000000}"/>
    <cellStyle name="Hipersaite 3" xfId="91" xr:uid="{00000000-0005-0000-0000-00002D000000}"/>
    <cellStyle name="Hipersaite 4" xfId="198" xr:uid="{6744AC71-A348-4DB4-9CF9-D7854F4985EF}"/>
    <cellStyle name="Hyperlink" xfId="173" builtinId="8"/>
    <cellStyle name="Input" xfId="109" builtinId="20" customBuiltin="1"/>
    <cellStyle name="Komats 10" xfId="5" xr:uid="{00000000-0005-0000-0000-000037000000}"/>
    <cellStyle name="Komats 10 2" xfId="61" xr:uid="{00000000-0005-0000-0000-000038000000}"/>
    <cellStyle name="Komats 11" xfId="78" xr:uid="{00000000-0005-0000-0000-000039000000}"/>
    <cellStyle name="Komats 12" xfId="99" xr:uid="{00000000-0005-0000-0000-00003A000000}"/>
    <cellStyle name="Komats 13" xfId="23" xr:uid="{00000000-0005-0000-0000-00003B000000}"/>
    <cellStyle name="Komats 13 2" xfId="58" xr:uid="{00000000-0005-0000-0000-00003C000000}"/>
    <cellStyle name="Komats 14" xfId="145" xr:uid="{00000000-0005-0000-0000-00003D000000}"/>
    <cellStyle name="Komats 15" xfId="202" xr:uid="{B05EB464-085D-4EEA-BAF8-CC5AD2B4A2D0}"/>
    <cellStyle name="Komats 18" xfId="20" xr:uid="{00000000-0005-0000-0000-00003E000000}"/>
    <cellStyle name="Komats 18 2" xfId="36" xr:uid="{00000000-0005-0000-0000-00003F000000}"/>
    <cellStyle name="Komats 2" xfId="29" xr:uid="{00000000-0005-0000-0000-000040000000}"/>
    <cellStyle name="Komats 2 2" xfId="60" xr:uid="{00000000-0005-0000-0000-000041000000}"/>
    <cellStyle name="Komats 2 3" xfId="161" xr:uid="{00000000-0005-0000-0000-000042000000}"/>
    <cellStyle name="Komats 20" xfId="19" xr:uid="{00000000-0005-0000-0000-000043000000}"/>
    <cellStyle name="Komats 20 2" xfId="50" xr:uid="{00000000-0005-0000-0000-000044000000}"/>
    <cellStyle name="Komats 20 3" xfId="57" xr:uid="{00000000-0005-0000-0000-000045000000}"/>
    <cellStyle name="Komats 20 4" xfId="81" xr:uid="{00000000-0005-0000-0000-000046000000}"/>
    <cellStyle name="Komats 3" xfId="49" xr:uid="{00000000-0005-0000-0000-000047000000}"/>
    <cellStyle name="Komats 3 2" xfId="63" xr:uid="{00000000-0005-0000-0000-000048000000}"/>
    <cellStyle name="Komats 3 3" xfId="87" xr:uid="{00000000-0005-0000-0000-000049000000}"/>
    <cellStyle name="Komats 3 4" xfId="165" xr:uid="{00000000-0005-0000-0000-00004A000000}"/>
    <cellStyle name="Komats 4" xfId="24" xr:uid="{00000000-0005-0000-0000-00004B000000}"/>
    <cellStyle name="Komats 4 2" xfId="39" xr:uid="{00000000-0005-0000-0000-00004C000000}"/>
    <cellStyle name="Komats 4 3" xfId="59" xr:uid="{00000000-0005-0000-0000-00004D000000}"/>
    <cellStyle name="Komats 5" xfId="67" xr:uid="{00000000-0005-0000-0000-00004E000000}"/>
    <cellStyle name="Komats 6" xfId="22" xr:uid="{00000000-0005-0000-0000-00004F000000}"/>
    <cellStyle name="Komats 7" xfId="72" xr:uid="{00000000-0005-0000-0000-000050000000}"/>
    <cellStyle name="Komats 7 2" xfId="144" xr:uid="{00000000-0005-0000-0000-000051000000}"/>
    <cellStyle name="Komats 8" xfId="75" xr:uid="{00000000-0005-0000-0000-000052000000}"/>
    <cellStyle name="Komats 9" xfId="17" xr:uid="{00000000-0005-0000-0000-000053000000}"/>
    <cellStyle name="Komentāri" xfId="214" xr:uid="{01923C97-C140-46F8-BB35-E6786FEC1363}"/>
    <cellStyle name="Labs 2" xfId="27" xr:uid="{00000000-0005-0000-0000-000056000000}"/>
    <cellStyle name="Linked Cell" xfId="112" builtinId="24" customBuiltin="1"/>
    <cellStyle name="Neutral" xfId="108" builtinId="28" customBuiltin="1"/>
    <cellStyle name="Neutral 2" xfId="176" xr:uid="{3B14C34B-77DA-4AF7-A04A-380F8ABDA04A}"/>
    <cellStyle name="Normal" xfId="0" builtinId="0"/>
    <cellStyle name="Normal 10" xfId="18" xr:uid="{00000000-0005-0000-0000-000058000000}"/>
    <cellStyle name="Normal 2" xfId="42" xr:uid="{00000000-0005-0000-0000-000059000000}"/>
    <cellStyle name="Normal 2 2" xfId="7" xr:uid="{00000000-0005-0000-0000-00005A000000}"/>
    <cellStyle name="Normal 2 2 2" xfId="52" xr:uid="{00000000-0005-0000-0000-00005B000000}"/>
    <cellStyle name="Normal 2 2 2 2" xfId="16" xr:uid="{00000000-0005-0000-0000-00005C000000}"/>
    <cellStyle name="Normal 2 3" xfId="64" xr:uid="{00000000-0005-0000-0000-00005D000000}"/>
    <cellStyle name="Normal 2 4" xfId="167" xr:uid="{00000000-0005-0000-0000-00005E000000}"/>
    <cellStyle name="Normal 3" xfId="51" xr:uid="{00000000-0005-0000-0000-00005F000000}"/>
    <cellStyle name="Normal 3 2" xfId="45" xr:uid="{00000000-0005-0000-0000-000060000000}"/>
    <cellStyle name="Normal 3 3" xfId="37" xr:uid="{00000000-0005-0000-0000-000061000000}"/>
    <cellStyle name="Normal 3 4" xfId="162" xr:uid="{00000000-0005-0000-0000-000062000000}"/>
    <cellStyle name="Normal 4" xfId="10" xr:uid="{00000000-0005-0000-0000-000063000000}"/>
    <cellStyle name="Normal 4 2" xfId="47" xr:uid="{00000000-0005-0000-0000-000064000000}"/>
    <cellStyle name="Normal 4 3" xfId="168" xr:uid="{00000000-0005-0000-0000-000065000000}"/>
    <cellStyle name="Normal 4 3 2" xfId="200" xr:uid="{7941E8FE-1001-4537-B72B-74FF7E985732}"/>
    <cellStyle name="Normal 4 3 3" xfId="204" xr:uid="{1EEB7F85-9DF1-4FF9-BB7F-7A0A3BDFEC8F}"/>
    <cellStyle name="Normal 5" xfId="38" xr:uid="{00000000-0005-0000-0000-000066000000}"/>
    <cellStyle name="Normal 5 2" xfId="46" xr:uid="{00000000-0005-0000-0000-000067000000}"/>
    <cellStyle name="Normal 6" xfId="70" xr:uid="{00000000-0005-0000-0000-000068000000}"/>
    <cellStyle name="Normal 6 2" xfId="97" xr:uid="{00000000-0005-0000-0000-000069000000}"/>
    <cellStyle name="Normal 7" xfId="175" xr:uid="{91F72C39-2101-4206-AB1D-117A4479389E}"/>
    <cellStyle name="Normal 7 2" xfId="217" xr:uid="{B39A0216-0C63-4619-93B3-621879552DDB}"/>
    <cellStyle name="Normal 8" xfId="207" xr:uid="{06CF81E4-4CEE-4FB3-98A1-BFD93CCD82A7}"/>
    <cellStyle name="Normal_Sheet1" xfId="197" xr:uid="{61CCF177-D2F4-45C7-A056-0991A2629B20}"/>
    <cellStyle name="Note 2" xfId="177" xr:uid="{AA97006D-4E69-4CC6-8481-354EBBA19CC9}"/>
    <cellStyle name="Note 3" xfId="216" xr:uid="{C0D84A79-D75B-4349-B990-6E2C649B60A1}"/>
    <cellStyle name="Output" xfId="110" builtinId="21" customBuiltin="1"/>
    <cellStyle name="Parastais_Lapa2" xfId="40" xr:uid="{00000000-0005-0000-0000-00006D000000}"/>
    <cellStyle name="Parasts 10" xfId="74" xr:uid="{00000000-0005-0000-0000-00006F000000}"/>
    <cellStyle name="Parasts 11" xfId="76" xr:uid="{00000000-0005-0000-0000-000070000000}"/>
    <cellStyle name="Parasts 12" xfId="77" xr:uid="{00000000-0005-0000-0000-000071000000}"/>
    <cellStyle name="Parasts 13" xfId="82" xr:uid="{00000000-0005-0000-0000-000072000000}"/>
    <cellStyle name="Parasts 14" xfId="84" xr:uid="{00000000-0005-0000-0000-000073000000}"/>
    <cellStyle name="Parasts 15" xfId="90" xr:uid="{00000000-0005-0000-0000-000074000000}"/>
    <cellStyle name="Parasts 15 2" xfId="94" xr:uid="{00000000-0005-0000-0000-000075000000}"/>
    <cellStyle name="Parasts 16" xfId="92" xr:uid="{00000000-0005-0000-0000-000076000000}"/>
    <cellStyle name="Parasts 17" xfId="96" xr:uid="{00000000-0005-0000-0000-000077000000}"/>
    <cellStyle name="Parasts 18" xfId="141" xr:uid="{00000000-0005-0000-0000-000078000000}"/>
    <cellStyle name="Parasts 19" xfId="146" xr:uid="{00000000-0005-0000-0000-000079000000}"/>
    <cellStyle name="Parasts 2" xfId="28" xr:uid="{00000000-0005-0000-0000-00007A000000}"/>
    <cellStyle name="Parasts 2 2" xfId="3" xr:uid="{00000000-0005-0000-0000-00007B000000}"/>
    <cellStyle name="Parasts 2 2 2" xfId="13" xr:uid="{00000000-0005-0000-0000-00007C000000}"/>
    <cellStyle name="Parasts 2 2 2 2" xfId="65" xr:uid="{00000000-0005-0000-0000-00007D000000}"/>
    <cellStyle name="Parasts 2 2 3" xfId="32" xr:uid="{00000000-0005-0000-0000-00007E000000}"/>
    <cellStyle name="Parasts 2 2 4" xfId="35" xr:uid="{00000000-0005-0000-0000-00007F000000}"/>
    <cellStyle name="Parasts 2 2 5" xfId="43" xr:uid="{00000000-0005-0000-0000-000080000000}"/>
    <cellStyle name="Parasts 2 2 5 2" xfId="83" xr:uid="{00000000-0005-0000-0000-000081000000}"/>
    <cellStyle name="Parasts 2 2 5 3" xfId="89" xr:uid="{00000000-0005-0000-0000-000082000000}"/>
    <cellStyle name="Parasts 2 2 5 4" xfId="93" xr:uid="{00000000-0005-0000-0000-000083000000}"/>
    <cellStyle name="Parasts 2 2 5 5" xfId="174" xr:uid="{00000000-0005-0000-0000-000084000000}"/>
    <cellStyle name="Parasts 2 3" xfId="86" xr:uid="{00000000-0005-0000-0000-000085000000}"/>
    <cellStyle name="Parasts 2 4" xfId="170" xr:uid="{00000000-0005-0000-0000-000086000000}"/>
    <cellStyle name="Parasts 20" xfId="166" xr:uid="{00000000-0005-0000-0000-000087000000}"/>
    <cellStyle name="Parasts 20 2" xfId="199" xr:uid="{75C7A2B3-6BCE-4112-A10A-55E82BAF20CE}"/>
    <cellStyle name="Parasts 20 3" xfId="203" xr:uid="{9577B0DB-EFB8-4226-AE75-FBD61AB104D3}"/>
    <cellStyle name="Parasts 21" xfId="172" xr:uid="{00000000-0005-0000-0000-000088000000}"/>
    <cellStyle name="Parasts 22" xfId="196" xr:uid="{838BED57-F8F7-4C64-A2D0-8B3E18F8B431}"/>
    <cellStyle name="Parasts 23" xfId="201" xr:uid="{A9EB4556-2728-4537-8824-E4B437D8C3EC}"/>
    <cellStyle name="Parasts 3" xfId="33" xr:uid="{00000000-0005-0000-0000-000089000000}"/>
    <cellStyle name="Parasts 3 2" xfId="44" xr:uid="{00000000-0005-0000-0000-00008A000000}"/>
    <cellStyle name="Parasts 3 3" xfId="88" xr:uid="{00000000-0005-0000-0000-00008B000000}"/>
    <cellStyle name="Parasts 3 4" xfId="160" xr:uid="{00000000-0005-0000-0000-00008C000000}"/>
    <cellStyle name="Parasts 3 5" xfId="163" xr:uid="{00000000-0005-0000-0000-00008D000000}"/>
    <cellStyle name="Parasts 4" xfId="48" xr:uid="{00000000-0005-0000-0000-00008E000000}"/>
    <cellStyle name="Parasts 4 2" xfId="62" xr:uid="{00000000-0005-0000-0000-00008F000000}"/>
    <cellStyle name="Parasts 4 3" xfId="100" xr:uid="{00000000-0005-0000-0000-000090000000}"/>
    <cellStyle name="Parasts 4 4" xfId="164" xr:uid="{00000000-0005-0000-0000-000091000000}"/>
    <cellStyle name="Parasts 5" xfId="53" xr:uid="{00000000-0005-0000-0000-000092000000}"/>
    <cellStyle name="Parasts 6" xfId="55" xr:uid="{00000000-0005-0000-0000-000093000000}"/>
    <cellStyle name="Parasts 7" xfId="26" xr:uid="{00000000-0005-0000-0000-000094000000}"/>
    <cellStyle name="Parasts 8" xfId="66" xr:uid="{00000000-0005-0000-0000-000095000000}"/>
    <cellStyle name="Parasts 9" xfId="71" xr:uid="{00000000-0005-0000-0000-000096000000}"/>
    <cellStyle name="Parasts 9 2" xfId="143" xr:uid="{00000000-0005-0000-0000-000097000000}"/>
    <cellStyle name="Percent" xfId="2" builtinId="5"/>
    <cellStyle name="Percent 3 2" xfId="14" xr:uid="{00000000-0005-0000-0000-00009A000000}"/>
    <cellStyle name="Percent 4" xfId="9" xr:uid="{00000000-0005-0000-0000-00009B000000}"/>
    <cellStyle name="Piezīme 2" xfId="142" xr:uid="{00000000-0005-0000-0000-00009C000000}"/>
    <cellStyle name="Piezīme 3" xfId="147" xr:uid="{00000000-0005-0000-0000-00009D000000}"/>
    <cellStyle name="Procenti 2" xfId="31" xr:uid="{00000000-0005-0000-0000-00009F000000}"/>
    <cellStyle name="Procenti 2 2" xfId="95" xr:uid="{00000000-0005-0000-0000-0000A0000000}"/>
    <cellStyle name="Procenti 2 3" xfId="4" xr:uid="{00000000-0005-0000-0000-0000A1000000}"/>
    <cellStyle name="Procenti 2 4" xfId="171" xr:uid="{00000000-0005-0000-0000-0000A2000000}"/>
    <cellStyle name="Procenti 3" xfId="34" xr:uid="{00000000-0005-0000-0000-0000A3000000}"/>
    <cellStyle name="Procenti 4" xfId="56" xr:uid="{00000000-0005-0000-0000-0000A4000000}"/>
    <cellStyle name="Procenti 5" xfId="6" xr:uid="{00000000-0005-0000-0000-0000A5000000}"/>
    <cellStyle name="Procenti 6" xfId="73" xr:uid="{00000000-0005-0000-0000-0000A6000000}"/>
    <cellStyle name="Procenti 7" xfId="80" xr:uid="{00000000-0005-0000-0000-0000A7000000}"/>
    <cellStyle name="Style 1" xfId="169" xr:uid="{00000000-0005-0000-0000-0000AA000000}"/>
    <cellStyle name="Tālruņa numurs" xfId="211" xr:uid="{B8C2BBA4-491B-4C8E-967C-8909EA0A9A6D}"/>
    <cellStyle name="Title" xfId="101" builtinId="15" customBuiltin="1"/>
    <cellStyle name="Title 2" xfId="206" xr:uid="{F7EDA3B8-B2E2-476D-9C0C-F20AEF5341CE}"/>
    <cellStyle name="Total" xfId="116" builtinId="25" customBuiltin="1"/>
    <cellStyle name="Valūta 2" xfId="21" xr:uid="{00000000-0005-0000-0000-0000AC000000}"/>
    <cellStyle name="Valūta 3" xfId="79" xr:uid="{00000000-0005-0000-0000-0000AD000000}"/>
    <cellStyle name="Virsraksts 2 2" xfId="85" xr:uid="{00000000-0005-0000-0000-0000B0000000}"/>
    <cellStyle name="Warning Text" xfId="114" builtinId="11" customBuiltin="1"/>
  </cellStyles>
  <dxfs count="8">
    <dxf>
      <font>
        <b val="0"/>
        <i val="0"/>
        <strike val="0"/>
        <condense val="0"/>
        <extend val="0"/>
        <outline val="0"/>
        <shadow val="0"/>
        <u val="none"/>
        <vertAlign val="baseline"/>
        <sz val="11"/>
        <color auto="1"/>
        <name val="Calibri"/>
        <scheme val="minor"/>
      </font>
      <numFmt numFmtId="176" formatCode="_-* #,##0\ [$EUR]_-;\-* #,##0\ [$EUR]_-;_-* &quot;-&quot;\ [$EUR]_-;_-@_-"/>
      <alignment horizontal="left" vertical="bottom" textRotation="0" wrapText="1" indent="0" justifyLastLine="0" shrinkToFit="0" readingOrder="0"/>
    </dxf>
    <dxf>
      <font>
        <b/>
        <i val="0"/>
        <strike val="0"/>
        <condense val="0"/>
        <extend val="0"/>
        <outline val="0"/>
        <shadow val="0"/>
        <u val="none"/>
        <vertAlign val="baseline"/>
        <sz val="11"/>
        <color auto="1"/>
        <name val="Calibri"/>
        <scheme val="minor"/>
      </font>
      <alignment horizontal="right" vertical="bottom" textRotation="0" wrapText="1" indent="1"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i val="0"/>
      </font>
      <fill>
        <patternFill>
          <bgColor theme="0" tint="-4.9989318521683403E-2"/>
        </patternFill>
      </fill>
      <border>
        <left style="thin">
          <color auto="1"/>
        </left>
        <right style="thin">
          <color auto="1"/>
        </right>
        <top style="thin">
          <color auto="1"/>
        </top>
        <bottom style="thin">
          <color auto="1"/>
        </bottom>
      </border>
    </dxf>
    <dxf>
      <border>
        <left style="thin">
          <color auto="1"/>
        </left>
      </border>
    </dxf>
    <dxf>
      <font>
        <b val="0"/>
        <i val="0"/>
        <color theme="1"/>
      </font>
      <border diagonalUp="0" diagonalDown="0">
        <left/>
        <right/>
        <top style="thin">
          <color auto="1"/>
        </top>
        <bottom/>
        <vertical/>
        <horizontal/>
      </border>
    </dxf>
    <dxf>
      <font>
        <b/>
        <i val="0"/>
        <color auto="1"/>
      </font>
      <fill>
        <patternFill patternType="solid">
          <fgColor theme="1"/>
          <bgColor theme="0" tint="-4.9989318521683403E-2"/>
        </patternFill>
      </fill>
      <border>
        <left style="thin">
          <color auto="1"/>
        </left>
        <right style="thin">
          <color auto="1"/>
        </right>
        <top style="thin">
          <color auto="1"/>
        </top>
        <bottom style="thin">
          <color auto="1"/>
        </bottom>
      </border>
    </dxf>
    <dxf>
      <font>
        <color theme="1"/>
      </font>
      <border>
        <left style="thin">
          <color theme="1"/>
        </left>
        <right style="thin">
          <color theme="1"/>
        </right>
        <top style="thin">
          <color theme="1"/>
        </top>
        <bottom style="thin">
          <color theme="1"/>
        </bottom>
        <horizontal style="thin">
          <color theme="1"/>
        </horizontal>
      </border>
    </dxf>
  </dxfs>
  <tableStyles count="1" defaultTableStyle="TableStyleMedium2" defaultPivotStyle="PivotStyleLight16">
    <tableStyle name="Cenas piedāvājums bez nodokļiem" pivot="0" count="5" xr9:uid="{871887C5-7C14-480F-844A-DDBD2B7AF061}">
      <tableStyleElement type="wholeTable" dxfId="7"/>
      <tableStyleElement type="headerRow" dxfId="6"/>
      <tableStyleElement type="totalRow" dxfId="5"/>
      <tableStyleElement type="lastColumn" dxfId="4"/>
      <tableStyleElement type="lastTotalCell" dxfId="3"/>
    </tableStyle>
  </tableStyles>
  <colors>
    <mruColors>
      <color rgb="FF8E267F"/>
      <color rgb="FFFFCC66"/>
      <color rgb="FFFFFF99"/>
      <color rgb="FF6CA644"/>
      <color rgb="FF0FA8C1"/>
      <color rgb="FFFFFFCC"/>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5</xdr:col>
      <xdr:colOff>0</xdr:colOff>
      <xdr:row>54</xdr:row>
      <xdr:rowOff>0</xdr:rowOff>
    </xdr:from>
    <xdr:to>
      <xdr:col>5</xdr:col>
      <xdr:colOff>922020</xdr:colOff>
      <xdr:row>54</xdr:row>
      <xdr:rowOff>693420</xdr:rowOff>
    </xdr:to>
    <xdr:pic>
      <xdr:nvPicPr>
        <xdr:cNvPr id="2" name="Picture 3" descr="FLORBOLA BORTI ROSCO ACTIVE IFF (MELNI) INDOOR – precessportam.lv">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79280" y="16352520"/>
          <a:ext cx="922020" cy="693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55</xdr:row>
      <xdr:rowOff>0</xdr:rowOff>
    </xdr:from>
    <xdr:to>
      <xdr:col>6</xdr:col>
      <xdr:colOff>22860</xdr:colOff>
      <xdr:row>55</xdr:row>
      <xdr:rowOff>1280160</xdr:rowOff>
    </xdr:to>
    <xdr:pic>
      <xdr:nvPicPr>
        <xdr:cNvPr id="3" name="Picture 4" descr="Gerflor Taraflex Sport M Evolution -official floorball floor mat |  Lujakunto.com">
          <a:extLst>
            <a:ext uri="{FF2B5EF4-FFF2-40B4-BE49-F238E27FC236}">
              <a16:creationId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479280" y="18844260"/>
          <a:ext cx="1249680" cy="1059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X:\Users\sarmite\Desktop\2010\2014\22.12.2014\Budzeta_projekts%202014_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ARNIS\formas\dok_registrs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pielikums_Saist_apm_EUR_fakts"/>
      <sheetName val="4.pielikums_Saist_apmērs_ap EUR"/>
      <sheetName val="EKK_saturs"/>
      <sheetName val="2014.gada budzeta plans"/>
      <sheetName val="Groz_NIN_12_2014"/>
      <sheetName val="Grafiki"/>
      <sheetName val="KA_31122013"/>
      <sheetName val="Vertetie_ienemumi_2014"/>
      <sheetName val="Saturs2014"/>
      <sheetName val="Investicijas_aktivitates"/>
      <sheetName val="Kopsavilkums"/>
      <sheetName val="Rolling"/>
      <sheetName val="Gaujas_svetki"/>
      <sheetName val="Parvalde"/>
      <sheetName val="Celi"/>
      <sheetName val="LegGold2013"/>
      <sheetName val="Alga_01_2014"/>
      <sheetName val="2014_85%"/>
      <sheetName val="Deputāti"/>
      <sheetName val="Iepirk_komisija"/>
      <sheetName val="Adm_komisija"/>
      <sheetName val="Nepilngad_lietu_komisija"/>
      <sheetName val="Avizes izmaksas"/>
      <sheetName val="Projekti_2014"/>
      <sheetName val="PrivatasII"/>
      <sheetName val="KA_31122012"/>
      <sheetName val="Edinasana"/>
      <sheetName val="Sheet2"/>
      <sheetName val="Spec_budz"/>
      <sheetName val="Neielikts_2013"/>
      <sheetName val="Sports2013"/>
      <sheetName val="Lapa1 (2)"/>
    </sheetNames>
    <sheetDataSet>
      <sheetData sheetId="0"/>
      <sheetData sheetId="1"/>
      <sheetData sheetId="2"/>
      <sheetData sheetId="3">
        <row r="44">
          <cell r="Q44">
            <v>240644.61784508912</v>
          </cell>
        </row>
      </sheetData>
      <sheetData sheetId="4">
        <row r="32">
          <cell r="F32">
            <v>905997</v>
          </cell>
        </row>
      </sheetData>
      <sheetData sheetId="5"/>
      <sheetData sheetId="6"/>
      <sheetData sheetId="7">
        <row r="36">
          <cell r="C36">
            <v>5078304.9348664423</v>
          </cell>
        </row>
      </sheetData>
      <sheetData sheetId="8">
        <row r="14">
          <cell r="Q14">
            <v>430025</v>
          </cell>
        </row>
      </sheetData>
      <sheetData sheetId="9"/>
      <sheetData sheetId="10">
        <row r="2130">
          <cell r="I2130">
            <v>90500</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raksts"/>
      <sheetName val="Firma"/>
      <sheetName val="Izsniedzejs"/>
      <sheetName val="Ligumi"/>
      <sheetName val="Darijums"/>
      <sheetName val="Apmaksa"/>
    </sheetNames>
    <sheetDataSet>
      <sheetData sheetId="0"/>
      <sheetData sheetId="1" refreshError="1">
        <row r="1">
          <cell r="A1" t="str">
            <v>Uzņēmums / Persona</v>
          </cell>
        </row>
        <row r="2">
          <cell r="A2" t="str">
            <v xml:space="preserve"> </v>
          </cell>
        </row>
        <row r="3">
          <cell r="A3" t="str">
            <v>A.B.V. SIA</v>
          </cell>
        </row>
        <row r="4">
          <cell r="A4" t="str">
            <v>4.krēsli SIA</v>
          </cell>
        </row>
        <row r="5">
          <cell r="A5" t="str">
            <v>A.Lapsiņas uzņēmums Apgāds skolai</v>
          </cell>
        </row>
        <row r="6">
          <cell r="A6" t="str">
            <v>AB BAMBUSS SIA</v>
          </cell>
        </row>
        <row r="7">
          <cell r="A7" t="str">
            <v>ABORA SIA</v>
          </cell>
        </row>
        <row r="8">
          <cell r="A8" t="str">
            <v>Adazi Bio Power SIA</v>
          </cell>
        </row>
        <row r="9">
          <cell r="A9" t="str">
            <v>ĀDAŽI PROJEKTS SIA</v>
          </cell>
        </row>
        <row r="10">
          <cell r="A10" t="str">
            <v>Ādažu 1.fotogrupa, Diāna Taube</v>
          </cell>
        </row>
        <row r="11">
          <cell r="A11" t="str">
            <v>Ādažu aptieka SIA</v>
          </cell>
        </row>
        <row r="12">
          <cell r="A12" t="str">
            <v>Ādažu Brīvā Valdorfa skola, Biedrība</v>
          </cell>
        </row>
        <row r="13">
          <cell r="A13" t="str">
            <v>Ādažu fotogrāfu biedrība - Sabiedriska organizācija</v>
          </cell>
        </row>
        <row r="14">
          <cell r="A14" t="str">
            <v>ĀDAŽU GLĀBŠANAS DIENESTS PSIA</v>
          </cell>
        </row>
        <row r="15">
          <cell r="A15" t="str">
            <v>Ādažu Hidromehanizācija SIA</v>
          </cell>
        </row>
        <row r="16">
          <cell r="A16" t="str">
            <v>ĀDAŽU ĪPAŠUMI SIA</v>
          </cell>
        </row>
        <row r="17">
          <cell r="A17" t="str">
            <v>ĀDAŽU METĀLS Sia</v>
          </cell>
        </row>
        <row r="18">
          <cell r="A18" t="str">
            <v>ĀDAŽU NAMSAIMNIEKS SIA</v>
          </cell>
        </row>
        <row r="19">
          <cell r="A19" t="str">
            <v>Ādažu novada vēlēšanu komisija</v>
          </cell>
        </row>
        <row r="20">
          <cell r="A20" t="str">
            <v>Ādažu slimnīca PSIA</v>
          </cell>
        </row>
        <row r="21">
          <cell r="A21" t="str">
            <v>ĀDAŽU SPORTA CENTRS SIA</v>
          </cell>
        </row>
        <row r="22">
          <cell r="A22" t="str">
            <v>ĀDAŽU ŪDENS SIA</v>
          </cell>
        </row>
        <row r="23">
          <cell r="A23" t="str">
            <v>AGD GRUPA SIA</v>
          </cell>
        </row>
        <row r="24">
          <cell r="A24" t="str">
            <v xml:space="preserve">Agita Vīra </v>
          </cell>
        </row>
        <row r="25">
          <cell r="A25" t="str">
            <v>AGLV SIA</v>
          </cell>
        </row>
        <row r="26">
          <cell r="A26" t="str">
            <v>Agnese Prokofjeva</v>
          </cell>
        </row>
        <row r="27">
          <cell r="A27" t="str">
            <v>Agneta Akseņenko</v>
          </cell>
        </row>
        <row r="28">
          <cell r="A28" t="str">
            <v>AGNIERS SIA</v>
          </cell>
        </row>
        <row r="29">
          <cell r="A29" t="str">
            <v>AGREINO SIA</v>
          </cell>
        </row>
        <row r="30">
          <cell r="A30" t="str">
            <v>Agris Kiršteins</v>
          </cell>
        </row>
        <row r="31">
          <cell r="A31" t="str">
            <v>Agris Ļitvinovs</v>
          </cell>
        </row>
        <row r="32">
          <cell r="A32" t="str">
            <v>Agris Upīts</v>
          </cell>
        </row>
        <row r="33">
          <cell r="A33" t="str">
            <v>Aģentūra Radars SIA</v>
          </cell>
        </row>
        <row r="34">
          <cell r="A34" t="str">
            <v>Aīda Kalniņa</v>
          </cell>
        </row>
        <row r="35">
          <cell r="A35" t="str">
            <v>Aija Ausēja-Rudzīte</v>
          </cell>
        </row>
        <row r="36">
          <cell r="A36" t="str">
            <v>AIVARS VITKOVSKIS</v>
          </cell>
        </row>
        <row r="37">
          <cell r="A37" t="str">
            <v>Aivija Amaris SIA</v>
          </cell>
        </row>
        <row r="38">
          <cell r="A38" t="str">
            <v>AJ Produkti AS</v>
          </cell>
        </row>
        <row r="39">
          <cell r="A39" t="str">
            <v>AKKA LAA</v>
          </cell>
        </row>
        <row r="40">
          <cell r="A40" t="str">
            <v>AKMENS APSTRĀDES CENTRS AKM SIA</v>
          </cell>
        </row>
        <row r="41">
          <cell r="A41" t="str">
            <v>ALAN LTD SIA</v>
          </cell>
        </row>
        <row r="42">
          <cell r="A42" t="str">
            <v>ALARMA SERVISS SIA</v>
          </cell>
        </row>
        <row r="43">
          <cell r="A43" t="str">
            <v>ALDO Grupa SIA</v>
          </cell>
        </row>
        <row r="44">
          <cell r="A44" t="str">
            <v>ALEJA D SIA</v>
          </cell>
        </row>
        <row r="45">
          <cell r="A45" t="str">
            <v>ALEKSANDRS JALANECKIS</v>
          </cell>
        </row>
        <row r="46">
          <cell r="A46" t="str">
            <v>ALEKSANDRS KARATAJEVS</v>
          </cell>
        </row>
        <row r="47">
          <cell r="A47" t="str">
            <v>ALEKSANDRS KORJAKINS</v>
          </cell>
        </row>
        <row r="48">
          <cell r="A48" t="str">
            <v>Aleksandrs Kulakovs</v>
          </cell>
        </row>
        <row r="49">
          <cell r="A49" t="str">
            <v>Aleksandrs Sidorovs</v>
          </cell>
        </row>
        <row r="50">
          <cell r="A50" t="str">
            <v>ALEKSIS-M SIA</v>
          </cell>
        </row>
        <row r="51">
          <cell r="A51" t="str">
            <v>ALENTA SIA</v>
          </cell>
        </row>
        <row r="52">
          <cell r="A52" t="str">
            <v>ALT AUTO SIA</v>
          </cell>
        </row>
        <row r="53">
          <cell r="A53" t="str">
            <v>ALT NOMA</v>
          </cell>
        </row>
        <row r="54">
          <cell r="A54" t="str">
            <v>Alūksnes novada pašvaldības Izglītības pārvalde</v>
          </cell>
        </row>
        <row r="55">
          <cell r="A55" t="str">
            <v>Aļona Kļevcova</v>
          </cell>
        </row>
        <row r="56">
          <cell r="A56" t="str">
            <v>AMARO SIA</v>
          </cell>
        </row>
        <row r="57">
          <cell r="A57" t="str">
            <v xml:space="preserve">Amatierteātris "Kontakts" - Nereģistrēta iedzīvojāju grupa </v>
          </cell>
        </row>
        <row r="58">
          <cell r="A58" t="str">
            <v>AMBER LINE SIA</v>
          </cell>
        </row>
        <row r="59">
          <cell r="A59" t="str">
            <v>ANDRA STAĻĢA firma "ELEKTROREMONTS" SIA</v>
          </cell>
        </row>
        <row r="60">
          <cell r="A60" t="str">
            <v>ANDRIS BALTACIS</v>
          </cell>
        </row>
        <row r="61">
          <cell r="A61" t="str">
            <v>Andris Podziņš</v>
          </cell>
        </row>
        <row r="62">
          <cell r="A62" t="str">
            <v>Androna SIA</v>
          </cell>
        </row>
        <row r="63">
          <cell r="A63" t="str">
            <v>Anita Caune</v>
          </cell>
        </row>
        <row r="64">
          <cell r="A64" t="str">
            <v>ANITA KRŪZMANE</v>
          </cell>
        </row>
        <row r="65">
          <cell r="A65" t="str">
            <v>ANITRA SIA</v>
          </cell>
        </row>
        <row r="66">
          <cell r="A66" t="str">
            <v>Aniva SIA</v>
          </cell>
        </row>
        <row r="67">
          <cell r="A67" t="str">
            <v>ANPA SIA</v>
          </cell>
        </row>
        <row r="68">
          <cell r="A68" t="str">
            <v>ANTARS SIA</v>
          </cell>
        </row>
        <row r="69">
          <cell r="A69" t="str">
            <v>Apes novada dome</v>
          </cell>
        </row>
        <row r="70">
          <cell r="A70" t="str">
            <v>Apgāds Zvaigzne ABC SIA</v>
          </cell>
        </row>
        <row r="71">
          <cell r="A71" t="str">
            <v>AQUA-BRAMBIS SIA</v>
          </cell>
        </row>
        <row r="72">
          <cell r="A72" t="str">
            <v>ARCHITECTUS SIA</v>
          </cell>
        </row>
        <row r="73">
          <cell r="A73" t="str">
            <v>ARCO DEVELOPMENT SIA</v>
          </cell>
        </row>
        <row r="74">
          <cell r="A74" t="str">
            <v>ARHITECTUS SIA</v>
          </cell>
        </row>
        <row r="75">
          <cell r="A75" t="str">
            <v>ARĪTS SIA</v>
          </cell>
        </row>
        <row r="76">
          <cell r="A76" t="str">
            <v>Armands Bāliņš</v>
          </cell>
        </row>
        <row r="77">
          <cell r="A77" t="str">
            <v>ARPOS SIA</v>
          </cell>
        </row>
        <row r="78">
          <cell r="A78" t="str">
            <v>ARTŪRS MANGULIS</v>
          </cell>
        </row>
        <row r="79">
          <cell r="A79" t="str">
            <v>Artūrs Putnis</v>
          </cell>
        </row>
        <row r="80">
          <cell r="A80" t="str">
            <v>a-skola SIA</v>
          </cell>
        </row>
        <row r="81">
          <cell r="A81" t="str">
            <v>ATLASE SIA</v>
          </cell>
        </row>
        <row r="82">
          <cell r="A82" t="str">
            <v>Atmodas Nereģistrēta iedzīvotāju grupa, Andrejs Petskojs</v>
          </cell>
        </row>
        <row r="83">
          <cell r="A83" t="str">
            <v>AUDIT ADVICE SIA</v>
          </cell>
        </row>
        <row r="84">
          <cell r="A84" t="str">
            <v xml:space="preserve">Audzītes, Nereģistrēto iedzīvotāju grupa, Linda Cintiņa </v>
          </cell>
        </row>
        <row r="85">
          <cell r="A85" t="str">
            <v>AUSMA BEĶERE</v>
          </cell>
        </row>
        <row r="86">
          <cell r="A86" t="str">
            <v>AUTOOGA SIA</v>
          </cell>
        </row>
        <row r="87">
          <cell r="A87" t="str">
            <v>Ažiņa k/f Mārkets SIA</v>
          </cell>
        </row>
        <row r="88">
          <cell r="A88" t="str">
            <v>Babītes novada pašvaldība</v>
          </cell>
        </row>
        <row r="89">
          <cell r="A89" t="str">
            <v>Baiba Blūzma</v>
          </cell>
        </row>
        <row r="90">
          <cell r="A90" t="str">
            <v>BALDONE V.S.A.C.</v>
          </cell>
        </row>
        <row r="91">
          <cell r="A91" t="str">
            <v>Baldones novada dome</v>
          </cell>
        </row>
        <row r="92">
          <cell r="A92" t="str">
            <v>BALDZE SIA</v>
          </cell>
        </row>
        <row r="93">
          <cell r="A93" t="str">
            <v>BALTA AAS</v>
          </cell>
        </row>
        <row r="94">
          <cell r="A94" t="str">
            <v>BALTAIS FONDS  S/O</v>
          </cell>
        </row>
        <row r="95">
          <cell r="A95" t="str">
            <v>BALTENEKO  SIA</v>
          </cell>
        </row>
        <row r="96">
          <cell r="A96" t="str">
            <v>BALTENEKO SIA</v>
          </cell>
        </row>
        <row r="97">
          <cell r="A97" t="str">
            <v>Baltezera Fani, Nereģistrēto iedzīvotāju grupa, Gundega Miglava</v>
          </cell>
        </row>
        <row r="98">
          <cell r="A98" t="str">
            <v>Baltezera pērle SIA</v>
          </cell>
        </row>
        <row r="99">
          <cell r="A99" t="str">
            <v>BALTIC CONSTRUCTION ENTERPRISE SIA</v>
          </cell>
        </row>
        <row r="100">
          <cell r="A100" t="str">
            <v>Baltijas  Banknote SIA</v>
          </cell>
        </row>
        <row r="101">
          <cell r="A101" t="str">
            <v>BALTIJAS AUTOLĪZINGS SIA</v>
          </cell>
        </row>
        <row r="102">
          <cell r="A102" t="str">
            <v>BALTIJAS BASEINI SIA</v>
          </cell>
        </row>
        <row r="103">
          <cell r="A103" t="str">
            <v>BALTIJAS KOMUNIKĀCIJU CENTRS SIA</v>
          </cell>
        </row>
        <row r="104">
          <cell r="A104" t="str">
            <v>BALTSURVEY SIA</v>
          </cell>
        </row>
        <row r="105">
          <cell r="A105" t="str">
            <v>BĀRDAIŅI-1 SIA</v>
          </cell>
        </row>
        <row r="106">
          <cell r="A106" t="str">
            <v>Bauskas novada dome</v>
          </cell>
        </row>
        <row r="107">
          <cell r="A107" t="str">
            <v>BDO INVEST-RĪGA AS</v>
          </cell>
        </row>
        <row r="108">
          <cell r="A108" t="str">
            <v>Bentley Systems Europe B.V.</v>
          </cell>
        </row>
        <row r="109">
          <cell r="A109" t="str">
            <v>Bermiz SIA</v>
          </cell>
        </row>
        <row r="110">
          <cell r="A110" t="str">
            <v>Beverīnas novada pašvaldība</v>
          </cell>
        </row>
        <row r="111">
          <cell r="A111" t="str">
            <v>BG SIA</v>
          </cell>
        </row>
        <row r="112">
          <cell r="A112" t="str">
            <v>Biedrība " Futbola skola "Garkalne""</v>
          </cell>
        </row>
        <row r="113">
          <cell r="A113" t="str">
            <v>Biedrība " Juglas Dzīvnieku aizsardzības grupa "</v>
          </cell>
        </row>
        <row r="114">
          <cell r="A114" t="str">
            <v>Biedrība " Sporta klubs "KUMITE""</v>
          </cell>
        </row>
        <row r="115">
          <cell r="A115" t="str">
            <v>Biedrība "DZĪVESSPĒKS"</v>
          </cell>
        </row>
        <row r="116">
          <cell r="A116" t="str">
            <v>Biedrība "Latvijas Badmintona federācija"</v>
          </cell>
        </row>
        <row r="117">
          <cell r="A117" t="str">
            <v>Biedrība "Latvijas Izpildītāju un producentu apvienība"</v>
          </cell>
        </row>
        <row r="118">
          <cell r="A118" t="str">
            <v>Biedrība "Mednieku klubs"Laveri"</v>
          </cell>
        </row>
        <row r="119">
          <cell r="A119" t="str">
            <v>Biedrība "Privātā vidusskola ĀBVS"</v>
          </cell>
        </row>
        <row r="120">
          <cell r="A120" t="str">
            <v>Biedrība "Svētku aģentūra Santa"</v>
          </cell>
        </row>
        <row r="121">
          <cell r="A121" t="str">
            <v>Biedrība Autortiesību un komunicēšanās konsultāciju aģentūra</v>
          </cell>
        </row>
        <row r="122">
          <cell r="A122" t="str">
            <v>Biedrība" Futbola klubs "Ādaži""</v>
          </cell>
        </row>
        <row r="123">
          <cell r="A123" t="str">
            <v>Biedrība"Maxsharks sports "</v>
          </cell>
        </row>
        <row r="124">
          <cell r="A124" t="str">
            <v>BIĶERNIEKU KOMPLEKSĀ SPORTA BĀZE VAS</v>
          </cell>
        </row>
        <row r="125">
          <cell r="A125" t="str">
            <v>BIOR Pārikas drošības, dzīvnieku veselības un vides zinātniskais institūts</v>
          </cell>
        </row>
        <row r="126">
          <cell r="A126" t="str">
            <v>BIRUTA VIMBA</v>
          </cell>
        </row>
        <row r="127">
          <cell r="A127" t="str">
            <v>BIRUTAS BIROJS SIA</v>
          </cell>
        </row>
        <row r="128">
          <cell r="A128" t="str">
            <v>BIZNESA KOMPLEKSS SIA KIF</v>
          </cell>
        </row>
        <row r="129">
          <cell r="A129" t="str">
            <v>BOLDEKS SIA</v>
          </cell>
        </row>
        <row r="130">
          <cell r="A130" t="str">
            <v>BRASA SBS SIA</v>
          </cell>
        </row>
        <row r="131">
          <cell r="A131" t="str">
            <v>BRINUM-X SIA</v>
          </cell>
        </row>
        <row r="132">
          <cell r="A132" t="str">
            <v>BRUKS SIA</v>
          </cell>
        </row>
        <row r="133">
          <cell r="A133" t="str">
            <v>BT PROJEKTS SIA</v>
          </cell>
        </row>
        <row r="134">
          <cell r="A134" t="str">
            <v>BTA AAS</v>
          </cell>
        </row>
        <row r="135">
          <cell r="A135" t="str">
            <v>BTA Insurance Company SE</v>
          </cell>
        </row>
        <row r="136">
          <cell r="A136" t="str">
            <v>BUSINESS PARTNER SIA</v>
          </cell>
        </row>
        <row r="137">
          <cell r="A137" t="str">
            <v>CAMELIA SIA</v>
          </cell>
        </row>
        <row r="138">
          <cell r="A138" t="str">
            <v>CARDO SIA</v>
          </cell>
        </row>
        <row r="139">
          <cell r="A139" t="str">
            <v>Carnikavas novada dome</v>
          </cell>
        </row>
        <row r="140">
          <cell r="A140" t="str">
            <v>CEĻOJUMU KLUBS RSP biedrība</v>
          </cell>
        </row>
        <row r="141">
          <cell r="A141" t="str">
            <v>CEĻOTĀJU VEIKALS VIA Baltica IK</v>
          </cell>
        </row>
        <row r="142">
          <cell r="A142" t="str">
            <v xml:space="preserve">Ceļu satiksmes drošības direkcija </v>
          </cell>
        </row>
        <row r="143">
          <cell r="A143" t="str">
            <v>Centrālā finanšu un līgumu aģentūra</v>
          </cell>
        </row>
        <row r="144">
          <cell r="A144" t="str">
            <v>Cerebellum SIA</v>
          </cell>
        </row>
        <row r="145">
          <cell r="A145" t="str">
            <v>Cēsu novada pašvaldība</v>
          </cell>
        </row>
        <row r="146">
          <cell r="A146" t="str">
            <v>CIEDRA A SIA</v>
          </cell>
        </row>
        <row r="147">
          <cell r="A147" t="str">
            <v>CONVENTS LAW Office</v>
          </cell>
        </row>
        <row r="148">
          <cell r="A148" t="str">
            <v>CV-ONLINE LATVIA SIA</v>
          </cell>
        </row>
        <row r="149">
          <cell r="A149" t="str">
            <v>Da &amp; Jo  SIA</v>
          </cell>
        </row>
        <row r="150">
          <cell r="A150" t="str">
            <v>DACE DIENAVA</v>
          </cell>
        </row>
        <row r="151">
          <cell r="A151" t="str">
            <v>Dace Medniece</v>
          </cell>
        </row>
        <row r="152">
          <cell r="A152" t="str">
            <v>DAGI SIA</v>
          </cell>
        </row>
        <row r="153">
          <cell r="A153" t="str">
            <v>DAGNIJA PUĶĪTE</v>
          </cell>
        </row>
        <row r="154">
          <cell r="A154" t="str">
            <v>Daiļrade RC SIA</v>
          </cell>
        </row>
        <row r="155">
          <cell r="A155" t="str">
            <v>DAINA KALNIŅA</v>
          </cell>
        </row>
        <row r="156">
          <cell r="A156" t="str">
            <v>DAINA SALMIŅA</v>
          </cell>
        </row>
        <row r="157">
          <cell r="A157" t="str">
            <v xml:space="preserve">DAINIS PIEBALGS </v>
          </cell>
        </row>
        <row r="158">
          <cell r="A158" t="str">
            <v>Dainis Popovs</v>
          </cell>
        </row>
        <row r="159">
          <cell r="A159" t="str">
            <v>DAIRA SIA</v>
          </cell>
        </row>
        <row r="160">
          <cell r="A160" t="str">
            <v>DALA SIA</v>
          </cell>
        </row>
        <row r="161">
          <cell r="A161" t="str">
            <v>DANFO MASTER SIA</v>
          </cell>
        </row>
        <row r="162">
          <cell r="A162" t="str">
            <v>DANTRA SIA</v>
          </cell>
        </row>
        <row r="163">
          <cell r="A163" t="str">
            <v>DARBA APĢĒRBU SERVISS SIA</v>
          </cell>
        </row>
        <row r="164">
          <cell r="A164" t="str">
            <v>Dartes SIA</v>
          </cell>
        </row>
        <row r="165">
          <cell r="A165" t="str">
            <v>DĀRZA GURU SIA</v>
          </cell>
        </row>
        <row r="166">
          <cell r="A166" t="str">
            <v>DAS SIA</v>
          </cell>
        </row>
        <row r="167">
          <cell r="A167" t="str">
            <v>DASKO SIA</v>
          </cell>
        </row>
        <row r="168">
          <cell r="A168" t="str">
            <v>Datateks SIA</v>
          </cell>
        </row>
        <row r="169">
          <cell r="A169" t="str">
            <v>DAUGAVPILS ENERGOCELTNIEKS SIA</v>
          </cell>
        </row>
        <row r="170">
          <cell r="A170" t="str">
            <v>Dāvanu karte SIA</v>
          </cell>
        </row>
        <row r="171">
          <cell r="A171" t="str">
            <v>DDBC SIA</v>
          </cell>
        </row>
        <row r="172">
          <cell r="A172" t="str">
            <v>DDV SIA</v>
          </cell>
        </row>
        <row r="173">
          <cell r="A173" t="str">
            <v>DEIMS SIA</v>
          </cell>
        </row>
        <row r="174">
          <cell r="A174" t="str">
            <v>Delta Audio SIA</v>
          </cell>
        </row>
        <row r="175">
          <cell r="A175" t="str">
            <v>Delta Urban SIA</v>
          </cell>
        </row>
        <row r="176">
          <cell r="A176" t="str">
            <v>DEMOKRĀTI LV PP</v>
          </cell>
        </row>
        <row r="177">
          <cell r="A177" t="str">
            <v>DEPO DIY SIA</v>
          </cell>
        </row>
        <row r="178">
          <cell r="A178" t="str">
            <v>DEX SIA</v>
          </cell>
        </row>
        <row r="179">
          <cell r="A179" t="str">
            <v xml:space="preserve">DEZINFA SIA </v>
          </cell>
        </row>
        <row r="180">
          <cell r="A180" t="str">
            <v>DIĀNA SALENIECE</v>
          </cell>
        </row>
        <row r="181">
          <cell r="A181" t="str">
            <v>DIETA LTD SIA</v>
          </cell>
        </row>
        <row r="182">
          <cell r="A182" t="str">
            <v>DITAS BALČUS TEĀTRIS - DIVAS ACIS Biedrība</v>
          </cell>
        </row>
        <row r="183">
          <cell r="A183" t="str">
            <v>DK INVEST SIA</v>
          </cell>
        </row>
        <row r="184">
          <cell r="A184" t="str">
            <v>DLG DATORS SIA</v>
          </cell>
        </row>
        <row r="185">
          <cell r="A185" t="str">
            <v>DN SISTĒMAS SIA</v>
          </cell>
        </row>
        <row r="186">
          <cell r="A186" t="str">
            <v>Dobeles novada Izglītibas pārvalde</v>
          </cell>
        </row>
        <row r="187">
          <cell r="A187" t="str">
            <v>DOMI grupe</v>
          </cell>
        </row>
        <row r="188">
          <cell r="A188" t="str">
            <v>Domiņs SIA</v>
          </cell>
        </row>
        <row r="189">
          <cell r="A189" t="str">
            <v>DRAMATURGU TEĀTRIS Biedrība</v>
          </cell>
        </row>
        <row r="190">
          <cell r="A190" t="str">
            <v>Drošība AM SIA</v>
          </cell>
        </row>
        <row r="191">
          <cell r="A191" t="str">
            <v>DZINTARS GIRGENSONS</v>
          </cell>
        </row>
        <row r="192">
          <cell r="A192" t="str">
            <v>Dzintars Kronbergs</v>
          </cell>
        </row>
        <row r="193">
          <cell r="A193" t="str">
            <v>Dzintars Osis</v>
          </cell>
        </row>
        <row r="194">
          <cell r="A194" t="str">
            <v>ECO RUBBER</v>
          </cell>
        </row>
        <row r="195">
          <cell r="A195" t="str">
            <v>ECOVIS CONVENTS Law Office SIA</v>
          </cell>
        </row>
        <row r="196">
          <cell r="A196" t="str">
            <v>EDDI SIA</v>
          </cell>
        </row>
        <row r="197">
          <cell r="A197" t="str">
            <v>Eden Springs Latvia SIA</v>
          </cell>
        </row>
        <row r="198">
          <cell r="A198" t="str">
            <v>Edīte Johansone</v>
          </cell>
        </row>
        <row r="199">
          <cell r="A199" t="str">
            <v>Edmunda Veizāna deju skola IK</v>
          </cell>
        </row>
        <row r="200">
          <cell r="A200" t="str">
            <v>EDMUNDS VEIZĀNS Modes deju studija IK</v>
          </cell>
        </row>
        <row r="201">
          <cell r="A201" t="str">
            <v>EDVANS SIA</v>
          </cell>
        </row>
        <row r="202">
          <cell r="A202" t="str">
            <v>EDVEST  SIA</v>
          </cell>
        </row>
        <row r="203">
          <cell r="A203" t="str">
            <v>EGO projekts SIA</v>
          </cell>
        </row>
        <row r="204">
          <cell r="A204" t="str">
            <v>EGONS SIMSONS</v>
          </cell>
        </row>
        <row r="205">
          <cell r="A205" t="str">
            <v>EIGERS PROJEKTI SIA</v>
          </cell>
        </row>
        <row r="206">
          <cell r="A206" t="str">
            <v>EIMURU TĪKLI SIA</v>
          </cell>
        </row>
        <row r="207">
          <cell r="A207" t="str">
            <v>Eiroeksperts SIA</v>
          </cell>
        </row>
        <row r="208">
          <cell r="A208" t="str">
            <v>EIROPARKS SIA</v>
          </cell>
        </row>
        <row r="209">
          <cell r="A209" t="str">
            <v>EIROPARKS SIA</v>
          </cell>
        </row>
        <row r="210">
          <cell r="A210" t="str">
            <v>EIROPAS CEĻOJUMU CENTRS SIA</v>
          </cell>
        </row>
        <row r="211">
          <cell r="A211" t="str">
            <v>EIROPAS FONDU KONSULTANTI SIA</v>
          </cell>
        </row>
        <row r="212">
          <cell r="A212" t="str">
            <v>EKOPARTNERIS SIA</v>
          </cell>
        </row>
        <row r="213">
          <cell r="A213" t="str">
            <v>EKSPRESS-ĀDAŽI SIA</v>
          </cell>
        </row>
        <row r="214">
          <cell r="A214" t="str">
            <v>Elektriķis SIA</v>
          </cell>
        </row>
        <row r="215">
          <cell r="A215" t="str">
            <v>ELEKTROMONTĀŽA SIA</v>
          </cell>
        </row>
        <row r="216">
          <cell r="A216" t="str">
            <v>ELĪNA PUĶITE</v>
          </cell>
        </row>
        <row r="217">
          <cell r="A217" t="str">
            <v>ELVA BALTIC SIA</v>
          </cell>
        </row>
        <row r="218">
          <cell r="A218" t="str">
            <v>ELVA BALTIC SIA</v>
          </cell>
        </row>
        <row r="219">
          <cell r="A219" t="str">
            <v>EMERALD BALTIC SIA</v>
          </cell>
        </row>
        <row r="220">
          <cell r="A220" t="str">
            <v>EMOSS SIA</v>
          </cell>
        </row>
        <row r="221">
          <cell r="A221" t="str">
            <v>EPS AS</v>
          </cell>
        </row>
        <row r="222">
          <cell r="A222" t="str">
            <v>ERGO Latvija AAS</v>
          </cell>
        </row>
        <row r="223">
          <cell r="A223" t="str">
            <v>ERGO Latvija dzīvība AAS</v>
          </cell>
        </row>
        <row r="224">
          <cell r="A224" t="str">
            <v>ERMITĀŽAS RISINĀJUMI SIA</v>
          </cell>
        </row>
        <row r="225">
          <cell r="A225" t="str">
            <v>Ervīns Musts</v>
          </cell>
        </row>
        <row r="226">
          <cell r="A226" t="str">
            <v>ESNET SIA</v>
          </cell>
        </row>
        <row r="227">
          <cell r="A227" t="str">
            <v>ET Sistēmas SIA</v>
          </cell>
        </row>
        <row r="228">
          <cell r="A228" t="str">
            <v>EuroLatCapital SIA</v>
          </cell>
        </row>
        <row r="229">
          <cell r="A229" t="str">
            <v>EVA-SERVISS SIA</v>
          </cell>
        </row>
        <row r="230">
          <cell r="A230" t="str">
            <v>Everita Kāpa</v>
          </cell>
        </row>
        <row r="231">
          <cell r="A231" t="str">
            <v>EVIJA BELICKA</v>
          </cell>
        </row>
        <row r="232">
          <cell r="A232" t="str">
            <v>EWE SIA</v>
          </cell>
        </row>
        <row r="233">
          <cell r="A233" t="str">
            <v>EXODUS TV IK</v>
          </cell>
        </row>
        <row r="234">
          <cell r="A234" t="str">
            <v>FABLEX SIA</v>
          </cell>
        </row>
        <row r="235">
          <cell r="A235" t="str">
            <v>FEELANCER SIA</v>
          </cell>
        </row>
        <row r="236">
          <cell r="A236" t="str">
            <v>FIAS SIA</v>
          </cell>
        </row>
        <row r="237">
          <cell r="A237" t="str">
            <v>FIDEA SIA</v>
          </cell>
        </row>
        <row r="238">
          <cell r="A238" t="str">
            <v>Filings.lv SIA</v>
          </cell>
        </row>
        <row r="239">
          <cell r="A239" t="str">
            <v>Filmu studija Jūra SIA</v>
          </cell>
        </row>
        <row r="240">
          <cell r="A240" t="str">
            <v>Finanšu akadēmija SIA</v>
          </cell>
        </row>
        <row r="241">
          <cell r="A241" t="str">
            <v>FIRM</v>
          </cell>
        </row>
        <row r="242">
          <cell r="A242" t="str">
            <v>Firma ELEKTRIĶIS SIA</v>
          </cell>
        </row>
        <row r="243">
          <cell r="A243" t="str">
            <v>FM Ādaži SIA</v>
          </cell>
        </row>
        <row r="244">
          <cell r="A244" t="str">
            <v>FN-SERVISS  SIA</v>
          </cell>
        </row>
        <row r="245">
          <cell r="A245" t="str">
            <v>FONTES VADĪBAS KONSULTĀCIJAS</v>
          </cell>
        </row>
        <row r="246">
          <cell r="A246" t="str">
            <v>FUNERAL SERVICE  Latvia SIA</v>
          </cell>
        </row>
        <row r="247">
          <cell r="A247" t="str">
            <v>Futbola klubs "Ādaži" Biedrība</v>
          </cell>
        </row>
        <row r="248">
          <cell r="A248" t="str">
            <v>G KOLIZEJS SIA</v>
          </cell>
        </row>
        <row r="249">
          <cell r="A249" t="str">
            <v>GAILĪTIS-G SIA</v>
          </cell>
        </row>
        <row r="250">
          <cell r="A250" t="str">
            <v>GALAPRO IK</v>
          </cell>
        </row>
        <row r="251">
          <cell r="A251" t="str">
            <v>Garāžu īpašnieku Kooperatīva sabiedrība "KADAGA 2"</v>
          </cell>
        </row>
        <row r="252">
          <cell r="A252" t="str">
            <v>Garkalnes novada dome</v>
          </cell>
        </row>
        <row r="253">
          <cell r="A253" t="str">
            <v>Garkalnes ūdens SIA</v>
          </cell>
        </row>
        <row r="254">
          <cell r="A254" t="str">
            <v>Gaujas centrs SIA</v>
          </cell>
        </row>
        <row r="255">
          <cell r="A255" t="str">
            <v>Gaujas Partnerība Biedrība</v>
          </cell>
        </row>
        <row r="256">
          <cell r="A256" t="str">
            <v>GCI Latvia SIA</v>
          </cell>
        </row>
        <row r="257">
          <cell r="A257" t="str">
            <v>Getliņi EKO SIA</v>
          </cell>
        </row>
        <row r="258">
          <cell r="A258" t="str">
            <v>GIBSONS GRUPA SIA</v>
          </cell>
        </row>
        <row r="259">
          <cell r="A259" t="str">
            <v>GJENSIDIGE Baltic AAS</v>
          </cell>
        </row>
        <row r="260">
          <cell r="A260" t="str">
            <v>GLUDI LM</v>
          </cell>
        </row>
        <row r="261">
          <cell r="A261" t="str">
            <v>Grāmatu draugs Pluss SIA</v>
          </cell>
        </row>
        <row r="262">
          <cell r="A262" t="str">
            <v>GRANDUS SIA</v>
          </cell>
        </row>
        <row r="263">
          <cell r="A263" t="str">
            <v>GRĪDU SERVISS SIA</v>
          </cell>
        </row>
        <row r="264">
          <cell r="A264" t="str">
            <v>GT 19 SIA</v>
          </cell>
        </row>
        <row r="265">
          <cell r="A265" t="str">
            <v>Guard 4 you SIA</v>
          </cell>
        </row>
        <row r="266">
          <cell r="A266" t="str">
            <v>Gulbenes novada dome</v>
          </cell>
        </row>
        <row r="267">
          <cell r="A267" t="str">
            <v>GUNĀRS AVOTIŅŠ</v>
          </cell>
        </row>
        <row r="268">
          <cell r="A268" t="str">
            <v>GUNDARS PĒTERSONS</v>
          </cell>
        </row>
        <row r="269">
          <cell r="A269" t="str">
            <v>Gundars Pētersons</v>
          </cell>
        </row>
        <row r="270">
          <cell r="A270" t="str">
            <v>Gunta Briede</v>
          </cell>
        </row>
        <row r="271">
          <cell r="A271" t="str">
            <v>Gunta Puriņa</v>
          </cell>
        </row>
        <row r="272">
          <cell r="A272" t="str">
            <v>Gunta Skuja</v>
          </cell>
        </row>
        <row r="273">
          <cell r="A273" t="str">
            <v>Guntis Martuzāns</v>
          </cell>
        </row>
        <row r="274">
          <cell r="A274" t="str">
            <v>Guntis Podziņš</v>
          </cell>
        </row>
        <row r="275">
          <cell r="A275" t="str">
            <v>Guntis Porietis</v>
          </cell>
        </row>
        <row r="276">
          <cell r="A276" t="str">
            <v>Guntra Ozola</v>
          </cell>
        </row>
        <row r="277">
          <cell r="A277" t="str">
            <v>GUSTIŅI SIA</v>
          </cell>
        </row>
        <row r="278">
          <cell r="A278" t="str">
            <v>ĢEO EKO RISINĀJUMI SIA</v>
          </cell>
        </row>
        <row r="279">
          <cell r="A279" t="str">
            <v>Ģirts Lūsis</v>
          </cell>
        </row>
        <row r="280">
          <cell r="A280" t="str">
            <v>HANSABANKA AS</v>
          </cell>
        </row>
        <row r="281">
          <cell r="A281" t="str">
            <v>HEDOS SIA</v>
          </cell>
        </row>
        <row r="282">
          <cell r="A282" t="str">
            <v>HIDRO-LAVERI SIA</v>
          </cell>
        </row>
        <row r="283">
          <cell r="A283" t="str">
            <v>HIDRO-LAVERI SIA</v>
          </cell>
        </row>
        <row r="284">
          <cell r="A284" t="str">
            <v>HPJ SIA</v>
          </cell>
        </row>
        <row r="285">
          <cell r="A285" t="str">
            <v>HUMS SIA</v>
          </cell>
        </row>
        <row r="286">
          <cell r="A286" t="str">
            <v xml:space="preserve">HUMUS SIA </v>
          </cell>
        </row>
        <row r="287">
          <cell r="A287" t="str">
            <v>HYDRO STADIUM ĀDAŽI SIA</v>
          </cell>
        </row>
        <row r="288">
          <cell r="A288" t="str">
            <v>I KLUBS SIA</v>
          </cell>
        </row>
        <row r="289">
          <cell r="A289" t="str">
            <v>Iekšlietu ministrijas Informācijas centrs</v>
          </cell>
        </row>
        <row r="290">
          <cell r="A290" t="str">
            <v>IEVA NEIKENA</v>
          </cell>
        </row>
        <row r="291">
          <cell r="A291" t="str">
            <v>Ieva Neikena</v>
          </cell>
        </row>
        <row r="292">
          <cell r="A292" t="str">
            <v>IEVA ROVE</v>
          </cell>
        </row>
        <row r="293">
          <cell r="A293" t="str">
            <v>Ieva Roze</v>
          </cell>
        </row>
        <row r="294">
          <cell r="A294" t="str">
            <v>IF P&amp;C Insurance AS</v>
          </cell>
        </row>
        <row r="295">
          <cell r="A295" t="str">
            <v>IGO FOMINS</v>
          </cell>
        </row>
        <row r="296">
          <cell r="A296" t="str">
            <v>Igors Spirkovičs</v>
          </cell>
        </row>
        <row r="297">
          <cell r="A297" t="str">
            <v>IKS SPORTS SIA</v>
          </cell>
        </row>
        <row r="298">
          <cell r="A298" t="str">
            <v>Ikšķiles novada pašvaldība</v>
          </cell>
        </row>
        <row r="299">
          <cell r="A299" t="str">
            <v>Ilze Celmiņa</v>
          </cell>
        </row>
        <row r="300">
          <cell r="A300" t="str">
            <v>Ilze Jansone</v>
          </cell>
        </row>
        <row r="301">
          <cell r="A301" t="str">
            <v>IMPEL SERVIKS  SIA</v>
          </cell>
        </row>
        <row r="302">
          <cell r="A302" t="str">
            <v>Inčukalna novada dome</v>
          </cell>
        </row>
        <row r="303">
          <cell r="A303" t="str">
            <v>Indrustrial partner service Ltd SIA</v>
          </cell>
        </row>
        <row r="304">
          <cell r="A304" t="str">
            <v>Ineta Lancmane</v>
          </cell>
        </row>
        <row r="305">
          <cell r="A305" t="str">
            <v>Infovide SIA</v>
          </cell>
        </row>
        <row r="306">
          <cell r="A306" t="str">
            <v>Inga Balaševa</v>
          </cell>
        </row>
        <row r="307">
          <cell r="A307" t="str">
            <v xml:space="preserve">Inga Pērkona </v>
          </cell>
        </row>
        <row r="308">
          <cell r="A308" t="str">
            <v>INGA SKRAUCE</v>
          </cell>
        </row>
        <row r="309">
          <cell r="A309" t="str">
            <v>INGRĪDA KNAPE-EGLE</v>
          </cell>
        </row>
        <row r="310">
          <cell r="A310" t="str">
            <v>INGRĪDA KNAPE-EGLE</v>
          </cell>
        </row>
        <row r="311">
          <cell r="A311" t="str">
            <v>INGUNA BAŠA, Latvijas Zvērinātu advokātu kolēģija</v>
          </cell>
        </row>
        <row r="312">
          <cell r="A312" t="str">
            <v>Ingūna Kozlovska</v>
          </cell>
        </row>
        <row r="313">
          <cell r="A313" t="str">
            <v>INKOMERC K SIA</v>
          </cell>
        </row>
        <row r="314">
          <cell r="A314" t="str">
            <v>INTER RINO SIA</v>
          </cell>
        </row>
        <row r="315">
          <cell r="A315" t="str">
            <v>INTERINFO LATVIJĀ SIA</v>
          </cell>
        </row>
        <row r="316">
          <cell r="A316" t="str">
            <v xml:space="preserve">INTRAD SIA </v>
          </cell>
        </row>
        <row r="317">
          <cell r="A317" t="str">
            <v xml:space="preserve">INTRAD SIA </v>
          </cell>
        </row>
        <row r="318">
          <cell r="A318" t="str">
            <v>INŽENIERTEHNISKĀS SISTĒMAS SIA</v>
          </cell>
        </row>
        <row r="319">
          <cell r="A319" t="str">
            <v>Irina Žuravļova</v>
          </cell>
        </row>
        <row r="320">
          <cell r="A320" t="str">
            <v>Irita Skaistkalne</v>
          </cell>
        </row>
        <row r="321">
          <cell r="A321" t="str">
            <v>IRVE SIA</v>
          </cell>
        </row>
        <row r="322">
          <cell r="A322" t="str">
            <v>Ivars Grīnbergs</v>
          </cell>
        </row>
        <row r="323">
          <cell r="A323" t="str">
            <v>IVETA MĀLIŅA</v>
          </cell>
        </row>
        <row r="324">
          <cell r="A324" t="str">
            <v>IVETA PELCMANE</v>
          </cell>
        </row>
        <row r="325">
          <cell r="A325" t="str">
            <v>IVONNA  SIA</v>
          </cell>
        </row>
        <row r="326">
          <cell r="A326" t="str">
            <v>Izolde Eņģele</v>
          </cell>
        </row>
        <row r="327">
          <cell r="A327" t="str">
            <v>Izteiksme SIA</v>
          </cell>
        </row>
        <row r="328">
          <cell r="A328" t="str">
            <v>J. PISLEGINS SIA</v>
          </cell>
        </row>
        <row r="329">
          <cell r="A329" t="str">
            <v>Jaguārs Ā,Garāžu īpašnieku kooperatīva sabiedrība</v>
          </cell>
        </row>
        <row r="330">
          <cell r="A330" t="str">
            <v>Jānis Čuders</v>
          </cell>
        </row>
        <row r="331">
          <cell r="A331" t="str">
            <v xml:space="preserve">Jānis Dundurs </v>
          </cell>
        </row>
        <row r="332">
          <cell r="A332" t="str">
            <v>Jānis Krasikovs</v>
          </cell>
        </row>
        <row r="333">
          <cell r="A333" t="str">
            <v>Jānis Kveders</v>
          </cell>
        </row>
        <row r="334">
          <cell r="A334" t="str">
            <v>Jānis Kveders</v>
          </cell>
        </row>
        <row r="335">
          <cell r="A335" t="str">
            <v>Jānis Pampe</v>
          </cell>
        </row>
        <row r="336">
          <cell r="A336" t="str">
            <v>JĀNIS STRAUTMANIS</v>
          </cell>
        </row>
        <row r="337">
          <cell r="A337" t="str">
            <v>Jānis Tiļčiks</v>
          </cell>
        </row>
        <row r="338">
          <cell r="A338" t="str">
            <v>JĀNIS UN PARTNERI SIA</v>
          </cell>
        </row>
        <row r="339">
          <cell r="A339" t="str">
            <v>JĀNIS VĪGUPS</v>
          </cell>
        </row>
        <row r="340">
          <cell r="A340" t="str">
            <v xml:space="preserve">Jauniešu koris "Mundus", Nereģistrēto iedzīvotāju grupa, Ieva Blumberga </v>
          </cell>
        </row>
        <row r="341">
          <cell r="A341" t="str">
            <v>Jēkabpils pilsētas pašvaldība</v>
          </cell>
        </row>
        <row r="342">
          <cell r="A342" t="str">
            <v>Jekaterina Kondrotenko</v>
          </cell>
        </row>
        <row r="343">
          <cell r="A343" t="str">
            <v>Jelgavas novada pašvaldība</v>
          </cell>
        </row>
        <row r="344">
          <cell r="A344" t="str">
            <v>Jelgavas pilsētas pašvaldības iestāde "Jelgavas izglītības pārvalde"</v>
          </cell>
        </row>
        <row r="345">
          <cell r="A345" t="str">
            <v>Jevgenijs Jeršovs</v>
          </cell>
        </row>
        <row r="346">
          <cell r="A346" t="str">
            <v>Jevgeņija Piņkovska</v>
          </cell>
        </row>
        <row r="347">
          <cell r="A347" t="str">
            <v>JS Company SIA</v>
          </cell>
        </row>
        <row r="348">
          <cell r="A348" t="str">
            <v>JUDĪTE VĒVELE</v>
          </cell>
        </row>
        <row r="349">
          <cell r="A349" t="str">
            <v>Juglas Dzīvnieku aizsardzības grupa, Biedrība</v>
          </cell>
        </row>
        <row r="350">
          <cell r="A350" t="str">
            <v>Junior Achievement-Young Enterprise Latvija Biedrība</v>
          </cell>
        </row>
        <row r="351">
          <cell r="A351" t="str">
            <v>Junior Achievement-Young Enterprise Latvijas Biznesa izglītības biedrība</v>
          </cell>
        </row>
        <row r="352">
          <cell r="A352" t="str">
            <v>JURA BABRA Leļļu teātris "TIMS" IK</v>
          </cell>
        </row>
        <row r="353">
          <cell r="A353" t="str">
            <v>JURIS EDVĪNS EGLĪTIS</v>
          </cell>
        </row>
        <row r="354">
          <cell r="A354" t="str">
            <v>Juris Millers</v>
          </cell>
        </row>
        <row r="355">
          <cell r="A355" t="str">
            <v>Juris Osis</v>
          </cell>
        </row>
        <row r="356">
          <cell r="A356" t="str">
            <v>JŪRMALAS MEŽAPARKI SIA</v>
          </cell>
        </row>
        <row r="357">
          <cell r="A357" t="str">
            <v>Jūrmalas pilsētas dome</v>
          </cell>
        </row>
        <row r="358">
          <cell r="A358" t="str">
            <v>JUS Biedrība</v>
          </cell>
        </row>
        <row r="359">
          <cell r="A359" t="str">
            <v>JZ SIA</v>
          </cell>
        </row>
        <row r="360">
          <cell r="A360" t="str">
            <v>KACIS SIA</v>
          </cell>
        </row>
        <row r="361">
          <cell r="A361" t="str">
            <v>KADAGA SIA</v>
          </cell>
        </row>
        <row r="362">
          <cell r="A362" t="str">
            <v>KAFE SERVISS SIA</v>
          </cell>
        </row>
        <row r="363">
          <cell r="A363" t="str">
            <v>Kalna Salas ZS</v>
          </cell>
        </row>
        <row r="364">
          <cell r="A364" t="str">
            <v>Karina Tinamagomedova</v>
          </cell>
        </row>
        <row r="365">
          <cell r="A365" t="str">
            <v>Karivero IK</v>
          </cell>
        </row>
        <row r="366">
          <cell r="A366" t="str">
            <v>Karlson Plus SIA</v>
          </cell>
        </row>
        <row r="367">
          <cell r="A367" t="str">
            <v>Karšu izdevniecība JĀŅU SĒTA SIA</v>
          </cell>
        </row>
        <row r="368">
          <cell r="A368" t="str">
            <v>Kazimirs Bunto</v>
          </cell>
        </row>
        <row r="369">
          <cell r="A369" t="str">
            <v>KIANG SIA</v>
          </cell>
        </row>
        <row r="370">
          <cell r="A370" t="str">
            <v>Kivi Real Estate SIA</v>
          </cell>
        </row>
        <row r="371">
          <cell r="A371" t="str">
            <v>Kjāra Musta</v>
          </cell>
        </row>
        <row r="372">
          <cell r="A372" t="str">
            <v>Klavieru darbnīca IK</v>
          </cell>
        </row>
        <row r="373">
          <cell r="A373" t="str">
            <v>KNIFS 4 SIA</v>
          </cell>
        </row>
        <row r="374">
          <cell r="A374" t="str">
            <v>KOCĒNU SPORTA KLUBS Biedrība</v>
          </cell>
        </row>
        <row r="375">
          <cell r="A375" t="str">
            <v>Komerccentrs DATI grupa SIA</v>
          </cell>
        </row>
        <row r="376">
          <cell r="A376" t="str">
            <v>Kompānija VITRUM SIA</v>
          </cell>
        </row>
        <row r="377">
          <cell r="A377" t="str">
            <v>KONDITOREJA SARACĒNS SIA</v>
          </cell>
        </row>
        <row r="378">
          <cell r="A378" t="str">
            <v>KONE lifti Latvija SIA</v>
          </cell>
        </row>
        <row r="379">
          <cell r="A379" t="str">
            <v>Koninklijke Nederlandsche Heidemaatschappij</v>
          </cell>
        </row>
        <row r="380">
          <cell r="A380" t="str">
            <v>KONSTANTĪNS URECKIS</v>
          </cell>
        </row>
        <row r="381">
          <cell r="A381" t="str">
            <v>Konstruktionsgruppe Bauen Latvija SIA</v>
          </cell>
        </row>
        <row r="382">
          <cell r="A382" t="str">
            <v>Korande SIA</v>
          </cell>
        </row>
        <row r="383">
          <cell r="A383" t="str">
            <v>Korupcijas novēršanas un apkarošanas birojs</v>
          </cell>
        </row>
        <row r="384">
          <cell r="A384" t="str">
            <v>KOTA.NU SIA</v>
          </cell>
        </row>
        <row r="385">
          <cell r="A385" t="str">
            <v xml:space="preserve">Krimuldas novada dome </v>
          </cell>
        </row>
        <row r="386">
          <cell r="A386" t="str">
            <v>KRIPTO SIA</v>
          </cell>
        </row>
        <row r="387">
          <cell r="A387" t="str">
            <v>KRISTAPS LĪCIS</v>
          </cell>
        </row>
        <row r="388">
          <cell r="A388" t="str">
            <v>KRISTBERGS SIA</v>
          </cell>
        </row>
        <row r="389">
          <cell r="A389" t="str">
            <v>KRŪZE UN LŪSIS SIA</v>
          </cell>
        </row>
        <row r="390">
          <cell r="A390" t="str">
            <v>KULTŪRAS CENTRS "ALTERO VILLA" Biedrība</v>
          </cell>
        </row>
        <row r="391">
          <cell r="A391" t="str">
            <v>KULTŪRAS INFORMĀCIJAS SISTĒMAS VA</v>
          </cell>
        </row>
        <row r="392">
          <cell r="A392" t="str">
            <v>KURI SIA</v>
          </cell>
        </row>
        <row r="393">
          <cell r="A393" t="str">
            <v xml:space="preserve">KURI SIA </v>
          </cell>
        </row>
        <row r="394">
          <cell r="A394" t="str">
            <v>KURT KOENING SIA</v>
          </cell>
        </row>
        <row r="395">
          <cell r="A395" t="str">
            <v>Kvadrs celtniecības firma SIA</v>
          </cell>
        </row>
        <row r="396">
          <cell r="A396" t="str">
            <v>Ķeguma novada dome</v>
          </cell>
        </row>
        <row r="397">
          <cell r="A397" t="str">
            <v>ĶEKAVAS NOVADA DOME</v>
          </cell>
        </row>
        <row r="398">
          <cell r="A398" t="str">
            <v>L TIPS SIA</v>
          </cell>
        </row>
        <row r="399">
          <cell r="A399" t="str">
            <v>L&amp;T SIA</v>
          </cell>
        </row>
        <row r="400">
          <cell r="A400" t="str">
            <v>Labas Vides Producenti SIA</v>
          </cell>
        </row>
        <row r="401">
          <cell r="A401" t="str">
            <v xml:space="preserve">Labochema - Latvija SIA </v>
          </cell>
        </row>
        <row r="402">
          <cell r="A402" t="str">
            <v>LAFINA AS</v>
          </cell>
        </row>
        <row r="403">
          <cell r="A403" t="str">
            <v>LAIK SIA</v>
          </cell>
        </row>
        <row r="404">
          <cell r="A404" t="str">
            <v>Laila Raiskuma</v>
          </cell>
        </row>
        <row r="405">
          <cell r="A405" t="str">
            <v>LAKRS Arodbiedrība</v>
          </cell>
        </row>
        <row r="406">
          <cell r="A406" t="str">
            <v>LAK-Y BĀRS SIA</v>
          </cell>
        </row>
        <row r="407">
          <cell r="A407" t="str">
            <v>LAMTER SIA</v>
          </cell>
        </row>
        <row r="408">
          <cell r="A408" t="str">
            <v>Lapidem SIA, Normunds Nerets</v>
          </cell>
        </row>
        <row r="409">
          <cell r="A409" t="str">
            <v>LATINTERTEHSERVISS  A/S</v>
          </cell>
        </row>
        <row r="410">
          <cell r="A410" t="str">
            <v>LATSFILMA SIA</v>
          </cell>
        </row>
        <row r="411">
          <cell r="A411" t="str">
            <v>LATTELECOM SIA</v>
          </cell>
        </row>
        <row r="412">
          <cell r="A412" t="str">
            <v>LATVENERGO AS</v>
          </cell>
        </row>
        <row r="413">
          <cell r="A413" t="str">
            <v>LATVIJA STATOIL SIA</v>
          </cell>
        </row>
        <row r="414">
          <cell r="A414" t="str">
            <v>Latvijas autoceļu uzturētājs AS</v>
          </cell>
        </row>
        <row r="415">
          <cell r="A415" t="str">
            <v>Latvijas autoceļu uzturētājs AS</v>
          </cell>
        </row>
        <row r="416">
          <cell r="A416" t="str">
            <v>Latvijas Badmintona federācija Biedrība</v>
          </cell>
        </row>
        <row r="417">
          <cell r="A417" t="str">
            <v>LATVIJAS BĒRNU FONDS</v>
          </cell>
        </row>
        <row r="418">
          <cell r="A418" t="str">
            <v>LATVIJAS DABAS FONDS Nodibinājums</v>
          </cell>
        </row>
        <row r="419">
          <cell r="A419" t="str">
            <v>LATVIJAS DRAMATURGU ĢILDE BIEDRĪBA</v>
          </cell>
        </row>
        <row r="420">
          <cell r="A420" t="str">
            <v>LATVIJAS FINIERIS AS</v>
          </cell>
        </row>
        <row r="421">
          <cell r="A421" t="str">
            <v>LATVIJAS GĀZE AS</v>
          </cell>
        </row>
        <row r="422">
          <cell r="A422" t="str">
            <v>Latvijas Grāmata SIA</v>
          </cell>
        </row>
        <row r="423">
          <cell r="A423" t="str">
            <v>LATVIJAS ĢEOLOĢIJAS INFORMĀCIJAS AĢENTŪRA.</v>
          </cell>
        </row>
        <row r="424">
          <cell r="A424" t="str">
            <v>LATVIJAS INVESTĪCIJU UN ATTĪSTĪBAS AĢENTŪRA VA</v>
          </cell>
        </row>
        <row r="425">
          <cell r="A425" t="str">
            <v>LATVIJAS KINOLOĢISKĀS fed. DZĪVNIEKU AIZSARDZĪBAS BIEDRĪBA</v>
          </cell>
        </row>
        <row r="426">
          <cell r="A426" t="str">
            <v>LATVIJAS KRĀJBANKA</v>
          </cell>
        </row>
        <row r="427">
          <cell r="A427" t="str">
            <v>LATVIJAS LAUKU KONSULTĀCIJU UN IZGLĪTĪBAS CENTRS SIA</v>
          </cell>
        </row>
        <row r="428">
          <cell r="A428" t="str">
            <v>LATVIJAS LEĻĻU TEĀTRIS SIA</v>
          </cell>
        </row>
        <row r="429">
          <cell r="A429" t="str">
            <v>LATVIJAS MOBILAIS TELEFONS SIA</v>
          </cell>
        </row>
        <row r="430">
          <cell r="A430" t="str">
            <v>Latvijas Nacionālā arhīva Siguldas zonālais arhīvs</v>
          </cell>
        </row>
        <row r="431">
          <cell r="A431" t="str">
            <v>LATVIJAS PASTS VAS</v>
          </cell>
        </row>
        <row r="432">
          <cell r="A432" t="str">
            <v>Latvijas Pašvaldību savienība Biedrība</v>
          </cell>
        </row>
        <row r="433">
          <cell r="A433" t="str">
            <v>Latvijas Republikas Kultūras ministrija</v>
          </cell>
        </row>
        <row r="434">
          <cell r="A434" t="str">
            <v>Latvijas Republikas Valsts Kase</v>
          </cell>
        </row>
        <row r="435">
          <cell r="A435" t="str">
            <v>Latvijas rūpnieku tehniskās drošības ekspertu apvienība SIA</v>
          </cell>
        </row>
        <row r="436">
          <cell r="A436" t="str">
            <v>LATVIJAS TĀLRUNIS SIA</v>
          </cell>
        </row>
        <row r="437">
          <cell r="A437" t="str">
            <v>LATVIJAS VALSTS CEĻI VAS</v>
          </cell>
        </row>
        <row r="438">
          <cell r="A438" t="str">
            <v>LATVIJAS VIDES,ĢEOLOĢIJAS UNMETERELOĢIJAS AĢENTŪRA VA</v>
          </cell>
        </row>
        <row r="439">
          <cell r="A439" t="str">
            <v>LAURA EGLĪTE</v>
          </cell>
        </row>
        <row r="440">
          <cell r="A440" t="str">
            <v>LAURA LŪSE</v>
          </cell>
        </row>
        <row r="441">
          <cell r="A441" t="str">
            <v>LBS-Konsultants SIA</v>
          </cell>
        </row>
        <row r="442">
          <cell r="A442" t="str">
            <v>Leader Media SIA</v>
          </cell>
        </row>
        <row r="443">
          <cell r="A443" t="str">
            <v>LEĢENDA GOLD SIA</v>
          </cell>
        </row>
        <row r="444">
          <cell r="A444" t="str">
            <v>LEJĀŅI SIA</v>
          </cell>
        </row>
        <row r="445">
          <cell r="A445" t="str">
            <v>LeKS-auto SIA</v>
          </cell>
        </row>
        <row r="446">
          <cell r="A446" t="str">
            <v>LERIX SIA</v>
          </cell>
        </row>
        <row r="447">
          <cell r="A447" t="str">
            <v>LETA SIA</v>
          </cell>
        </row>
        <row r="448">
          <cell r="A448" t="str">
            <v>LETCLEAN SIA</v>
          </cell>
        </row>
        <row r="449">
          <cell r="A449" t="str">
            <v>LEV Invest Projektēšanas un investīciju kompānija SIA</v>
          </cell>
        </row>
        <row r="450">
          <cell r="A450" t="str">
            <v>Liduga SIA</v>
          </cell>
        </row>
        <row r="451">
          <cell r="A451" t="str">
            <v>LIELAIS LAUKS SIA</v>
          </cell>
        </row>
        <row r="452">
          <cell r="A452" t="str">
            <v>Lielvārds SIA</v>
          </cell>
        </row>
        <row r="453">
          <cell r="A453" t="str">
            <v>Liene Krūze</v>
          </cell>
        </row>
        <row r="454">
          <cell r="A454" t="str">
            <v>LIEPĀJAS LEĻĻU TEĀTRIS SIA</v>
          </cell>
        </row>
        <row r="455">
          <cell r="A455" t="str">
            <v>Līga Cipruse</v>
          </cell>
        </row>
        <row r="456">
          <cell r="A456" t="str">
            <v>Līga Suvorova</v>
          </cell>
        </row>
        <row r="457">
          <cell r="A457" t="str">
            <v>Limbažu novada pašvaldība</v>
          </cell>
        </row>
        <row r="458">
          <cell r="A458" t="str">
            <v>LINDA CINTIŅA</v>
          </cell>
        </row>
        <row r="459">
          <cell r="A459" t="str">
            <v>LINDA KALNIŅA</v>
          </cell>
        </row>
        <row r="460">
          <cell r="A460" t="str">
            <v>Linda Mocebekere, Sociālo tehnoloģiju augstskola SIA</v>
          </cell>
        </row>
        <row r="461">
          <cell r="A461" t="str">
            <v>LĪNIJAS SIA</v>
          </cell>
        </row>
        <row r="462">
          <cell r="A462" t="str">
            <v>LIVLAND SIA</v>
          </cell>
        </row>
        <row r="463">
          <cell r="A463" t="str">
            <v>LIW SPA salons SIA</v>
          </cell>
        </row>
        <row r="464">
          <cell r="A464" t="str">
            <v>LPP/LC Partija</v>
          </cell>
        </row>
        <row r="465">
          <cell r="A465" t="str">
            <v>LR AIZSARDZĪBAS MINISTRIJA</v>
          </cell>
        </row>
        <row r="466">
          <cell r="A466" t="str">
            <v>LR AIZSARDZĪBAS MINISTRIJAS NACIONĀLO BRUŅOTO SPĒKU RNC</v>
          </cell>
        </row>
        <row r="467">
          <cell r="A467" t="str">
            <v>LR IeM Valsts policijas Rīgas reģiona pārvalde</v>
          </cell>
        </row>
        <row r="468">
          <cell r="A468" t="str">
            <v>LR Izglītības un zinātnes ministrija</v>
          </cell>
        </row>
        <row r="469">
          <cell r="A469" t="str">
            <v>LR KULTŪRAS MINISTRIJA</v>
          </cell>
        </row>
        <row r="470">
          <cell r="A470" t="str">
            <v>LR LABKLĀJĪBAS MINISTRIJA</v>
          </cell>
        </row>
        <row r="471">
          <cell r="A471" t="str">
            <v>LR VALSTS KASE</v>
          </cell>
        </row>
        <row r="472">
          <cell r="A472" t="str">
            <v>LR VIDES MINISTRIJA</v>
          </cell>
        </row>
        <row r="473">
          <cell r="A473" t="str">
            <v>Ludzas novada pašvaldība</v>
          </cell>
        </row>
        <row r="474">
          <cell r="A474" t="str">
            <v>LURSOFT IT  SIA</v>
          </cell>
        </row>
        <row r="475">
          <cell r="A475" t="str">
            <v>M. Rožlapas iedzīvotāji - Nereģistrētas iedzīvotāju grupas</v>
          </cell>
        </row>
        <row r="476">
          <cell r="A476" t="str">
            <v>M-2 SIA</v>
          </cell>
        </row>
        <row r="477">
          <cell r="A477" t="str">
            <v>Madonas novada pašvaldība</v>
          </cell>
        </row>
        <row r="478">
          <cell r="A478" t="str">
            <v>MAGISTRE VITAE SIA</v>
          </cell>
        </row>
        <row r="479">
          <cell r="A479" t="str">
            <v>MAGNUM NT  SIA</v>
          </cell>
        </row>
        <row r="480">
          <cell r="A480" t="str">
            <v>MAILMASTER SIA</v>
          </cell>
        </row>
        <row r="481">
          <cell r="A481" t="str">
            <v>MAKŠĶERNIEKU KLUBS PASAULE SIA</v>
          </cell>
        </row>
        <row r="482">
          <cell r="A482" t="str">
            <v>MANTRA SIA</v>
          </cell>
        </row>
        <row r="483">
          <cell r="A483" t="str">
            <v>MARINA DANGO</v>
          </cell>
        </row>
        <row r="484">
          <cell r="A484" t="str">
            <v>MARIO MM SIA</v>
          </cell>
        </row>
        <row r="485">
          <cell r="A485" t="str">
            <v>MĀRIS PODNIEKS</v>
          </cell>
        </row>
        <row r="486">
          <cell r="A486" t="str">
            <v>Mark IT Latvija</v>
          </cell>
        </row>
        <row r="487">
          <cell r="A487" t="str">
            <v>Mārtiņš Osis</v>
          </cell>
        </row>
        <row r="488">
          <cell r="A488" t="str">
            <v>Mārupes novada dome</v>
          </cell>
        </row>
        <row r="489">
          <cell r="A489" t="str">
            <v>Mazajiem Ādažniekiem - Nereģistrēta iedzīvotāju grupa</v>
          </cell>
        </row>
        <row r="490">
          <cell r="A490" t="str">
            <v>McĀbols poligrāfija SIA</v>
          </cell>
        </row>
        <row r="491">
          <cell r="A491" t="str">
            <v>MEBEKOM SIA</v>
          </cell>
        </row>
        <row r="492">
          <cell r="A492" t="str">
            <v>MĒBEĻU DIZAINA FABRIKA SIA</v>
          </cell>
        </row>
        <row r="493">
          <cell r="A493" t="str">
            <v>MĒBEĻU GRUPA SIA</v>
          </cell>
        </row>
        <row r="494">
          <cell r="A494" t="str">
            <v>Medida-Latvija SIA</v>
          </cell>
        </row>
        <row r="495">
          <cell r="A495" t="str">
            <v>MELIORPROJEKTS VSIA</v>
          </cell>
        </row>
        <row r="496">
          <cell r="A496" t="str">
            <v>Menerega Baltic SIA</v>
          </cell>
        </row>
        <row r="497">
          <cell r="A497" t="str">
            <v>Menerga Rīga SIA</v>
          </cell>
        </row>
        <row r="498">
          <cell r="A498" t="str">
            <v>Mērniecības Datu Centrs SIA</v>
          </cell>
        </row>
        <row r="499">
          <cell r="A499" t="str">
            <v>Mēs Jaunbērziņiem - Nereģistrēta iedzīvotāju grupa</v>
          </cell>
        </row>
        <row r="500">
          <cell r="A500" t="str">
            <v>Mēs Jaunbērziņiem, Diāna Taube</v>
          </cell>
        </row>
        <row r="501">
          <cell r="A501" t="str">
            <v>MID BALTIC REALTY filiāle SIA</v>
          </cell>
        </row>
        <row r="502">
          <cell r="A502" t="str">
            <v>MIKROKODS SIA</v>
          </cell>
        </row>
        <row r="503">
          <cell r="A503" t="str">
            <v>MINAPA SIA</v>
          </cell>
        </row>
        <row r="504">
          <cell r="A504" t="str">
            <v>Mirdza Emsiņa</v>
          </cell>
        </row>
        <row r="505">
          <cell r="A505" t="str">
            <v>MKLA Sia</v>
          </cell>
        </row>
        <row r="506">
          <cell r="A506" t="str">
            <v>Modris Krūmiņš</v>
          </cell>
        </row>
        <row r="507">
          <cell r="A507" t="str">
            <v xml:space="preserve">Modris Nuka </v>
          </cell>
        </row>
        <row r="508">
          <cell r="A508" t="str">
            <v>MODUS-R SIA</v>
          </cell>
        </row>
        <row r="509">
          <cell r="A509" t="str">
            <v>MONESIS SIA</v>
          </cell>
        </row>
        <row r="510">
          <cell r="A510" t="str">
            <v>MONITORINGS GJ SIA</v>
          </cell>
        </row>
        <row r="511">
          <cell r="A511" t="str">
            <v>MUDURI SIA</v>
          </cell>
        </row>
        <row r="512">
          <cell r="A512" t="str">
            <v>MULTIMARK SIA</v>
          </cell>
        </row>
        <row r="513">
          <cell r="A513" t="str">
            <v>MUNCY SIA</v>
          </cell>
        </row>
        <row r="514">
          <cell r="A514" t="str">
            <v>Mūsu mērnieks SIA</v>
          </cell>
        </row>
        <row r="515">
          <cell r="A515" t="str">
            <v>Mūzika Baltika SIA</v>
          </cell>
        </row>
        <row r="516">
          <cell r="A516" t="str">
            <v>MŪZIKAS KOLEKCIJA IK</v>
          </cell>
        </row>
        <row r="517">
          <cell r="A517" t="str">
            <v xml:space="preserve">N&amp;D SIA </v>
          </cell>
        </row>
        <row r="518">
          <cell r="A518" t="str">
            <v xml:space="preserve">Nauris Eglītis </v>
          </cell>
        </row>
        <row r="519">
          <cell r="A519" t="str">
            <v xml:space="preserve">NAVIN SIA </v>
          </cell>
        </row>
        <row r="520">
          <cell r="A520" t="str">
            <v>NEATKARĪGIE PROJEKTI Biedrība</v>
          </cell>
        </row>
        <row r="521">
          <cell r="A521" t="str">
            <v>NEKUSTAMO ĪPAŠUMU SABIEDRĪBA TEMPS SIA</v>
          </cell>
        </row>
        <row r="522">
          <cell r="A522" t="str">
            <v>NEKUSTAMO ĪPAŠUMU SERVISS SIA</v>
          </cell>
        </row>
        <row r="523">
          <cell r="A523" t="str">
            <v>Nereģistrēta iedzīvotāju grupa " Kultūras censoņi"</v>
          </cell>
        </row>
        <row r="524">
          <cell r="A524" t="str">
            <v>NETT SIA</v>
          </cell>
        </row>
        <row r="525">
          <cell r="A525" t="str">
            <v>NEWS AGENCY SIA</v>
          </cell>
        </row>
        <row r="526">
          <cell r="A526" t="str">
            <v>NEXT SIA</v>
          </cell>
        </row>
        <row r="527">
          <cell r="A527" t="str">
            <v>Nikolajs Ņesterovs</v>
          </cell>
        </row>
        <row r="528">
          <cell r="A528" t="str">
            <v>NIPPON AUTO SIA</v>
          </cell>
        </row>
        <row r="529">
          <cell r="A529" t="str">
            <v>NODARBINĀTĪBAS VALSTS AĢENTŪRA Rīgas reģionālā filiāle</v>
          </cell>
        </row>
        <row r="530">
          <cell r="A530" t="str">
            <v>Nodibinājums "Latvijas Bērnu fonds"</v>
          </cell>
        </row>
        <row r="531">
          <cell r="A531" t="str">
            <v xml:space="preserve">Nora Zviedre </v>
          </cell>
        </row>
        <row r="532">
          <cell r="A532" t="str">
            <v>NORDE SIA</v>
          </cell>
        </row>
        <row r="533">
          <cell r="A533" t="str">
            <v>NORTS SIA</v>
          </cell>
        </row>
        <row r="534">
          <cell r="A534" t="str">
            <v>NV Stils</v>
          </cell>
        </row>
        <row r="535">
          <cell r="A535" t="str">
            <v>Ogres novada pašvaldība</v>
          </cell>
        </row>
        <row r="536">
          <cell r="A536" t="str">
            <v>OJĀRS JANSONS</v>
          </cell>
        </row>
        <row r="537">
          <cell r="A537" t="str">
            <v>Olaines novada pašvaldība</v>
          </cell>
        </row>
        <row r="538">
          <cell r="A538" t="str">
            <v>ORTEGA SIA</v>
          </cell>
        </row>
        <row r="539">
          <cell r="A539" t="str">
            <v>Paspārne Biedrība Krīzes centrs ģimenēm ar bērniem</v>
          </cell>
        </row>
        <row r="540">
          <cell r="A540" t="str">
            <v>PATNIS UN PARTNERI SIA</v>
          </cell>
        </row>
        <row r="541">
          <cell r="A541" t="str">
            <v>Pētergailis SIA</v>
          </cell>
        </row>
        <row r="542">
          <cell r="A542" t="str">
            <v>Pēteris Balzāns</v>
          </cell>
        </row>
        <row r="543">
          <cell r="A543" t="str">
            <v>Pēteris Špakovs</v>
          </cell>
        </row>
        <row r="544">
          <cell r="A544" t="str">
            <v>Pētnieku darbnīca SIA</v>
          </cell>
        </row>
        <row r="545">
          <cell r="A545" t="str">
            <v>Pierīgas izglītības, kultūras un sporta pārvalde</v>
          </cell>
        </row>
        <row r="546">
          <cell r="A546" t="str">
            <v>PILSONĪBAS UN MIGRĀCIJAS LIETU PĀRVALDE</v>
          </cell>
        </row>
        <row r="547">
          <cell r="A547" t="str">
            <v>PLATFORMA SIA</v>
          </cell>
        </row>
        <row r="548">
          <cell r="A548" t="str">
            <v>Plūsma SIA</v>
          </cell>
        </row>
        <row r="549">
          <cell r="A549" t="str">
            <v>PĻAVNIEKI BSAC</v>
          </cell>
        </row>
        <row r="550">
          <cell r="A550" t="str">
            <v>Podnieku kaimiņi, Nereģistrēto iedzīvotāju grupa, Ernests Dreimanis</v>
          </cell>
        </row>
        <row r="551">
          <cell r="A551" t="str">
            <v>POST TEHNOLOGIES LATVIA SIA</v>
          </cell>
        </row>
        <row r="552">
          <cell r="A552" t="str">
            <v>PRĀNO KO SIA</v>
          </cell>
        </row>
        <row r="553">
          <cell r="A553" t="str">
            <v>Priekules novada dome</v>
          </cell>
        </row>
        <row r="554">
          <cell r="A554" t="str">
            <v>PRIVĀTĀ VIDUSSKOLA ĀBVS biedrība</v>
          </cell>
        </row>
        <row r="555">
          <cell r="A555" t="str">
            <v>PROGRESSIO, Nereģistrēto iedzīvotāju grupa, Inga Skrauce</v>
          </cell>
        </row>
        <row r="556">
          <cell r="A556" t="str">
            <v>PUTNU BALLE IK</v>
          </cell>
        </row>
        <row r="557">
          <cell r="A557" t="str">
            <v>QPD Latvija SIA</v>
          </cell>
        </row>
        <row r="558">
          <cell r="A558" t="str">
            <v>R.Grūbes Konsultāciju birojs SIA</v>
          </cell>
        </row>
        <row r="559">
          <cell r="A559" t="str">
            <v>Radošu speciālistu grupa, Nereģistrēto iedzīvotāju grupa, Līga Ermansone</v>
          </cell>
        </row>
        <row r="560">
          <cell r="A560" t="str">
            <v>Raimonds Zaķis</v>
          </cell>
        </row>
        <row r="561">
          <cell r="A561" t="str">
            <v>Raitis Sirmais</v>
          </cell>
        </row>
        <row r="562">
          <cell r="A562" t="str">
            <v>RAUTAKESKO AS</v>
          </cell>
        </row>
        <row r="563">
          <cell r="A563" t="str">
            <v>RDL Mīzikas Centrs SIA</v>
          </cell>
        </row>
        <row r="564">
          <cell r="A564" t="str">
            <v>RDL SIA</v>
          </cell>
        </row>
        <row r="565">
          <cell r="A565" t="str">
            <v>Regīna Petkuse</v>
          </cell>
        </row>
        <row r="566">
          <cell r="A566" t="str">
            <v>Reģionālie projekti SIA</v>
          </cell>
        </row>
        <row r="567">
          <cell r="A567" t="str">
            <v>Reģionu Partija Politiskā partija</v>
          </cell>
        </row>
        <row r="568">
          <cell r="A568" t="str">
            <v>REKLĀMAS AĢENTŪRA ALFA CENTRS SIA</v>
          </cell>
        </row>
        <row r="569">
          <cell r="A569" t="str">
            <v>Rekrutēšanas un jaunsardzes centrs</v>
          </cell>
        </row>
        <row r="570">
          <cell r="A570" t="str">
            <v>RELAKS TŪRE</v>
          </cell>
        </row>
        <row r="571">
          <cell r="A571" t="str">
            <v>REMARKS INŽENIERU TĪKLI SIA</v>
          </cell>
        </row>
        <row r="572">
          <cell r="A572" t="str">
            <v>REMARKS NEKUSTAMIE ĪPAŠUMI SIA</v>
          </cell>
        </row>
        <row r="573">
          <cell r="A573" t="str">
            <v>Remeos SIA</v>
          </cell>
        </row>
        <row r="574">
          <cell r="A574" t="str">
            <v>Remido SIA</v>
          </cell>
        </row>
        <row r="575">
          <cell r="A575" t="str">
            <v xml:space="preserve">RENESCO SIA </v>
          </cell>
        </row>
        <row r="576">
          <cell r="A576" t="str">
            <v>Restcom SIA</v>
          </cell>
        </row>
        <row r="577">
          <cell r="A577" t="str">
            <v>Rēzeknes gaļas kombināts SIA</v>
          </cell>
        </row>
        <row r="578">
          <cell r="A578" t="str">
            <v>RĒZEKNES PILSĒTAS KULTŪRAS NAMS</v>
          </cell>
        </row>
        <row r="579">
          <cell r="A579" t="str">
            <v>RG INVEST SIA</v>
          </cell>
        </row>
        <row r="580">
          <cell r="A580" t="str">
            <v>RIAS SIA</v>
          </cell>
        </row>
        <row r="581">
          <cell r="A581" t="str">
            <v>RIAS SIA</v>
          </cell>
        </row>
        <row r="582">
          <cell r="A582" t="str">
            <v>RIDEMO SIA</v>
          </cell>
        </row>
        <row r="583">
          <cell r="A583" t="str">
            <v>Riebiņu novada dome</v>
          </cell>
        </row>
        <row r="584">
          <cell r="A584" t="str">
            <v>RIGABURGER SIA</v>
          </cell>
        </row>
        <row r="585">
          <cell r="A585" t="str">
            <v>RĪGAS APRIŅĶA AVĪZE SIA</v>
          </cell>
        </row>
        <row r="586">
          <cell r="A586" t="str">
            <v>RĪGAS CEĻA BŪVE SIA</v>
          </cell>
        </row>
        <row r="587">
          <cell r="A587" t="str">
            <v>Rīgas domes Izglītības, kultūras un sporta departaments</v>
          </cell>
        </row>
        <row r="588">
          <cell r="A588" t="str">
            <v>RĪGAS LAKU UN KRĀSU RŪPNĪCA SIA</v>
          </cell>
        </row>
        <row r="589">
          <cell r="A589" t="str">
            <v>Rīgas Pedagoģijas un izglītības vadības akadēmija</v>
          </cell>
        </row>
        <row r="590">
          <cell r="A590" t="str">
            <v>Rīgas piena kombināts AS</v>
          </cell>
        </row>
        <row r="591">
          <cell r="A591" t="str">
            <v>Rīgas pilsētas pašvaldības Informācijas tehnoloģiju centrs</v>
          </cell>
        </row>
        <row r="592">
          <cell r="A592" t="str">
            <v>Rīgas plānošanas reģions</v>
          </cell>
        </row>
        <row r="593">
          <cell r="A593" t="str">
            <v>RĪGAS RAJONA NOVADU APVIENĪBA PP</v>
          </cell>
        </row>
        <row r="594">
          <cell r="A594" t="str">
            <v>RĪGAS RAJONA PADOME</v>
          </cell>
        </row>
        <row r="595">
          <cell r="A595" t="str">
            <v>RĪGAS REĢIONA ATTĪSTĪBAS AĢENTŪRA NODIBINĀJUMS</v>
          </cell>
        </row>
        <row r="596">
          <cell r="A596" t="str">
            <v>Rīgas Tehniskā koledža</v>
          </cell>
        </row>
        <row r="597">
          <cell r="A597" t="str">
            <v>Rīgas Tehniskā koledža</v>
          </cell>
        </row>
        <row r="598">
          <cell r="A598" t="str">
            <v>Rīgas ūdens SIA</v>
          </cell>
        </row>
        <row r="599">
          <cell r="A599" t="str">
            <v>RĪGAS ZĪMOGU FABRIKA SIA</v>
          </cell>
        </row>
        <row r="600">
          <cell r="A600" t="str">
            <v xml:space="preserve">Ri-ki SIA </v>
          </cell>
        </row>
        <row r="601">
          <cell r="A601" t="str">
            <v>RIMPEKS KP SIA</v>
          </cell>
        </row>
        <row r="602">
          <cell r="A602" t="str">
            <v>RIPESS SIA</v>
          </cell>
        </row>
        <row r="603">
          <cell r="A603" t="str">
            <v>RITA DAĢE</v>
          </cell>
        </row>
        <row r="604">
          <cell r="A604" t="str">
            <v>Rita Makejeva</v>
          </cell>
        </row>
        <row r="605">
          <cell r="A605" t="str">
            <v>ROLVIKS SIA</v>
          </cell>
        </row>
        <row r="606">
          <cell r="A606" t="str">
            <v>Ronalds Jaunzems</v>
          </cell>
        </row>
        <row r="607">
          <cell r="A607" t="str">
            <v>Ropažu novada dome</v>
          </cell>
        </row>
        <row r="608">
          <cell r="A608" t="str">
            <v>RO-SEIDO</v>
          </cell>
        </row>
        <row r="609">
          <cell r="A609" t="str">
            <v>RŪĶIS BL IU</v>
          </cell>
        </row>
        <row r="610">
          <cell r="A610" t="str">
            <v>RUP SIA</v>
          </cell>
        </row>
        <row r="611">
          <cell r="A611" t="str">
            <v>Ruslans AG SIA</v>
          </cell>
        </row>
        <row r="612">
          <cell r="A612" t="str">
            <v>SADALES TĪKLS AS</v>
          </cell>
        </row>
        <row r="613">
          <cell r="A613" t="str">
            <v>Salacgrīvas novada dome</v>
          </cell>
        </row>
        <row r="614">
          <cell r="A614" t="str">
            <v>SALDUMU TIRDZNIECĪBA SIA</v>
          </cell>
        </row>
        <row r="615">
          <cell r="A615" t="str">
            <v>Saldus novada pašvaldība</v>
          </cell>
        </row>
        <row r="616">
          <cell r="A616" t="str">
            <v>SALONS STALLIS SIA</v>
          </cell>
        </row>
        <row r="617">
          <cell r="A617" t="str">
            <v>SAN Motors SIA</v>
          </cell>
        </row>
        <row r="618">
          <cell r="A618" t="str">
            <v>SANDA MEINARTE</v>
          </cell>
        </row>
        <row r="619">
          <cell r="A619" t="str">
            <v>SANISTAL SIA</v>
          </cell>
        </row>
        <row r="620">
          <cell r="A620" t="str">
            <v>Sanita Megere-Klevinska</v>
          </cell>
        </row>
        <row r="621">
          <cell r="A621" t="str">
            <v>SANTA 98 SIA</v>
          </cell>
        </row>
        <row r="622">
          <cell r="A622" t="str">
            <v>Sapņotājas - Nereģistrētas iedzīvotāju grupas</v>
          </cell>
        </row>
        <row r="623">
          <cell r="A623" t="str">
            <v>Sarmīte Baķe</v>
          </cell>
        </row>
        <row r="624">
          <cell r="A624" t="str">
            <v>Satina SIA</v>
          </cell>
        </row>
        <row r="625">
          <cell r="A625" t="str">
            <v>SATTVIKA IK</v>
          </cell>
        </row>
        <row r="626">
          <cell r="A626" t="str">
            <v>Saules Vilnis SIA</v>
          </cell>
        </row>
        <row r="627">
          <cell r="A627" t="str">
            <v>SAULKRASTU MEŽI SIA</v>
          </cell>
        </row>
        <row r="628">
          <cell r="A628" t="str">
            <v>Saulkrastu novada dome</v>
          </cell>
        </row>
        <row r="629">
          <cell r="A629" t="str">
            <v>Savstarpējo attiecību institūts Biedrība</v>
          </cell>
        </row>
        <row r="630">
          <cell r="A630" t="str">
            <v>SEB banka AS Siguldas filiāle</v>
          </cell>
        </row>
        <row r="631">
          <cell r="A631" t="str">
            <v>SEB bankas Āgenskalna filiāle AS</v>
          </cell>
        </row>
        <row r="632">
          <cell r="A632" t="str">
            <v>SEB Dzīvības apdrošināšana AAS</v>
          </cell>
        </row>
        <row r="633">
          <cell r="A633" t="str">
            <v>SEGA AC SIA</v>
          </cell>
        </row>
        <row r="634">
          <cell r="A634" t="str">
            <v>Sekura stils SIA</v>
          </cell>
        </row>
        <row r="635">
          <cell r="A635" t="str">
            <v>SELDING SIA</v>
          </cell>
        </row>
        <row r="636">
          <cell r="A636" t="str">
            <v>SENA-L SIA</v>
          </cell>
        </row>
        <row r="637">
          <cell r="A637" t="str">
            <v>Sergeju Ivanova</v>
          </cell>
        </row>
        <row r="638">
          <cell r="A638" t="str">
            <v>SETTING SIA</v>
          </cell>
        </row>
        <row r="639">
          <cell r="A639" t="str">
            <v>SIGULDAS LAUKU KONSULTĀCIJAS BIROJS filiāle SIA</v>
          </cell>
        </row>
        <row r="640">
          <cell r="A640" t="str">
            <v>Siguldas novada dome</v>
          </cell>
        </row>
        <row r="641">
          <cell r="A641" t="str">
            <v>SILTUMS JUMS SIA</v>
          </cell>
        </row>
        <row r="642">
          <cell r="A642" t="str">
            <v>Silvis Grīnbergs</v>
          </cell>
        </row>
        <row r="643">
          <cell r="A643" t="str">
            <v xml:space="preserve">Skrīveru Saldumi SIA </v>
          </cell>
        </row>
        <row r="644">
          <cell r="A644" t="str">
            <v>Sociālais aprūpes centrs "Baldone" SIA</v>
          </cell>
        </row>
        <row r="645">
          <cell r="A645" t="str">
            <v>SOLANO SIA</v>
          </cell>
        </row>
        <row r="646">
          <cell r="A646" t="str">
            <v>SOUND SYSTEMS SIA</v>
          </cell>
        </row>
        <row r="647">
          <cell r="A647" t="str">
            <v>SPĒKA PASAULE Biedrība</v>
          </cell>
        </row>
        <row r="648">
          <cell r="A648" t="str">
            <v>SPLENDIT SIA</v>
          </cell>
        </row>
        <row r="649">
          <cell r="A649" t="str">
            <v>SPORTA HALLE SIA</v>
          </cell>
        </row>
        <row r="650">
          <cell r="A650" t="str">
            <v>SPORTA KLUBS UPESCIEMS Biedrība</v>
          </cell>
        </row>
        <row r="651">
          <cell r="A651" t="str">
            <v>Sporta skola "Garkalne" Biedrība</v>
          </cell>
        </row>
        <row r="652">
          <cell r="A652" t="str">
            <v>Stopiņu novada dome</v>
          </cell>
        </row>
        <row r="653">
          <cell r="A653" t="str">
            <v>Strautkalni - Nereģistrētas iedzīvotāju grupas</v>
          </cell>
        </row>
        <row r="654">
          <cell r="A654" t="str">
            <v>STUDIO LV SIA</v>
          </cell>
        </row>
        <row r="655">
          <cell r="A655" t="str">
            <v>Subates Romas Katoļu draudzes Sociālās aprūpes iestāde " Miera nams"</v>
          </cell>
        </row>
        <row r="656">
          <cell r="A656" t="str">
            <v>Sun Re.public SIA</v>
          </cell>
        </row>
        <row r="657">
          <cell r="A657" t="str">
            <v>SVĒTKU AĢENTŪRA SANTA Biedrība</v>
          </cell>
        </row>
        <row r="658">
          <cell r="A658" t="str">
            <v>Svetlana Artemjeva</v>
          </cell>
        </row>
        <row r="659">
          <cell r="A659" t="str">
            <v>Swedbank Autoparku Vadība SIA</v>
          </cell>
        </row>
        <row r="660">
          <cell r="A660" t="str">
            <v>Šmitu deju skola SIA</v>
          </cell>
        </row>
        <row r="661">
          <cell r="A661" t="str">
            <v xml:space="preserve">T.T.R. SIA </v>
          </cell>
        </row>
        <row r="662">
          <cell r="A662" t="str">
            <v>Tamāra Kosmačeva</v>
          </cell>
        </row>
        <row r="663">
          <cell r="A663" t="str">
            <v>TATJANA AMOSOVA</v>
          </cell>
        </row>
        <row r="664">
          <cell r="A664" t="str">
            <v>TCB Sistēmas SIA</v>
          </cell>
        </row>
        <row r="665">
          <cell r="A665" t="str">
            <v>TELE MEDIA SIA</v>
          </cell>
        </row>
        <row r="666">
          <cell r="A666" t="str">
            <v>TIESU ADMINISTRĀCIJA</v>
          </cell>
        </row>
        <row r="667">
          <cell r="A667" t="str">
            <v>TietoEnator Alise SIA</v>
          </cell>
        </row>
        <row r="668">
          <cell r="A668" t="str">
            <v>TILTS SIA</v>
          </cell>
        </row>
        <row r="669">
          <cell r="A669" t="str">
            <v xml:space="preserve">Tīrības nams SIA </v>
          </cell>
        </row>
        <row r="670">
          <cell r="A670" t="str">
            <v>TOPO SOLUTIONS SIA</v>
          </cell>
        </row>
        <row r="671">
          <cell r="A671" t="str">
            <v>Total Eesti OU</v>
          </cell>
        </row>
        <row r="672">
          <cell r="A672" t="str">
            <v xml:space="preserve">TRIO SMAIDA SIA </v>
          </cell>
        </row>
        <row r="673">
          <cell r="A673" t="str">
            <v>Troja SIA</v>
          </cell>
        </row>
        <row r="674">
          <cell r="A674" t="str">
            <v>TUKUMA GAĻAS CENTRS SIA</v>
          </cell>
        </row>
        <row r="675">
          <cell r="A675" t="str">
            <v>Tukuma novada Izglītības pārvalde</v>
          </cell>
        </row>
        <row r="676">
          <cell r="A676" t="str">
            <v>Ūdensrozes Ādažu novada makšķernieku biedrība</v>
          </cell>
        </row>
        <row r="677">
          <cell r="A677" t="str">
            <v>UĢIS ROZE</v>
          </cell>
        </row>
        <row r="678">
          <cell r="A678" t="str">
            <v>UNI TOURS SIA</v>
          </cell>
        </row>
        <row r="679">
          <cell r="A679" t="str">
            <v>UNISERVIS SIA</v>
          </cell>
        </row>
        <row r="680">
          <cell r="A680" t="str">
            <v>UNIVERSS SIA</v>
          </cell>
        </row>
        <row r="681">
          <cell r="A681" t="str">
            <v>Valdis Lapiņš</v>
          </cell>
        </row>
        <row r="682">
          <cell r="A682" t="str">
            <v>Valdis Perro</v>
          </cell>
        </row>
        <row r="683">
          <cell r="A683" t="str">
            <v>VALEMAR SIA</v>
          </cell>
        </row>
        <row r="684">
          <cell r="A684" t="str">
            <v>Valentīna Nagle</v>
          </cell>
        </row>
        <row r="685">
          <cell r="A685" t="str">
            <v xml:space="preserve">VALKS SIA </v>
          </cell>
        </row>
        <row r="686">
          <cell r="A686" t="str">
            <v>Valmieras pilsētas pašvaldība</v>
          </cell>
        </row>
        <row r="687">
          <cell r="A687" t="str">
            <v>Valsts aizsardzības militāro objektu un iepirkumu centrs</v>
          </cell>
        </row>
        <row r="688">
          <cell r="A688" t="str">
            <v>VALSTS AUGU AIZSARDZĪBAS DIENESTS</v>
          </cell>
        </row>
        <row r="689">
          <cell r="A689" t="str">
            <v>VALSTS IZGLĪTĪBAS ATTĪSTĪBAS AĢENTŪRA</v>
          </cell>
        </row>
        <row r="690">
          <cell r="A690" t="str">
            <v>Valsts izglītības satura centrs</v>
          </cell>
        </row>
        <row r="691">
          <cell r="A691" t="str">
            <v>VALSTS PROBĀCIJAS DIENESTS Rīgas raj. TSV Salaspils fil</v>
          </cell>
        </row>
        <row r="692">
          <cell r="A692" t="str">
            <v>Valsts reģionālās attīstības aģentūra</v>
          </cell>
        </row>
        <row r="693">
          <cell r="A693" t="str">
            <v>VALSTS SOCIĀLĀS APDROŠINĀŠANAS AĢENTŪRA</v>
          </cell>
        </row>
        <row r="694">
          <cell r="A694" t="str">
            <v>Valsts sociālās aprūpes centrs "Rīga"</v>
          </cell>
        </row>
        <row r="695">
          <cell r="A695" t="str">
            <v>VALSTS ZEMES DIENESTS</v>
          </cell>
        </row>
        <row r="696">
          <cell r="A696" t="str">
            <v>Varakļānu novada pašvaldība</v>
          </cell>
        </row>
        <row r="697">
          <cell r="A697" t="str">
            <v>VAS "Ceļu satiksmes drošības direkcija"</v>
          </cell>
        </row>
        <row r="698">
          <cell r="A698" t="str">
            <v>Vecāki - bērni - Nereģistrēta iedzīvotāju grupa</v>
          </cell>
        </row>
        <row r="699">
          <cell r="A699" t="str">
            <v>VECGAUJAS KOOPERATĪVĀ sabiedrība KS</v>
          </cell>
        </row>
        <row r="700">
          <cell r="A700" t="str">
            <v>VEC-KADERI Z/S</v>
          </cell>
        </row>
        <row r="701">
          <cell r="A701" t="str">
            <v>VEIJA SIA</v>
          </cell>
        </row>
        <row r="702">
          <cell r="A702" t="str">
            <v>Velta Skangale</v>
          </cell>
        </row>
        <row r="703">
          <cell r="A703" t="str">
            <v>VENDEN SIA</v>
          </cell>
        </row>
        <row r="704">
          <cell r="A704" t="str">
            <v>VENDOMATIC SIA</v>
          </cell>
        </row>
        <row r="705">
          <cell r="A705" t="str">
            <v>VENTMONTĀŽA SIA</v>
          </cell>
        </row>
        <row r="706">
          <cell r="A706" t="str">
            <v>Ventspils novada dome</v>
          </cell>
        </row>
        <row r="707">
          <cell r="A707" t="str">
            <v>Ventspils pilsētas dome Izglītības pārvalde</v>
          </cell>
        </row>
        <row r="708">
          <cell r="A708" t="str">
            <v>Vera Salieniece</v>
          </cell>
        </row>
        <row r="709">
          <cell r="A709" t="str">
            <v>Vērtēšanas Konsultantu grupa SIA</v>
          </cell>
        </row>
        <row r="710">
          <cell r="A710" t="str">
            <v>Vēsma Vālodze</v>
          </cell>
        </row>
        <row r="711">
          <cell r="A711" t="str">
            <v>Vestabalt SIA</v>
          </cell>
        </row>
        <row r="712">
          <cell r="A712" t="str">
            <v>VIDE EXPO IK</v>
          </cell>
        </row>
        <row r="713">
          <cell r="A713" t="str">
            <v>VIDES GEO SIA</v>
          </cell>
        </row>
        <row r="714">
          <cell r="A714" t="str">
            <v>VIDZEMES BIROJU GRUPA SIA</v>
          </cell>
        </row>
        <row r="715">
          <cell r="A715" t="str">
            <v xml:space="preserve">Vidzemes serviss SIA </v>
          </cell>
        </row>
        <row r="716">
          <cell r="A716" t="str">
            <v>Viesītes novada dome</v>
          </cell>
        </row>
        <row r="717">
          <cell r="A717" t="str">
            <v>VIESTURS EGLĪTIS</v>
          </cell>
        </row>
        <row r="718">
          <cell r="A718" t="str">
            <v>Vija Antone</v>
          </cell>
        </row>
        <row r="719">
          <cell r="A719" t="str">
            <v>VIJA DZINTARE</v>
          </cell>
        </row>
        <row r="720">
          <cell r="A720" t="str">
            <v>VIKTORIJA GŪTMANE</v>
          </cell>
        </row>
        <row r="721">
          <cell r="A721" t="str">
            <v>VIKTORS OSTROVSKIS</v>
          </cell>
        </row>
        <row r="722">
          <cell r="A722" t="str">
            <v>Vilnis Bogdanovs</v>
          </cell>
        </row>
        <row r="723">
          <cell r="A723" t="str">
            <v>Vilnis Jēkabsons</v>
          </cell>
        </row>
        <row r="724">
          <cell r="A724" t="str">
            <v>Viļakas novada dome</v>
          </cell>
        </row>
        <row r="725">
          <cell r="A725" t="str">
            <v>VIMLAT GROUP</v>
          </cell>
        </row>
        <row r="726">
          <cell r="A726" t="str">
            <v>VINDEKS SIA</v>
          </cell>
        </row>
        <row r="727">
          <cell r="A727" t="str">
            <v>Vīri kā ozoli, Nereģistrēto iedzīvotāju grupa, Juris Brīnums</v>
          </cell>
        </row>
        <row r="728">
          <cell r="A728" t="str">
            <v>VIRŠI-A AS</v>
          </cell>
        </row>
        <row r="729">
          <cell r="A729" t="str">
            <v>VISPĀRĒJĀS IZGLĪTĪBAS KVALITĀTES NOVĒRTĒŠANAS aģentūra</v>
          </cell>
        </row>
        <row r="730">
          <cell r="A730" t="str">
            <v>VISS PLUSĀ Sia</v>
          </cell>
        </row>
        <row r="731">
          <cell r="A731" t="str">
            <v>VITA mārkets SIA</v>
          </cell>
        </row>
        <row r="732">
          <cell r="A732" t="str">
            <v>Vitāliju Kondrašova</v>
          </cell>
        </row>
        <row r="733">
          <cell r="A733" t="str">
            <v>VLASTA STADLEROVA</v>
          </cell>
        </row>
        <row r="734">
          <cell r="A734" t="str">
            <v>VMT POINT SIA</v>
          </cell>
        </row>
        <row r="735">
          <cell r="A735" t="str">
            <v>VOLDEMĀRS SIA</v>
          </cell>
        </row>
        <row r="736">
          <cell r="A736" t="str">
            <v>VSKB Vide SIA</v>
          </cell>
        </row>
        <row r="737">
          <cell r="A737" t="str">
            <v>VVD SIA</v>
          </cell>
        </row>
        <row r="738">
          <cell r="A738" t="str">
            <v>WESEMANN SIA</v>
          </cell>
        </row>
        <row r="739">
          <cell r="A739" t="str">
            <v>X-ART SIA</v>
          </cell>
        </row>
        <row r="740">
          <cell r="A740" t="str">
            <v>YIT Tehsistem SIA</v>
          </cell>
        </row>
        <row r="741">
          <cell r="A741" t="str">
            <v xml:space="preserve">Zandis Musts </v>
          </cell>
        </row>
        <row r="742">
          <cell r="A742" t="str">
            <v>Zane Banka</v>
          </cell>
        </row>
        <row r="743">
          <cell r="A743" t="str">
            <v>Zane Savicka</v>
          </cell>
        </row>
        <row r="744">
          <cell r="A744" t="str">
            <v>ZELTA SMILTIS SIA</v>
          </cell>
        </row>
        <row r="745">
          <cell r="A745" t="str">
            <v>zemnieku saimniecība "Priedkalni A"</v>
          </cell>
        </row>
        <row r="746">
          <cell r="A746" t="str">
            <v>ZIEDOT Fonds</v>
          </cell>
        </row>
        <row r="747">
          <cell r="A747" t="str">
            <v>ZIEMEĻU NAFTA SIA</v>
          </cell>
        </row>
        <row r="748">
          <cell r="A748" t="str">
            <v>Zinaīda Ruskule</v>
          </cell>
        </row>
        <row r="749">
          <cell r="A749" t="str">
            <v>Zingus SIA</v>
          </cell>
        </row>
        <row r="750">
          <cell r="A750" t="str">
            <v>ZM KALVA Ceļojumu birojs</v>
          </cell>
        </row>
        <row r="751">
          <cell r="A751" t="str">
            <v>zvērināta advokāte Kristīne Dadzīte</v>
          </cell>
        </row>
        <row r="752">
          <cell r="A752" t="str">
            <v>ZZ DATS SIA</v>
          </cell>
        </row>
        <row r="753">
          <cell r="A753" t="str">
            <v>Valsts meža dienests</v>
          </cell>
        </row>
        <row r="754">
          <cell r="A754" t="str">
            <v>Lilita Krūmiņa</v>
          </cell>
        </row>
        <row r="755">
          <cell r="A755" t="str">
            <v>Valters Sīpols</v>
          </cell>
        </row>
        <row r="756">
          <cell r="A756" t="str">
            <v>Miķelis Fišers</v>
          </cell>
        </row>
        <row r="757">
          <cell r="A757" t="str">
            <v>Kate Lukstiņa</v>
          </cell>
        </row>
        <row r="758">
          <cell r="A758" t="str">
            <v>Gunita Lukstiņa</v>
          </cell>
        </row>
        <row r="759">
          <cell r="A759" t="str">
            <v>Ieva Lukstiņa</v>
          </cell>
        </row>
        <row r="760">
          <cell r="A760" t="str">
            <v>Valērijs Bulāns</v>
          </cell>
        </row>
        <row r="761">
          <cell r="A761" t="str">
            <v>Imants Pētersons</v>
          </cell>
        </row>
        <row r="762">
          <cell r="A762" t="str">
            <v>LĀSA-100 SIA</v>
          </cell>
        </row>
        <row r="763">
          <cell r="A763" t="str">
            <v>VN BALTEZERS SIA</v>
          </cell>
        </row>
        <row r="764">
          <cell r="A764" t="str">
            <v>Biedrība "Montessori bērnu māja"</v>
          </cell>
        </row>
        <row r="765">
          <cell r="A765" t="str">
            <v>Inta Dagile</v>
          </cell>
        </row>
        <row r="766">
          <cell r="A766" t="str">
            <v>Engures novada Dome</v>
          </cell>
        </row>
        <row r="767">
          <cell r="A767" t="str">
            <v>Līguna SIA</v>
          </cell>
        </row>
        <row r="768">
          <cell r="A768" t="str">
            <v>Larisa Karpenko</v>
          </cell>
        </row>
        <row r="769">
          <cell r="A769" t="str">
            <v>FRESH ONE SIA</v>
          </cell>
        </row>
        <row r="770">
          <cell r="A770" t="str">
            <v xml:space="preserve">Rīgas pilsētas pašvaldības </v>
          </cell>
        </row>
        <row r="771">
          <cell r="A771" t="str">
            <v>Armands Krasts</v>
          </cell>
        </row>
        <row r="772">
          <cell r="A772" t="str">
            <v>Lolita Zandberga</v>
          </cell>
        </row>
        <row r="773">
          <cell r="A773" t="str">
            <v>Tamāra Šivare</v>
          </cell>
        </row>
        <row r="774">
          <cell r="A774" t="str">
            <v>Sigita Djubina</v>
          </cell>
        </row>
        <row r="775">
          <cell r="A775" t="str">
            <v>Diāna Kurzemviece</v>
          </cell>
        </row>
        <row r="776">
          <cell r="A776" t="str">
            <v>Ober Haus Real Estate SIA</v>
          </cell>
        </row>
        <row r="777">
          <cell r="A777" t="str">
            <v>Dagdas novada pašvaldība</v>
          </cell>
        </row>
        <row r="778">
          <cell r="A778" t="str">
            <v>Dace Felkere</v>
          </cell>
        </row>
        <row r="779">
          <cell r="A779" t="str">
            <v>Silvija Nora Kalniņa</v>
          </cell>
        </row>
        <row r="780">
          <cell r="A780" t="str">
            <v>Ģirts Darkevics</v>
          </cell>
        </row>
        <row r="781">
          <cell r="A781" t="str">
            <v>Sanda Tūtere</v>
          </cell>
        </row>
        <row r="782">
          <cell r="A782" t="str">
            <v>Jolanta Stērniniece</v>
          </cell>
        </row>
        <row r="783">
          <cell r="A783" t="str">
            <v>Svetlana Jansone</v>
          </cell>
        </row>
        <row r="784">
          <cell r="A784" t="str">
            <v>Ritvars Kristapaitis</v>
          </cell>
        </row>
        <row r="785">
          <cell r="A785" t="str">
            <v>Dace Šinkūna</v>
          </cell>
        </row>
        <row r="786">
          <cell r="A786" t="str">
            <v>Agnese Zdanovska</v>
          </cell>
        </row>
        <row r="787">
          <cell r="A787" t="str">
            <v xml:space="preserve">Jānis Prauliņš </v>
          </cell>
        </row>
        <row r="788">
          <cell r="A788" t="str">
            <v>Daiga Buhholce</v>
          </cell>
        </row>
        <row r="789">
          <cell r="A789" t="str">
            <v>Dace Pence</v>
          </cell>
        </row>
        <row r="790">
          <cell r="A790" t="str">
            <v>Andris Misiņš</v>
          </cell>
        </row>
        <row r="791">
          <cell r="A791" t="str">
            <v>Liāna Jurēvica</v>
          </cell>
        </row>
        <row r="792">
          <cell r="A792" t="str">
            <v>RANTZOWS SPORT SIA</v>
          </cell>
        </row>
        <row r="793">
          <cell r="A793" t="str">
            <v>Citadele banka A/S</v>
          </cell>
        </row>
        <row r="794">
          <cell r="A794" t="str">
            <v>LUKoil Baltija R  SIA</v>
          </cell>
        </row>
        <row r="795">
          <cell r="A795" t="str">
            <v>Nilex SIA</v>
          </cell>
        </row>
        <row r="796">
          <cell r="A796" t="str">
            <v>Indra Feldmane</v>
          </cell>
        </row>
        <row r="797">
          <cell r="A797" t="str">
            <v>Pārtikas drošības, dzīvnieku veselības un vides zinātnes institūts "BOIR"</v>
          </cell>
        </row>
        <row r="798">
          <cell r="A798" t="str">
            <v>Inga Briede</v>
          </cell>
        </row>
        <row r="799">
          <cell r="A799" t="str">
            <v>Fransa SIA</v>
          </cell>
        </row>
        <row r="800">
          <cell r="A800" t="str">
            <v>Jānis Upmalis</v>
          </cell>
        </row>
        <row r="801">
          <cell r="A801" t="str">
            <v>Gaujas mala SIA</v>
          </cell>
        </row>
        <row r="802">
          <cell r="A802" t="str">
            <v>Lattelecom Technology SIA</v>
          </cell>
        </row>
        <row r="803">
          <cell r="A803" t="str">
            <v>Vecumnieku novada dome</v>
          </cell>
        </row>
        <row r="804">
          <cell r="A804" t="str">
            <v>Aizkraukles novada pašvaldība</v>
          </cell>
        </row>
        <row r="805">
          <cell r="A805" t="str">
            <v>Lielvārdes novada pašvaldība</v>
          </cell>
        </row>
        <row r="806">
          <cell r="A806" t="str">
            <v>Ilgvars Pavlovskis</v>
          </cell>
        </row>
        <row r="807">
          <cell r="A807" t="str">
            <v>Sauna Katram SIA</v>
          </cell>
        </row>
        <row r="808">
          <cell r="A808" t="str">
            <v>APGĀDS IMANTA SIA</v>
          </cell>
        </row>
        <row r="809">
          <cell r="A809" t="str">
            <v>ASKATS SIA</v>
          </cell>
        </row>
        <row r="810">
          <cell r="A810" t="str">
            <v>K&amp;U SIA</v>
          </cell>
        </row>
        <row r="811">
          <cell r="A811" t="str">
            <v>SEB banka AS</v>
          </cell>
        </row>
        <row r="812">
          <cell r="A812" t="str">
            <v>Mazais Baltezers SIA</v>
          </cell>
        </row>
        <row r="813">
          <cell r="A813" t="str">
            <v>Ivars Titovs</v>
          </cell>
        </row>
        <row r="814">
          <cell r="A814" t="str">
            <v>Ādažu Nami SIA</v>
          </cell>
        </row>
        <row r="815">
          <cell r="A815" t="str">
            <v>Roberts Rihards Kronbergs</v>
          </cell>
        </row>
        <row r="816">
          <cell r="A816" t="str">
            <v>Rolands Rojs Kronbergs</v>
          </cell>
        </row>
        <row r="817">
          <cell r="A817" t="str">
            <v>Ingūna Kronberga</v>
          </cell>
        </row>
      </sheetData>
      <sheetData sheetId="2" refreshError="1"/>
      <sheetData sheetId="3" refreshError="1">
        <row r="3">
          <cell r="A3" t="str">
            <v>Līgumi-juridiskās personas</v>
          </cell>
        </row>
        <row r="4">
          <cell r="A4" t="str">
            <v>Līgumi-fiziskas personas</v>
          </cell>
        </row>
        <row r="5">
          <cell r="A5" t="str">
            <v>Līgumi par nomu (iznomātāji)</v>
          </cell>
        </row>
        <row r="6">
          <cell r="A6" t="str">
            <v>Līgumi-jur./fiz. personas (D)</v>
          </cell>
        </row>
        <row r="7">
          <cell r="A7" t="str">
            <v>Līgumi par nomu (nomnieki)</v>
          </cell>
        </row>
        <row r="8">
          <cell r="A8" t="str">
            <v>Zemes noma (nomnieki)</v>
          </cell>
        </row>
        <row r="9">
          <cell r="A9" t="str">
            <v>Vienošanās</v>
          </cell>
        </row>
        <row r="10">
          <cell r="A10" t="str">
            <v>Licences</v>
          </cell>
        </row>
        <row r="11">
          <cell r="A11" t="str">
            <v>Pirkuma līgumi</v>
          </cell>
        </row>
        <row r="12">
          <cell r="A12" t="str">
            <v>Aizņēmuma līgumi</v>
          </cell>
        </row>
        <row r="13">
          <cell r="A13" t="str">
            <v>Līgumi-celtn. un kapit.remonts</v>
          </cell>
        </row>
        <row r="14">
          <cell r="A14" t="str">
            <v>Kredītlīgumi ar Valsts Kasi</v>
          </cell>
        </row>
        <row r="15">
          <cell r="A15" t="str">
            <v>Līgumi - par materiālo atbildību</v>
          </cell>
        </row>
        <row r="16">
          <cell r="A16" t="str">
            <v>Uzņēmuma Līgums</v>
          </cell>
        </row>
        <row r="17">
          <cell r="A17" t="str">
            <v xml:space="preserve">Dāvinājuma (ziedojuma) </v>
          </cell>
        </row>
        <row r="18">
          <cell r="A18" t="str">
            <v>Personīgā transportlīdzekļa izmantošanas līgums</v>
          </cell>
        </row>
        <row r="33">
          <cell r="A33" t="str">
            <v>L</v>
          </cell>
        </row>
      </sheetData>
      <sheetData sheetId="4" refreshError="1">
        <row r="1">
          <cell r="A1" t="str">
            <v xml:space="preserve"> </v>
          </cell>
        </row>
        <row r="2">
          <cell r="A2" t="str">
            <v>Pieņemšanas-nodošanas akts</v>
          </cell>
        </row>
        <row r="3">
          <cell r="A3" t="str">
            <v>Akts</v>
          </cell>
        </row>
        <row r="4">
          <cell r="A4" t="str">
            <v>Lēmums</v>
          </cell>
        </row>
        <row r="5">
          <cell r="A5" t="str">
            <v>Izziņa</v>
          </cell>
        </row>
        <row r="6">
          <cell r="A6" t="str">
            <v>Tāme</v>
          </cell>
        </row>
        <row r="7">
          <cell r="A7" t="str">
            <v>Protokols</v>
          </cell>
        </row>
        <row r="8">
          <cell r="A8" t="str">
            <v>Pieteikuma veidlapas</v>
          </cell>
        </row>
        <row r="9">
          <cell r="A9" t="str">
            <v>Pilnvara</v>
          </cell>
        </row>
        <row r="10">
          <cell r="A10" t="str">
            <v>Pielikums</v>
          </cell>
        </row>
        <row r="11">
          <cell r="A11" t="str">
            <v>iesniegums</v>
          </cell>
        </row>
        <row r="12">
          <cell r="A12" t="str">
            <v>piedāvājums</v>
          </cell>
        </row>
        <row r="13">
          <cell r="A13" t="str">
            <v>Reģistrācijas apliecība</v>
          </cell>
        </row>
        <row r="14">
          <cell r="A14" t="str">
            <v>Rīkojums</v>
          </cell>
        </row>
        <row r="15">
          <cell r="A15" t="str">
            <v>Aizdevuma atmaksas grafiks</v>
          </cell>
        </row>
      </sheetData>
      <sheetData sheetId="5" refreshError="1">
        <row r="1">
          <cell r="A1" t="str">
            <v xml:space="preserve">   </v>
          </cell>
        </row>
        <row r="2">
          <cell r="A2" t="str">
            <v>par izdarīto darbu</v>
          </cell>
        </row>
        <row r="3">
          <cell r="A3" t="str">
            <v>pēc rēķina</v>
          </cell>
        </row>
        <row r="4">
          <cell r="A4" t="str">
            <v>mēnesī</v>
          </cell>
        </row>
        <row r="5">
          <cell r="A5" t="str">
            <v>pēc PPR</v>
          </cell>
        </row>
        <row r="6">
          <cell r="A6" t="str">
            <v>par reizi</v>
          </cell>
        </row>
        <row r="7">
          <cell r="A7" t="str">
            <v>mēnesī par km**2</v>
          </cell>
        </row>
        <row r="8">
          <cell r="A8" t="str">
            <v>pēc specifikācijas</v>
          </cell>
        </row>
        <row r="9">
          <cell r="A9" t="str">
            <v>gadā</v>
          </cell>
        </row>
        <row r="10">
          <cell r="A10" t="str">
            <v>stundā</v>
          </cell>
        </row>
        <row r="11">
          <cell r="A11" t="str">
            <v>par 1 bērnu</v>
          </cell>
        </row>
        <row r="12">
          <cell r="A12" t="str">
            <v>45 minūtes</v>
          </cell>
        </row>
        <row r="13">
          <cell r="A13" t="str">
            <v>diennakts</v>
          </cell>
        </row>
        <row r="14">
          <cell r="A14" t="str">
            <v>e-pasta rēķins</v>
          </cell>
        </row>
        <row r="15">
          <cell r="A15" t="str">
            <v>ceļazīme</v>
          </cell>
        </row>
        <row r="16">
          <cell r="A16" t="str">
            <v>par kvadrātmetru</v>
          </cell>
        </row>
        <row r="17">
          <cell r="A17" t="str">
            <v>kopējā līguma summa</v>
          </cell>
        </row>
        <row r="18">
          <cell r="A18" t="str">
            <v>par 1 lietas apstrādi</v>
          </cell>
        </row>
        <row r="19">
          <cell r="A19" t="str">
            <v>mēnesi  par m2</v>
          </cell>
        </row>
        <row r="20">
          <cell r="A20" t="str">
            <v>Dāvinājums</v>
          </cell>
        </row>
        <row r="21">
          <cell r="A21" t="str">
            <v>Ls/kWh</v>
          </cell>
        </row>
        <row r="22">
          <cell r="A22" t="str">
            <v>papildus darbi</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F9ED635-AE29-40B6-914E-E2B04552DFC8}" name="Piedāvājums" displayName="Piedāvājums" ref="B13:D19" totalsRowCount="1">
  <tableColumns count="3">
    <tableColumn id="1" xr3:uid="{1BC7C16A-F20B-4ADF-ABB4-22CDE6EF6D97}" name="Apraksts" totalsRowDxfId="2"/>
    <tableColumn id="2" xr3:uid="{68FD536B-26F2-422F-BAAC-C00C9FCEAB8C}" name=" " totalsRowLabel="KOPSUMMA  " totalsRowDxfId="1"/>
    <tableColumn id="3" xr3:uid="{8C9866E0-0F0D-46E2-A93A-4D077831C4CB}" name="SUMMA" totalsRowFunction="sum" totalsRowDxfId="0"/>
  </tableColumns>
  <tableStyleInfo name="Cenas piedāvājums bez nodokļiem" showFirstColumn="0" showLastColumn="1" showRowStripes="0" showColumnStripes="0"/>
  <extLst>
    <ext xmlns:x14="http://schemas.microsoft.com/office/spreadsheetml/2009/9/main" uri="{504A1905-F514-4f6f-8877-14C23A59335A}">
      <x14:table altTextSummary="Ievadiet aprakstu un summu šajā tabulā. Apmaksājamā kopsumma tiek aprēķināta automātiski"/>
    </ext>
  </extLst>
</table>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vestnesis.lv/op/2021/234A.1"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linda@adazikultura.lv"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F0C6A-716B-411A-8C9F-94739448F15E}">
  <sheetPr>
    <tabColor theme="9" tint="-0.249977111117893"/>
    <pageSetUpPr fitToPage="1"/>
  </sheetPr>
  <dimension ref="A1:GN537"/>
  <sheetViews>
    <sheetView topLeftCell="E1" zoomScale="110" zoomScaleNormal="110" workbookViewId="0">
      <selection activeCell="G1" sqref="G1:H1048576"/>
    </sheetView>
  </sheetViews>
  <sheetFormatPr defaultRowHeight="11.4" outlineLevelRow="1" outlineLevelCol="1" x14ac:dyDescent="0.2"/>
  <cols>
    <col min="1" max="2" width="9.125" style="810" hidden="1" customWidth="1" outlineLevel="1"/>
    <col min="3" max="4" width="9.125" style="923" hidden="1" customWidth="1" outlineLevel="1"/>
    <col min="5" max="5" width="10.125" customWidth="1" collapsed="1"/>
    <col min="6" max="6" width="42.625" customWidth="1"/>
    <col min="7" max="7" width="16.375" style="485" customWidth="1"/>
    <col min="8" max="8" width="17.25" style="224" customWidth="1"/>
    <col min="9" max="9" width="15.75" customWidth="1"/>
    <col min="10" max="10" width="19.875" style="871" customWidth="1" outlineLevel="1"/>
    <col min="11" max="11" width="59.875" style="411" customWidth="1" outlineLevel="1"/>
    <col min="12" max="12" width="9.75" customWidth="1"/>
    <col min="13" max="13" width="30.75" style="107" hidden="1" customWidth="1" outlineLevel="1"/>
    <col min="14" max="14" width="14.75" hidden="1" customWidth="1" outlineLevel="1"/>
    <col min="15" max="15" width="12.375" hidden="1" customWidth="1" outlineLevel="1"/>
    <col min="16" max="17" width="2.875" hidden="1" customWidth="1" outlineLevel="1"/>
    <col min="18" max="18" width="2.875" customWidth="1" collapsed="1"/>
    <col min="19" max="20" width="2.875" customWidth="1"/>
    <col min="21" max="21" width="8.875" customWidth="1"/>
    <col min="22" max="22" width="2.875" customWidth="1"/>
    <col min="23" max="25" width="3.875" customWidth="1"/>
    <col min="26" max="26" width="6.875" customWidth="1"/>
    <col min="27" max="49" width="3.875" customWidth="1"/>
    <col min="50" max="50" width="6.875" customWidth="1"/>
    <col min="51" max="51" width="8.875" customWidth="1"/>
    <col min="52" max="56" width="3.875" customWidth="1"/>
    <col min="57" max="57" width="11.875" bestFit="1" customWidth="1"/>
    <col min="58" max="58" width="3.875" customWidth="1"/>
    <col min="59" max="59" width="5.875" customWidth="1"/>
    <col min="60" max="60" width="3.875" customWidth="1"/>
    <col min="61" max="61" width="11.875" bestFit="1" customWidth="1"/>
    <col min="62" max="69" width="3.875" customWidth="1"/>
    <col min="70" max="70" width="10.875" bestFit="1" customWidth="1"/>
    <col min="71" max="86" width="3.875" customWidth="1"/>
    <col min="87" max="87" width="11.875" bestFit="1" customWidth="1"/>
    <col min="88" max="94" width="3.875" customWidth="1"/>
    <col min="95" max="95" width="11.875" bestFit="1" customWidth="1"/>
    <col min="96" max="112" width="3.875" customWidth="1"/>
    <col min="113" max="113" width="11.875" bestFit="1" customWidth="1"/>
    <col min="114" max="120" width="3.875" customWidth="1"/>
    <col min="121" max="121" width="5.875" customWidth="1"/>
    <col min="122" max="125" width="3.875" customWidth="1"/>
    <col min="126" max="126" width="5.875" customWidth="1"/>
    <col min="127" max="129" width="3.875" customWidth="1"/>
    <col min="130" max="130" width="5.875" customWidth="1"/>
    <col min="131" max="131" width="3.875" customWidth="1"/>
    <col min="132" max="132" width="10.875" bestFit="1" customWidth="1"/>
    <col min="133" max="146" width="3.875" customWidth="1"/>
    <col min="147" max="147" width="6.875" customWidth="1"/>
    <col min="148" max="151" width="3.875" customWidth="1"/>
    <col min="152" max="152" width="5.875" customWidth="1"/>
    <col min="153" max="155" width="3.875" customWidth="1"/>
    <col min="156" max="160" width="4.875" customWidth="1"/>
    <col min="161" max="161" width="9.875" bestFit="1" customWidth="1"/>
    <col min="162" max="175" width="4.875" customWidth="1"/>
    <col min="176" max="176" width="6.875" customWidth="1"/>
    <col min="177" max="180" width="4.875" customWidth="1"/>
    <col min="181" max="181" width="6.875" customWidth="1"/>
    <col min="182" max="189" width="4.875" customWidth="1"/>
    <col min="190" max="190" width="7.875" customWidth="1"/>
    <col min="191" max="194" width="4.875" customWidth="1"/>
    <col min="195" max="195" width="6.875" customWidth="1"/>
    <col min="196" max="196" width="4.875" customWidth="1"/>
    <col min="197" max="197" width="8.875" customWidth="1"/>
    <col min="198" max="206" width="4.875" customWidth="1"/>
    <col min="207" max="207" width="6.875" customWidth="1"/>
    <col min="208" max="208" width="9.875" bestFit="1" customWidth="1"/>
    <col min="209" max="210" width="4.875" customWidth="1"/>
    <col min="211" max="211" width="11.875" bestFit="1" customWidth="1"/>
    <col min="212" max="212" width="6.875" customWidth="1"/>
    <col min="213" max="215" width="4.875" customWidth="1"/>
    <col min="216" max="216" width="7.875" customWidth="1"/>
    <col min="217" max="219" width="4.875" customWidth="1"/>
    <col min="220" max="220" width="11.875" bestFit="1" customWidth="1"/>
    <col min="221" max="224" width="4.875" customWidth="1"/>
    <col min="225" max="225" width="11.875" bestFit="1" customWidth="1"/>
    <col min="226" max="234" width="4.875" customWidth="1"/>
    <col min="235" max="235" width="7.875" customWidth="1"/>
    <col min="236" max="237" width="4.875" customWidth="1"/>
    <col min="238" max="238" width="10.875" bestFit="1" customWidth="1"/>
    <col min="239" max="239" width="4.875" customWidth="1"/>
    <col min="240" max="240" width="6.875" customWidth="1"/>
    <col min="241" max="243" width="4.875" customWidth="1"/>
    <col min="244" max="244" width="11.875" bestFit="1" customWidth="1"/>
    <col min="245" max="249" width="4.875" customWidth="1"/>
    <col min="250" max="251" width="11.875" bestFit="1" customWidth="1"/>
    <col min="252" max="253" width="4.875" customWidth="1"/>
    <col min="254" max="254" width="6.875" customWidth="1"/>
    <col min="255" max="255" width="11.875" bestFit="1" customWidth="1"/>
    <col min="256" max="273" width="4.875" customWidth="1"/>
    <col min="274" max="274" width="11.875" bestFit="1" customWidth="1"/>
    <col min="275" max="284" width="4.875" customWidth="1"/>
    <col min="285" max="285" width="7.875" customWidth="1"/>
    <col min="286" max="286" width="6.875" customWidth="1"/>
    <col min="287" max="287" width="4.875" customWidth="1"/>
    <col min="288" max="288" width="8.875" customWidth="1"/>
    <col min="289" max="293" width="4.875" customWidth="1"/>
    <col min="294" max="294" width="11.875" bestFit="1" customWidth="1"/>
    <col min="295" max="314" width="4.875" customWidth="1"/>
    <col min="315" max="315" width="11.875" bestFit="1" customWidth="1"/>
    <col min="316" max="323" width="4.875" customWidth="1"/>
    <col min="324" max="324" width="6.875" customWidth="1"/>
    <col min="325" max="330" width="4.875" customWidth="1"/>
    <col min="331" max="331" width="11.875" bestFit="1" customWidth="1"/>
    <col min="332" max="332" width="4.875" customWidth="1"/>
    <col min="333" max="333" width="8.875" customWidth="1"/>
    <col min="334" max="365" width="4.875" customWidth="1"/>
    <col min="366" max="366" width="11.875" bestFit="1" customWidth="1"/>
    <col min="367" max="369" width="4.875" customWidth="1"/>
    <col min="370" max="370" width="9.875" bestFit="1" customWidth="1"/>
    <col min="371" max="377" width="4.875" customWidth="1"/>
    <col min="378" max="378" width="11.875" bestFit="1" customWidth="1"/>
    <col min="379" max="391" width="4.875" customWidth="1"/>
    <col min="392" max="392" width="9.875" bestFit="1" customWidth="1"/>
    <col min="393" max="393" width="6.875" customWidth="1"/>
    <col min="394" max="394" width="9.875" bestFit="1" customWidth="1"/>
    <col min="395" max="395" width="7.875" customWidth="1"/>
    <col min="396" max="406" width="4.875" customWidth="1"/>
    <col min="407" max="407" width="7.875" customWidth="1"/>
    <col min="408" max="415" width="4.875" customWidth="1"/>
    <col min="416" max="416" width="10.875" bestFit="1" customWidth="1"/>
    <col min="417" max="420" width="4.875" customWidth="1"/>
    <col min="421" max="421" width="7.875" customWidth="1"/>
    <col min="422" max="427" width="4.875" customWidth="1"/>
    <col min="428" max="428" width="9.875" bestFit="1" customWidth="1"/>
    <col min="429" max="436" width="4.875" customWidth="1"/>
    <col min="437" max="437" width="7.875" customWidth="1"/>
    <col min="438" max="445" width="4.875" customWidth="1"/>
    <col min="446" max="446" width="7.875" customWidth="1"/>
    <col min="447" max="458" width="4.875" customWidth="1"/>
    <col min="459" max="459" width="11.875" bestFit="1" customWidth="1"/>
    <col min="460" max="469" width="4.875" customWidth="1"/>
    <col min="470" max="470" width="7.875" customWidth="1"/>
    <col min="471" max="471" width="4.875" customWidth="1"/>
    <col min="472" max="472" width="9.875" bestFit="1" customWidth="1"/>
    <col min="473" max="481" width="4.875" customWidth="1"/>
    <col min="482" max="483" width="11.875" bestFit="1" customWidth="1"/>
    <col min="484" max="484" width="4.875" customWidth="1"/>
    <col min="485" max="485" width="11.875" bestFit="1" customWidth="1"/>
    <col min="486" max="495" width="4.875" customWidth="1"/>
    <col min="496" max="496" width="11.875" bestFit="1" customWidth="1"/>
    <col min="497" max="505" width="4.875" customWidth="1"/>
    <col min="506" max="506" width="11.875" bestFit="1" customWidth="1"/>
    <col min="507" max="508" width="4.875" customWidth="1"/>
    <col min="509" max="515" width="5.875" customWidth="1"/>
    <col min="516" max="516" width="7.875" customWidth="1"/>
    <col min="517" max="521" width="5.875" customWidth="1"/>
    <col min="522" max="522" width="8.875" customWidth="1"/>
    <col min="523" max="523" width="7.875" customWidth="1"/>
    <col min="524" max="529" width="5.875" customWidth="1"/>
    <col min="530" max="530" width="11.875" bestFit="1" customWidth="1"/>
    <col min="531" max="532" width="5.875" customWidth="1"/>
    <col min="533" max="533" width="11.875" bestFit="1" customWidth="1"/>
    <col min="534" max="540" width="5.875" customWidth="1"/>
    <col min="541" max="541" width="7.875" customWidth="1"/>
    <col min="542" max="544" width="5.875" customWidth="1"/>
    <col min="545" max="545" width="8.875" customWidth="1"/>
    <col min="546" max="546" width="5.875" customWidth="1"/>
    <col min="547" max="547" width="11.875" bestFit="1" customWidth="1"/>
    <col min="548" max="548" width="5.875" customWidth="1"/>
    <col min="549" max="549" width="10.875" bestFit="1" customWidth="1"/>
    <col min="550" max="555" width="5.875" customWidth="1"/>
    <col min="556" max="556" width="9.875" bestFit="1" customWidth="1"/>
    <col min="557" max="557" width="5.875" customWidth="1"/>
    <col min="558" max="558" width="8.875" customWidth="1"/>
    <col min="559" max="575" width="5.875" customWidth="1"/>
    <col min="576" max="576" width="8.875" customWidth="1"/>
    <col min="577" max="577" width="11.875" bestFit="1" customWidth="1"/>
    <col min="578" max="582" width="5.875" customWidth="1"/>
    <col min="583" max="583" width="7.875" customWidth="1"/>
    <col min="584" max="585" width="5.875" customWidth="1"/>
    <col min="586" max="587" width="11.875" bestFit="1" customWidth="1"/>
    <col min="588" max="588" width="5.875" customWidth="1"/>
    <col min="589" max="589" width="9.875" bestFit="1" customWidth="1"/>
    <col min="590" max="602" width="5.875" customWidth="1"/>
    <col min="603" max="603" width="11.875" bestFit="1" customWidth="1"/>
    <col min="604" max="606" width="5.875" customWidth="1"/>
    <col min="607" max="607" width="11.875" bestFit="1" customWidth="1"/>
    <col min="608" max="608" width="5.875" customWidth="1"/>
    <col min="609" max="609" width="8.875" customWidth="1"/>
    <col min="610" max="610" width="5.875" customWidth="1"/>
    <col min="611" max="611" width="10.875" bestFit="1" customWidth="1"/>
    <col min="612" max="613" width="5.875" customWidth="1"/>
    <col min="614" max="614" width="11.875" bestFit="1" customWidth="1"/>
    <col min="615" max="616" width="5.875" customWidth="1"/>
    <col min="617" max="617" width="7.875" customWidth="1"/>
    <col min="618" max="621" width="5.875" customWidth="1"/>
    <col min="622" max="622" width="11.875" bestFit="1" customWidth="1"/>
    <col min="623" max="623" width="5.875" customWidth="1"/>
    <col min="624" max="624" width="11.875" bestFit="1" customWidth="1"/>
    <col min="625" max="629" width="5.875" customWidth="1"/>
    <col min="630" max="630" width="11.875" bestFit="1" customWidth="1"/>
    <col min="631" max="632" width="5.875" customWidth="1"/>
    <col min="633" max="633" width="11.875" bestFit="1" customWidth="1"/>
    <col min="634" max="636" width="5.875" customWidth="1"/>
    <col min="637" max="637" width="11.875" bestFit="1" customWidth="1"/>
    <col min="638" max="640" width="5.875" customWidth="1"/>
    <col min="641" max="641" width="11.875" bestFit="1" customWidth="1"/>
    <col min="642" max="644" width="5.875" customWidth="1"/>
    <col min="645" max="645" width="8.875" customWidth="1"/>
    <col min="646" max="646" width="5.875" customWidth="1"/>
    <col min="647" max="647" width="11.875" bestFit="1" customWidth="1"/>
    <col min="648" max="653" width="5.875" customWidth="1"/>
    <col min="654" max="654" width="9.875" bestFit="1" customWidth="1"/>
    <col min="655" max="657" width="5.875" customWidth="1"/>
    <col min="658" max="658" width="9.875" bestFit="1" customWidth="1"/>
    <col min="659" max="662" width="5.875" customWidth="1"/>
    <col min="663" max="663" width="11.875" bestFit="1" customWidth="1"/>
    <col min="664" max="665" width="5.875" customWidth="1"/>
    <col min="666" max="666" width="9.875" bestFit="1" customWidth="1"/>
    <col min="667" max="669" width="5.875" customWidth="1"/>
    <col min="670" max="670" width="11.875" bestFit="1" customWidth="1"/>
    <col min="671" max="672" width="5.875" customWidth="1"/>
    <col min="673" max="673" width="9.875" bestFit="1" customWidth="1"/>
    <col min="674" max="678" width="5.875" customWidth="1"/>
    <col min="679" max="679" width="10.875" bestFit="1" customWidth="1"/>
    <col min="680" max="682" width="5.875" customWidth="1"/>
    <col min="683" max="683" width="8.875" customWidth="1"/>
    <col min="684" max="689" width="5.875" customWidth="1"/>
    <col min="690" max="690" width="9.875" bestFit="1" customWidth="1"/>
    <col min="691" max="693" width="5.875" customWidth="1"/>
    <col min="694" max="694" width="10.875" bestFit="1" customWidth="1"/>
    <col min="695" max="700" width="5.875" customWidth="1"/>
    <col min="701" max="701" width="11.875" bestFit="1" customWidth="1"/>
    <col min="702" max="706" width="5.875" customWidth="1"/>
    <col min="707" max="708" width="11.875" bestFit="1" customWidth="1"/>
    <col min="709" max="716" width="5.875" customWidth="1"/>
    <col min="717" max="717" width="8.875" customWidth="1"/>
    <col min="718" max="721" width="5.875" customWidth="1"/>
    <col min="722" max="722" width="11.875" bestFit="1" customWidth="1"/>
    <col min="723" max="724" width="5.875" customWidth="1"/>
    <col min="725" max="725" width="9.875" bestFit="1" customWidth="1"/>
    <col min="726" max="728" width="5.875" customWidth="1"/>
    <col min="729" max="729" width="11.875" bestFit="1" customWidth="1"/>
    <col min="730" max="737" width="5.875" customWidth="1"/>
    <col min="738" max="738" width="8.875" customWidth="1"/>
    <col min="739" max="739" width="5.875" customWidth="1"/>
    <col min="740" max="740" width="7.875" customWidth="1"/>
    <col min="741" max="741" width="11.875" bestFit="1" customWidth="1"/>
    <col min="742" max="742" width="8.875" customWidth="1"/>
    <col min="743" max="747" width="5.875" customWidth="1"/>
    <col min="748" max="748" width="10.875" bestFit="1" customWidth="1"/>
    <col min="749" max="750" width="11.875" bestFit="1" customWidth="1"/>
    <col min="751" max="754" width="5.875" customWidth="1"/>
    <col min="755" max="755" width="11.875" bestFit="1" customWidth="1"/>
    <col min="756" max="761" width="5.875" customWidth="1"/>
    <col min="762" max="762" width="11.875" bestFit="1" customWidth="1"/>
    <col min="763" max="763" width="5.875" customWidth="1"/>
    <col min="764" max="764" width="11.875" bestFit="1" customWidth="1"/>
    <col min="765" max="766" width="5.875" customWidth="1"/>
    <col min="767" max="767" width="9.875" bestFit="1" customWidth="1"/>
    <col min="768" max="768" width="11.875" bestFit="1" customWidth="1"/>
    <col min="769" max="769" width="10.875" bestFit="1" customWidth="1"/>
    <col min="770" max="770" width="5.875" customWidth="1"/>
    <col min="771" max="771" width="11.875" bestFit="1" customWidth="1"/>
    <col min="772" max="772" width="10.875" bestFit="1" customWidth="1"/>
    <col min="773" max="774" width="5.875" customWidth="1"/>
    <col min="775" max="775" width="11.875" bestFit="1" customWidth="1"/>
    <col min="776" max="776" width="7.875" customWidth="1"/>
    <col min="777" max="778" width="5.875" customWidth="1"/>
    <col min="779" max="779" width="11.875" bestFit="1" customWidth="1"/>
    <col min="780" max="790" width="5.875" customWidth="1"/>
    <col min="791" max="791" width="11.875" bestFit="1" customWidth="1"/>
    <col min="792" max="792" width="5.875" customWidth="1"/>
    <col min="793" max="793" width="11.875" bestFit="1" customWidth="1"/>
    <col min="794" max="794" width="5.875" customWidth="1"/>
    <col min="795" max="795" width="9.875" bestFit="1" customWidth="1"/>
    <col min="796" max="796" width="5.875" customWidth="1"/>
    <col min="797" max="797" width="10.875" bestFit="1" customWidth="1"/>
    <col min="798" max="798" width="8.875" customWidth="1"/>
    <col min="799" max="799" width="5.875" customWidth="1"/>
    <col min="800" max="800" width="11.875" bestFit="1" customWidth="1"/>
    <col min="801" max="801" width="9.875" bestFit="1" customWidth="1"/>
    <col min="802" max="802" width="11.875" bestFit="1" customWidth="1"/>
    <col min="803" max="803" width="6.875" customWidth="1"/>
    <col min="804" max="804" width="11.875" bestFit="1" customWidth="1"/>
    <col min="805" max="807" width="6.875" customWidth="1"/>
    <col min="808" max="808" width="11.875" bestFit="1" customWidth="1"/>
    <col min="809" max="809" width="6.875" customWidth="1"/>
    <col min="810" max="811" width="11.875" bestFit="1" customWidth="1"/>
    <col min="812" max="816" width="6.875" customWidth="1"/>
    <col min="817" max="817" width="9.875" bestFit="1" customWidth="1"/>
    <col min="818" max="819" width="10.875" bestFit="1" customWidth="1"/>
    <col min="820" max="820" width="11.875" bestFit="1" customWidth="1"/>
    <col min="821" max="823" width="6.875" customWidth="1"/>
    <col min="824" max="825" width="11.875" bestFit="1" customWidth="1"/>
    <col min="826" max="827" width="6.875" customWidth="1"/>
    <col min="828" max="828" width="11.875" bestFit="1" customWidth="1"/>
    <col min="829" max="829" width="10.875" bestFit="1" customWidth="1"/>
    <col min="830" max="830" width="6.875" customWidth="1"/>
    <col min="831" max="831" width="8.875" customWidth="1"/>
    <col min="832" max="833" width="6.875" customWidth="1"/>
    <col min="834" max="834" width="9.875" bestFit="1" customWidth="1"/>
    <col min="835" max="835" width="6.875" customWidth="1"/>
    <col min="836" max="836" width="10.875" bestFit="1" customWidth="1"/>
    <col min="837" max="838" width="11.875" bestFit="1" customWidth="1"/>
    <col min="839" max="839" width="6.875" customWidth="1"/>
    <col min="840" max="840" width="9.875" bestFit="1" customWidth="1"/>
    <col min="841" max="843" width="6.875" customWidth="1"/>
    <col min="844" max="844" width="9.875" bestFit="1" customWidth="1"/>
    <col min="845" max="845" width="6.875" customWidth="1"/>
    <col min="846" max="846" width="10.875" bestFit="1" customWidth="1"/>
    <col min="847" max="847" width="6.875" customWidth="1"/>
    <col min="848" max="848" width="11.875" bestFit="1" customWidth="1"/>
    <col min="849" max="849" width="10.875" bestFit="1" customWidth="1"/>
    <col min="850" max="851" width="11.875" bestFit="1" customWidth="1"/>
    <col min="852" max="859" width="6.875" customWidth="1"/>
    <col min="860" max="861" width="11.875" bestFit="1" customWidth="1"/>
    <col min="862" max="865" width="7.875" customWidth="1"/>
    <col min="866" max="867" width="11.875" bestFit="1" customWidth="1"/>
    <col min="868" max="868" width="7.875" customWidth="1"/>
    <col min="869" max="869" width="8.875" customWidth="1"/>
    <col min="870" max="870" width="6.875" customWidth="1"/>
    <col min="871" max="871" width="11.375" bestFit="1" customWidth="1"/>
  </cols>
  <sheetData>
    <row r="1" spans="5:12" ht="37.950000000000003" customHeight="1" thickBot="1" x14ac:dyDescent="0.25">
      <c r="E1" s="112" t="s">
        <v>0</v>
      </c>
      <c r="F1" s="113" t="s">
        <v>1</v>
      </c>
      <c r="G1" s="2">
        <v>2022</v>
      </c>
      <c r="H1" s="282">
        <v>2023</v>
      </c>
      <c r="I1" s="282" t="s">
        <v>196</v>
      </c>
      <c r="J1" s="412" t="s">
        <v>195</v>
      </c>
      <c r="K1" s="413" t="s">
        <v>355</v>
      </c>
    </row>
    <row r="2" spans="5:12" ht="37.950000000000003" customHeight="1" x14ac:dyDescent="0.25">
      <c r="E2" s="114" t="s">
        <v>3</v>
      </c>
      <c r="F2" s="115" t="s">
        <v>4</v>
      </c>
      <c r="G2" s="487">
        <v>32071144</v>
      </c>
      <c r="H2" s="309">
        <v>31344871</v>
      </c>
      <c r="I2" s="116">
        <f t="shared" ref="I2:I19" si="0">H2-G2</f>
        <v>-726273</v>
      </c>
      <c r="J2" s="861">
        <f>I2/G2</f>
        <v>-2.2645684232530029E-2</v>
      </c>
      <c r="K2" s="440" t="s">
        <v>636</v>
      </c>
    </row>
    <row r="3" spans="5:12" ht="21.6" customHeight="1" x14ac:dyDescent="0.25">
      <c r="E3" s="117" t="s">
        <v>5</v>
      </c>
      <c r="F3" s="118" t="s">
        <v>6</v>
      </c>
      <c r="G3" s="488">
        <v>29335988</v>
      </c>
      <c r="H3" s="291">
        <v>28441559</v>
      </c>
      <c r="I3" s="119">
        <f>H3-G3</f>
        <v>-894429</v>
      </c>
      <c r="J3" s="862">
        <f>I3/G3</f>
        <v>-3.0489138460242076E-2</v>
      </c>
      <c r="K3" s="293"/>
    </row>
    <row r="4" spans="5:12" ht="15" hidden="1" customHeight="1" outlineLevel="1" x14ac:dyDescent="0.25">
      <c r="E4" s="120" t="s">
        <v>8</v>
      </c>
      <c r="F4" s="121" t="s">
        <v>9</v>
      </c>
      <c r="G4" s="489">
        <v>27602472</v>
      </c>
      <c r="H4" s="290">
        <v>28441559</v>
      </c>
      <c r="I4" s="290">
        <f>H4-G4</f>
        <v>839087</v>
      </c>
      <c r="J4" s="863">
        <f>I4/G4</f>
        <v>3.0398980207279987E-2</v>
      </c>
      <c r="K4" s="293">
        <f>(H4+H6+H9+H12-H62)</f>
        <v>26952205</v>
      </c>
    </row>
    <row r="5" spans="5:12" ht="15" hidden="1" customHeight="1" outlineLevel="1" x14ac:dyDescent="0.25">
      <c r="E5" s="120" t="s">
        <v>70</v>
      </c>
      <c r="F5" s="121" t="s">
        <v>704</v>
      </c>
      <c r="G5" s="490">
        <v>1733516</v>
      </c>
      <c r="H5" s="280">
        <v>0</v>
      </c>
      <c r="I5" s="290">
        <f t="shared" si="0"/>
        <v>-1733516</v>
      </c>
      <c r="J5" s="863">
        <f>I5/G5</f>
        <v>-1</v>
      </c>
      <c r="K5" s="293"/>
    </row>
    <row r="6" spans="5:12" ht="26.4" customHeight="1" collapsed="1" x14ac:dyDescent="0.25">
      <c r="E6" s="124" t="s">
        <v>10</v>
      </c>
      <c r="F6" s="125" t="s">
        <v>11</v>
      </c>
      <c r="G6" s="488">
        <v>1913189</v>
      </c>
      <c r="H6" s="291">
        <v>1998295</v>
      </c>
      <c r="I6" s="126">
        <f t="shared" si="0"/>
        <v>85106</v>
      </c>
      <c r="J6" s="864">
        <f t="shared" ref="J6:J19" si="1">I6/G6</f>
        <v>4.4483843467634405E-2</v>
      </c>
      <c r="K6" s="414" t="s">
        <v>1537</v>
      </c>
      <c r="L6" s="157"/>
    </row>
    <row r="7" spans="5:12" ht="21" hidden="1" customHeight="1" outlineLevel="1" x14ac:dyDescent="0.25">
      <c r="E7" s="120" t="s">
        <v>12</v>
      </c>
      <c r="F7" s="121" t="s">
        <v>9</v>
      </c>
      <c r="G7" s="480">
        <v>1786653</v>
      </c>
      <c r="H7" s="307">
        <v>1807872</v>
      </c>
      <c r="I7" s="122">
        <f t="shared" si="0"/>
        <v>21219</v>
      </c>
      <c r="J7" s="865">
        <f t="shared" si="1"/>
        <v>1.1876396815721911E-2</v>
      </c>
      <c r="K7" s="414" t="s">
        <v>1453</v>
      </c>
    </row>
    <row r="8" spans="5:12" ht="21" hidden="1" customHeight="1" outlineLevel="1" x14ac:dyDescent="0.25">
      <c r="E8" s="120" t="s">
        <v>13</v>
      </c>
      <c r="F8" s="121" t="s">
        <v>14</v>
      </c>
      <c r="G8" s="480">
        <v>126536</v>
      </c>
      <c r="H8" s="307">
        <v>190423</v>
      </c>
      <c r="I8" s="122">
        <f t="shared" si="0"/>
        <v>63887</v>
      </c>
      <c r="J8" s="863">
        <f t="shared" si="1"/>
        <v>0.50489188847442623</v>
      </c>
      <c r="K8" s="460" t="s">
        <v>1454</v>
      </c>
    </row>
    <row r="9" spans="5:12" ht="29.4" customHeight="1" collapsed="1" x14ac:dyDescent="0.25">
      <c r="E9" s="124" t="s">
        <v>15</v>
      </c>
      <c r="F9" s="125" t="s">
        <v>1507</v>
      </c>
      <c r="G9" s="488">
        <v>342949</v>
      </c>
      <c r="H9" s="291">
        <v>412472</v>
      </c>
      <c r="I9" s="126">
        <f t="shared" si="0"/>
        <v>69523</v>
      </c>
      <c r="J9" s="864">
        <f t="shared" si="1"/>
        <v>0.20272110430413851</v>
      </c>
      <c r="K9" s="293"/>
    </row>
    <row r="10" spans="5:12" ht="21" hidden="1" customHeight="1" outlineLevel="1" x14ac:dyDescent="0.25">
      <c r="E10" s="120" t="s">
        <v>16</v>
      </c>
      <c r="F10" s="121" t="s">
        <v>17</v>
      </c>
      <c r="G10" s="491">
        <v>292991</v>
      </c>
      <c r="H10" s="308">
        <v>326353</v>
      </c>
      <c r="I10" s="128">
        <f t="shared" si="0"/>
        <v>33362</v>
      </c>
      <c r="J10" s="866">
        <f t="shared" si="1"/>
        <v>0.11386697884917966</v>
      </c>
      <c r="K10" s="293"/>
    </row>
    <row r="11" spans="5:12" ht="21" hidden="1" customHeight="1" outlineLevel="1" x14ac:dyDescent="0.25">
      <c r="E11" s="120" t="s">
        <v>18</v>
      </c>
      <c r="F11" s="121" t="s">
        <v>14</v>
      </c>
      <c r="G11" s="491">
        <v>49958</v>
      </c>
      <c r="H11" s="308">
        <v>86119</v>
      </c>
      <c r="I11" s="122">
        <f t="shared" si="0"/>
        <v>36161</v>
      </c>
      <c r="J11" s="863">
        <f t="shared" si="1"/>
        <v>0.72382801553304776</v>
      </c>
      <c r="K11" s="293"/>
    </row>
    <row r="12" spans="5:12" ht="25.95" customHeight="1" collapsed="1" x14ac:dyDescent="0.25">
      <c r="E12" s="124" t="s">
        <v>19</v>
      </c>
      <c r="F12" s="125" t="s">
        <v>1506</v>
      </c>
      <c r="G12" s="488">
        <v>479018</v>
      </c>
      <c r="H12" s="291">
        <v>492545</v>
      </c>
      <c r="I12" s="126">
        <f t="shared" si="0"/>
        <v>13527</v>
      </c>
      <c r="J12" s="864">
        <f t="shared" si="1"/>
        <v>2.8239022333189985E-2</v>
      </c>
      <c r="K12" s="293"/>
    </row>
    <row r="13" spans="5:12" ht="21.6" hidden="1" customHeight="1" outlineLevel="1" x14ac:dyDescent="0.25">
      <c r="E13" s="120" t="s">
        <v>20</v>
      </c>
      <c r="F13" s="121" t="s">
        <v>17</v>
      </c>
      <c r="G13" s="491">
        <v>422060</v>
      </c>
      <c r="H13" s="128">
        <v>431787</v>
      </c>
      <c r="I13" s="128">
        <f t="shared" si="0"/>
        <v>9727</v>
      </c>
      <c r="J13" s="866">
        <f t="shared" si="1"/>
        <v>2.3046486281571341E-2</v>
      </c>
      <c r="K13" s="293"/>
    </row>
    <row r="14" spans="5:12" ht="21.6" hidden="1" customHeight="1" outlineLevel="1" x14ac:dyDescent="0.25">
      <c r="E14" s="120" t="s">
        <v>21</v>
      </c>
      <c r="F14" s="121" t="s">
        <v>14</v>
      </c>
      <c r="G14" s="491">
        <v>56958</v>
      </c>
      <c r="H14" s="122">
        <v>60758</v>
      </c>
      <c r="I14" s="122">
        <f t="shared" si="0"/>
        <v>3800</v>
      </c>
      <c r="J14" s="863">
        <f t="shared" si="1"/>
        <v>6.6715825696126968E-2</v>
      </c>
      <c r="K14" s="293"/>
    </row>
    <row r="15" spans="5:12" ht="17.399999999999999" customHeight="1" collapsed="1" x14ac:dyDescent="0.25">
      <c r="E15" s="124" t="s">
        <v>22</v>
      </c>
      <c r="F15" s="125" t="s">
        <v>703</v>
      </c>
      <c r="G15" s="488">
        <v>0</v>
      </c>
      <c r="H15" s="291">
        <v>0</v>
      </c>
      <c r="I15" s="126">
        <f t="shared" si="0"/>
        <v>0</v>
      </c>
      <c r="J15" s="864"/>
      <c r="K15" s="293"/>
    </row>
    <row r="16" spans="5:12" ht="34.950000000000003" customHeight="1" x14ac:dyDescent="0.25">
      <c r="E16" s="124" t="s">
        <v>23</v>
      </c>
      <c r="F16" s="125" t="s">
        <v>24</v>
      </c>
      <c r="G16" s="294">
        <v>90320</v>
      </c>
      <c r="H16" s="126">
        <v>160000</v>
      </c>
      <c r="I16" s="126">
        <f t="shared" si="0"/>
        <v>69680</v>
      </c>
      <c r="J16" s="864">
        <f t="shared" si="1"/>
        <v>0.77147918511957481</v>
      </c>
      <c r="K16" s="293"/>
    </row>
    <row r="17" spans="4:11" ht="17.399999999999999" customHeight="1" x14ac:dyDescent="0.25">
      <c r="E17" s="124" t="s">
        <v>28</v>
      </c>
      <c r="F17" s="125" t="s">
        <v>29</v>
      </c>
      <c r="G17" s="294">
        <v>59000</v>
      </c>
      <c r="H17" s="126">
        <v>65000</v>
      </c>
      <c r="I17" s="126">
        <f t="shared" si="0"/>
        <v>6000</v>
      </c>
      <c r="J17" s="864">
        <f t="shared" si="1"/>
        <v>0.10169491525423729</v>
      </c>
      <c r="K17" s="293"/>
    </row>
    <row r="18" spans="4:11" ht="29.4" customHeight="1" x14ac:dyDescent="0.25">
      <c r="E18" s="124" t="s">
        <v>32</v>
      </c>
      <c r="F18" s="125" t="s">
        <v>33</v>
      </c>
      <c r="G18" s="294">
        <v>66891</v>
      </c>
      <c r="H18" s="126">
        <v>6453</v>
      </c>
      <c r="I18" s="126">
        <f t="shared" si="0"/>
        <v>-60438</v>
      </c>
      <c r="J18" s="864">
        <f t="shared" si="1"/>
        <v>-0.90352962281921334</v>
      </c>
      <c r="K18" s="460" t="s">
        <v>1171</v>
      </c>
    </row>
    <row r="19" spans="4:11" ht="30" customHeight="1" x14ac:dyDescent="0.25">
      <c r="E19" s="129" t="s">
        <v>37</v>
      </c>
      <c r="F19" s="125" t="s">
        <v>38</v>
      </c>
      <c r="G19" s="492">
        <v>595756</v>
      </c>
      <c r="H19" s="292">
        <v>433856</v>
      </c>
      <c r="I19" s="126">
        <f t="shared" si="0"/>
        <v>-161900</v>
      </c>
      <c r="J19" s="864">
        <f t="shared" si="1"/>
        <v>-0.27175555093024661</v>
      </c>
      <c r="K19" s="460" t="s">
        <v>1655</v>
      </c>
    </row>
    <row r="20" spans="4:11" ht="17.399999999999999" customHeight="1" x14ac:dyDescent="0.25">
      <c r="E20" s="129" t="s">
        <v>39</v>
      </c>
      <c r="F20" s="125" t="s">
        <v>40</v>
      </c>
      <c r="G20" s="294">
        <v>0</v>
      </c>
      <c r="H20" s="126">
        <v>0</v>
      </c>
      <c r="I20" s="126">
        <f>H20-G20+G22</f>
        <v>0</v>
      </c>
      <c r="J20" s="864"/>
      <c r="K20" s="293"/>
    </row>
    <row r="21" spans="4:11" ht="17.399999999999999" hidden="1" customHeight="1" outlineLevel="1" x14ac:dyDescent="0.25">
      <c r="E21" s="130" t="s">
        <v>41</v>
      </c>
      <c r="F21" s="131" t="s">
        <v>42</v>
      </c>
      <c r="G21" s="927"/>
      <c r="H21" s="132"/>
      <c r="I21" s="132"/>
      <c r="J21" s="867"/>
      <c r="K21" s="293"/>
    </row>
    <row r="22" spans="4:11" ht="18" hidden="1" customHeight="1" outlineLevel="1" x14ac:dyDescent="0.25">
      <c r="E22" s="130"/>
      <c r="F22" s="131"/>
      <c r="G22" s="132"/>
      <c r="H22" s="132"/>
      <c r="I22" s="132"/>
      <c r="J22" s="867"/>
      <c r="K22" s="293"/>
    </row>
    <row r="23" spans="4:11" ht="17.399999999999999" hidden="1" customHeight="1" outlineLevel="1" x14ac:dyDescent="0.25">
      <c r="E23" s="1003"/>
      <c r="F23" s="1004" t="s">
        <v>1280</v>
      </c>
      <c r="G23" s="502"/>
      <c r="H23" s="502"/>
      <c r="I23" s="502"/>
      <c r="J23" s="1005"/>
      <c r="K23" s="293"/>
    </row>
    <row r="24" spans="4:11" ht="33.6" customHeight="1" collapsed="1" x14ac:dyDescent="0.25">
      <c r="E24" s="129" t="s">
        <v>44</v>
      </c>
      <c r="F24" s="125" t="s">
        <v>45</v>
      </c>
      <c r="G24" s="294">
        <v>235000</v>
      </c>
      <c r="H24" s="295">
        <v>295000</v>
      </c>
      <c r="I24" s="126">
        <f>H24-G24</f>
        <v>60000</v>
      </c>
      <c r="J24" s="864">
        <f>I24/G24</f>
        <v>0.25531914893617019</v>
      </c>
      <c r="K24" s="460"/>
    </row>
    <row r="25" spans="4:11" ht="37.950000000000003" hidden="1" customHeight="1" outlineLevel="1" x14ac:dyDescent="0.25">
      <c r="E25" s="120" t="s">
        <v>46</v>
      </c>
      <c r="F25" s="121" t="s">
        <v>47</v>
      </c>
      <c r="G25" s="480">
        <v>235000</v>
      </c>
      <c r="H25" s="122">
        <v>295000</v>
      </c>
      <c r="I25" s="122">
        <f>H25-G25</f>
        <v>60000</v>
      </c>
      <c r="J25" s="863">
        <f>I25/G25</f>
        <v>0.25531914893617019</v>
      </c>
      <c r="K25" s="293"/>
    </row>
    <row r="26" spans="4:11" ht="37.950000000000003" hidden="1" customHeight="1" outlineLevel="1" x14ac:dyDescent="0.25">
      <c r="E26" s="120" t="s">
        <v>46</v>
      </c>
      <c r="F26" s="121" t="s">
        <v>242</v>
      </c>
      <c r="G26" s="480"/>
      <c r="H26" s="123"/>
      <c r="I26" s="122">
        <f>H26-G26</f>
        <v>0</v>
      </c>
      <c r="J26" s="863"/>
      <c r="K26" s="293"/>
    </row>
    <row r="27" spans="4:11" ht="46.95" customHeight="1" collapsed="1" thickBot="1" x14ac:dyDescent="0.3">
      <c r="E27" s="129" t="s">
        <v>48</v>
      </c>
      <c r="F27" s="125" t="s">
        <v>49</v>
      </c>
      <c r="G27" s="294">
        <v>1639103</v>
      </c>
      <c r="H27" s="295">
        <v>4234051</v>
      </c>
      <c r="I27" s="126">
        <f>H27-G27</f>
        <v>2594948</v>
      </c>
      <c r="J27" s="864">
        <f>I27/G27</f>
        <v>1.583151272372755</v>
      </c>
      <c r="K27" s="1396">
        <f>H27-H41</f>
        <v>520500</v>
      </c>
    </row>
    <row r="28" spans="4:11" ht="18" hidden="1" customHeight="1" outlineLevel="1" x14ac:dyDescent="0.25">
      <c r="E28" s="120" t="s">
        <v>50</v>
      </c>
      <c r="F28" s="121" t="s">
        <v>1618</v>
      </c>
      <c r="G28" s="493">
        <v>94000</v>
      </c>
      <c r="H28" s="443">
        <v>149000</v>
      </c>
      <c r="I28" s="325">
        <f t="shared" ref="I28:I42" si="2">H28-G28</f>
        <v>55000</v>
      </c>
      <c r="J28" s="868">
        <f t="shared" ref="J28:J42" si="3">I28/G28</f>
        <v>0.58510638297872342</v>
      </c>
      <c r="K28" s="441"/>
    </row>
    <row r="29" spans="4:11" ht="18" hidden="1" customHeight="1" outlineLevel="1" x14ac:dyDescent="0.25">
      <c r="D29" t="s">
        <v>52</v>
      </c>
      <c r="E29" s="133" t="s">
        <v>51</v>
      </c>
      <c r="F29" s="1356" t="s">
        <v>1572</v>
      </c>
      <c r="G29" s="1357">
        <v>24000</v>
      </c>
      <c r="H29" s="499">
        <v>24000</v>
      </c>
      <c r="I29" s="325">
        <f t="shared" si="2"/>
        <v>0</v>
      </c>
      <c r="J29" s="868">
        <f t="shared" si="3"/>
        <v>0</v>
      </c>
      <c r="K29" s="441"/>
    </row>
    <row r="30" spans="4:11" ht="27" hidden="1" customHeight="1" outlineLevel="1" x14ac:dyDescent="0.25">
      <c r="D30" t="s">
        <v>54</v>
      </c>
      <c r="E30" s="133" t="s">
        <v>53</v>
      </c>
      <c r="F30" s="1356" t="s">
        <v>1573</v>
      </c>
      <c r="G30" s="1357">
        <v>70000</v>
      </c>
      <c r="H30" s="499">
        <v>125000</v>
      </c>
      <c r="I30" s="325">
        <f t="shared" si="2"/>
        <v>55000</v>
      </c>
      <c r="J30" s="868">
        <f t="shared" si="3"/>
        <v>0.7857142857142857</v>
      </c>
      <c r="K30" s="441"/>
    </row>
    <row r="31" spans="4:11" ht="18" hidden="1" customHeight="1" outlineLevel="1" x14ac:dyDescent="0.25">
      <c r="E31" s="120" t="s">
        <v>55</v>
      </c>
      <c r="F31" s="121" t="s">
        <v>396</v>
      </c>
      <c r="G31" s="443">
        <v>12556</v>
      </c>
      <c r="H31" s="443">
        <v>0</v>
      </c>
      <c r="I31" s="325">
        <f t="shared" si="2"/>
        <v>-12556</v>
      </c>
      <c r="J31" s="868">
        <f t="shared" si="3"/>
        <v>-1</v>
      </c>
      <c r="K31" s="441"/>
    </row>
    <row r="32" spans="4:11" ht="26.4" hidden="1" customHeight="1" outlineLevel="1" x14ac:dyDescent="0.25">
      <c r="E32" s="133" t="s">
        <v>58</v>
      </c>
      <c r="F32" s="462" t="s">
        <v>394</v>
      </c>
      <c r="G32" s="443"/>
      <c r="H32" s="443"/>
      <c r="I32" s="325">
        <f t="shared" si="2"/>
        <v>0</v>
      </c>
      <c r="J32" s="868" t="e">
        <f t="shared" si="3"/>
        <v>#DIV/0!</v>
      </c>
      <c r="K32" s="441"/>
    </row>
    <row r="33" spans="1:196" ht="30" hidden="1" customHeight="1" outlineLevel="1" x14ac:dyDescent="0.25">
      <c r="E33" s="133" t="s">
        <v>60</v>
      </c>
      <c r="F33" s="134" t="s">
        <v>395</v>
      </c>
      <c r="G33" s="443"/>
      <c r="H33" s="443"/>
      <c r="I33" s="325">
        <f t="shared" si="2"/>
        <v>0</v>
      </c>
      <c r="J33" s="868" t="e">
        <f t="shared" si="3"/>
        <v>#DIV/0!</v>
      </c>
      <c r="K33" s="441"/>
    </row>
    <row r="34" spans="1:196" ht="18" hidden="1" customHeight="1" outlineLevel="1" x14ac:dyDescent="0.25">
      <c r="E34" s="120" t="s">
        <v>61</v>
      </c>
      <c r="F34" s="121" t="s">
        <v>56</v>
      </c>
      <c r="G34" s="493">
        <v>98000</v>
      </c>
      <c r="H34" s="443">
        <v>157000</v>
      </c>
      <c r="I34" s="325">
        <f t="shared" si="2"/>
        <v>59000</v>
      </c>
      <c r="J34" s="868">
        <f t="shared" si="3"/>
        <v>0.60204081632653061</v>
      </c>
      <c r="K34" s="441"/>
    </row>
    <row r="35" spans="1:196" ht="18" hidden="1" customHeight="1" outlineLevel="1" x14ac:dyDescent="0.25">
      <c r="D35" t="s">
        <v>57</v>
      </c>
      <c r="E35" s="1349" t="s">
        <v>397</v>
      </c>
      <c r="F35" s="1356" t="s">
        <v>399</v>
      </c>
      <c r="G35" s="1357">
        <v>61000</v>
      </c>
      <c r="H35" s="499">
        <v>120000</v>
      </c>
      <c r="I35" s="325">
        <f t="shared" si="2"/>
        <v>59000</v>
      </c>
      <c r="J35" s="868">
        <f t="shared" si="3"/>
        <v>0.96721311475409832</v>
      </c>
      <c r="K35" s="441"/>
    </row>
    <row r="36" spans="1:196" ht="18" hidden="1" customHeight="1" outlineLevel="1" x14ac:dyDescent="0.25">
      <c r="D36" t="s">
        <v>59</v>
      </c>
      <c r="E36" s="1349" t="s">
        <v>398</v>
      </c>
      <c r="F36" s="1356" t="s">
        <v>400</v>
      </c>
      <c r="G36" s="1357">
        <v>36000</v>
      </c>
      <c r="H36" s="499">
        <v>36000</v>
      </c>
      <c r="I36" s="325">
        <f t="shared" si="2"/>
        <v>0</v>
      </c>
      <c r="J36" s="868">
        <f t="shared" si="3"/>
        <v>0</v>
      </c>
      <c r="K36" s="441"/>
    </row>
    <row r="37" spans="1:196" ht="18" hidden="1" customHeight="1" outlineLevel="1" x14ac:dyDescent="0.25">
      <c r="D37" t="s">
        <v>793</v>
      </c>
      <c r="E37" s="1349" t="s">
        <v>401</v>
      </c>
      <c r="F37" s="1358" t="s">
        <v>402</v>
      </c>
      <c r="G37" s="1357">
        <v>1000</v>
      </c>
      <c r="H37" s="499">
        <v>1000</v>
      </c>
      <c r="I37" s="325">
        <f t="shared" si="2"/>
        <v>0</v>
      </c>
      <c r="J37" s="868">
        <f t="shared" si="3"/>
        <v>0</v>
      </c>
      <c r="K37" s="441"/>
    </row>
    <row r="38" spans="1:196" ht="30.6" hidden="1" customHeight="1" outlineLevel="1" x14ac:dyDescent="0.25">
      <c r="E38" s="120" t="s">
        <v>63</v>
      </c>
      <c r="F38" s="121" t="s">
        <v>62</v>
      </c>
      <c r="G38" s="493">
        <v>1325794</v>
      </c>
      <c r="H38" s="443">
        <v>3826051</v>
      </c>
      <c r="I38" s="325">
        <f t="shared" si="2"/>
        <v>2500257</v>
      </c>
      <c r="J38" s="868">
        <f t="shared" si="3"/>
        <v>1.8858563245873794</v>
      </c>
      <c r="K38" s="441"/>
    </row>
    <row r="39" spans="1:196" ht="26.4" hidden="1" customHeight="1" outlineLevel="1" x14ac:dyDescent="0.25">
      <c r="D39" t="s">
        <v>794</v>
      </c>
      <c r="E39" s="1349" t="s">
        <v>377</v>
      </c>
      <c r="F39" s="1356" t="s">
        <v>1574</v>
      </c>
      <c r="G39" s="1357">
        <v>20000</v>
      </c>
      <c r="H39" s="499">
        <v>110000</v>
      </c>
      <c r="I39" s="325">
        <f t="shared" si="2"/>
        <v>90000</v>
      </c>
      <c r="J39" s="868">
        <f t="shared" si="3"/>
        <v>4.5</v>
      </c>
      <c r="K39" s="1359" t="s">
        <v>1577</v>
      </c>
    </row>
    <row r="40" spans="1:196" ht="29.4" hidden="1" customHeight="1" outlineLevel="1" x14ac:dyDescent="0.25">
      <c r="D40" t="s">
        <v>1575</v>
      </c>
      <c r="E40" s="1349" t="s">
        <v>378</v>
      </c>
      <c r="F40" s="1356" t="s">
        <v>1576</v>
      </c>
      <c r="G40" s="1357">
        <v>2500</v>
      </c>
      <c r="H40" s="499">
        <v>2500</v>
      </c>
      <c r="I40" s="325">
        <f t="shared" si="2"/>
        <v>0</v>
      </c>
      <c r="J40" s="868">
        <f t="shared" si="3"/>
        <v>0</v>
      </c>
      <c r="K40" s="441"/>
    </row>
    <row r="41" spans="1:196" ht="27.6" hidden="1" customHeight="1" outlineLevel="1" x14ac:dyDescent="0.25">
      <c r="E41" s="358" t="s">
        <v>379</v>
      </c>
      <c r="F41" s="359" t="s">
        <v>403</v>
      </c>
      <c r="G41" s="493">
        <v>1303294</v>
      </c>
      <c r="H41" s="1395">
        <v>3713551</v>
      </c>
      <c r="I41" s="325">
        <f t="shared" si="2"/>
        <v>2410257</v>
      </c>
      <c r="J41" s="868">
        <f t="shared" si="3"/>
        <v>1.8493578578586258</v>
      </c>
      <c r="K41" s="441"/>
    </row>
    <row r="42" spans="1:196" ht="36" hidden="1" customHeight="1" outlineLevel="1" thickBot="1" x14ac:dyDescent="0.3">
      <c r="E42" s="120" t="s">
        <v>380</v>
      </c>
      <c r="F42" s="1160" t="s">
        <v>685</v>
      </c>
      <c r="G42" s="1360">
        <v>108753</v>
      </c>
      <c r="H42" s="1360">
        <v>102000</v>
      </c>
      <c r="I42" s="459">
        <f t="shared" si="2"/>
        <v>-6753</v>
      </c>
      <c r="J42" s="869">
        <f t="shared" si="3"/>
        <v>-6.2094838763068608E-2</v>
      </c>
      <c r="K42" s="1359" t="s">
        <v>1630</v>
      </c>
      <c r="O42">
        <v>66588</v>
      </c>
    </row>
    <row r="43" spans="1:196" ht="23.4" customHeight="1" collapsed="1" thickBot="1" x14ac:dyDescent="0.3">
      <c r="E43" s="135"/>
      <c r="F43" s="136" t="s">
        <v>64</v>
      </c>
      <c r="G43" s="494">
        <v>34757214</v>
      </c>
      <c r="H43" s="442">
        <v>36539231</v>
      </c>
      <c r="I43" s="227">
        <f>H43-G43</f>
        <v>1782017</v>
      </c>
      <c r="J43" s="870">
        <f>I43/G43</f>
        <v>5.127042115631017E-2</v>
      </c>
      <c r="K43" s="293"/>
    </row>
    <row r="44" spans="1:196" x14ac:dyDescent="0.2">
      <c r="O44" s="111"/>
    </row>
    <row r="45" spans="1:196" ht="15" thickBot="1" x14ac:dyDescent="0.35">
      <c r="E45" s="1509" t="s">
        <v>67</v>
      </c>
      <c r="F45" s="1509"/>
      <c r="G45" s="448"/>
      <c r="H45" s="543"/>
      <c r="I45" s="541"/>
      <c r="J45" s="872"/>
      <c r="K45" s="293"/>
    </row>
    <row r="46" spans="1:196" ht="42" thickBot="1" x14ac:dyDescent="0.3">
      <c r="A46" s="922"/>
      <c r="B46" s="922"/>
      <c r="E46" s="112" t="s">
        <v>0</v>
      </c>
      <c r="F46" s="113" t="s">
        <v>1</v>
      </c>
      <c r="G46" s="2">
        <v>2022</v>
      </c>
      <c r="H46" s="282">
        <v>2023</v>
      </c>
      <c r="I46" s="282" t="s">
        <v>196</v>
      </c>
      <c r="J46" s="412" t="s">
        <v>195</v>
      </c>
      <c r="K46" s="416"/>
      <c r="M46" s="1105" t="s">
        <v>153</v>
      </c>
      <c r="N46" s="1105" t="s">
        <v>1157</v>
      </c>
      <c r="O46" t="s">
        <v>1439</v>
      </c>
    </row>
    <row r="47" spans="1:196" s="343" customFormat="1" ht="13.8" x14ac:dyDescent="0.25">
      <c r="A47" s="1399">
        <v>13057027.061270377</v>
      </c>
      <c r="B47" s="1399">
        <v>14694020.272092994</v>
      </c>
      <c r="C47" s="1399">
        <f>B47-H47</f>
        <v>-219099.81020654738</v>
      </c>
      <c r="D47" s="1399"/>
      <c r="E47" s="338"/>
      <c r="F47" s="339" t="s">
        <v>228</v>
      </c>
      <c r="G47" s="340">
        <v>13016540.284647748</v>
      </c>
      <c r="H47" s="340">
        <v>14913120.082299542</v>
      </c>
      <c r="I47" s="341">
        <f t="shared" ref="I47:I113" si="4">H47-G47</f>
        <v>1896579.7976517938</v>
      </c>
      <c r="J47" s="873">
        <f>IFERROR(I47/G47,"-")</f>
        <v>0.14570536841411688</v>
      </c>
      <c r="K47" s="425"/>
      <c r="L47" s="470"/>
      <c r="M47" s="1119" t="s">
        <v>228</v>
      </c>
      <c r="N47" s="1400">
        <v>14974586.383002941</v>
      </c>
      <c r="O47" s="1113">
        <f>N47-H47</f>
        <v>61466.300703398883</v>
      </c>
      <c r="P47" s="925" t="s">
        <v>1446</v>
      </c>
      <c r="Q47" s="924"/>
      <c r="R47" s="924"/>
      <c r="S47" s="924"/>
      <c r="T47" s="924"/>
      <c r="U47" s="924"/>
      <c r="V47" s="924"/>
      <c r="W47" s="924"/>
      <c r="X47" s="924"/>
      <c r="Y47" s="924"/>
      <c r="Z47" s="924"/>
      <c r="AA47" s="924"/>
      <c r="AB47" s="924"/>
      <c r="AC47" s="924"/>
      <c r="AD47" s="924"/>
      <c r="AE47" s="924"/>
      <c r="AF47" s="924"/>
      <c r="AG47" s="924"/>
      <c r="AH47" s="924"/>
      <c r="AI47" s="924"/>
      <c r="AJ47" s="924"/>
      <c r="AK47" s="924"/>
      <c r="AL47" s="924"/>
      <c r="AM47" s="924"/>
      <c r="AN47" s="924"/>
      <c r="AO47" s="924"/>
      <c r="AP47" s="924"/>
      <c r="AQ47" s="924"/>
      <c r="AR47" s="924"/>
      <c r="AS47" s="924"/>
      <c r="AT47" s="924"/>
      <c r="AU47" s="924"/>
      <c r="AV47" s="924"/>
      <c r="AW47" s="924"/>
      <c r="AX47" s="924"/>
      <c r="AY47" s="924"/>
      <c r="AZ47" s="924"/>
      <c r="BA47" s="924"/>
      <c r="BB47" s="924"/>
      <c r="BC47" s="924"/>
      <c r="BD47" s="924"/>
      <c r="BE47" s="924"/>
      <c r="BF47" s="924"/>
      <c r="BG47" s="924"/>
      <c r="BH47" s="924"/>
      <c r="BI47" s="924"/>
      <c r="BJ47" s="924"/>
      <c r="BK47" s="924"/>
      <c r="BL47" s="924"/>
      <c r="BM47" s="924"/>
      <c r="BN47" s="924"/>
      <c r="BO47" s="924"/>
      <c r="BP47" s="924"/>
      <c r="BQ47" s="924"/>
      <c r="BR47" s="924"/>
      <c r="BS47" s="924"/>
      <c r="BT47" s="924"/>
      <c r="BU47" s="924"/>
      <c r="BV47" s="924"/>
      <c r="BW47" s="924"/>
      <c r="BX47" s="924"/>
      <c r="BY47" s="924"/>
      <c r="BZ47" s="924"/>
      <c r="CA47" s="924"/>
      <c r="CB47" s="924"/>
      <c r="CC47" s="924"/>
      <c r="CD47" s="924"/>
      <c r="CE47" s="924"/>
      <c r="CF47" s="924"/>
      <c r="CG47" s="924"/>
      <c r="CH47" s="924"/>
      <c r="CI47" s="924"/>
      <c r="CJ47" s="924"/>
      <c r="CK47" s="924"/>
      <c r="CL47" s="924"/>
      <c r="CM47" s="924"/>
      <c r="CN47" s="924"/>
      <c r="CO47" s="924"/>
      <c r="CP47" s="924"/>
      <c r="CQ47" s="924"/>
      <c r="CR47" s="924"/>
      <c r="CS47" s="924"/>
      <c r="CT47" s="924"/>
      <c r="CU47" s="924"/>
      <c r="CV47" s="924"/>
      <c r="CW47" s="924"/>
      <c r="CX47" s="924"/>
      <c r="CY47" s="924"/>
      <c r="CZ47" s="924"/>
      <c r="DA47" s="924"/>
      <c r="DB47" s="924"/>
      <c r="DC47" s="924"/>
      <c r="DD47" s="924"/>
      <c r="DE47" s="924"/>
      <c r="DF47" s="924"/>
      <c r="DG47" s="924"/>
      <c r="DH47" s="924"/>
      <c r="DI47" s="924"/>
      <c r="DJ47" s="924"/>
      <c r="DK47" s="924"/>
      <c r="DL47" s="924"/>
      <c r="DM47" s="924"/>
      <c r="DN47" s="924"/>
      <c r="DO47" s="924"/>
      <c r="DP47" s="924"/>
      <c r="DQ47" s="924"/>
      <c r="DR47" s="924"/>
      <c r="DS47" s="924"/>
      <c r="DT47" s="924"/>
      <c r="DU47" s="924"/>
      <c r="DV47" s="924"/>
      <c r="DW47" s="924"/>
      <c r="DX47" s="924"/>
      <c r="DY47" s="924"/>
      <c r="DZ47" s="924"/>
      <c r="EA47" s="924"/>
      <c r="EB47" s="924"/>
      <c r="EC47" s="924"/>
      <c r="ED47" s="924"/>
      <c r="EE47" s="924"/>
      <c r="EF47" s="924"/>
      <c r="EG47" s="924"/>
      <c r="EH47" s="924"/>
      <c r="EI47" s="924"/>
      <c r="EJ47" s="924"/>
      <c r="EK47" s="924"/>
      <c r="EL47" s="924"/>
      <c r="EM47" s="924"/>
      <c r="EN47" s="924"/>
      <c r="EO47" s="924"/>
      <c r="EP47" s="924"/>
      <c r="EQ47" s="924"/>
      <c r="ER47" s="924"/>
      <c r="ES47" s="924"/>
      <c r="ET47" s="924"/>
      <c r="EU47" s="924"/>
      <c r="EV47" s="924"/>
      <c r="EW47" s="924"/>
      <c r="EX47" s="924"/>
      <c r="EY47" s="924"/>
      <c r="EZ47" s="924"/>
      <c r="FA47" s="924"/>
      <c r="FB47" s="924"/>
      <c r="FC47" s="924"/>
      <c r="FD47" s="924"/>
      <c r="FE47" s="924"/>
      <c r="FF47" s="924"/>
      <c r="FG47" s="924"/>
      <c r="FH47" s="924"/>
      <c r="FI47" s="924"/>
      <c r="FJ47" s="924"/>
      <c r="FK47" s="924"/>
      <c r="FL47" s="924"/>
      <c r="FM47" s="924"/>
      <c r="FN47" s="924"/>
      <c r="FO47" s="924"/>
      <c r="FP47" s="924"/>
      <c r="FQ47" s="924"/>
      <c r="FR47" s="924"/>
      <c r="FS47" s="924"/>
      <c r="FT47" s="924"/>
      <c r="FU47" s="924"/>
      <c r="FV47" s="924"/>
      <c r="FW47" s="924"/>
      <c r="FX47" s="924"/>
      <c r="FY47" s="924"/>
      <c r="FZ47" s="924"/>
      <c r="GA47" s="924"/>
      <c r="GB47" s="924"/>
      <c r="GC47" s="924"/>
      <c r="GD47" s="924"/>
      <c r="GE47" s="924"/>
      <c r="GF47" s="924"/>
      <c r="GG47" s="924"/>
      <c r="GH47" s="924"/>
      <c r="GI47" s="924"/>
      <c r="GJ47" s="924"/>
      <c r="GK47" s="924"/>
      <c r="GL47" s="924"/>
      <c r="GM47" s="924"/>
      <c r="GN47" s="924"/>
    </row>
    <row r="48" spans="1:196" s="343" customFormat="1" ht="13.8" x14ac:dyDescent="0.25">
      <c r="A48" s="1399">
        <v>13364758.090435032</v>
      </c>
      <c r="B48" s="1399">
        <v>14443465.9936</v>
      </c>
      <c r="C48" s="1399">
        <f t="shared" ref="C48:C56" si="5">B48-H48</f>
        <v>190564.9694750011</v>
      </c>
      <c r="D48" s="1399"/>
      <c r="E48" s="344"/>
      <c r="F48" s="345" t="s">
        <v>198</v>
      </c>
      <c r="G48" s="340">
        <v>10138412.773568364</v>
      </c>
      <c r="H48" s="340">
        <v>14252901.024124999</v>
      </c>
      <c r="I48" s="341">
        <f t="shared" si="4"/>
        <v>4114488.2505566347</v>
      </c>
      <c r="J48" s="873">
        <f t="shared" ref="J48:J113" si="6">IFERROR(I48/G48,"-")</f>
        <v>0.40583159735648444</v>
      </c>
      <c r="K48" s="424"/>
      <c r="L48" s="470"/>
      <c r="M48" s="1119" t="s">
        <v>182</v>
      </c>
      <c r="N48" s="1400">
        <v>6252811.5303919995</v>
      </c>
      <c r="O48" s="1113">
        <f>N48-H53</f>
        <v>-843821.78410402313</v>
      </c>
      <c r="P48" s="925" t="s">
        <v>1441</v>
      </c>
      <c r="Q48" s="924"/>
      <c r="R48" s="924"/>
      <c r="S48" s="924"/>
      <c r="T48" s="924"/>
      <c r="U48" s="924"/>
      <c r="V48" s="924"/>
      <c r="W48" s="924"/>
      <c r="X48" s="924"/>
      <c r="Y48" s="924"/>
      <c r="Z48" s="924"/>
      <c r="AA48" s="924"/>
      <c r="AB48" s="924"/>
      <c r="AC48" s="924"/>
      <c r="AD48" s="924"/>
      <c r="AE48" s="924"/>
      <c r="AF48" s="924"/>
      <c r="AG48" s="924"/>
      <c r="AH48" s="924"/>
      <c r="AI48" s="924"/>
      <c r="AJ48" s="924"/>
      <c r="AK48" s="924"/>
      <c r="AL48" s="924"/>
      <c r="AM48" s="924"/>
      <c r="AN48" s="924"/>
      <c r="AO48" s="924"/>
      <c r="AP48" s="924"/>
      <c r="AQ48" s="924"/>
      <c r="AR48" s="924"/>
      <c r="AS48" s="924"/>
      <c r="AT48" s="924"/>
      <c r="AU48" s="924"/>
      <c r="AV48" s="924"/>
      <c r="AW48" s="924"/>
      <c r="AX48" s="924"/>
      <c r="AY48" s="924"/>
      <c r="AZ48" s="924"/>
      <c r="BA48" s="924"/>
      <c r="BB48" s="924"/>
      <c r="BC48" s="924"/>
      <c r="BD48" s="924"/>
      <c r="BE48" s="924"/>
      <c r="BF48" s="924"/>
      <c r="BG48" s="924"/>
      <c r="BH48" s="924"/>
      <c r="BI48" s="924"/>
      <c r="BJ48" s="924"/>
      <c r="BK48" s="924"/>
      <c r="BL48" s="924"/>
      <c r="BM48" s="924"/>
      <c r="BN48" s="924"/>
      <c r="BO48" s="924"/>
      <c r="BP48" s="924"/>
      <c r="BQ48" s="924"/>
      <c r="BR48" s="924"/>
      <c r="BS48" s="924"/>
      <c r="BT48" s="924"/>
      <c r="BU48" s="924"/>
      <c r="BV48" s="924"/>
      <c r="BW48" s="924"/>
      <c r="BX48" s="924"/>
      <c r="BY48" s="924"/>
      <c r="BZ48" s="924"/>
      <c r="CA48" s="924"/>
      <c r="CB48" s="924"/>
      <c r="CC48" s="924"/>
      <c r="CD48" s="924"/>
      <c r="CE48" s="924"/>
      <c r="CF48" s="924"/>
      <c r="CG48" s="924"/>
      <c r="CH48" s="924"/>
      <c r="CI48" s="924"/>
      <c r="CJ48" s="924"/>
      <c r="CK48" s="924"/>
      <c r="CL48" s="924"/>
      <c r="CM48" s="924"/>
      <c r="CN48" s="924"/>
      <c r="CO48" s="924"/>
      <c r="CP48" s="924"/>
      <c r="CQ48" s="924"/>
      <c r="CR48" s="924"/>
      <c r="CS48" s="924"/>
      <c r="CT48" s="924"/>
      <c r="CU48" s="924"/>
      <c r="CV48" s="924"/>
      <c r="CW48" s="924"/>
      <c r="CX48" s="924"/>
      <c r="CY48" s="924"/>
      <c r="CZ48" s="924"/>
      <c r="DA48" s="924"/>
      <c r="DB48" s="924"/>
      <c r="DC48" s="924"/>
      <c r="DD48" s="924"/>
      <c r="DE48" s="924"/>
      <c r="DF48" s="924"/>
      <c r="DG48" s="924"/>
      <c r="DH48" s="924"/>
      <c r="DI48" s="924"/>
      <c r="DJ48" s="924"/>
      <c r="DK48" s="924"/>
      <c r="DL48" s="924"/>
      <c r="DM48" s="924"/>
      <c r="DN48" s="924"/>
      <c r="DO48" s="924"/>
      <c r="DP48" s="924"/>
      <c r="DQ48" s="924"/>
      <c r="DR48" s="924"/>
      <c r="DS48" s="924"/>
      <c r="DT48" s="924"/>
      <c r="DU48" s="924"/>
      <c r="DV48" s="924"/>
      <c r="DW48" s="924"/>
      <c r="DX48" s="924"/>
      <c r="DY48" s="924"/>
      <c r="DZ48" s="924"/>
      <c r="EA48" s="924"/>
      <c r="EB48" s="924"/>
      <c r="EC48" s="924"/>
      <c r="ED48" s="924"/>
      <c r="EE48" s="924"/>
      <c r="EF48" s="924"/>
      <c r="EG48" s="924"/>
      <c r="EH48" s="924"/>
      <c r="EI48" s="924"/>
      <c r="EJ48" s="924"/>
      <c r="EK48" s="924"/>
      <c r="EL48" s="924"/>
      <c r="EM48" s="924"/>
      <c r="EN48" s="924"/>
      <c r="EO48" s="924"/>
      <c r="EP48" s="924"/>
      <c r="EQ48" s="924"/>
      <c r="ER48" s="924"/>
      <c r="ES48" s="924"/>
      <c r="ET48" s="924"/>
      <c r="EU48" s="924"/>
      <c r="EV48" s="924"/>
      <c r="EW48" s="924"/>
      <c r="EX48" s="924"/>
      <c r="EY48" s="924"/>
      <c r="EZ48" s="924"/>
      <c r="FA48" s="924"/>
      <c r="FB48" s="924"/>
      <c r="FC48" s="924"/>
      <c r="FD48" s="924"/>
      <c r="FE48" s="924"/>
      <c r="FF48" s="924"/>
      <c r="FG48" s="924"/>
      <c r="FH48" s="924"/>
      <c r="FI48" s="924"/>
      <c r="FJ48" s="924"/>
      <c r="FK48" s="924"/>
      <c r="FL48" s="924"/>
      <c r="FM48" s="924"/>
      <c r="FN48" s="924"/>
      <c r="FO48" s="924"/>
      <c r="FP48" s="924"/>
      <c r="FQ48" s="924"/>
      <c r="FR48" s="924"/>
      <c r="FS48" s="924"/>
      <c r="FT48" s="924"/>
      <c r="FU48" s="924"/>
      <c r="FV48" s="924"/>
      <c r="FW48" s="924"/>
      <c r="FX48" s="924"/>
      <c r="FY48" s="924"/>
      <c r="FZ48" s="924"/>
      <c r="GA48" s="924"/>
      <c r="GB48" s="924"/>
      <c r="GC48" s="924"/>
      <c r="GD48" s="924"/>
      <c r="GE48" s="924"/>
      <c r="GF48" s="924"/>
      <c r="GG48" s="924"/>
      <c r="GH48" s="924"/>
      <c r="GI48" s="924"/>
      <c r="GJ48" s="924"/>
      <c r="GK48" s="924"/>
      <c r="GL48" s="924"/>
      <c r="GM48" s="924"/>
      <c r="GN48" s="924"/>
    </row>
    <row r="49" spans="1:196" s="343" customFormat="1" ht="13.8" x14ac:dyDescent="0.25">
      <c r="A49" s="1399">
        <v>261271</v>
      </c>
      <c r="B49" s="1399">
        <v>273315.12400000001</v>
      </c>
      <c r="C49" s="1399">
        <f t="shared" si="5"/>
        <v>-30459</v>
      </c>
      <c r="D49" s="1399"/>
      <c r="E49" s="338"/>
      <c r="F49" s="339" t="s">
        <v>197</v>
      </c>
      <c r="G49" s="340">
        <v>293699</v>
      </c>
      <c r="H49" s="340">
        <v>303774.12400000001</v>
      </c>
      <c r="I49" s="341">
        <f t="shared" si="4"/>
        <v>10075.124000000011</v>
      </c>
      <c r="J49" s="873">
        <f t="shared" si="6"/>
        <v>3.4304250269834122E-2</v>
      </c>
      <c r="K49" s="424"/>
      <c r="L49" s="470"/>
      <c r="M49" s="1119" t="s">
        <v>554</v>
      </c>
      <c r="N49" s="1400">
        <v>14136475.443425</v>
      </c>
      <c r="O49" s="1113">
        <f>N49+N59-H48</f>
        <v>443751.41930000111</v>
      </c>
      <c r="P49" s="925" t="s">
        <v>1444</v>
      </c>
      <c r="Q49" s="924"/>
      <c r="R49" s="924"/>
      <c r="S49" s="924"/>
      <c r="T49" s="924"/>
      <c r="U49" s="924"/>
      <c r="V49" s="924"/>
      <c r="W49" s="924"/>
      <c r="X49" s="924"/>
      <c r="Y49" s="924"/>
      <c r="Z49" s="924"/>
      <c r="AA49" s="924"/>
      <c r="AB49" s="924"/>
      <c r="AC49" s="924"/>
      <c r="AD49" s="924"/>
      <c r="AE49" s="924"/>
      <c r="AF49" s="924"/>
      <c r="AG49" s="924"/>
      <c r="AH49" s="924"/>
      <c r="AI49" s="924"/>
      <c r="AJ49" s="924"/>
      <c r="AK49" s="924"/>
      <c r="AL49" s="924"/>
      <c r="AM49" s="924"/>
      <c r="AN49" s="924"/>
      <c r="AO49" s="924"/>
      <c r="AP49" s="924"/>
      <c r="AQ49" s="924"/>
      <c r="AR49" s="924"/>
      <c r="AS49" s="924"/>
      <c r="AT49" s="924"/>
      <c r="AU49" s="924"/>
      <c r="AV49" s="924"/>
      <c r="AW49" s="924"/>
      <c r="AX49" s="924"/>
      <c r="AY49" s="924"/>
      <c r="AZ49" s="924"/>
      <c r="BA49" s="924"/>
      <c r="BB49" s="924"/>
      <c r="BC49" s="924"/>
      <c r="BD49" s="924"/>
      <c r="BE49" s="924"/>
      <c r="BF49" s="924"/>
      <c r="BG49" s="924"/>
      <c r="BH49" s="924"/>
      <c r="BI49" s="924"/>
      <c r="BJ49" s="924"/>
      <c r="BK49" s="924"/>
      <c r="BL49" s="924"/>
      <c r="BM49" s="924"/>
      <c r="BN49" s="924"/>
      <c r="BO49" s="924"/>
      <c r="BP49" s="924"/>
      <c r="BQ49" s="924"/>
      <c r="BR49" s="924"/>
      <c r="BS49" s="924"/>
      <c r="BT49" s="924"/>
      <c r="BU49" s="924"/>
      <c r="BV49" s="924"/>
      <c r="BW49" s="924"/>
      <c r="BX49" s="924"/>
      <c r="BY49" s="924"/>
      <c r="BZ49" s="924"/>
      <c r="CA49" s="924"/>
      <c r="CB49" s="924"/>
      <c r="CC49" s="924"/>
      <c r="CD49" s="924"/>
      <c r="CE49" s="924"/>
      <c r="CF49" s="924"/>
      <c r="CG49" s="924"/>
      <c r="CH49" s="924"/>
      <c r="CI49" s="924"/>
      <c r="CJ49" s="924"/>
      <c r="CK49" s="924"/>
      <c r="CL49" s="924"/>
      <c r="CM49" s="924"/>
      <c r="CN49" s="924"/>
      <c r="CO49" s="924"/>
      <c r="CP49" s="924"/>
      <c r="CQ49" s="924"/>
      <c r="CR49" s="924"/>
      <c r="CS49" s="924"/>
      <c r="CT49" s="924"/>
      <c r="CU49" s="924"/>
      <c r="CV49" s="924"/>
      <c r="CW49" s="924"/>
      <c r="CX49" s="924"/>
      <c r="CY49" s="924"/>
      <c r="CZ49" s="924"/>
      <c r="DA49" s="924"/>
      <c r="DB49" s="924"/>
      <c r="DC49" s="924"/>
      <c r="DD49" s="924"/>
      <c r="DE49" s="924"/>
      <c r="DF49" s="924"/>
      <c r="DG49" s="924"/>
      <c r="DH49" s="924"/>
      <c r="DI49" s="924"/>
      <c r="DJ49" s="924"/>
      <c r="DK49" s="924"/>
      <c r="DL49" s="924"/>
      <c r="DM49" s="924"/>
      <c r="DN49" s="924"/>
      <c r="DO49" s="924"/>
      <c r="DP49" s="924"/>
      <c r="DQ49" s="924"/>
      <c r="DR49" s="924"/>
      <c r="DS49" s="924"/>
      <c r="DT49" s="924"/>
      <c r="DU49" s="924"/>
      <c r="DV49" s="924"/>
      <c r="DW49" s="924"/>
      <c r="DX49" s="924"/>
      <c r="DY49" s="924"/>
      <c r="DZ49" s="924"/>
      <c r="EA49" s="924"/>
      <c r="EB49" s="924"/>
      <c r="EC49" s="924"/>
      <c r="ED49" s="924"/>
      <c r="EE49" s="924"/>
      <c r="EF49" s="924"/>
      <c r="EG49" s="924"/>
      <c r="EH49" s="924"/>
      <c r="EI49" s="924"/>
      <c r="EJ49" s="924"/>
      <c r="EK49" s="924"/>
      <c r="EL49" s="924"/>
      <c r="EM49" s="924"/>
      <c r="EN49" s="924"/>
      <c r="EO49" s="924"/>
      <c r="EP49" s="924"/>
      <c r="EQ49" s="924"/>
      <c r="ER49" s="924"/>
      <c r="ES49" s="924"/>
      <c r="ET49" s="924"/>
      <c r="EU49" s="924"/>
      <c r="EV49" s="924"/>
      <c r="EW49" s="924"/>
      <c r="EX49" s="924"/>
      <c r="EY49" s="924"/>
      <c r="EZ49" s="924"/>
      <c r="FA49" s="924"/>
      <c r="FB49" s="924"/>
      <c r="FC49" s="924"/>
      <c r="FD49" s="924"/>
      <c r="FE49" s="924"/>
      <c r="FF49" s="924"/>
      <c r="FG49" s="924"/>
      <c r="FH49" s="924"/>
      <c r="FI49" s="924"/>
      <c r="FJ49" s="924"/>
      <c r="FK49" s="924"/>
      <c r="FL49" s="924"/>
      <c r="FM49" s="924"/>
      <c r="FN49" s="924"/>
      <c r="FO49" s="924"/>
      <c r="FP49" s="924"/>
      <c r="FQ49" s="924"/>
      <c r="FR49" s="924"/>
      <c r="FS49" s="924"/>
      <c r="FT49" s="924"/>
      <c r="FU49" s="924"/>
      <c r="FV49" s="924"/>
      <c r="FW49" s="924"/>
      <c r="FX49" s="924"/>
      <c r="FY49" s="924"/>
      <c r="FZ49" s="924"/>
      <c r="GA49" s="924"/>
      <c r="GB49" s="924"/>
      <c r="GC49" s="924"/>
      <c r="GD49" s="924"/>
      <c r="GE49" s="924"/>
      <c r="GF49" s="924"/>
      <c r="GG49" s="924"/>
      <c r="GH49" s="924"/>
      <c r="GI49" s="924"/>
      <c r="GJ49" s="924"/>
      <c r="GK49" s="924"/>
      <c r="GL49" s="924"/>
      <c r="GM49" s="924"/>
      <c r="GN49" s="924"/>
    </row>
    <row r="50" spans="1:196" s="333" customFormat="1" ht="13.8" x14ac:dyDescent="0.25">
      <c r="A50" s="1399">
        <v>159368.9074545709</v>
      </c>
      <c r="B50" s="1399">
        <v>828154.00485180388</v>
      </c>
      <c r="C50" s="1399">
        <f t="shared" si="5"/>
        <v>-219185.15909667965</v>
      </c>
      <c r="D50" s="1399"/>
      <c r="E50" s="335"/>
      <c r="F50" s="336" t="s">
        <v>662</v>
      </c>
      <c r="G50" s="337">
        <v>159368.9074545709</v>
      </c>
      <c r="H50" s="337">
        <v>1047339.1639484835</v>
      </c>
      <c r="I50" s="330">
        <f t="shared" si="4"/>
        <v>887970.25649391266</v>
      </c>
      <c r="J50" s="874">
        <f t="shared" si="6"/>
        <v>5.5717910769202836</v>
      </c>
      <c r="K50" s="426"/>
      <c r="L50" s="470"/>
      <c r="M50" s="1119" t="s">
        <v>556</v>
      </c>
      <c r="N50" s="1400">
        <v>297774.12399999995</v>
      </c>
      <c r="O50" s="1113">
        <f>N50-H49</f>
        <v>-6000.0000000000582</v>
      </c>
      <c r="P50" s="925"/>
      <c r="Q50" s="925"/>
      <c r="R50" s="925"/>
      <c r="S50" s="925"/>
      <c r="T50" s="925"/>
      <c r="U50" s="925"/>
      <c r="V50" s="925"/>
      <c r="W50" s="925"/>
      <c r="X50" s="925"/>
      <c r="Y50" s="925"/>
      <c r="Z50" s="925"/>
      <c r="AA50" s="925"/>
      <c r="AB50" s="925"/>
      <c r="AC50" s="925"/>
      <c r="AD50" s="925"/>
      <c r="AE50" s="925"/>
      <c r="AF50" s="925"/>
      <c r="AG50" s="925"/>
      <c r="AH50" s="925"/>
      <c r="AI50" s="925"/>
      <c r="AJ50" s="925"/>
      <c r="AK50" s="925"/>
      <c r="AL50" s="925"/>
      <c r="AM50" s="925"/>
      <c r="AN50" s="925"/>
      <c r="AO50" s="925"/>
      <c r="AP50" s="925"/>
      <c r="AQ50" s="925"/>
      <c r="AR50" s="925"/>
      <c r="AS50" s="925"/>
      <c r="AT50" s="925"/>
      <c r="AU50" s="925"/>
      <c r="AV50" s="925"/>
      <c r="AW50" s="925"/>
      <c r="AX50" s="925"/>
      <c r="AY50" s="925"/>
      <c r="AZ50" s="925"/>
      <c r="BA50" s="925"/>
      <c r="BB50" s="925"/>
      <c r="BC50" s="925"/>
      <c r="BD50" s="925"/>
      <c r="BE50" s="925"/>
      <c r="BF50" s="925"/>
      <c r="BG50" s="925"/>
      <c r="BH50" s="925"/>
      <c r="BI50" s="925"/>
      <c r="BJ50" s="925"/>
      <c r="BK50" s="925"/>
      <c r="BL50" s="925"/>
      <c r="BM50" s="925"/>
      <c r="BN50" s="925"/>
      <c r="BO50" s="925"/>
      <c r="BP50" s="925"/>
      <c r="BQ50" s="925"/>
      <c r="BR50" s="925"/>
      <c r="BS50" s="925"/>
      <c r="BT50" s="925"/>
      <c r="BU50" s="925"/>
      <c r="BV50" s="925"/>
      <c r="BW50" s="925"/>
      <c r="BX50" s="925"/>
      <c r="BY50" s="925"/>
      <c r="BZ50" s="925"/>
      <c r="CA50" s="925"/>
      <c r="CB50" s="925"/>
      <c r="CC50" s="925"/>
      <c r="CD50" s="925"/>
      <c r="CE50" s="925"/>
      <c r="CF50" s="925"/>
      <c r="CG50" s="925"/>
      <c r="CH50" s="925"/>
      <c r="CI50" s="925"/>
      <c r="CJ50" s="925"/>
      <c r="CK50" s="925"/>
      <c r="CL50" s="925"/>
      <c r="CM50" s="925"/>
      <c r="CN50" s="925"/>
      <c r="CO50" s="925"/>
      <c r="CP50" s="925"/>
      <c r="CQ50" s="925"/>
      <c r="CR50" s="925"/>
      <c r="CS50" s="925"/>
      <c r="CT50" s="925"/>
      <c r="CU50" s="925"/>
      <c r="CV50" s="925"/>
      <c r="CW50" s="925"/>
      <c r="CX50" s="925"/>
      <c r="CY50" s="925"/>
      <c r="CZ50" s="925"/>
      <c r="DA50" s="925"/>
      <c r="DB50" s="925"/>
      <c r="DC50" s="925"/>
      <c r="DD50" s="925"/>
      <c r="DE50" s="925"/>
      <c r="DF50" s="925"/>
      <c r="DG50" s="925"/>
      <c r="DH50" s="925"/>
      <c r="DI50" s="925"/>
      <c r="DJ50" s="925"/>
      <c r="DK50" s="925"/>
      <c r="DL50" s="925"/>
      <c r="DM50" s="925"/>
      <c r="DN50" s="925"/>
      <c r="DO50" s="925"/>
      <c r="DP50" s="925"/>
      <c r="DQ50" s="925"/>
      <c r="DR50" s="925"/>
      <c r="DS50" s="925"/>
      <c r="DT50" s="925"/>
      <c r="DU50" s="925"/>
      <c r="DV50" s="925"/>
      <c r="DW50" s="925"/>
      <c r="DX50" s="925"/>
      <c r="DY50" s="925"/>
      <c r="DZ50" s="925"/>
      <c r="EA50" s="925"/>
      <c r="EB50" s="925"/>
      <c r="EC50" s="925"/>
      <c r="ED50" s="925"/>
      <c r="EE50" s="925"/>
      <c r="EF50" s="925"/>
      <c r="EG50" s="925"/>
      <c r="EH50" s="925"/>
      <c r="EI50" s="925"/>
      <c r="EJ50" s="925"/>
      <c r="EK50" s="925"/>
      <c r="EL50" s="925"/>
      <c r="EM50" s="925"/>
      <c r="EN50" s="925"/>
      <c r="EO50" s="925"/>
      <c r="EP50" s="925"/>
      <c r="EQ50" s="925"/>
      <c r="ER50" s="925"/>
      <c r="ES50" s="925"/>
      <c r="ET50" s="925"/>
      <c r="EU50" s="925"/>
      <c r="EV50" s="925"/>
      <c r="EW50" s="925"/>
      <c r="EX50" s="925"/>
      <c r="EY50" s="925"/>
      <c r="EZ50" s="925"/>
      <c r="FA50" s="925"/>
      <c r="FB50" s="925"/>
      <c r="FC50" s="925"/>
      <c r="FD50" s="925"/>
      <c r="FE50" s="925"/>
      <c r="FF50" s="925"/>
      <c r="FG50" s="925"/>
      <c r="FH50" s="925"/>
      <c r="FI50" s="925"/>
      <c r="FJ50" s="925"/>
      <c r="FK50" s="925"/>
      <c r="FL50" s="925"/>
      <c r="FM50" s="925"/>
      <c r="FN50" s="925"/>
      <c r="FO50" s="925"/>
      <c r="FP50" s="925"/>
      <c r="FQ50" s="925"/>
      <c r="FR50" s="925"/>
      <c r="FS50" s="925"/>
      <c r="FT50" s="925"/>
      <c r="FU50" s="925"/>
      <c r="FV50" s="925"/>
      <c r="FW50" s="925"/>
      <c r="FX50" s="925"/>
      <c r="FY50" s="925"/>
      <c r="FZ50" s="925"/>
      <c r="GA50" s="925"/>
      <c r="GB50" s="925"/>
      <c r="GC50" s="925"/>
      <c r="GD50" s="925"/>
      <c r="GE50" s="925"/>
      <c r="GF50" s="925"/>
      <c r="GG50" s="925"/>
      <c r="GH50" s="925"/>
      <c r="GI50" s="925"/>
      <c r="GJ50" s="925"/>
      <c r="GK50" s="925"/>
      <c r="GL50" s="925"/>
      <c r="GM50" s="925"/>
      <c r="GN50" s="925"/>
    </row>
    <row r="51" spans="1:196" s="333" customFormat="1" ht="13.8" x14ac:dyDescent="0.25">
      <c r="A51" s="1399">
        <v>5559028.4186893003</v>
      </c>
      <c r="B51" s="1399">
        <v>5558962.4186893003</v>
      </c>
      <c r="C51" s="1399">
        <f t="shared" si="5"/>
        <v>1166296.4186893003</v>
      </c>
      <c r="D51" s="1399"/>
      <c r="E51" s="471"/>
      <c r="F51" s="472" t="s">
        <v>80</v>
      </c>
      <c r="G51" s="473">
        <v>5842912</v>
      </c>
      <c r="H51" s="473">
        <v>4392666</v>
      </c>
      <c r="I51" s="330">
        <f t="shared" si="4"/>
        <v>-1450246</v>
      </c>
      <c r="J51" s="874">
        <f t="shared" si="6"/>
        <v>-0.24820603151305376</v>
      </c>
      <c r="K51" s="474"/>
      <c r="L51" s="470"/>
      <c r="M51" s="1119" t="s">
        <v>621</v>
      </c>
      <c r="N51" s="1400">
        <v>286732.36</v>
      </c>
      <c r="O51" s="1113"/>
      <c r="P51" s="925"/>
      <c r="Q51" s="925"/>
      <c r="R51" s="925"/>
      <c r="S51" s="925"/>
      <c r="T51" s="925"/>
      <c r="U51" s="925"/>
      <c r="V51" s="925"/>
      <c r="W51" s="925"/>
      <c r="X51" s="925"/>
      <c r="Y51" s="925"/>
      <c r="Z51" s="925"/>
      <c r="AA51" s="925"/>
      <c r="AB51" s="925"/>
      <c r="AC51" s="925"/>
      <c r="AD51" s="925"/>
      <c r="AE51" s="925"/>
      <c r="AF51" s="925"/>
      <c r="AG51" s="925"/>
      <c r="AH51" s="925"/>
      <c r="AI51" s="925"/>
      <c r="AJ51" s="925"/>
      <c r="AK51" s="925"/>
      <c r="AL51" s="925"/>
      <c r="AM51" s="925"/>
      <c r="AN51" s="925"/>
      <c r="AO51" s="925"/>
      <c r="AP51" s="925"/>
      <c r="AQ51" s="925"/>
      <c r="AR51" s="925"/>
      <c r="AS51" s="925"/>
      <c r="AT51" s="925"/>
      <c r="AU51" s="925"/>
      <c r="AV51" s="925"/>
      <c r="AW51" s="925"/>
      <c r="AX51" s="925"/>
      <c r="AY51" s="925"/>
      <c r="AZ51" s="925"/>
      <c r="BA51" s="925"/>
      <c r="BB51" s="925"/>
      <c r="BC51" s="925"/>
      <c r="BD51" s="925"/>
      <c r="BE51" s="925"/>
      <c r="BF51" s="925"/>
      <c r="BG51" s="925"/>
      <c r="BH51" s="925"/>
      <c r="BI51" s="925"/>
      <c r="BJ51" s="925"/>
      <c r="BK51" s="925"/>
      <c r="BL51" s="925"/>
      <c r="BM51" s="925"/>
      <c r="BN51" s="925"/>
      <c r="BO51" s="925"/>
      <c r="BP51" s="925"/>
      <c r="BQ51" s="925"/>
      <c r="BR51" s="925"/>
      <c r="BS51" s="925"/>
      <c r="BT51" s="925"/>
      <c r="BU51" s="925"/>
      <c r="BV51" s="925"/>
      <c r="BW51" s="925"/>
      <c r="BX51" s="925"/>
      <c r="BY51" s="925"/>
      <c r="BZ51" s="925"/>
      <c r="CA51" s="925"/>
      <c r="CB51" s="925"/>
      <c r="CC51" s="925"/>
      <c r="CD51" s="925"/>
      <c r="CE51" s="925"/>
      <c r="CF51" s="925"/>
      <c r="CG51" s="925"/>
      <c r="CH51" s="925"/>
      <c r="CI51" s="925"/>
      <c r="CJ51" s="925"/>
      <c r="CK51" s="925"/>
      <c r="CL51" s="925"/>
      <c r="CM51" s="925"/>
      <c r="CN51" s="925"/>
      <c r="CO51" s="925"/>
      <c r="CP51" s="925"/>
      <c r="CQ51" s="925"/>
      <c r="CR51" s="925"/>
      <c r="CS51" s="925"/>
      <c r="CT51" s="925"/>
      <c r="CU51" s="925"/>
      <c r="CV51" s="925"/>
      <c r="CW51" s="925"/>
      <c r="CX51" s="925"/>
      <c r="CY51" s="925"/>
      <c r="CZ51" s="925"/>
      <c r="DA51" s="925"/>
      <c r="DB51" s="925"/>
      <c r="DC51" s="925"/>
      <c r="DD51" s="925"/>
      <c r="DE51" s="925"/>
      <c r="DF51" s="925"/>
      <c r="DG51" s="925"/>
      <c r="DH51" s="925"/>
      <c r="DI51" s="925"/>
      <c r="DJ51" s="925"/>
      <c r="DK51" s="925"/>
      <c r="DL51" s="925"/>
      <c r="DM51" s="925"/>
      <c r="DN51" s="925"/>
      <c r="DO51" s="925"/>
      <c r="DP51" s="925"/>
      <c r="DQ51" s="925"/>
      <c r="DR51" s="925"/>
      <c r="DS51" s="925"/>
      <c r="DT51" s="925"/>
      <c r="DU51" s="925"/>
      <c r="DV51" s="925"/>
      <c r="DW51" s="925"/>
      <c r="DX51" s="925"/>
      <c r="DY51" s="925"/>
      <c r="DZ51" s="925"/>
      <c r="EA51" s="925"/>
      <c r="EB51" s="925"/>
      <c r="EC51" s="925"/>
      <c r="ED51" s="925"/>
      <c r="EE51" s="925"/>
      <c r="EF51" s="925"/>
      <c r="EG51" s="925"/>
      <c r="EH51" s="925"/>
      <c r="EI51" s="925"/>
      <c r="EJ51" s="925"/>
      <c r="EK51" s="925"/>
      <c r="EL51" s="925"/>
      <c r="EM51" s="925"/>
      <c r="EN51" s="925"/>
      <c r="EO51" s="925"/>
      <c r="EP51" s="925"/>
      <c r="EQ51" s="925"/>
      <c r="ER51" s="925"/>
      <c r="ES51" s="925"/>
      <c r="ET51" s="925"/>
      <c r="EU51" s="925"/>
      <c r="EV51" s="925"/>
      <c r="EW51" s="925"/>
      <c r="EX51" s="925"/>
      <c r="EY51" s="925"/>
      <c r="EZ51" s="925"/>
      <c r="FA51" s="925"/>
      <c r="FB51" s="925"/>
      <c r="FC51" s="925"/>
      <c r="FD51" s="925"/>
      <c r="FE51" s="925"/>
      <c r="FF51" s="925"/>
      <c r="FG51" s="925"/>
      <c r="FH51" s="925"/>
      <c r="FI51" s="925"/>
      <c r="FJ51" s="925"/>
      <c r="FK51" s="925"/>
      <c r="FL51" s="925"/>
      <c r="FM51" s="925"/>
      <c r="FN51" s="925"/>
      <c r="FO51" s="925"/>
      <c r="FP51" s="925"/>
      <c r="FQ51" s="925"/>
      <c r="FR51" s="925"/>
      <c r="FS51" s="925"/>
      <c r="FT51" s="925"/>
      <c r="FU51" s="925"/>
      <c r="FV51" s="925"/>
      <c r="FW51" s="925"/>
      <c r="FX51" s="925"/>
      <c r="FY51" s="925"/>
      <c r="FZ51" s="925"/>
      <c r="GA51" s="925"/>
      <c r="GB51" s="925"/>
      <c r="GC51" s="925"/>
      <c r="GD51" s="925"/>
      <c r="GE51" s="925"/>
      <c r="GF51" s="925"/>
      <c r="GG51" s="925"/>
      <c r="GH51" s="925"/>
      <c r="GI51" s="925"/>
      <c r="GJ51" s="925"/>
      <c r="GK51" s="925"/>
      <c r="GL51" s="925"/>
      <c r="GM51" s="925"/>
      <c r="GN51" s="925"/>
    </row>
    <row r="52" spans="1:196" s="334" customFormat="1" ht="14.4" thickBot="1" x14ac:dyDescent="0.3">
      <c r="A52" s="1399">
        <v>1235744</v>
      </c>
      <c r="B52" s="1399">
        <v>1489746.3599999999</v>
      </c>
      <c r="C52" s="1399">
        <f t="shared" si="5"/>
        <v>285613.99999999977</v>
      </c>
      <c r="D52" s="1399"/>
      <c r="E52" s="475"/>
      <c r="F52" s="476" t="s">
        <v>186</v>
      </c>
      <c r="G52" s="477">
        <v>851604</v>
      </c>
      <c r="H52" s="477">
        <v>1204132.3600000001</v>
      </c>
      <c r="I52" s="332">
        <f t="shared" si="4"/>
        <v>352528.3600000001</v>
      </c>
      <c r="J52" s="875">
        <f t="shared" si="6"/>
        <v>0.41395808380420956</v>
      </c>
      <c r="K52" s="478"/>
      <c r="L52" s="470"/>
      <c r="M52" s="1119" t="s">
        <v>608</v>
      </c>
      <c r="N52" s="1400">
        <v>183790</v>
      </c>
      <c r="O52" s="1113">
        <f>N52+N54-H54</f>
        <v>8000</v>
      </c>
      <c r="P52" s="347"/>
      <c r="Q52" s="347"/>
      <c r="R52" s="347"/>
      <c r="S52" s="347"/>
      <c r="T52" s="347"/>
      <c r="U52" s="347"/>
      <c r="V52" s="347"/>
      <c r="W52" s="347"/>
      <c r="X52" s="347"/>
      <c r="Y52" s="347"/>
      <c r="Z52" s="347"/>
      <c r="AA52" s="347"/>
      <c r="AB52" s="347"/>
      <c r="AC52" s="347"/>
      <c r="AD52" s="347"/>
      <c r="AE52" s="347"/>
      <c r="AF52" s="347"/>
      <c r="AG52" s="347"/>
      <c r="AH52" s="347"/>
      <c r="AI52" s="347"/>
      <c r="AJ52" s="347"/>
      <c r="AK52" s="347"/>
      <c r="AL52" s="347"/>
      <c r="AM52" s="347"/>
      <c r="AN52" s="347"/>
      <c r="AO52" s="347"/>
      <c r="AP52" s="347"/>
      <c r="AQ52" s="347"/>
      <c r="AR52" s="347"/>
      <c r="AS52" s="347"/>
      <c r="AT52" s="347"/>
      <c r="AU52" s="347"/>
      <c r="AV52" s="347"/>
      <c r="AW52" s="347"/>
      <c r="AX52" s="347"/>
      <c r="AY52" s="347"/>
      <c r="AZ52" s="347"/>
      <c r="BA52" s="347"/>
      <c r="BB52" s="347"/>
      <c r="BC52" s="347"/>
      <c r="BD52" s="347"/>
      <c r="BE52" s="347"/>
      <c r="BF52" s="347"/>
      <c r="BG52" s="347"/>
      <c r="BH52" s="347"/>
      <c r="BI52" s="347"/>
      <c r="BJ52" s="347"/>
      <c r="BK52" s="347"/>
      <c r="BL52" s="347"/>
      <c r="BM52" s="347"/>
      <c r="BN52" s="347"/>
      <c r="BO52" s="347"/>
      <c r="BP52" s="347"/>
      <c r="BQ52" s="347"/>
      <c r="BR52" s="347"/>
      <c r="BS52" s="347"/>
      <c r="BT52" s="347"/>
      <c r="BU52" s="347"/>
      <c r="BV52" s="347"/>
      <c r="BW52" s="347"/>
      <c r="BX52" s="347"/>
      <c r="BY52" s="347"/>
      <c r="BZ52" s="347"/>
      <c r="CA52" s="347"/>
      <c r="CB52" s="347"/>
      <c r="CC52" s="347"/>
      <c r="CD52" s="347"/>
      <c r="CE52" s="347"/>
      <c r="CF52" s="347"/>
      <c r="CG52" s="347"/>
      <c r="CH52" s="347"/>
      <c r="CI52" s="347"/>
      <c r="CJ52" s="347"/>
      <c r="CK52" s="347"/>
      <c r="CL52" s="347"/>
      <c r="CM52" s="347"/>
      <c r="CN52" s="347"/>
      <c r="CO52" s="347"/>
      <c r="CP52" s="347"/>
      <c r="CQ52" s="347"/>
      <c r="CR52" s="347"/>
      <c r="CS52" s="347"/>
      <c r="CT52" s="347"/>
      <c r="CU52" s="347"/>
      <c r="CV52" s="347"/>
      <c r="CW52" s="347"/>
      <c r="CX52" s="347"/>
      <c r="CY52" s="347"/>
      <c r="CZ52" s="347"/>
      <c r="DA52" s="347"/>
      <c r="DB52" s="347"/>
      <c r="DC52" s="347"/>
      <c r="DD52" s="347"/>
      <c r="DE52" s="347"/>
      <c r="DF52" s="347"/>
      <c r="DG52" s="347"/>
      <c r="DH52" s="347"/>
      <c r="DI52" s="347"/>
      <c r="DJ52" s="347"/>
      <c r="DK52" s="347"/>
      <c r="DL52" s="347"/>
      <c r="DM52" s="347"/>
      <c r="DN52" s="347"/>
      <c r="DO52" s="347"/>
      <c r="DP52" s="347"/>
      <c r="DQ52" s="347"/>
      <c r="DR52" s="347"/>
      <c r="DS52" s="347"/>
      <c r="DT52" s="347"/>
      <c r="DU52" s="347"/>
      <c r="DV52" s="347"/>
      <c r="DW52" s="347"/>
      <c r="DX52" s="347"/>
      <c r="DY52" s="347"/>
      <c r="DZ52" s="347"/>
      <c r="EA52" s="347"/>
      <c r="EB52" s="347"/>
      <c r="EC52" s="347"/>
      <c r="ED52" s="347"/>
      <c r="EE52" s="347"/>
      <c r="EF52" s="347"/>
      <c r="EG52" s="347"/>
      <c r="EH52" s="347"/>
      <c r="EI52" s="347"/>
      <c r="EJ52" s="347"/>
      <c r="EK52" s="347"/>
      <c r="EL52" s="347"/>
      <c r="EM52" s="347"/>
      <c r="EN52" s="347"/>
      <c r="EO52" s="347"/>
      <c r="EP52" s="347"/>
      <c r="EQ52" s="347"/>
      <c r="ER52" s="347"/>
      <c r="ES52" s="347"/>
      <c r="ET52" s="347"/>
      <c r="EU52" s="347"/>
      <c r="EV52" s="347"/>
      <c r="EW52" s="347"/>
      <c r="EX52" s="347"/>
      <c r="EY52" s="347"/>
      <c r="EZ52" s="347"/>
      <c r="FA52" s="347"/>
      <c r="FB52" s="347"/>
      <c r="FC52" s="347"/>
      <c r="FD52" s="347"/>
      <c r="FE52" s="347"/>
      <c r="FF52" s="347"/>
      <c r="FG52" s="347"/>
      <c r="FH52" s="347"/>
      <c r="FI52" s="347"/>
      <c r="FJ52" s="347"/>
      <c r="FK52" s="347"/>
      <c r="FL52" s="347"/>
      <c r="FM52" s="347"/>
      <c r="FN52" s="347"/>
      <c r="FO52" s="347"/>
      <c r="FP52" s="347"/>
      <c r="FQ52" s="347"/>
      <c r="FR52" s="347"/>
      <c r="FS52" s="347"/>
      <c r="FT52" s="347"/>
      <c r="FU52" s="347"/>
      <c r="FV52" s="347"/>
      <c r="FW52" s="347"/>
      <c r="FX52" s="347"/>
      <c r="FY52" s="347"/>
      <c r="FZ52" s="347"/>
      <c r="GA52" s="347"/>
      <c r="GB52" s="347"/>
      <c r="GC52" s="347"/>
      <c r="GD52" s="347"/>
      <c r="GE52" s="347"/>
      <c r="GF52" s="347"/>
      <c r="GG52" s="347"/>
      <c r="GH52" s="347"/>
      <c r="GI52" s="347"/>
      <c r="GJ52" s="347"/>
      <c r="GK52" s="347"/>
      <c r="GL52" s="347"/>
      <c r="GM52" s="347"/>
      <c r="GN52" s="347"/>
    </row>
    <row r="53" spans="1:196" s="525" customFormat="1" ht="13.8" hidden="1" outlineLevel="1" x14ac:dyDescent="0.25">
      <c r="A53" s="1096">
        <v>5818582.1501839999</v>
      </c>
      <c r="B53" s="1096">
        <v>5997683.4662400009</v>
      </c>
      <c r="C53" s="1096">
        <f t="shared" si="5"/>
        <v>-1098949.8482560217</v>
      </c>
      <c r="D53" s="1096"/>
      <c r="E53" s="538"/>
      <c r="F53" s="539" t="s">
        <v>360</v>
      </c>
      <c r="G53" s="512">
        <v>5849482.7901839996</v>
      </c>
      <c r="H53" s="512">
        <v>7096633.3144960226</v>
      </c>
      <c r="I53" s="510">
        <f t="shared" si="4"/>
        <v>1247150.5243120231</v>
      </c>
      <c r="J53" s="876">
        <f t="shared" si="6"/>
        <v>0.2132069738549984</v>
      </c>
      <c r="K53" s="540"/>
      <c r="L53" s="507"/>
      <c r="M53" s="409" t="s">
        <v>555</v>
      </c>
      <c r="N53" s="1401">
        <v>1765162.04</v>
      </c>
      <c r="O53" s="1402" t="e">
        <f>N53-H55</f>
        <v>#REF!</v>
      </c>
      <c r="P53" s="408" t="s">
        <v>1447</v>
      </c>
      <c r="Q53" s="515"/>
      <c r="R53" s="515"/>
      <c r="S53" s="515"/>
      <c r="T53" s="515"/>
      <c r="U53" s="515"/>
      <c r="V53" s="515"/>
      <c r="W53" s="515"/>
      <c r="X53" s="515"/>
      <c r="Y53" s="515"/>
      <c r="Z53" s="515"/>
      <c r="AA53" s="515"/>
      <c r="AB53" s="515"/>
      <c r="AC53" s="515"/>
      <c r="AD53" s="515"/>
      <c r="AE53" s="515"/>
      <c r="AF53" s="515"/>
      <c r="AG53" s="515"/>
      <c r="AH53" s="515"/>
      <c r="AI53" s="515"/>
      <c r="AJ53" s="515"/>
      <c r="AK53" s="515"/>
      <c r="AL53" s="515"/>
      <c r="AM53" s="515"/>
      <c r="AN53" s="515"/>
      <c r="AO53" s="515"/>
      <c r="AP53" s="515"/>
      <c r="AQ53" s="515"/>
      <c r="AR53" s="515"/>
      <c r="AS53" s="515"/>
      <c r="AT53" s="515"/>
      <c r="AU53" s="515"/>
      <c r="AV53" s="515"/>
      <c r="AW53" s="515"/>
      <c r="AX53" s="515"/>
      <c r="AY53" s="515"/>
      <c r="AZ53" s="515"/>
      <c r="BA53" s="515"/>
      <c r="BB53" s="515"/>
      <c r="BC53" s="515"/>
      <c r="BD53" s="515"/>
      <c r="BE53" s="515"/>
      <c r="BF53" s="515"/>
      <c r="BG53" s="515"/>
      <c r="BH53" s="515"/>
      <c r="BI53" s="515"/>
      <c r="BJ53" s="515"/>
      <c r="BK53" s="515"/>
      <c r="BL53" s="515"/>
      <c r="BM53" s="515"/>
      <c r="BN53" s="515"/>
      <c r="BO53" s="515"/>
      <c r="BP53" s="515"/>
      <c r="BQ53" s="515"/>
      <c r="BR53" s="515"/>
      <c r="BS53" s="515"/>
      <c r="BT53" s="515"/>
      <c r="BU53" s="515"/>
      <c r="BV53" s="515"/>
      <c r="BW53" s="515"/>
      <c r="BX53" s="515"/>
      <c r="BY53" s="515"/>
      <c r="BZ53" s="515"/>
      <c r="CA53" s="515"/>
      <c r="CB53" s="515"/>
      <c r="CC53" s="515"/>
      <c r="CD53" s="515"/>
      <c r="CE53" s="515"/>
      <c r="CF53" s="515"/>
      <c r="CG53" s="515"/>
      <c r="CH53" s="515"/>
      <c r="CI53" s="515"/>
      <c r="CJ53" s="515"/>
      <c r="CK53" s="515"/>
      <c r="CL53" s="515"/>
      <c r="CM53" s="515"/>
      <c r="CN53" s="515"/>
      <c r="CO53" s="515"/>
      <c r="CP53" s="515"/>
      <c r="CQ53" s="515"/>
      <c r="CR53" s="515"/>
      <c r="CS53" s="515"/>
      <c r="CT53" s="515"/>
      <c r="CU53" s="515"/>
      <c r="CV53" s="515"/>
      <c r="CW53" s="515"/>
      <c r="CX53" s="515"/>
      <c r="CY53" s="515"/>
      <c r="CZ53" s="515"/>
      <c r="DA53" s="515"/>
      <c r="DB53" s="515"/>
      <c r="DC53" s="515"/>
      <c r="DD53" s="515"/>
      <c r="DE53" s="515"/>
      <c r="DF53" s="515"/>
      <c r="DG53" s="515"/>
      <c r="DH53" s="515"/>
      <c r="DI53" s="515"/>
      <c r="DJ53" s="515"/>
      <c r="DK53" s="515"/>
      <c r="DL53" s="515"/>
      <c r="DM53" s="515"/>
      <c r="DN53" s="515"/>
      <c r="DO53" s="515"/>
      <c r="DP53" s="515"/>
      <c r="DQ53" s="515"/>
      <c r="DR53" s="515"/>
      <c r="DS53" s="515"/>
      <c r="DT53" s="515"/>
      <c r="DU53" s="515"/>
      <c r="DV53" s="515"/>
      <c r="DW53" s="515"/>
      <c r="DX53" s="515"/>
      <c r="DY53" s="515"/>
      <c r="DZ53" s="515"/>
      <c r="EA53" s="515"/>
      <c r="EB53" s="515"/>
      <c r="EC53" s="515"/>
      <c r="ED53" s="515"/>
      <c r="EE53" s="515"/>
      <c r="EF53" s="515"/>
      <c r="EG53" s="515"/>
      <c r="EH53" s="515"/>
      <c r="EI53" s="515"/>
      <c r="EJ53" s="515"/>
      <c r="EK53" s="515"/>
      <c r="EL53" s="515"/>
      <c r="EM53" s="515"/>
      <c r="EN53" s="515"/>
      <c r="EO53" s="515"/>
      <c r="EP53" s="515"/>
      <c r="EQ53" s="515"/>
      <c r="ER53" s="515"/>
      <c r="ES53" s="515"/>
      <c r="ET53" s="515"/>
      <c r="EU53" s="515"/>
      <c r="EV53" s="515"/>
      <c r="EW53" s="515"/>
      <c r="EX53" s="515"/>
      <c r="EY53" s="515"/>
      <c r="EZ53" s="515"/>
      <c r="FA53" s="515"/>
      <c r="FB53" s="515"/>
      <c r="FC53" s="515"/>
      <c r="FD53" s="515"/>
      <c r="FE53" s="515"/>
      <c r="FF53" s="515"/>
      <c r="FG53" s="515"/>
      <c r="FH53" s="515"/>
      <c r="FI53" s="515"/>
      <c r="FJ53" s="515"/>
      <c r="FK53" s="515"/>
      <c r="FL53" s="515"/>
      <c r="FM53" s="515"/>
      <c r="FN53" s="515"/>
      <c r="FO53" s="515"/>
      <c r="FP53" s="515"/>
      <c r="FQ53" s="515"/>
      <c r="FR53" s="515"/>
      <c r="FS53" s="515"/>
      <c r="FT53" s="515"/>
      <c r="FU53" s="515"/>
      <c r="FV53" s="515"/>
      <c r="FW53" s="515"/>
      <c r="FX53" s="515"/>
      <c r="FY53" s="515"/>
      <c r="FZ53" s="515"/>
      <c r="GA53" s="515"/>
      <c r="GB53" s="515"/>
      <c r="GC53" s="515"/>
      <c r="GD53" s="515"/>
      <c r="GE53" s="515"/>
      <c r="GF53" s="515"/>
      <c r="GG53" s="515"/>
      <c r="GH53" s="515"/>
      <c r="GI53" s="515"/>
      <c r="GJ53" s="515"/>
      <c r="GK53" s="515"/>
      <c r="GL53" s="515"/>
      <c r="GM53" s="515"/>
      <c r="GN53" s="515"/>
    </row>
    <row r="54" spans="1:196" s="525" customFormat="1" ht="13.8" hidden="1" outlineLevel="1" x14ac:dyDescent="0.25">
      <c r="A54" s="1096">
        <v>183161</v>
      </c>
      <c r="B54" s="1096">
        <v>488690</v>
      </c>
      <c r="C54" s="1096">
        <f t="shared" si="5"/>
        <v>155000</v>
      </c>
      <c r="D54" s="1096"/>
      <c r="E54" s="538"/>
      <c r="F54" s="539" t="s">
        <v>354</v>
      </c>
      <c r="G54" s="512">
        <v>123354</v>
      </c>
      <c r="H54" s="512">
        <v>333690</v>
      </c>
      <c r="I54" s="510">
        <f t="shared" si="4"/>
        <v>210336</v>
      </c>
      <c r="J54" s="876">
        <f t="shared" si="6"/>
        <v>1.7051413006469187</v>
      </c>
      <c r="K54" s="540"/>
      <c r="L54" s="507"/>
      <c r="M54" s="409" t="s">
        <v>354</v>
      </c>
      <c r="N54" s="1401">
        <v>157900</v>
      </c>
      <c r="O54" s="1402"/>
      <c r="P54" s="515"/>
      <c r="Q54" s="515"/>
      <c r="R54" s="515"/>
      <c r="S54" s="515"/>
      <c r="T54" s="515"/>
      <c r="U54" s="515"/>
      <c r="V54" s="515"/>
      <c r="W54" s="515"/>
      <c r="X54" s="515"/>
      <c r="Y54" s="515"/>
      <c r="Z54" s="515"/>
      <c r="AA54" s="515"/>
      <c r="AB54" s="515"/>
      <c r="AC54" s="515"/>
      <c r="AD54" s="515"/>
      <c r="AE54" s="515"/>
      <c r="AF54" s="515"/>
      <c r="AG54" s="515"/>
      <c r="AH54" s="515"/>
      <c r="AI54" s="515"/>
      <c r="AJ54" s="515"/>
      <c r="AK54" s="515"/>
      <c r="AL54" s="515"/>
      <c r="AM54" s="515"/>
      <c r="AN54" s="515"/>
      <c r="AO54" s="515"/>
      <c r="AP54" s="515"/>
      <c r="AQ54" s="515"/>
      <c r="AR54" s="515"/>
      <c r="AS54" s="515"/>
      <c r="AT54" s="515"/>
      <c r="AU54" s="515"/>
      <c r="AV54" s="515"/>
      <c r="AW54" s="515"/>
      <c r="AX54" s="515"/>
      <c r="AY54" s="515"/>
      <c r="AZ54" s="515"/>
      <c r="BA54" s="515"/>
      <c r="BB54" s="515"/>
      <c r="BC54" s="515"/>
      <c r="BD54" s="515"/>
      <c r="BE54" s="515"/>
      <c r="BF54" s="515"/>
      <c r="BG54" s="515"/>
      <c r="BH54" s="515"/>
      <c r="BI54" s="515"/>
      <c r="BJ54" s="515"/>
      <c r="BK54" s="515"/>
      <c r="BL54" s="515"/>
      <c r="BM54" s="515"/>
      <c r="BN54" s="515"/>
      <c r="BO54" s="515"/>
      <c r="BP54" s="515"/>
      <c r="BQ54" s="515"/>
      <c r="BR54" s="515"/>
      <c r="BS54" s="515"/>
      <c r="BT54" s="515"/>
      <c r="BU54" s="515"/>
      <c r="BV54" s="515"/>
      <c r="BW54" s="515"/>
      <c r="BX54" s="515"/>
      <c r="BY54" s="515"/>
      <c r="BZ54" s="515"/>
      <c r="CA54" s="515"/>
      <c r="CB54" s="515"/>
      <c r="CC54" s="515"/>
      <c r="CD54" s="515"/>
      <c r="CE54" s="515"/>
      <c r="CF54" s="515"/>
      <c r="CG54" s="515"/>
      <c r="CH54" s="515"/>
      <c r="CI54" s="515"/>
      <c r="CJ54" s="515"/>
      <c r="CK54" s="515"/>
      <c r="CL54" s="515"/>
      <c r="CM54" s="515"/>
      <c r="CN54" s="515"/>
      <c r="CO54" s="515"/>
      <c r="CP54" s="515"/>
      <c r="CQ54" s="515"/>
      <c r="CR54" s="515"/>
      <c r="CS54" s="515"/>
      <c r="CT54" s="515"/>
      <c r="CU54" s="515"/>
      <c r="CV54" s="515"/>
      <c r="CW54" s="515"/>
      <c r="CX54" s="515"/>
      <c r="CY54" s="515"/>
      <c r="CZ54" s="515"/>
      <c r="DA54" s="515"/>
      <c r="DB54" s="515"/>
      <c r="DC54" s="515"/>
      <c r="DD54" s="515"/>
      <c r="DE54" s="515"/>
      <c r="DF54" s="515"/>
      <c r="DG54" s="515"/>
      <c r="DH54" s="515"/>
      <c r="DI54" s="515"/>
      <c r="DJ54" s="515"/>
      <c r="DK54" s="515"/>
      <c r="DL54" s="515"/>
      <c r="DM54" s="515"/>
      <c r="DN54" s="515"/>
      <c r="DO54" s="515"/>
      <c r="DP54" s="515"/>
      <c r="DQ54" s="515"/>
      <c r="DR54" s="515"/>
      <c r="DS54" s="515"/>
      <c r="DT54" s="515"/>
      <c r="DU54" s="515"/>
      <c r="DV54" s="515"/>
      <c r="DW54" s="515"/>
      <c r="DX54" s="515"/>
      <c r="DY54" s="515"/>
      <c r="DZ54" s="515"/>
      <c r="EA54" s="515"/>
      <c r="EB54" s="515"/>
      <c r="EC54" s="515"/>
      <c r="ED54" s="515"/>
      <c r="EE54" s="515"/>
      <c r="EF54" s="515"/>
      <c r="EG54" s="515"/>
      <c r="EH54" s="515"/>
      <c r="EI54" s="515"/>
      <c r="EJ54" s="515"/>
      <c r="EK54" s="515"/>
      <c r="EL54" s="515"/>
      <c r="EM54" s="515"/>
      <c r="EN54" s="515"/>
      <c r="EO54" s="515"/>
      <c r="EP54" s="515"/>
      <c r="EQ54" s="515"/>
      <c r="ER54" s="515"/>
      <c r="ES54" s="515"/>
      <c r="ET54" s="515"/>
      <c r="EU54" s="515"/>
      <c r="EV54" s="515"/>
      <c r="EW54" s="515"/>
      <c r="EX54" s="515"/>
      <c r="EY54" s="515"/>
      <c r="EZ54" s="515"/>
      <c r="FA54" s="515"/>
      <c r="FB54" s="515"/>
      <c r="FC54" s="515"/>
      <c r="FD54" s="515"/>
      <c r="FE54" s="515"/>
      <c r="FF54" s="515"/>
      <c r="FG54" s="515"/>
      <c r="FH54" s="515"/>
      <c r="FI54" s="515"/>
      <c r="FJ54" s="515"/>
      <c r="FK54" s="515"/>
      <c r="FL54" s="515"/>
      <c r="FM54" s="515"/>
      <c r="FN54" s="515"/>
      <c r="FO54" s="515"/>
      <c r="FP54" s="515"/>
      <c r="FQ54" s="515"/>
      <c r="FR54" s="515"/>
      <c r="FS54" s="515"/>
      <c r="FT54" s="515"/>
      <c r="FU54" s="515"/>
      <c r="FV54" s="515"/>
      <c r="FW54" s="515"/>
      <c r="FX54" s="515"/>
      <c r="FY54" s="515"/>
      <c r="FZ54" s="515"/>
      <c r="GA54" s="515"/>
      <c r="GB54" s="515"/>
      <c r="GC54" s="515"/>
      <c r="GD54" s="515"/>
      <c r="GE54" s="515"/>
      <c r="GF54" s="515"/>
      <c r="GG54" s="515"/>
      <c r="GH54" s="515"/>
      <c r="GI54" s="515"/>
      <c r="GJ54" s="515"/>
      <c r="GK54" s="515"/>
      <c r="GL54" s="515"/>
      <c r="GM54" s="515"/>
      <c r="GN54" s="515"/>
    </row>
    <row r="55" spans="1:196" s="525" customFormat="1" ht="13.8" hidden="1" outlineLevel="1" x14ac:dyDescent="0.25">
      <c r="A55" s="1096">
        <v>2540146.9125666665</v>
      </c>
      <c r="B55" s="1096">
        <v>1319228.47</v>
      </c>
      <c r="C55" s="1096" t="e">
        <f t="shared" si="5"/>
        <v>#REF!</v>
      </c>
      <c r="D55" s="1096"/>
      <c r="E55" s="538"/>
      <c r="F55" s="539" t="s">
        <v>555</v>
      </c>
      <c r="G55" s="512" t="e">
        <v>#REF!</v>
      </c>
      <c r="H55" s="512" t="e">
        <v>#REF!</v>
      </c>
      <c r="I55" s="510" t="e">
        <f t="shared" si="4"/>
        <v>#REF!</v>
      </c>
      <c r="J55" s="876" t="str">
        <f t="shared" si="6"/>
        <v>-</v>
      </c>
      <c r="K55" s="540"/>
      <c r="L55" s="507"/>
      <c r="M55" s="409" t="s">
        <v>564</v>
      </c>
      <c r="N55" s="1401">
        <v>4392666</v>
      </c>
      <c r="O55" s="1402">
        <f>N55-H51</f>
        <v>0</v>
      </c>
      <c r="P55" s="515"/>
      <c r="Q55" s="515"/>
      <c r="R55" s="515"/>
      <c r="S55" s="515"/>
      <c r="T55" s="515"/>
      <c r="U55" s="515"/>
      <c r="V55" s="515"/>
      <c r="W55" s="515"/>
      <c r="X55" s="515"/>
      <c r="Y55" s="515"/>
      <c r="Z55" s="515"/>
      <c r="AA55" s="515"/>
      <c r="AB55" s="515"/>
      <c r="AC55" s="515"/>
      <c r="AD55" s="515"/>
      <c r="AE55" s="515"/>
      <c r="AF55" s="515"/>
      <c r="AG55" s="515"/>
      <c r="AH55" s="515"/>
      <c r="AI55" s="515"/>
      <c r="AJ55" s="515"/>
      <c r="AK55" s="515"/>
      <c r="AL55" s="515"/>
      <c r="AM55" s="515"/>
      <c r="AN55" s="515"/>
      <c r="AO55" s="515"/>
      <c r="AP55" s="515"/>
      <c r="AQ55" s="515"/>
      <c r="AR55" s="515"/>
      <c r="AS55" s="515"/>
      <c r="AT55" s="515"/>
      <c r="AU55" s="515"/>
      <c r="AV55" s="515"/>
      <c r="AW55" s="515"/>
      <c r="AX55" s="515"/>
      <c r="AY55" s="515"/>
      <c r="AZ55" s="515"/>
      <c r="BA55" s="515"/>
      <c r="BB55" s="515"/>
      <c r="BC55" s="515"/>
      <c r="BD55" s="515"/>
      <c r="BE55" s="515"/>
      <c r="BF55" s="515"/>
      <c r="BG55" s="515"/>
      <c r="BH55" s="515"/>
      <c r="BI55" s="515"/>
      <c r="BJ55" s="515"/>
      <c r="BK55" s="515"/>
      <c r="BL55" s="515"/>
      <c r="BM55" s="515"/>
      <c r="BN55" s="515"/>
      <c r="BO55" s="515"/>
      <c r="BP55" s="515"/>
      <c r="BQ55" s="515"/>
      <c r="BR55" s="515"/>
      <c r="BS55" s="515"/>
      <c r="BT55" s="515"/>
      <c r="BU55" s="515"/>
      <c r="BV55" s="515"/>
      <c r="BW55" s="515"/>
      <c r="BX55" s="515"/>
      <c r="BY55" s="515"/>
      <c r="BZ55" s="515"/>
      <c r="CA55" s="515"/>
      <c r="CB55" s="515"/>
      <c r="CC55" s="515"/>
      <c r="CD55" s="515"/>
      <c r="CE55" s="515"/>
      <c r="CF55" s="515"/>
      <c r="CG55" s="515"/>
      <c r="CH55" s="515"/>
      <c r="CI55" s="515"/>
      <c r="CJ55" s="515"/>
      <c r="CK55" s="515"/>
      <c r="CL55" s="515"/>
      <c r="CM55" s="515"/>
      <c r="CN55" s="515"/>
      <c r="CO55" s="515"/>
      <c r="CP55" s="515"/>
      <c r="CQ55" s="515"/>
      <c r="CR55" s="515"/>
      <c r="CS55" s="515"/>
      <c r="CT55" s="515"/>
      <c r="CU55" s="515"/>
      <c r="CV55" s="515"/>
      <c r="CW55" s="515"/>
      <c r="CX55" s="515"/>
      <c r="CY55" s="515"/>
      <c r="CZ55" s="515"/>
      <c r="DA55" s="515"/>
      <c r="DB55" s="515"/>
      <c r="DC55" s="515"/>
      <c r="DD55" s="515"/>
      <c r="DE55" s="515"/>
      <c r="DF55" s="515"/>
      <c r="DG55" s="515"/>
      <c r="DH55" s="515"/>
      <c r="DI55" s="515"/>
      <c r="DJ55" s="515"/>
      <c r="DK55" s="515"/>
      <c r="DL55" s="515"/>
      <c r="DM55" s="515"/>
      <c r="DN55" s="515"/>
      <c r="DO55" s="515"/>
      <c r="DP55" s="515"/>
      <c r="DQ55" s="515"/>
      <c r="DR55" s="515"/>
      <c r="DS55" s="515"/>
      <c r="DT55" s="515"/>
      <c r="DU55" s="515"/>
      <c r="DV55" s="515"/>
      <c r="DW55" s="515"/>
      <c r="DX55" s="515"/>
      <c r="DY55" s="515"/>
      <c r="DZ55" s="515"/>
      <c r="EA55" s="515"/>
      <c r="EB55" s="515"/>
      <c r="EC55" s="515"/>
      <c r="ED55" s="515"/>
      <c r="EE55" s="515"/>
      <c r="EF55" s="515"/>
      <c r="EG55" s="515"/>
      <c r="EH55" s="515"/>
      <c r="EI55" s="515"/>
      <c r="EJ55" s="515"/>
      <c r="EK55" s="515"/>
      <c r="EL55" s="515"/>
      <c r="EM55" s="515"/>
      <c r="EN55" s="515"/>
      <c r="EO55" s="515"/>
      <c r="EP55" s="515"/>
      <c r="EQ55" s="515"/>
      <c r="ER55" s="515"/>
      <c r="ES55" s="515"/>
      <c r="ET55" s="515"/>
      <c r="EU55" s="515"/>
      <c r="EV55" s="515"/>
      <c r="EW55" s="515"/>
      <c r="EX55" s="515"/>
      <c r="EY55" s="515"/>
      <c r="EZ55" s="515"/>
      <c r="FA55" s="515"/>
      <c r="FB55" s="515"/>
      <c r="FC55" s="515"/>
      <c r="FD55" s="515"/>
      <c r="FE55" s="515"/>
      <c r="FF55" s="515"/>
      <c r="FG55" s="515"/>
      <c r="FH55" s="515"/>
      <c r="FI55" s="515"/>
      <c r="FJ55" s="515"/>
      <c r="FK55" s="515"/>
      <c r="FL55" s="515"/>
      <c r="FM55" s="515"/>
      <c r="FN55" s="515"/>
      <c r="FO55" s="515"/>
      <c r="FP55" s="515"/>
      <c r="FQ55" s="515"/>
      <c r="FR55" s="515"/>
      <c r="FS55" s="515"/>
      <c r="FT55" s="515"/>
      <c r="FU55" s="515"/>
      <c r="FV55" s="515"/>
      <c r="FW55" s="515"/>
      <c r="FX55" s="515"/>
      <c r="FY55" s="515"/>
      <c r="FZ55" s="515"/>
      <c r="GA55" s="515"/>
      <c r="GB55" s="515"/>
      <c r="GC55" s="515"/>
      <c r="GD55" s="515"/>
      <c r="GE55" s="515"/>
      <c r="GF55" s="515"/>
      <c r="GG55" s="515"/>
      <c r="GH55" s="515"/>
      <c r="GI55" s="515"/>
      <c r="GJ55" s="515"/>
      <c r="GK55" s="515"/>
      <c r="GL55" s="515"/>
      <c r="GM55" s="515"/>
      <c r="GN55" s="515"/>
    </row>
    <row r="56" spans="1:196" s="525" customFormat="1" ht="14.4" hidden="1" outlineLevel="1" thickBot="1" x14ac:dyDescent="0.3">
      <c r="A56" s="1096">
        <v>10364130.754920783</v>
      </c>
      <c r="B56" s="1096">
        <v>4757915.554212857</v>
      </c>
      <c r="C56" s="1096" t="e">
        <f t="shared" si="5"/>
        <v>#REF!</v>
      </c>
      <c r="D56" s="1096"/>
      <c r="E56" s="523"/>
      <c r="F56" s="520" t="s">
        <v>192</v>
      </c>
      <c r="G56" s="505" t="e">
        <v>#REF!</v>
      </c>
      <c r="H56" s="505" t="e">
        <v>#REF!</v>
      </c>
      <c r="I56" s="510" t="e">
        <f t="shared" si="4"/>
        <v>#REF!</v>
      </c>
      <c r="J56" s="876" t="str">
        <f t="shared" si="6"/>
        <v>-</v>
      </c>
      <c r="K56" s="526"/>
      <c r="L56" s="507"/>
      <c r="M56" s="409" t="s">
        <v>563</v>
      </c>
      <c r="N56" s="1401">
        <v>1072024.447434146</v>
      </c>
      <c r="O56" s="1402">
        <f t="shared" ref="O56" si="7">N56-H61</f>
        <v>24685.283485662425</v>
      </c>
      <c r="P56" s="515"/>
      <c r="Q56" s="515"/>
      <c r="R56" s="515"/>
      <c r="S56" s="515"/>
      <c r="T56" s="515"/>
      <c r="U56" s="515"/>
      <c r="V56" s="515"/>
      <c r="W56" s="515"/>
      <c r="X56" s="515"/>
      <c r="Y56" s="515"/>
      <c r="Z56" s="515"/>
      <c r="AA56" s="515"/>
      <c r="AB56" s="515"/>
      <c r="AC56" s="515"/>
      <c r="AD56" s="515"/>
      <c r="AE56" s="515"/>
      <c r="AF56" s="515"/>
      <c r="AG56" s="515"/>
      <c r="AH56" s="515"/>
      <c r="AI56" s="515"/>
      <c r="AJ56" s="515"/>
      <c r="AK56" s="515"/>
      <c r="AL56" s="515"/>
      <c r="AM56" s="515"/>
      <c r="AN56" s="515"/>
      <c r="AO56" s="515"/>
      <c r="AP56" s="515"/>
      <c r="AQ56" s="515"/>
      <c r="AR56" s="515"/>
      <c r="AS56" s="515"/>
      <c r="AT56" s="515"/>
      <c r="AU56" s="515"/>
      <c r="AV56" s="515"/>
      <c r="AW56" s="515"/>
      <c r="AX56" s="515"/>
      <c r="AY56" s="515"/>
      <c r="AZ56" s="515"/>
      <c r="BA56" s="515"/>
      <c r="BB56" s="515"/>
      <c r="BC56" s="515"/>
      <c r="BD56" s="515"/>
      <c r="BE56" s="515"/>
      <c r="BF56" s="515"/>
      <c r="BG56" s="515"/>
      <c r="BH56" s="515"/>
      <c r="BI56" s="515"/>
      <c r="BJ56" s="515"/>
      <c r="BK56" s="515"/>
      <c r="BL56" s="515"/>
      <c r="BM56" s="515"/>
      <c r="BN56" s="515"/>
      <c r="BO56" s="515"/>
      <c r="BP56" s="515"/>
      <c r="BQ56" s="515"/>
      <c r="BR56" s="515"/>
      <c r="BS56" s="515"/>
      <c r="BT56" s="515"/>
      <c r="BU56" s="515"/>
      <c r="BV56" s="515"/>
      <c r="BW56" s="515"/>
      <c r="BX56" s="515"/>
      <c r="BY56" s="515"/>
      <c r="BZ56" s="515"/>
      <c r="CA56" s="515"/>
      <c r="CB56" s="515"/>
      <c r="CC56" s="515"/>
      <c r="CD56" s="515"/>
      <c r="CE56" s="515"/>
      <c r="CF56" s="515"/>
      <c r="CG56" s="515"/>
      <c r="CH56" s="515"/>
      <c r="CI56" s="515"/>
      <c r="CJ56" s="515"/>
      <c r="CK56" s="515"/>
      <c r="CL56" s="515"/>
      <c r="CM56" s="515"/>
      <c r="CN56" s="515"/>
      <c r="CO56" s="515"/>
      <c r="CP56" s="515"/>
      <c r="CQ56" s="515"/>
      <c r="CR56" s="515"/>
      <c r="CS56" s="515"/>
      <c r="CT56" s="515"/>
      <c r="CU56" s="515"/>
      <c r="CV56" s="515"/>
      <c r="CW56" s="515"/>
      <c r="CX56" s="515"/>
      <c r="CY56" s="515"/>
      <c r="CZ56" s="515"/>
      <c r="DA56" s="515"/>
      <c r="DB56" s="515"/>
      <c r="DC56" s="515"/>
      <c r="DD56" s="515"/>
      <c r="DE56" s="515"/>
      <c r="DF56" s="515"/>
      <c r="DG56" s="515"/>
      <c r="DH56" s="515"/>
      <c r="DI56" s="515"/>
      <c r="DJ56" s="515"/>
      <c r="DK56" s="515"/>
      <c r="DL56" s="515"/>
      <c r="DM56" s="515"/>
      <c r="DN56" s="515"/>
      <c r="DO56" s="515"/>
      <c r="DP56" s="515"/>
      <c r="DQ56" s="515"/>
      <c r="DR56" s="515"/>
      <c r="DS56" s="515"/>
      <c r="DT56" s="515"/>
      <c r="DU56" s="515"/>
      <c r="DV56" s="515"/>
      <c r="DW56" s="515"/>
      <c r="DX56" s="515"/>
      <c r="DY56" s="515"/>
      <c r="DZ56" s="515"/>
      <c r="EA56" s="515"/>
      <c r="EB56" s="515"/>
      <c r="EC56" s="515"/>
      <c r="ED56" s="515"/>
      <c r="EE56" s="515"/>
      <c r="EF56" s="515"/>
      <c r="EG56" s="515"/>
      <c r="EH56" s="515"/>
      <c r="EI56" s="515"/>
      <c r="EJ56" s="515"/>
      <c r="EK56" s="515"/>
      <c r="EL56" s="515"/>
      <c r="EM56" s="515"/>
      <c r="EN56" s="515"/>
      <c r="EO56" s="515"/>
      <c r="EP56" s="515"/>
      <c r="EQ56" s="515"/>
      <c r="ER56" s="515"/>
      <c r="ES56" s="515"/>
      <c r="ET56" s="515"/>
      <c r="EU56" s="515"/>
      <c r="EV56" s="515"/>
      <c r="EW56" s="515"/>
      <c r="EX56" s="515"/>
      <c r="EY56" s="515"/>
      <c r="EZ56" s="515"/>
      <c r="FA56" s="515"/>
      <c r="FB56" s="515"/>
      <c r="FC56" s="515"/>
      <c r="FD56" s="515"/>
      <c r="FE56" s="515"/>
      <c r="FF56" s="515"/>
      <c r="FG56" s="515"/>
      <c r="FH56" s="515"/>
      <c r="FI56" s="515"/>
      <c r="FJ56" s="515"/>
      <c r="FK56" s="515"/>
      <c r="FL56" s="515"/>
      <c r="FM56" s="515"/>
      <c r="FN56" s="515"/>
      <c r="FO56" s="515"/>
      <c r="FP56" s="515"/>
      <c r="FQ56" s="515"/>
      <c r="FR56" s="515"/>
      <c r="FS56" s="515"/>
      <c r="FT56" s="515"/>
      <c r="FU56" s="515"/>
      <c r="FV56" s="515"/>
      <c r="FW56" s="515"/>
      <c r="FX56" s="515"/>
      <c r="FY56" s="515"/>
      <c r="FZ56" s="515"/>
      <c r="GA56" s="515"/>
      <c r="GB56" s="515"/>
      <c r="GC56" s="515"/>
      <c r="GD56" s="515"/>
      <c r="GE56" s="515"/>
      <c r="GF56" s="515"/>
      <c r="GG56" s="515"/>
      <c r="GH56" s="515"/>
      <c r="GI56" s="515"/>
      <c r="GJ56" s="515"/>
      <c r="GK56" s="515"/>
      <c r="GL56" s="515"/>
      <c r="GM56" s="515"/>
      <c r="GN56" s="515"/>
    </row>
    <row r="57" spans="1:196" ht="13.8" collapsed="1" x14ac:dyDescent="0.25">
      <c r="A57" s="920"/>
      <c r="E57" s="138" t="s">
        <v>5</v>
      </c>
      <c r="F57" s="139" t="s">
        <v>68</v>
      </c>
      <c r="G57" s="324">
        <v>8625954.6749362685</v>
      </c>
      <c r="H57" s="310">
        <v>8261338.7371972902</v>
      </c>
      <c r="I57" s="140">
        <f t="shared" si="4"/>
        <v>-364615.9377389783</v>
      </c>
      <c r="J57" s="877">
        <f>IFERROR(I57/G57,"-")</f>
        <v>-4.2269632925201084E-2</v>
      </c>
      <c r="K57" s="417"/>
      <c r="L57" s="224"/>
      <c r="M57" s="107" t="s">
        <v>192</v>
      </c>
      <c r="N57" s="1108">
        <v>3751835.3929128568</v>
      </c>
      <c r="O57" s="1113" t="e">
        <f>N57-H56</f>
        <v>#REF!</v>
      </c>
      <c r="P57" t="s">
        <v>1440</v>
      </c>
    </row>
    <row r="58" spans="1:196" s="343" customFormat="1" ht="13.8" x14ac:dyDescent="0.25">
      <c r="A58" s="1399"/>
      <c r="B58" s="1403"/>
      <c r="C58" s="1399"/>
      <c r="D58" s="1399"/>
      <c r="E58" s="338"/>
      <c r="F58" s="339" t="s">
        <v>228</v>
      </c>
      <c r="G58" s="340">
        <v>2113048.4424799997</v>
      </c>
      <c r="H58" s="340">
        <v>2266432.6973488065</v>
      </c>
      <c r="I58" s="341">
        <f t="shared" si="4"/>
        <v>153384.25486880681</v>
      </c>
      <c r="J58" s="873">
        <f t="shared" si="6"/>
        <v>7.2589085884271487E-2</v>
      </c>
      <c r="K58" s="425"/>
      <c r="L58" s="470"/>
      <c r="M58" s="1119" t="s">
        <v>357</v>
      </c>
      <c r="N58" s="1400"/>
      <c r="O58" s="1113"/>
      <c r="P58" s="924"/>
      <c r="Q58" s="924"/>
      <c r="R58" s="924"/>
      <c r="S58" s="924"/>
      <c r="T58" s="924"/>
      <c r="U58" s="924"/>
      <c r="V58" s="924"/>
      <c r="W58" s="924"/>
      <c r="X58" s="924"/>
      <c r="Y58" s="924"/>
      <c r="Z58" s="924"/>
      <c r="AA58" s="924"/>
      <c r="AB58" s="924"/>
      <c r="AC58" s="924"/>
      <c r="AD58" s="924"/>
      <c r="AE58" s="924"/>
      <c r="AF58" s="924"/>
      <c r="AG58" s="924"/>
      <c r="AH58" s="924"/>
      <c r="AI58" s="924"/>
      <c r="AJ58" s="924"/>
      <c r="AK58" s="924"/>
      <c r="AL58" s="924"/>
      <c r="AM58" s="924"/>
      <c r="AN58" s="924"/>
      <c r="AO58" s="924"/>
      <c r="AP58" s="924"/>
      <c r="AQ58" s="924"/>
      <c r="AR58" s="924"/>
      <c r="AS58" s="924"/>
      <c r="AT58" s="924"/>
      <c r="AU58" s="924"/>
      <c r="AV58" s="924"/>
      <c r="AW58" s="924"/>
      <c r="AX58" s="924"/>
      <c r="AY58" s="924"/>
      <c r="AZ58" s="924"/>
      <c r="BA58" s="924"/>
      <c r="BB58" s="924"/>
      <c r="BC58" s="924"/>
      <c r="BD58" s="924"/>
      <c r="BE58" s="924"/>
      <c r="BF58" s="924"/>
      <c r="BG58" s="924"/>
      <c r="BH58" s="924"/>
      <c r="BI58" s="924"/>
      <c r="BJ58" s="924"/>
      <c r="BK58" s="924"/>
      <c r="BL58" s="924"/>
      <c r="BM58" s="924"/>
      <c r="BN58" s="924"/>
      <c r="BO58" s="924"/>
      <c r="BP58" s="924"/>
      <c r="BQ58" s="924"/>
      <c r="BR58" s="924"/>
      <c r="BS58" s="924"/>
      <c r="BT58" s="924"/>
      <c r="BU58" s="924"/>
      <c r="BV58" s="924"/>
      <c r="BW58" s="924"/>
      <c r="BX58" s="924"/>
      <c r="BY58" s="924"/>
      <c r="BZ58" s="924"/>
      <c r="CA58" s="924"/>
      <c r="CB58" s="924"/>
      <c r="CC58" s="924"/>
      <c r="CD58" s="924"/>
      <c r="CE58" s="924"/>
      <c r="CF58" s="924"/>
      <c r="CG58" s="924"/>
      <c r="CH58" s="924"/>
      <c r="CI58" s="924"/>
      <c r="CJ58" s="924"/>
      <c r="CK58" s="924"/>
      <c r="CL58" s="924"/>
      <c r="CM58" s="924"/>
      <c r="CN58" s="924"/>
      <c r="CO58" s="924"/>
      <c r="CP58" s="924"/>
      <c r="CQ58" s="924"/>
      <c r="CR58" s="924"/>
      <c r="CS58" s="924"/>
      <c r="CT58" s="924"/>
      <c r="CU58" s="924"/>
      <c r="CV58" s="924"/>
      <c r="CW58" s="924"/>
      <c r="CX58" s="924"/>
      <c r="CY58" s="924"/>
      <c r="CZ58" s="924"/>
      <c r="DA58" s="924"/>
      <c r="DB58" s="924"/>
      <c r="DC58" s="924"/>
      <c r="DD58" s="924"/>
      <c r="DE58" s="924"/>
      <c r="DF58" s="924"/>
      <c r="DG58" s="924"/>
      <c r="DH58" s="924"/>
      <c r="DI58" s="924"/>
      <c r="DJ58" s="924"/>
      <c r="DK58" s="924"/>
      <c r="DL58" s="924"/>
      <c r="DM58" s="924"/>
      <c r="DN58" s="924"/>
      <c r="DO58" s="924"/>
      <c r="DP58" s="924"/>
      <c r="DQ58" s="924"/>
      <c r="DR58" s="924"/>
      <c r="DS58" s="924"/>
      <c r="DT58" s="924"/>
      <c r="DU58" s="924"/>
      <c r="DV58" s="924"/>
      <c r="DW58" s="924"/>
      <c r="DX58" s="924"/>
      <c r="DY58" s="924"/>
      <c r="DZ58" s="924"/>
      <c r="EA58" s="924"/>
      <c r="EB58" s="924"/>
      <c r="EC58" s="924"/>
      <c r="ED58" s="924"/>
      <c r="EE58" s="924"/>
      <c r="EF58" s="924"/>
      <c r="EG58" s="924"/>
      <c r="EH58" s="924"/>
      <c r="EI58" s="924"/>
      <c r="EJ58" s="924"/>
      <c r="EK58" s="924"/>
      <c r="EL58" s="924"/>
      <c r="EM58" s="924"/>
      <c r="EN58" s="924"/>
      <c r="EO58" s="924"/>
      <c r="EP58" s="924"/>
      <c r="EQ58" s="924"/>
      <c r="ER58" s="924"/>
      <c r="ES58" s="924"/>
      <c r="ET58" s="924"/>
      <c r="EU58" s="924"/>
      <c r="EV58" s="924"/>
      <c r="EW58" s="924"/>
      <c r="EX58" s="924"/>
      <c r="EY58" s="924"/>
      <c r="EZ58" s="924"/>
      <c r="FA58" s="924"/>
      <c r="FB58" s="924"/>
      <c r="FC58" s="924"/>
      <c r="FD58" s="924"/>
      <c r="FE58" s="924"/>
      <c r="FF58" s="924"/>
      <c r="FG58" s="924"/>
      <c r="FH58" s="924"/>
      <c r="FI58" s="924"/>
      <c r="FJ58" s="924"/>
      <c r="FK58" s="924"/>
      <c r="FL58" s="924"/>
      <c r="FM58" s="924"/>
      <c r="FN58" s="924"/>
      <c r="FO58" s="924"/>
      <c r="FP58" s="924"/>
      <c r="FQ58" s="924"/>
      <c r="FR58" s="924"/>
      <c r="FS58" s="924"/>
      <c r="FT58" s="924"/>
      <c r="FU58" s="924"/>
      <c r="FV58" s="924"/>
      <c r="FW58" s="924"/>
      <c r="FX58" s="924"/>
      <c r="FY58" s="924"/>
      <c r="FZ58" s="924"/>
      <c r="GA58" s="924"/>
      <c r="GB58" s="924"/>
      <c r="GC58" s="924"/>
      <c r="GD58" s="924"/>
      <c r="GE58" s="924"/>
      <c r="GF58" s="924"/>
      <c r="GG58" s="924"/>
      <c r="GH58" s="924"/>
      <c r="GI58" s="924"/>
      <c r="GJ58" s="924"/>
      <c r="GK58" s="924"/>
      <c r="GL58" s="924"/>
      <c r="GM58" s="924"/>
      <c r="GN58" s="924"/>
    </row>
    <row r="59" spans="1:196" s="343" customFormat="1" ht="13.8" x14ac:dyDescent="0.25">
      <c r="A59" s="1399"/>
      <c r="B59" s="1404"/>
      <c r="C59" s="1399"/>
      <c r="D59" s="1399"/>
      <c r="E59" s="344"/>
      <c r="F59" s="345" t="s">
        <v>198</v>
      </c>
      <c r="G59" s="340">
        <v>466787.32500169752</v>
      </c>
      <c r="H59" s="340">
        <v>511200.87589999998</v>
      </c>
      <c r="I59" s="341">
        <f t="shared" si="4"/>
        <v>44413.550898302463</v>
      </c>
      <c r="J59" s="873">
        <f t="shared" si="6"/>
        <v>9.5147294109026948E-2</v>
      </c>
      <c r="K59" s="424"/>
      <c r="L59" s="470"/>
      <c r="M59" s="1119" t="s">
        <v>1269</v>
      </c>
      <c r="N59" s="1400">
        <v>560177</v>
      </c>
      <c r="O59" s="1113"/>
      <c r="P59" s="924" t="s">
        <v>1442</v>
      </c>
      <c r="Q59" s="924"/>
      <c r="R59" s="924"/>
      <c r="S59" s="924"/>
      <c r="T59" s="924"/>
      <c r="U59" s="924"/>
      <c r="V59" s="924"/>
      <c r="W59" s="924"/>
      <c r="X59" s="924"/>
      <c r="Y59" s="924"/>
      <c r="Z59" s="924"/>
      <c r="AA59" s="924"/>
      <c r="AB59" s="924"/>
      <c r="AC59" s="924"/>
      <c r="AD59" s="924"/>
      <c r="AE59" s="924"/>
      <c r="AF59" s="924"/>
      <c r="AG59" s="924"/>
      <c r="AH59" s="924"/>
      <c r="AI59" s="924"/>
      <c r="AJ59" s="924"/>
      <c r="AK59" s="924"/>
      <c r="AL59" s="924"/>
      <c r="AM59" s="924"/>
      <c r="AN59" s="924"/>
      <c r="AO59" s="924"/>
      <c r="AP59" s="924"/>
      <c r="AQ59" s="924"/>
      <c r="AR59" s="924"/>
      <c r="AS59" s="924"/>
      <c r="AT59" s="924"/>
      <c r="AU59" s="924"/>
      <c r="AV59" s="924"/>
      <c r="AW59" s="924"/>
      <c r="AX59" s="924"/>
      <c r="AY59" s="924"/>
      <c r="AZ59" s="924"/>
      <c r="BA59" s="924"/>
      <c r="BB59" s="924"/>
      <c r="BC59" s="924"/>
      <c r="BD59" s="924"/>
      <c r="BE59" s="924"/>
      <c r="BF59" s="924"/>
      <c r="BG59" s="924"/>
      <c r="BH59" s="924"/>
      <c r="BI59" s="924"/>
      <c r="BJ59" s="924"/>
      <c r="BK59" s="924"/>
      <c r="BL59" s="924"/>
      <c r="BM59" s="924"/>
      <c r="BN59" s="924"/>
      <c r="BO59" s="924"/>
      <c r="BP59" s="924"/>
      <c r="BQ59" s="924"/>
      <c r="BR59" s="924"/>
      <c r="BS59" s="924"/>
      <c r="BT59" s="924"/>
      <c r="BU59" s="924"/>
      <c r="BV59" s="924"/>
      <c r="BW59" s="924"/>
      <c r="BX59" s="924"/>
      <c r="BY59" s="924"/>
      <c r="BZ59" s="924"/>
      <c r="CA59" s="924"/>
      <c r="CB59" s="924"/>
      <c r="CC59" s="924"/>
      <c r="CD59" s="924"/>
      <c r="CE59" s="924"/>
      <c r="CF59" s="924"/>
      <c r="CG59" s="924"/>
      <c r="CH59" s="924"/>
      <c r="CI59" s="924"/>
      <c r="CJ59" s="924"/>
      <c r="CK59" s="924"/>
      <c r="CL59" s="924"/>
      <c r="CM59" s="924"/>
      <c r="CN59" s="924"/>
      <c r="CO59" s="924"/>
      <c r="CP59" s="924"/>
      <c r="CQ59" s="924"/>
      <c r="CR59" s="924"/>
      <c r="CS59" s="924"/>
      <c r="CT59" s="924"/>
      <c r="CU59" s="924"/>
      <c r="CV59" s="924"/>
      <c r="CW59" s="924"/>
      <c r="CX59" s="924"/>
      <c r="CY59" s="924"/>
      <c r="CZ59" s="924"/>
      <c r="DA59" s="924"/>
      <c r="DB59" s="924"/>
      <c r="DC59" s="924"/>
      <c r="DD59" s="924"/>
      <c r="DE59" s="924"/>
      <c r="DF59" s="924"/>
      <c r="DG59" s="924"/>
      <c r="DH59" s="924"/>
      <c r="DI59" s="924"/>
      <c r="DJ59" s="924"/>
      <c r="DK59" s="924"/>
      <c r="DL59" s="924"/>
      <c r="DM59" s="924"/>
      <c r="DN59" s="924"/>
      <c r="DO59" s="924"/>
      <c r="DP59" s="924"/>
      <c r="DQ59" s="924"/>
      <c r="DR59" s="924"/>
      <c r="DS59" s="924"/>
      <c r="DT59" s="924"/>
      <c r="DU59" s="924"/>
      <c r="DV59" s="924"/>
      <c r="DW59" s="924"/>
      <c r="DX59" s="924"/>
      <c r="DY59" s="924"/>
      <c r="DZ59" s="924"/>
      <c r="EA59" s="924"/>
      <c r="EB59" s="924"/>
      <c r="EC59" s="924"/>
      <c r="ED59" s="924"/>
      <c r="EE59" s="924"/>
      <c r="EF59" s="924"/>
      <c r="EG59" s="924"/>
      <c r="EH59" s="924"/>
      <c r="EI59" s="924"/>
      <c r="EJ59" s="924"/>
      <c r="EK59" s="924"/>
      <c r="EL59" s="924"/>
      <c r="EM59" s="924"/>
      <c r="EN59" s="924"/>
      <c r="EO59" s="924"/>
      <c r="EP59" s="924"/>
      <c r="EQ59" s="924"/>
      <c r="ER59" s="924"/>
      <c r="ES59" s="924"/>
      <c r="ET59" s="924"/>
      <c r="EU59" s="924"/>
      <c r="EV59" s="924"/>
      <c r="EW59" s="924"/>
      <c r="EX59" s="924"/>
      <c r="EY59" s="924"/>
      <c r="EZ59" s="924"/>
      <c r="FA59" s="924"/>
      <c r="FB59" s="924"/>
      <c r="FC59" s="924"/>
      <c r="FD59" s="924"/>
      <c r="FE59" s="924"/>
      <c r="FF59" s="924"/>
      <c r="FG59" s="924"/>
      <c r="FH59" s="924"/>
      <c r="FI59" s="924"/>
      <c r="FJ59" s="924"/>
      <c r="FK59" s="924"/>
      <c r="FL59" s="924"/>
      <c r="FM59" s="924"/>
      <c r="FN59" s="924"/>
      <c r="FO59" s="924"/>
      <c r="FP59" s="924"/>
      <c r="FQ59" s="924"/>
      <c r="FR59" s="924"/>
      <c r="FS59" s="924"/>
      <c r="FT59" s="924"/>
      <c r="FU59" s="924"/>
      <c r="FV59" s="924"/>
      <c r="FW59" s="924"/>
      <c r="FX59" s="924"/>
      <c r="FY59" s="924"/>
      <c r="FZ59" s="924"/>
      <c r="GA59" s="924"/>
      <c r="GB59" s="924"/>
      <c r="GC59" s="924"/>
      <c r="GD59" s="924"/>
      <c r="GE59" s="924"/>
      <c r="GF59" s="924"/>
      <c r="GG59" s="924"/>
      <c r="GH59" s="924"/>
      <c r="GI59" s="924"/>
      <c r="GJ59" s="924"/>
      <c r="GK59" s="924"/>
      <c r="GL59" s="924"/>
      <c r="GM59" s="924"/>
      <c r="GN59" s="924"/>
    </row>
    <row r="60" spans="1:196" s="343" customFormat="1" ht="13.8" x14ac:dyDescent="0.25">
      <c r="A60" s="1399"/>
      <c r="B60" s="1404"/>
      <c r="C60" s="1399"/>
      <c r="D60" s="1399"/>
      <c r="E60" s="338"/>
      <c r="F60" s="339" t="s">
        <v>197</v>
      </c>
      <c r="G60" s="340">
        <v>43838</v>
      </c>
      <c r="H60" s="340">
        <v>43700</v>
      </c>
      <c r="I60" s="341">
        <f t="shared" si="4"/>
        <v>-138</v>
      </c>
      <c r="J60" s="873">
        <f t="shared" si="6"/>
        <v>-3.1479538300104933E-3</v>
      </c>
      <c r="K60" s="424"/>
      <c r="L60" s="470"/>
      <c r="M60" s="1119" t="s">
        <v>186</v>
      </c>
      <c r="N60" s="1400">
        <v>1318990</v>
      </c>
      <c r="O60" s="1113">
        <f>N60+N51-H52</f>
        <v>401589.99999999977</v>
      </c>
      <c r="P60" s="925" t="s">
        <v>1443</v>
      </c>
      <c r="Q60" s="924"/>
      <c r="R60" s="924"/>
      <c r="S60" s="924"/>
      <c r="T60" s="924"/>
      <c r="U60" s="924"/>
      <c r="V60" s="924"/>
      <c r="W60" s="924"/>
      <c r="X60" s="924"/>
      <c r="Y60" s="924"/>
      <c r="Z60" s="924"/>
      <c r="AA60" s="924"/>
      <c r="AB60" s="924"/>
      <c r="AC60" s="924"/>
      <c r="AD60" s="924"/>
      <c r="AE60" s="924"/>
      <c r="AF60" s="924"/>
      <c r="AG60" s="924"/>
      <c r="AH60" s="924"/>
      <c r="AI60" s="924"/>
      <c r="AJ60" s="924"/>
      <c r="AK60" s="924"/>
      <c r="AL60" s="924"/>
      <c r="AM60" s="924"/>
      <c r="AN60" s="924"/>
      <c r="AO60" s="924"/>
      <c r="AP60" s="924"/>
      <c r="AQ60" s="924"/>
      <c r="AR60" s="924"/>
      <c r="AS60" s="924"/>
      <c r="AT60" s="924"/>
      <c r="AU60" s="924"/>
      <c r="AV60" s="924"/>
      <c r="AW60" s="924"/>
      <c r="AX60" s="924"/>
      <c r="AY60" s="924"/>
      <c r="AZ60" s="924"/>
      <c r="BA60" s="924"/>
      <c r="BB60" s="924"/>
      <c r="BC60" s="924"/>
      <c r="BD60" s="924"/>
      <c r="BE60" s="924"/>
      <c r="BF60" s="924"/>
      <c r="BG60" s="924"/>
      <c r="BH60" s="924"/>
      <c r="BI60" s="924"/>
      <c r="BJ60" s="924"/>
      <c r="BK60" s="924"/>
      <c r="BL60" s="924"/>
      <c r="BM60" s="924"/>
      <c r="BN60" s="924"/>
      <c r="BO60" s="924"/>
      <c r="BP60" s="924"/>
      <c r="BQ60" s="924"/>
      <c r="BR60" s="924"/>
      <c r="BS60" s="924"/>
      <c r="BT60" s="924"/>
      <c r="BU60" s="924"/>
      <c r="BV60" s="924"/>
      <c r="BW60" s="924"/>
      <c r="BX60" s="924"/>
      <c r="BY60" s="924"/>
      <c r="BZ60" s="924"/>
      <c r="CA60" s="924"/>
      <c r="CB60" s="924"/>
      <c r="CC60" s="924"/>
      <c r="CD60" s="924"/>
      <c r="CE60" s="924"/>
      <c r="CF60" s="924"/>
      <c r="CG60" s="924"/>
      <c r="CH60" s="924"/>
      <c r="CI60" s="924"/>
      <c r="CJ60" s="924"/>
      <c r="CK60" s="924"/>
      <c r="CL60" s="924"/>
      <c r="CM60" s="924"/>
      <c r="CN60" s="924"/>
      <c r="CO60" s="924"/>
      <c r="CP60" s="924"/>
      <c r="CQ60" s="924"/>
      <c r="CR60" s="924"/>
      <c r="CS60" s="924"/>
      <c r="CT60" s="924"/>
      <c r="CU60" s="924"/>
      <c r="CV60" s="924"/>
      <c r="CW60" s="924"/>
      <c r="CX60" s="924"/>
      <c r="CY60" s="924"/>
      <c r="CZ60" s="924"/>
      <c r="DA60" s="924"/>
      <c r="DB60" s="924"/>
      <c r="DC60" s="924"/>
      <c r="DD60" s="924"/>
      <c r="DE60" s="924"/>
      <c r="DF60" s="924"/>
      <c r="DG60" s="924"/>
      <c r="DH60" s="924"/>
      <c r="DI60" s="924"/>
      <c r="DJ60" s="924"/>
      <c r="DK60" s="924"/>
      <c r="DL60" s="924"/>
      <c r="DM60" s="924"/>
      <c r="DN60" s="924"/>
      <c r="DO60" s="924"/>
      <c r="DP60" s="924"/>
      <c r="DQ60" s="924"/>
      <c r="DR60" s="924"/>
      <c r="DS60" s="924"/>
      <c r="DT60" s="924"/>
      <c r="DU60" s="924"/>
      <c r="DV60" s="924"/>
      <c r="DW60" s="924"/>
      <c r="DX60" s="924"/>
      <c r="DY60" s="924"/>
      <c r="DZ60" s="924"/>
      <c r="EA60" s="924"/>
      <c r="EB60" s="924"/>
      <c r="EC60" s="924"/>
      <c r="ED60" s="924"/>
      <c r="EE60" s="924"/>
      <c r="EF60" s="924"/>
      <c r="EG60" s="924"/>
      <c r="EH60" s="924"/>
      <c r="EI60" s="924"/>
      <c r="EJ60" s="924"/>
      <c r="EK60" s="924"/>
      <c r="EL60" s="924"/>
      <c r="EM60" s="924"/>
      <c r="EN60" s="924"/>
      <c r="EO60" s="924"/>
      <c r="EP60" s="924"/>
      <c r="EQ60" s="924"/>
      <c r="ER60" s="924"/>
      <c r="ES60" s="924"/>
      <c r="ET60" s="924"/>
      <c r="EU60" s="924"/>
      <c r="EV60" s="924"/>
      <c r="EW60" s="924"/>
      <c r="EX60" s="924"/>
      <c r="EY60" s="924"/>
      <c r="EZ60" s="924"/>
      <c r="FA60" s="924"/>
      <c r="FB60" s="924"/>
      <c r="FC60" s="924"/>
      <c r="FD60" s="924"/>
      <c r="FE60" s="924"/>
      <c r="FF60" s="924"/>
      <c r="FG60" s="924"/>
      <c r="FH60" s="924"/>
      <c r="FI60" s="924"/>
      <c r="FJ60" s="924"/>
      <c r="FK60" s="924"/>
      <c r="FL60" s="924"/>
      <c r="FM60" s="924"/>
      <c r="FN60" s="924"/>
      <c r="FO60" s="924"/>
      <c r="FP60" s="924"/>
      <c r="FQ60" s="924"/>
      <c r="FR60" s="924"/>
      <c r="FS60" s="924"/>
      <c r="FT60" s="924"/>
      <c r="FU60" s="924"/>
      <c r="FV60" s="924"/>
      <c r="FW60" s="924"/>
      <c r="FX60" s="924"/>
      <c r="FY60" s="924"/>
      <c r="FZ60" s="924"/>
      <c r="GA60" s="924"/>
      <c r="GB60" s="924"/>
      <c r="GC60" s="924"/>
      <c r="GD60" s="924"/>
      <c r="GE60" s="924"/>
      <c r="GF60" s="924"/>
      <c r="GG60" s="924"/>
      <c r="GH60" s="924"/>
      <c r="GI60" s="924"/>
      <c r="GJ60" s="924"/>
      <c r="GK60" s="924"/>
      <c r="GL60" s="924"/>
      <c r="GM60" s="924"/>
      <c r="GN60" s="924"/>
    </row>
    <row r="61" spans="1:196" s="333" customFormat="1" ht="13.8" x14ac:dyDescent="0.25">
      <c r="A61" s="1399"/>
      <c r="B61" s="1404"/>
      <c r="C61" s="1399"/>
      <c r="D61" s="1399"/>
      <c r="E61" s="335"/>
      <c r="F61" s="336" t="s">
        <v>662</v>
      </c>
      <c r="G61" s="337">
        <v>159368.9074545709</v>
      </c>
      <c r="H61" s="337">
        <v>1047339.1639484835</v>
      </c>
      <c r="I61" s="330">
        <f t="shared" si="4"/>
        <v>887970.25649391266</v>
      </c>
      <c r="J61" s="874">
        <f t="shared" si="6"/>
        <v>5.5717910769202836</v>
      </c>
      <c r="K61" s="426"/>
      <c r="L61" s="470"/>
      <c r="M61" s="1119" t="s">
        <v>1344</v>
      </c>
      <c r="N61" s="1400">
        <v>0</v>
      </c>
      <c r="O61" s="1113"/>
      <c r="P61" s="925"/>
      <c r="Q61" s="925"/>
      <c r="R61" s="925"/>
      <c r="S61" s="925"/>
      <c r="T61" s="925"/>
      <c r="U61" s="925"/>
      <c r="V61" s="925"/>
      <c r="W61" s="925"/>
      <c r="X61" s="925"/>
      <c r="Y61" s="925"/>
      <c r="Z61" s="925"/>
      <c r="AA61" s="925"/>
      <c r="AB61" s="925"/>
      <c r="AC61" s="925"/>
      <c r="AD61" s="925"/>
      <c r="AE61" s="925"/>
      <c r="AF61" s="925"/>
      <c r="AG61" s="925"/>
      <c r="AH61" s="925"/>
      <c r="AI61" s="925"/>
      <c r="AJ61" s="925"/>
      <c r="AK61" s="925"/>
      <c r="AL61" s="925"/>
      <c r="AM61" s="925"/>
      <c r="AN61" s="925"/>
      <c r="AO61" s="925"/>
      <c r="AP61" s="925"/>
      <c r="AQ61" s="925"/>
      <c r="AR61" s="925"/>
      <c r="AS61" s="925"/>
      <c r="AT61" s="925"/>
      <c r="AU61" s="925"/>
      <c r="AV61" s="925"/>
      <c r="AW61" s="925"/>
      <c r="AX61" s="925"/>
      <c r="AY61" s="925"/>
      <c r="AZ61" s="925"/>
      <c r="BA61" s="925"/>
      <c r="BB61" s="925"/>
      <c r="BC61" s="925"/>
      <c r="BD61" s="925"/>
      <c r="BE61" s="925"/>
      <c r="BF61" s="925"/>
      <c r="BG61" s="925"/>
      <c r="BH61" s="925"/>
      <c r="BI61" s="925"/>
      <c r="BJ61" s="925"/>
      <c r="BK61" s="925"/>
      <c r="BL61" s="925"/>
      <c r="BM61" s="925"/>
      <c r="BN61" s="925"/>
      <c r="BO61" s="925"/>
      <c r="BP61" s="925"/>
      <c r="BQ61" s="925"/>
      <c r="BR61" s="925"/>
      <c r="BS61" s="925"/>
      <c r="BT61" s="925"/>
      <c r="BU61" s="925"/>
      <c r="BV61" s="925"/>
      <c r="BW61" s="925"/>
      <c r="BX61" s="925"/>
      <c r="BY61" s="925"/>
      <c r="BZ61" s="925"/>
      <c r="CA61" s="925"/>
      <c r="CB61" s="925"/>
      <c r="CC61" s="925"/>
      <c r="CD61" s="925"/>
      <c r="CE61" s="925"/>
      <c r="CF61" s="925"/>
      <c r="CG61" s="925"/>
      <c r="CH61" s="925"/>
      <c r="CI61" s="925"/>
      <c r="CJ61" s="925"/>
      <c r="CK61" s="925"/>
      <c r="CL61" s="925"/>
      <c r="CM61" s="925"/>
      <c r="CN61" s="925"/>
      <c r="CO61" s="925"/>
      <c r="CP61" s="925"/>
      <c r="CQ61" s="925"/>
      <c r="CR61" s="925"/>
      <c r="CS61" s="925"/>
      <c r="CT61" s="925"/>
      <c r="CU61" s="925"/>
      <c r="CV61" s="925"/>
      <c r="CW61" s="925"/>
      <c r="CX61" s="925"/>
      <c r="CY61" s="925"/>
      <c r="CZ61" s="925"/>
      <c r="DA61" s="925"/>
      <c r="DB61" s="925"/>
      <c r="DC61" s="925"/>
      <c r="DD61" s="925"/>
      <c r="DE61" s="925"/>
      <c r="DF61" s="925"/>
      <c r="DG61" s="925"/>
      <c r="DH61" s="925"/>
      <c r="DI61" s="925"/>
      <c r="DJ61" s="925"/>
      <c r="DK61" s="925"/>
      <c r="DL61" s="925"/>
      <c r="DM61" s="925"/>
      <c r="DN61" s="925"/>
      <c r="DO61" s="925"/>
      <c r="DP61" s="925"/>
      <c r="DQ61" s="925"/>
      <c r="DR61" s="925"/>
      <c r="DS61" s="925"/>
      <c r="DT61" s="925"/>
      <c r="DU61" s="925"/>
      <c r="DV61" s="925"/>
      <c r="DW61" s="925"/>
      <c r="DX61" s="925"/>
      <c r="DY61" s="925"/>
      <c r="DZ61" s="925"/>
      <c r="EA61" s="925"/>
      <c r="EB61" s="925"/>
      <c r="EC61" s="925"/>
      <c r="ED61" s="925"/>
      <c r="EE61" s="925"/>
      <c r="EF61" s="925"/>
      <c r="EG61" s="925"/>
      <c r="EH61" s="925"/>
      <c r="EI61" s="925"/>
      <c r="EJ61" s="925"/>
      <c r="EK61" s="925"/>
      <c r="EL61" s="925"/>
      <c r="EM61" s="925"/>
      <c r="EN61" s="925"/>
      <c r="EO61" s="925"/>
      <c r="EP61" s="925"/>
      <c r="EQ61" s="925"/>
      <c r="ER61" s="925"/>
      <c r="ES61" s="925"/>
      <c r="ET61" s="925"/>
      <c r="EU61" s="925"/>
      <c r="EV61" s="925"/>
      <c r="EW61" s="925"/>
      <c r="EX61" s="925"/>
      <c r="EY61" s="925"/>
      <c r="EZ61" s="925"/>
      <c r="FA61" s="925"/>
      <c r="FB61" s="925"/>
      <c r="FC61" s="925"/>
      <c r="FD61" s="925"/>
      <c r="FE61" s="925"/>
      <c r="FF61" s="925"/>
      <c r="FG61" s="925"/>
      <c r="FH61" s="925"/>
      <c r="FI61" s="925"/>
      <c r="FJ61" s="925"/>
      <c r="FK61" s="925"/>
      <c r="FL61" s="925"/>
      <c r="FM61" s="925"/>
      <c r="FN61" s="925"/>
      <c r="FO61" s="925"/>
      <c r="FP61" s="925"/>
      <c r="FQ61" s="925"/>
      <c r="FR61" s="925"/>
      <c r="FS61" s="925"/>
      <c r="FT61" s="925"/>
      <c r="FU61" s="925"/>
      <c r="FV61" s="925"/>
      <c r="FW61" s="925"/>
      <c r="FX61" s="925"/>
      <c r="FY61" s="925"/>
      <c r="FZ61" s="925"/>
      <c r="GA61" s="925"/>
      <c r="GB61" s="925"/>
      <c r="GC61" s="925"/>
      <c r="GD61" s="925"/>
      <c r="GE61" s="925"/>
      <c r="GF61" s="925"/>
      <c r="GG61" s="925"/>
      <c r="GH61" s="925"/>
      <c r="GI61" s="925"/>
      <c r="GJ61" s="925"/>
      <c r="GK61" s="925"/>
      <c r="GL61" s="925"/>
      <c r="GM61" s="925"/>
      <c r="GN61" s="925"/>
    </row>
    <row r="62" spans="1:196" s="333" customFormat="1" ht="13.8" x14ac:dyDescent="0.25">
      <c r="A62" s="1399"/>
      <c r="B62" s="1404"/>
      <c r="C62" s="1399"/>
      <c r="D62" s="1399"/>
      <c r="E62" s="471"/>
      <c r="F62" s="472" t="s">
        <v>80</v>
      </c>
      <c r="G62" s="473">
        <v>5842912</v>
      </c>
      <c r="H62" s="473">
        <v>4392666</v>
      </c>
      <c r="I62" s="330">
        <f t="shared" si="4"/>
        <v>-1450246</v>
      </c>
      <c r="J62" s="874">
        <f t="shared" si="6"/>
        <v>-0.24820603151305376</v>
      </c>
      <c r="K62" s="474"/>
      <c r="L62" s="470"/>
      <c r="M62" s="1119" t="s">
        <v>1345</v>
      </c>
      <c r="N62" s="1400">
        <v>0</v>
      </c>
      <c r="O62" s="1113"/>
      <c r="P62" s="925"/>
      <c r="Q62" s="925"/>
      <c r="R62" s="925"/>
      <c r="S62" s="925"/>
      <c r="T62" s="925"/>
      <c r="U62" s="925"/>
      <c r="V62" s="925"/>
      <c r="W62" s="925"/>
      <c r="X62" s="925"/>
      <c r="Y62" s="925"/>
      <c r="Z62" s="925"/>
      <c r="AA62" s="925"/>
      <c r="AB62" s="925"/>
      <c r="AC62" s="925"/>
      <c r="AD62" s="925"/>
      <c r="AE62" s="925"/>
      <c r="AF62" s="925"/>
      <c r="AG62" s="925"/>
      <c r="AH62" s="925"/>
      <c r="AI62" s="925"/>
      <c r="AJ62" s="925"/>
      <c r="AK62" s="925"/>
      <c r="AL62" s="925"/>
      <c r="AM62" s="925"/>
      <c r="AN62" s="925"/>
      <c r="AO62" s="925"/>
      <c r="AP62" s="925"/>
      <c r="AQ62" s="925"/>
      <c r="AR62" s="925"/>
      <c r="AS62" s="925"/>
      <c r="AT62" s="925"/>
      <c r="AU62" s="925"/>
      <c r="AV62" s="925"/>
      <c r="AW62" s="925"/>
      <c r="AX62" s="925"/>
      <c r="AY62" s="925"/>
      <c r="AZ62" s="925"/>
      <c r="BA62" s="925"/>
      <c r="BB62" s="925"/>
      <c r="BC62" s="925"/>
      <c r="BD62" s="925"/>
      <c r="BE62" s="925"/>
      <c r="BF62" s="925"/>
      <c r="BG62" s="925"/>
      <c r="BH62" s="925"/>
      <c r="BI62" s="925"/>
      <c r="BJ62" s="925"/>
      <c r="BK62" s="925"/>
      <c r="BL62" s="925"/>
      <c r="BM62" s="925"/>
      <c r="BN62" s="925"/>
      <c r="BO62" s="925"/>
      <c r="BP62" s="925"/>
      <c r="BQ62" s="925"/>
      <c r="BR62" s="925"/>
      <c r="BS62" s="925"/>
      <c r="BT62" s="925"/>
      <c r="BU62" s="925"/>
      <c r="BV62" s="925"/>
      <c r="BW62" s="925"/>
      <c r="BX62" s="925"/>
      <c r="BY62" s="925"/>
      <c r="BZ62" s="925"/>
      <c r="CA62" s="925"/>
      <c r="CB62" s="925"/>
      <c r="CC62" s="925"/>
      <c r="CD62" s="925"/>
      <c r="CE62" s="925"/>
      <c r="CF62" s="925"/>
      <c r="CG62" s="925"/>
      <c r="CH62" s="925"/>
      <c r="CI62" s="925"/>
      <c r="CJ62" s="925"/>
      <c r="CK62" s="925"/>
      <c r="CL62" s="925"/>
      <c r="CM62" s="925"/>
      <c r="CN62" s="925"/>
      <c r="CO62" s="925"/>
      <c r="CP62" s="925"/>
      <c r="CQ62" s="925"/>
      <c r="CR62" s="925"/>
      <c r="CS62" s="925"/>
      <c r="CT62" s="925"/>
      <c r="CU62" s="925"/>
      <c r="CV62" s="925"/>
      <c r="CW62" s="925"/>
      <c r="CX62" s="925"/>
      <c r="CY62" s="925"/>
      <c r="CZ62" s="925"/>
      <c r="DA62" s="925"/>
      <c r="DB62" s="925"/>
      <c r="DC62" s="925"/>
      <c r="DD62" s="925"/>
      <c r="DE62" s="925"/>
      <c r="DF62" s="925"/>
      <c r="DG62" s="925"/>
      <c r="DH62" s="925"/>
      <c r="DI62" s="925"/>
      <c r="DJ62" s="925"/>
      <c r="DK62" s="925"/>
      <c r="DL62" s="925"/>
      <c r="DM62" s="925"/>
      <c r="DN62" s="925"/>
      <c r="DO62" s="925"/>
      <c r="DP62" s="925"/>
      <c r="DQ62" s="925"/>
      <c r="DR62" s="925"/>
      <c r="DS62" s="925"/>
      <c r="DT62" s="925"/>
      <c r="DU62" s="925"/>
      <c r="DV62" s="925"/>
      <c r="DW62" s="925"/>
      <c r="DX62" s="925"/>
      <c r="DY62" s="925"/>
      <c r="DZ62" s="925"/>
      <c r="EA62" s="925"/>
      <c r="EB62" s="925"/>
      <c r="EC62" s="925"/>
      <c r="ED62" s="925"/>
      <c r="EE62" s="925"/>
      <c r="EF62" s="925"/>
      <c r="EG62" s="925"/>
      <c r="EH62" s="925"/>
      <c r="EI62" s="925"/>
      <c r="EJ62" s="925"/>
      <c r="EK62" s="925"/>
      <c r="EL62" s="925"/>
      <c r="EM62" s="925"/>
      <c r="EN62" s="925"/>
      <c r="EO62" s="925"/>
      <c r="EP62" s="925"/>
      <c r="EQ62" s="925"/>
      <c r="ER62" s="925"/>
      <c r="ES62" s="925"/>
      <c r="ET62" s="925"/>
      <c r="EU62" s="925"/>
      <c r="EV62" s="925"/>
      <c r="EW62" s="925"/>
      <c r="EX62" s="925"/>
      <c r="EY62" s="925"/>
      <c r="EZ62" s="925"/>
      <c r="FA62" s="925"/>
      <c r="FB62" s="925"/>
      <c r="FC62" s="925"/>
      <c r="FD62" s="925"/>
      <c r="FE62" s="925"/>
      <c r="FF62" s="925"/>
      <c r="FG62" s="925"/>
      <c r="FH62" s="925"/>
      <c r="FI62" s="925"/>
      <c r="FJ62" s="925"/>
      <c r="FK62" s="925"/>
      <c r="FL62" s="925"/>
      <c r="FM62" s="925"/>
      <c r="FN62" s="925"/>
      <c r="FO62" s="925"/>
      <c r="FP62" s="925"/>
      <c r="FQ62" s="925"/>
      <c r="FR62" s="925"/>
      <c r="FS62" s="925"/>
      <c r="FT62" s="925"/>
      <c r="FU62" s="925"/>
      <c r="FV62" s="925"/>
      <c r="FW62" s="925"/>
      <c r="FX62" s="925"/>
      <c r="FY62" s="925"/>
      <c r="FZ62" s="925"/>
      <c r="GA62" s="925"/>
      <c r="GB62" s="925"/>
      <c r="GC62" s="925"/>
      <c r="GD62" s="925"/>
      <c r="GE62" s="925"/>
      <c r="GF62" s="925"/>
      <c r="GG62" s="925"/>
      <c r="GH62" s="925"/>
      <c r="GI62" s="925"/>
      <c r="GJ62" s="925"/>
      <c r="GK62" s="925"/>
      <c r="GL62" s="925"/>
      <c r="GM62" s="925"/>
      <c r="GN62" s="925"/>
    </row>
    <row r="63" spans="1:196" s="525" customFormat="1" ht="14.4" hidden="1" outlineLevel="1" thickBot="1" x14ac:dyDescent="0.3">
      <c r="A63" s="920"/>
      <c r="B63" s="810"/>
      <c r="C63" s="923"/>
      <c r="D63" s="923"/>
      <c r="E63" s="523"/>
      <c r="F63" s="539" t="s">
        <v>555</v>
      </c>
      <c r="G63" s="505">
        <v>28200</v>
      </c>
      <c r="H63" s="505">
        <v>18000</v>
      </c>
      <c r="I63" s="510">
        <f t="shared" si="4"/>
        <v>-10200</v>
      </c>
      <c r="J63" s="876">
        <f t="shared" si="6"/>
        <v>-0.36170212765957449</v>
      </c>
      <c r="K63" s="526"/>
      <c r="L63" s="507"/>
      <c r="M63" s="1106" t="s">
        <v>289</v>
      </c>
      <c r="N63" s="1109">
        <v>49150924.721166946</v>
      </c>
      <c r="O63" s="1113" t="e">
        <f>N63-SUM(H47:H56)</f>
        <v>#REF!</v>
      </c>
      <c r="P63" s="515"/>
      <c r="Q63" s="515"/>
      <c r="R63" s="515"/>
      <c r="S63" s="515"/>
      <c r="T63" s="515"/>
      <c r="U63" s="515"/>
      <c r="V63" s="515"/>
      <c r="W63" s="515"/>
      <c r="X63" s="515"/>
      <c r="Y63" s="515"/>
      <c r="Z63" s="515"/>
      <c r="AA63" s="515"/>
      <c r="AB63" s="515"/>
      <c r="AC63" s="515"/>
      <c r="AD63" s="515"/>
      <c r="AE63" s="515"/>
      <c r="AF63" s="515"/>
      <c r="AG63" s="515"/>
      <c r="AH63" s="515"/>
      <c r="AI63" s="515"/>
      <c r="AJ63" s="515"/>
      <c r="AK63" s="515"/>
      <c r="AL63" s="515"/>
      <c r="AM63" s="515"/>
      <c r="AN63" s="515"/>
      <c r="AO63" s="515"/>
      <c r="AP63" s="515"/>
      <c r="AQ63" s="515"/>
      <c r="AR63" s="515"/>
      <c r="AS63" s="515"/>
      <c r="AT63" s="515"/>
      <c r="AU63" s="515"/>
      <c r="AV63" s="515"/>
      <c r="AW63" s="515"/>
      <c r="AX63" s="515"/>
      <c r="AY63" s="515"/>
      <c r="AZ63" s="515"/>
      <c r="BA63" s="515"/>
      <c r="BB63" s="515"/>
      <c r="BC63" s="515"/>
      <c r="BD63" s="515"/>
      <c r="BE63" s="515"/>
      <c r="BF63" s="515"/>
      <c r="BG63" s="515"/>
      <c r="BH63" s="515"/>
      <c r="BI63" s="515"/>
      <c r="BJ63" s="515"/>
      <c r="BK63" s="515"/>
      <c r="BL63" s="515"/>
      <c r="BM63" s="515"/>
      <c r="BN63" s="515"/>
      <c r="BO63" s="515"/>
      <c r="BP63" s="515"/>
      <c r="BQ63" s="515"/>
      <c r="BR63" s="515"/>
      <c r="BS63" s="515"/>
      <c r="BT63" s="515"/>
      <c r="BU63" s="515"/>
      <c r="BV63" s="515"/>
      <c r="BW63" s="515"/>
      <c r="BX63" s="515"/>
      <c r="BY63" s="515"/>
      <c r="BZ63" s="515"/>
      <c r="CA63" s="515"/>
      <c r="CB63" s="515"/>
      <c r="CC63" s="515"/>
      <c r="CD63" s="515"/>
      <c r="CE63" s="515"/>
      <c r="CF63" s="515"/>
      <c r="CG63" s="515"/>
      <c r="CH63" s="515"/>
      <c r="CI63" s="515"/>
      <c r="CJ63" s="515"/>
      <c r="CK63" s="515"/>
      <c r="CL63" s="515"/>
      <c r="CM63" s="515"/>
      <c r="CN63" s="515"/>
      <c r="CO63" s="515"/>
      <c r="CP63" s="515"/>
      <c r="CQ63" s="515"/>
      <c r="CR63" s="515"/>
      <c r="CS63" s="515"/>
      <c r="CT63" s="515"/>
      <c r="CU63" s="515"/>
      <c r="CV63" s="515"/>
      <c r="CW63" s="515"/>
      <c r="CX63" s="515"/>
      <c r="CY63" s="515"/>
      <c r="CZ63" s="515"/>
      <c r="DA63" s="515"/>
      <c r="DB63" s="515"/>
      <c r="DC63" s="515"/>
      <c r="DD63" s="515"/>
      <c r="DE63" s="515"/>
      <c r="DF63" s="515"/>
      <c r="DG63" s="515"/>
      <c r="DH63" s="515"/>
      <c r="DI63" s="515"/>
      <c r="DJ63" s="515"/>
      <c r="DK63" s="515"/>
      <c r="DL63" s="515"/>
      <c r="DM63" s="515"/>
      <c r="DN63" s="515"/>
      <c r="DO63" s="515"/>
      <c r="DP63" s="515"/>
      <c r="DQ63" s="515"/>
      <c r="DR63" s="515"/>
      <c r="DS63" s="515"/>
      <c r="DT63" s="515"/>
      <c r="DU63" s="515"/>
      <c r="DV63" s="515"/>
      <c r="DW63" s="515"/>
      <c r="DX63" s="515"/>
      <c r="DY63" s="515"/>
      <c r="DZ63" s="515"/>
      <c r="EA63" s="515"/>
      <c r="EB63" s="515"/>
      <c r="EC63" s="515"/>
      <c r="ED63" s="515"/>
      <c r="EE63" s="515"/>
      <c r="EF63" s="515"/>
      <c r="EG63" s="515"/>
      <c r="EH63" s="515"/>
      <c r="EI63" s="515"/>
      <c r="EJ63" s="515"/>
      <c r="EK63" s="515"/>
      <c r="EL63" s="515"/>
      <c r="EM63" s="515"/>
      <c r="EN63" s="515"/>
      <c r="EO63" s="515"/>
      <c r="EP63" s="515"/>
      <c r="EQ63" s="515"/>
      <c r="ER63" s="515"/>
      <c r="ES63" s="515"/>
      <c r="ET63" s="515"/>
      <c r="EU63" s="515"/>
      <c r="EV63" s="515"/>
      <c r="EW63" s="515"/>
      <c r="EX63" s="515"/>
      <c r="EY63" s="515"/>
      <c r="EZ63" s="515"/>
      <c r="FA63" s="515"/>
      <c r="FB63" s="515"/>
      <c r="FC63" s="515"/>
      <c r="FD63" s="515"/>
      <c r="FE63" s="515"/>
      <c r="FF63" s="515"/>
      <c r="FG63" s="515"/>
      <c r="FH63" s="515"/>
      <c r="FI63" s="515"/>
      <c r="FJ63" s="515"/>
      <c r="FK63" s="515"/>
      <c r="FL63" s="515"/>
      <c r="FM63" s="515"/>
      <c r="FN63" s="515"/>
      <c r="FO63" s="515"/>
      <c r="FP63" s="515"/>
      <c r="FQ63" s="515"/>
      <c r="FR63" s="515"/>
      <c r="FS63" s="515"/>
      <c r="FT63" s="515"/>
      <c r="FU63" s="515"/>
      <c r="FV63" s="515"/>
      <c r="FW63" s="515"/>
      <c r="FX63" s="515"/>
      <c r="FY63" s="515"/>
      <c r="FZ63" s="515"/>
      <c r="GA63" s="515"/>
      <c r="GB63" s="515"/>
      <c r="GC63" s="515"/>
      <c r="GD63" s="515"/>
      <c r="GE63" s="515"/>
      <c r="GF63" s="515"/>
      <c r="GG63" s="515"/>
      <c r="GH63" s="515"/>
      <c r="GI63" s="515"/>
      <c r="GJ63" s="515"/>
      <c r="GK63" s="515"/>
      <c r="GL63" s="515"/>
      <c r="GM63" s="515"/>
      <c r="GN63" s="515"/>
    </row>
    <row r="64" spans="1:196" ht="13.8" collapsed="1" x14ac:dyDescent="0.25">
      <c r="C64" s="923">
        <f>1887014-G68</f>
        <v>1876814</v>
      </c>
      <c r="D64" s="923">
        <f>C64-G64</f>
        <v>40982.674998302478</v>
      </c>
      <c r="E64" s="141" t="s">
        <v>7</v>
      </c>
      <c r="F64" s="142" t="s">
        <v>199</v>
      </c>
      <c r="G64" s="1">
        <v>1835831.3250016975</v>
      </c>
      <c r="H64" s="931">
        <v>1918361.6584981189</v>
      </c>
      <c r="I64" s="132">
        <f t="shared" si="4"/>
        <v>82530.333496421343</v>
      </c>
      <c r="J64" s="867">
        <f t="shared" si="6"/>
        <v>4.4955292118868832E-2</v>
      </c>
      <c r="K64" s="418"/>
      <c r="L64" s="224"/>
    </row>
    <row r="65" spans="1:196" s="104" customFormat="1" ht="14.4" hidden="1" outlineLevel="1" thickBot="1" x14ac:dyDescent="0.3">
      <c r="A65" s="810" t="s">
        <v>226</v>
      </c>
      <c r="B65" s="810" t="s">
        <v>228</v>
      </c>
      <c r="C65" s="923"/>
      <c r="D65" s="923"/>
      <c r="E65" s="159"/>
      <c r="F65" s="215" t="s">
        <v>228</v>
      </c>
      <c r="G65" s="296">
        <v>1470888</v>
      </c>
      <c r="H65" s="932">
        <v>1598182.3225981188</v>
      </c>
      <c r="I65" s="153">
        <f t="shared" si="4"/>
        <v>127294.3225981188</v>
      </c>
      <c r="J65" s="878">
        <f t="shared" si="6"/>
        <v>8.6542498543817611E-2</v>
      </c>
      <c r="K65" s="1125" t="s">
        <v>1185</v>
      </c>
      <c r="L65" s="224"/>
      <c r="M65" s="1122" t="s">
        <v>1445</v>
      </c>
      <c r="N65" s="1122"/>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row>
    <row r="66" spans="1:196" s="104" customFormat="1" ht="66.599999999999994" hidden="1" customHeight="1" outlineLevel="1" x14ac:dyDescent="0.25">
      <c r="A66" s="810" t="s">
        <v>226</v>
      </c>
      <c r="B66" s="810" t="s">
        <v>554</v>
      </c>
      <c r="C66" s="923"/>
      <c r="D66" s="923"/>
      <c r="E66" s="214"/>
      <c r="F66" s="160" t="s">
        <v>198</v>
      </c>
      <c r="G66" s="296">
        <v>345143.32500169752</v>
      </c>
      <c r="H66" s="932">
        <v>307579.33590000001</v>
      </c>
      <c r="I66" s="153">
        <f t="shared" si="4"/>
        <v>-37563.989101697516</v>
      </c>
      <c r="J66" s="878">
        <f>IFERROR(I66/G66,"-")</f>
        <v>-0.1088359136063627</v>
      </c>
      <c r="K66" s="1126" t="s">
        <v>1605</v>
      </c>
      <c r="L66" s="224"/>
      <c r="M66" s="1105" t="s">
        <v>153</v>
      </c>
      <c r="N66" s="1110" t="s">
        <v>1157</v>
      </c>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c r="FR66"/>
      <c r="FS66"/>
      <c r="FT66"/>
      <c r="FU66"/>
      <c r="FV66"/>
      <c r="FW66"/>
      <c r="FX66"/>
      <c r="FY66"/>
      <c r="FZ66"/>
      <c r="GA66"/>
      <c r="GB66"/>
      <c r="GC66"/>
      <c r="GD66"/>
      <c r="GE66"/>
      <c r="GF66"/>
      <c r="GG66"/>
      <c r="GH66"/>
      <c r="GI66"/>
      <c r="GJ66"/>
      <c r="GK66"/>
      <c r="GL66"/>
      <c r="GM66"/>
      <c r="GN66"/>
    </row>
    <row r="67" spans="1:196" s="104" customFormat="1" ht="13.8" hidden="1" outlineLevel="1" x14ac:dyDescent="0.25">
      <c r="A67" s="810" t="s">
        <v>226</v>
      </c>
      <c r="B67" s="810" t="s">
        <v>556</v>
      </c>
      <c r="C67" s="923"/>
      <c r="D67" s="923"/>
      <c r="E67" s="159"/>
      <c r="F67" s="160" t="s">
        <v>197</v>
      </c>
      <c r="G67" s="296">
        <v>19800</v>
      </c>
      <c r="H67" s="932">
        <v>12600</v>
      </c>
      <c r="I67" s="153">
        <f t="shared" si="4"/>
        <v>-7200</v>
      </c>
      <c r="J67" s="878">
        <f t="shared" si="6"/>
        <v>-0.36363636363636365</v>
      </c>
      <c r="K67" s="1125" t="s">
        <v>1610</v>
      </c>
      <c r="L67" s="224"/>
      <c r="M67" s="107" t="s">
        <v>228</v>
      </c>
      <c r="N67" s="1108">
        <v>9153</v>
      </c>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c r="GK67"/>
      <c r="GL67"/>
      <c r="GM67"/>
      <c r="GN67"/>
    </row>
    <row r="68" spans="1:196" s="216" customFormat="1" ht="13.8" hidden="1" outlineLevel="1" x14ac:dyDescent="0.25">
      <c r="A68" s="810" t="s">
        <v>226</v>
      </c>
      <c r="B68" s="810" t="s">
        <v>555</v>
      </c>
      <c r="C68" s="923"/>
      <c r="D68" s="923"/>
      <c r="E68" s="159"/>
      <c r="F68" s="163" t="s">
        <v>555</v>
      </c>
      <c r="G68" s="296">
        <v>10200</v>
      </c>
      <c r="H68" s="932">
        <v>0</v>
      </c>
      <c r="I68" s="299">
        <f t="shared" si="4"/>
        <v>-10200</v>
      </c>
      <c r="J68" s="879">
        <f t="shared" si="6"/>
        <v>-1</v>
      </c>
      <c r="K68" s="812"/>
      <c r="L68" s="224"/>
      <c r="M68" s="107" t="s">
        <v>182</v>
      </c>
      <c r="N68" s="1108">
        <v>47445</v>
      </c>
      <c r="O68" s="223"/>
      <c r="P68" s="223"/>
      <c r="Q68" s="223"/>
      <c r="R68" s="223"/>
      <c r="S68" s="223"/>
      <c r="T68" s="223"/>
      <c r="U68" s="223"/>
      <c r="V68" s="223"/>
      <c r="W68" s="223"/>
      <c r="X68" s="223"/>
      <c r="Y68" s="223"/>
      <c r="Z68" s="223"/>
      <c r="AA68" s="223"/>
      <c r="AB68" s="223"/>
      <c r="AC68" s="223"/>
      <c r="AD68" s="223"/>
      <c r="AE68" s="223"/>
      <c r="AF68" s="223"/>
      <c r="AG68" s="223"/>
      <c r="AH68" s="223"/>
      <c r="AI68" s="223"/>
      <c r="AJ68" s="223"/>
      <c r="AK68" s="223"/>
      <c r="AL68" s="223"/>
      <c r="AM68" s="223"/>
      <c r="AN68" s="223"/>
      <c r="AO68" s="223"/>
      <c r="AP68" s="223"/>
      <c r="AQ68" s="223"/>
      <c r="AR68" s="223"/>
      <c r="AS68" s="223"/>
      <c r="AT68" s="223"/>
      <c r="AU68" s="223"/>
      <c r="AV68" s="223"/>
      <c r="AW68" s="223"/>
      <c r="AX68" s="223"/>
      <c r="AY68" s="223"/>
      <c r="AZ68" s="223"/>
      <c r="BA68" s="223"/>
      <c r="BB68" s="223"/>
      <c r="BC68" s="223"/>
      <c r="BD68" s="223"/>
      <c r="BE68" s="223"/>
      <c r="BF68" s="223"/>
      <c r="BG68" s="223"/>
      <c r="BH68" s="223"/>
      <c r="BI68" s="223"/>
      <c r="BJ68" s="223"/>
      <c r="BK68" s="223"/>
      <c r="BL68" s="223"/>
      <c r="BM68" s="223"/>
      <c r="BN68" s="223"/>
      <c r="BO68" s="223"/>
      <c r="BP68" s="223"/>
      <c r="BQ68" s="223"/>
      <c r="BR68" s="223"/>
      <c r="BS68" s="223"/>
      <c r="BT68" s="223"/>
      <c r="BU68" s="223"/>
      <c r="BV68" s="223"/>
      <c r="BW68" s="223"/>
      <c r="BX68" s="223"/>
      <c r="BY68" s="223"/>
      <c r="BZ68" s="223"/>
      <c r="CA68" s="223"/>
      <c r="CB68" s="223"/>
      <c r="CC68" s="223"/>
      <c r="CD68" s="223"/>
      <c r="CE68" s="223"/>
      <c r="CF68" s="223"/>
      <c r="CG68" s="223"/>
      <c r="CH68" s="223"/>
      <c r="CI68" s="223"/>
      <c r="CJ68" s="223"/>
      <c r="CK68" s="223"/>
      <c r="CL68" s="223"/>
      <c r="CM68" s="223"/>
      <c r="CN68" s="223"/>
      <c r="CO68" s="223"/>
      <c r="CP68" s="223"/>
      <c r="CQ68" s="223"/>
      <c r="CR68" s="223"/>
      <c r="CS68" s="223"/>
      <c r="CT68" s="223"/>
      <c r="CU68" s="223"/>
      <c r="CV68" s="223"/>
      <c r="CW68" s="223"/>
      <c r="CX68" s="223"/>
      <c r="CY68" s="223"/>
      <c r="CZ68" s="223"/>
      <c r="DA68" s="223"/>
      <c r="DB68" s="223"/>
      <c r="DC68" s="223"/>
      <c r="DD68" s="223"/>
      <c r="DE68" s="223"/>
      <c r="DF68" s="223"/>
      <c r="DG68" s="223"/>
      <c r="DH68" s="223"/>
      <c r="DI68" s="223"/>
      <c r="DJ68" s="223"/>
      <c r="DK68" s="223"/>
      <c r="DL68" s="223"/>
      <c r="DM68" s="223"/>
      <c r="DN68" s="223"/>
      <c r="DO68" s="223"/>
      <c r="DP68" s="223"/>
      <c r="DQ68" s="223"/>
      <c r="DR68" s="223"/>
      <c r="DS68" s="223"/>
      <c r="DT68" s="223"/>
      <c r="DU68" s="223"/>
      <c r="DV68" s="223"/>
      <c r="DW68" s="223"/>
      <c r="DX68" s="223"/>
      <c r="DY68" s="223"/>
      <c r="DZ68" s="223"/>
      <c r="EA68" s="223"/>
      <c r="EB68" s="223"/>
      <c r="EC68" s="223"/>
      <c r="ED68" s="223"/>
      <c r="EE68" s="223"/>
      <c r="EF68" s="223"/>
      <c r="EG68" s="223"/>
      <c r="EH68" s="223"/>
      <c r="EI68" s="223"/>
      <c r="EJ68" s="223"/>
      <c r="EK68" s="223"/>
      <c r="EL68" s="223"/>
      <c r="EM68" s="223"/>
      <c r="EN68" s="223"/>
      <c r="EO68" s="223"/>
      <c r="EP68" s="223"/>
      <c r="EQ68" s="223"/>
      <c r="ER68" s="223"/>
      <c r="ES68" s="223"/>
      <c r="ET68" s="223"/>
      <c r="EU68" s="223"/>
      <c r="EV68" s="223"/>
      <c r="EW68" s="223"/>
      <c r="EX68" s="223"/>
      <c r="EY68" s="223"/>
      <c r="EZ68" s="223"/>
      <c r="FA68" s="223"/>
      <c r="FB68" s="223"/>
      <c r="FC68" s="223"/>
      <c r="FD68" s="223"/>
      <c r="FE68" s="223"/>
      <c r="FF68" s="223"/>
      <c r="FG68" s="223"/>
      <c r="FH68" s="223"/>
      <c r="FI68" s="223"/>
      <c r="FJ68" s="223"/>
      <c r="FK68" s="223"/>
      <c r="FL68" s="223"/>
      <c r="FM68" s="223"/>
      <c r="FN68" s="223"/>
      <c r="FO68" s="223"/>
      <c r="FP68" s="223"/>
      <c r="FQ68" s="223"/>
      <c r="FR68" s="223"/>
      <c r="FS68" s="223"/>
      <c r="FT68" s="223"/>
      <c r="FU68" s="223"/>
      <c r="FV68" s="223"/>
      <c r="FW68" s="223"/>
      <c r="FX68" s="223"/>
      <c r="FY68" s="223"/>
      <c r="FZ68" s="223"/>
      <c r="GA68" s="223"/>
      <c r="GB68" s="223"/>
      <c r="GC68" s="223"/>
      <c r="GD68" s="223"/>
      <c r="GE68" s="223"/>
      <c r="GF68" s="223"/>
      <c r="GG68" s="223"/>
      <c r="GH68" s="223"/>
      <c r="GI68" s="223"/>
      <c r="GJ68" s="223"/>
      <c r="GK68" s="223"/>
      <c r="GL68" s="223"/>
      <c r="GM68" s="223"/>
      <c r="GN68" s="223"/>
    </row>
    <row r="69" spans="1:196" ht="13.8" collapsed="1" x14ac:dyDescent="0.25">
      <c r="A69" s="810" t="s">
        <v>757</v>
      </c>
      <c r="C69" s="923">
        <v>323499</v>
      </c>
      <c r="D69" s="923">
        <f>C69-G69</f>
        <v>0</v>
      </c>
      <c r="E69" s="141" t="s">
        <v>8</v>
      </c>
      <c r="F69" s="142" t="s">
        <v>69</v>
      </c>
      <c r="G69" s="132">
        <v>323499</v>
      </c>
      <c r="H69" s="302">
        <v>355818.96720568801</v>
      </c>
      <c r="I69" s="132">
        <f t="shared" si="4"/>
        <v>32319.967205688008</v>
      </c>
      <c r="J69" s="867">
        <f t="shared" si="6"/>
        <v>9.9907471756289848E-2</v>
      </c>
      <c r="K69" s="1127" t="s">
        <v>1261</v>
      </c>
      <c r="L69" s="224"/>
      <c r="M69" s="107" t="s">
        <v>554</v>
      </c>
      <c r="N69" s="1108">
        <v>66587.600000000006</v>
      </c>
    </row>
    <row r="70" spans="1:196" ht="13.8" x14ac:dyDescent="0.25">
      <c r="C70" s="923">
        <v>55123</v>
      </c>
      <c r="D70" s="923">
        <f>C70-G70</f>
        <v>0</v>
      </c>
      <c r="E70" s="141" t="s">
        <v>70</v>
      </c>
      <c r="F70" s="142" t="s">
        <v>71</v>
      </c>
      <c r="G70" s="132">
        <v>55123</v>
      </c>
      <c r="H70" s="132">
        <v>58895.469599999997</v>
      </c>
      <c r="I70" s="132">
        <f t="shared" si="4"/>
        <v>3772.4695999999967</v>
      </c>
      <c r="J70" s="867">
        <f t="shared" si="6"/>
        <v>6.8437305661883371E-2</v>
      </c>
      <c r="K70" s="1127" t="s">
        <v>1261</v>
      </c>
      <c r="L70" s="224"/>
      <c r="M70" s="107" t="s">
        <v>555</v>
      </c>
      <c r="N70" s="1108">
        <v>11960</v>
      </c>
    </row>
    <row r="71" spans="1:196" s="104" customFormat="1" ht="13.8" hidden="1" outlineLevel="1" x14ac:dyDescent="0.25">
      <c r="A71" s="810" t="s">
        <v>720</v>
      </c>
      <c r="B71" s="810" t="s">
        <v>228</v>
      </c>
      <c r="C71" s="923"/>
      <c r="D71" s="923"/>
      <c r="E71" s="159"/>
      <c r="F71" s="215" t="s">
        <v>228</v>
      </c>
      <c r="G71" s="296">
        <v>50738</v>
      </c>
      <c r="H71" s="304">
        <v>55310.469599999997</v>
      </c>
      <c r="I71" s="153">
        <f>H71-G71</f>
        <v>4572.4695999999967</v>
      </c>
      <c r="J71" s="878">
        <f t="shared" si="6"/>
        <v>9.0119232133706428E-2</v>
      </c>
      <c r="K71" s="1125" t="s">
        <v>1185</v>
      </c>
      <c r="L71" s="224"/>
      <c r="M71" s="107" t="s">
        <v>357</v>
      </c>
      <c r="N71" s="1108"/>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c r="EW71"/>
      <c r="EX71"/>
      <c r="EY71"/>
      <c r="EZ71"/>
      <c r="FA71"/>
      <c r="FB71"/>
      <c r="FC71"/>
      <c r="FD71"/>
      <c r="FE71"/>
      <c r="FF71"/>
      <c r="FG71"/>
      <c r="FH71"/>
      <c r="FI71"/>
      <c r="FJ71"/>
      <c r="FK71"/>
      <c r="FL71"/>
      <c r="FM71"/>
      <c r="FN71"/>
      <c r="FO71"/>
      <c r="FP71"/>
      <c r="FQ71"/>
      <c r="FR71"/>
      <c r="FS71"/>
      <c r="FT71"/>
      <c r="FU71"/>
      <c r="FV71"/>
      <c r="FW71"/>
      <c r="FX71"/>
      <c r="FY71"/>
      <c r="FZ71"/>
      <c r="GA71"/>
      <c r="GB71"/>
      <c r="GC71"/>
      <c r="GD71"/>
      <c r="GE71"/>
      <c r="GF71"/>
      <c r="GG71"/>
      <c r="GH71"/>
      <c r="GI71"/>
      <c r="GJ71"/>
      <c r="GK71"/>
      <c r="GL71"/>
      <c r="GM71"/>
      <c r="GN71"/>
    </row>
    <row r="72" spans="1:196" s="104" customFormat="1" ht="14.4" hidden="1" outlineLevel="1" thickBot="1" x14ac:dyDescent="0.3">
      <c r="A72" s="810" t="s">
        <v>720</v>
      </c>
      <c r="B72" s="810" t="s">
        <v>554</v>
      </c>
      <c r="C72" s="923"/>
      <c r="D72" s="923"/>
      <c r="E72" s="214"/>
      <c r="F72" s="160" t="s">
        <v>198</v>
      </c>
      <c r="G72" s="296">
        <v>3085</v>
      </c>
      <c r="H72" s="304">
        <v>3585</v>
      </c>
      <c r="I72" s="153">
        <f>H72-G72</f>
        <v>500</v>
      </c>
      <c r="J72" s="878">
        <f t="shared" si="6"/>
        <v>0.16207455429497569</v>
      </c>
      <c r="K72" s="1128"/>
      <c r="L72" s="224"/>
      <c r="M72" s="1106" t="s">
        <v>289</v>
      </c>
      <c r="N72" s="1109">
        <v>135145.60000000001</v>
      </c>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c r="FK72"/>
      <c r="FL72"/>
      <c r="FM72"/>
      <c r="FN72"/>
      <c r="FO72"/>
      <c r="FP72"/>
      <c r="FQ72"/>
      <c r="FR72"/>
      <c r="FS72"/>
      <c r="FT72"/>
      <c r="FU72"/>
      <c r="FV72"/>
      <c r="FW72"/>
      <c r="FX72"/>
      <c r="FY72"/>
      <c r="FZ72"/>
      <c r="GA72"/>
      <c r="GB72"/>
      <c r="GC72"/>
      <c r="GD72"/>
      <c r="GE72"/>
      <c r="GF72"/>
      <c r="GG72"/>
      <c r="GH72"/>
      <c r="GI72"/>
      <c r="GJ72"/>
      <c r="GK72"/>
      <c r="GL72"/>
      <c r="GM72"/>
      <c r="GN72"/>
    </row>
    <row r="73" spans="1:196" s="104" customFormat="1" ht="13.8" hidden="1" outlineLevel="1" x14ac:dyDescent="0.25">
      <c r="A73" s="810" t="s">
        <v>720</v>
      </c>
      <c r="B73" s="810" t="s">
        <v>556</v>
      </c>
      <c r="C73" s="923"/>
      <c r="D73" s="923"/>
      <c r="E73" s="159"/>
      <c r="F73" s="160" t="s">
        <v>197</v>
      </c>
      <c r="G73" s="296">
        <v>1300</v>
      </c>
      <c r="H73" s="307">
        <v>0</v>
      </c>
      <c r="I73" s="153">
        <f>H73-G73</f>
        <v>-1300</v>
      </c>
      <c r="J73" s="878">
        <f t="shared" si="6"/>
        <v>-1</v>
      </c>
      <c r="K73" s="1126"/>
      <c r="L73" s="224"/>
      <c r="M73" s="107"/>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c r="EX73"/>
      <c r="EY73"/>
      <c r="EZ73"/>
      <c r="FA73"/>
      <c r="FB73"/>
      <c r="FC73"/>
      <c r="FD73"/>
      <c r="FE73"/>
      <c r="FF73"/>
      <c r="FG73"/>
      <c r="FH73"/>
      <c r="FI73"/>
      <c r="FJ73"/>
      <c r="FK73"/>
      <c r="FL73"/>
      <c r="FM73"/>
      <c r="FN73"/>
      <c r="FO73"/>
      <c r="FP73"/>
      <c r="FQ73"/>
      <c r="FR73"/>
      <c r="FS73"/>
      <c r="FT73"/>
      <c r="FU73"/>
      <c r="FV73"/>
      <c r="FW73"/>
      <c r="FX73"/>
      <c r="FY73"/>
      <c r="FZ73"/>
      <c r="GA73"/>
      <c r="GB73"/>
      <c r="GC73"/>
      <c r="GD73"/>
      <c r="GE73"/>
      <c r="GF73"/>
      <c r="GG73"/>
      <c r="GH73"/>
      <c r="GI73"/>
      <c r="GJ73"/>
      <c r="GK73"/>
      <c r="GL73"/>
      <c r="GM73"/>
      <c r="GN73"/>
    </row>
    <row r="74" spans="1:196" s="216" customFormat="1" ht="13.8" hidden="1" outlineLevel="1" x14ac:dyDescent="0.25">
      <c r="A74" s="810" t="s">
        <v>720</v>
      </c>
      <c r="B74" s="810" t="s">
        <v>555</v>
      </c>
      <c r="C74" s="923"/>
      <c r="D74" s="923"/>
      <c r="E74" s="162"/>
      <c r="F74" s="163" t="s">
        <v>555</v>
      </c>
      <c r="G74" s="296">
        <v>0</v>
      </c>
      <c r="H74" s="307">
        <v>0</v>
      </c>
      <c r="I74" s="299">
        <f>H74-G74</f>
        <v>0</v>
      </c>
      <c r="J74" s="879" t="str">
        <f t="shared" si="6"/>
        <v>-</v>
      </c>
      <c r="K74" s="1129"/>
      <c r="L74" s="224"/>
      <c r="M74" s="1114"/>
      <c r="N74" s="223"/>
      <c r="O74" s="223"/>
      <c r="P74" s="223"/>
      <c r="Q74" s="223"/>
      <c r="R74" s="223"/>
      <c r="S74" s="223"/>
      <c r="T74" s="223"/>
      <c r="U74" s="223"/>
      <c r="V74" s="223"/>
      <c r="W74" s="223"/>
      <c r="X74" s="223"/>
      <c r="Y74" s="223"/>
      <c r="Z74" s="223"/>
      <c r="AA74" s="223"/>
      <c r="AB74" s="223"/>
      <c r="AC74" s="223"/>
      <c r="AD74" s="223"/>
      <c r="AE74" s="223"/>
      <c r="AF74" s="223"/>
      <c r="AG74" s="223"/>
      <c r="AH74" s="223"/>
      <c r="AI74" s="223"/>
      <c r="AJ74" s="223"/>
      <c r="AK74" s="223"/>
      <c r="AL74" s="223"/>
      <c r="AM74" s="223"/>
      <c r="AN74" s="223"/>
      <c r="AO74" s="223"/>
      <c r="AP74" s="223"/>
      <c r="AQ74" s="223"/>
      <c r="AR74" s="223"/>
      <c r="AS74" s="223"/>
      <c r="AT74" s="223"/>
      <c r="AU74" s="223"/>
      <c r="AV74" s="223"/>
      <c r="AW74" s="223"/>
      <c r="AX74" s="223"/>
      <c r="AY74" s="223"/>
      <c r="AZ74" s="223"/>
      <c r="BA74" s="223"/>
      <c r="BB74" s="223"/>
      <c r="BC74" s="223"/>
      <c r="BD74" s="223"/>
      <c r="BE74" s="223"/>
      <c r="BF74" s="223"/>
      <c r="BG74" s="223"/>
      <c r="BH74" s="223"/>
      <c r="BI74" s="223"/>
      <c r="BJ74" s="223"/>
      <c r="BK74" s="223"/>
      <c r="BL74" s="223"/>
      <c r="BM74" s="223"/>
      <c r="BN74" s="223"/>
      <c r="BO74" s="223"/>
      <c r="BP74" s="223"/>
      <c r="BQ74" s="223"/>
      <c r="BR74" s="223"/>
      <c r="BS74" s="223"/>
      <c r="BT74" s="223"/>
      <c r="BU74" s="223"/>
      <c r="BV74" s="223"/>
      <c r="BW74" s="223"/>
      <c r="BX74" s="223"/>
      <c r="BY74" s="223"/>
      <c r="BZ74" s="223"/>
      <c r="CA74" s="223"/>
      <c r="CB74" s="223"/>
      <c r="CC74" s="223"/>
      <c r="CD74" s="223"/>
      <c r="CE74" s="223"/>
      <c r="CF74" s="223"/>
      <c r="CG74" s="223"/>
      <c r="CH74" s="223"/>
      <c r="CI74" s="223"/>
      <c r="CJ74" s="223"/>
      <c r="CK74" s="223"/>
      <c r="CL74" s="223"/>
      <c r="CM74" s="223"/>
      <c r="CN74" s="223"/>
      <c r="CO74" s="223"/>
      <c r="CP74" s="223"/>
      <c r="CQ74" s="223"/>
      <c r="CR74" s="223"/>
      <c r="CS74" s="223"/>
      <c r="CT74" s="223"/>
      <c r="CU74" s="223"/>
      <c r="CV74" s="223"/>
      <c r="CW74" s="223"/>
      <c r="CX74" s="223"/>
      <c r="CY74" s="223"/>
      <c r="CZ74" s="223"/>
      <c r="DA74" s="223"/>
      <c r="DB74" s="223"/>
      <c r="DC74" s="223"/>
      <c r="DD74" s="223"/>
      <c r="DE74" s="223"/>
      <c r="DF74" s="223"/>
      <c r="DG74" s="223"/>
      <c r="DH74" s="223"/>
      <c r="DI74" s="223"/>
      <c r="DJ74" s="223"/>
      <c r="DK74" s="223"/>
      <c r="DL74" s="223"/>
      <c r="DM74" s="223"/>
      <c r="DN74" s="223"/>
      <c r="DO74" s="223"/>
      <c r="DP74" s="223"/>
      <c r="DQ74" s="223"/>
      <c r="DR74" s="223"/>
      <c r="DS74" s="223"/>
      <c r="DT74" s="223"/>
      <c r="DU74" s="223"/>
      <c r="DV74" s="223"/>
      <c r="DW74" s="223"/>
      <c r="DX74" s="223"/>
      <c r="DY74" s="223"/>
      <c r="DZ74" s="223"/>
      <c r="EA74" s="223"/>
      <c r="EB74" s="223"/>
      <c r="EC74" s="223"/>
      <c r="ED74" s="223"/>
      <c r="EE74" s="223"/>
      <c r="EF74" s="223"/>
      <c r="EG74" s="223"/>
      <c r="EH74" s="223"/>
      <c r="EI74" s="223"/>
      <c r="EJ74" s="223"/>
      <c r="EK74" s="223"/>
      <c r="EL74" s="223"/>
      <c r="EM74" s="223"/>
      <c r="EN74" s="223"/>
      <c r="EO74" s="223"/>
      <c r="EP74" s="223"/>
      <c r="EQ74" s="223"/>
      <c r="ER74" s="223"/>
      <c r="ES74" s="223"/>
      <c r="ET74" s="223"/>
      <c r="EU74" s="223"/>
      <c r="EV74" s="223"/>
      <c r="EW74" s="223"/>
      <c r="EX74" s="223"/>
      <c r="EY74" s="223"/>
      <c r="EZ74" s="223"/>
      <c r="FA74" s="223"/>
      <c r="FB74" s="223"/>
      <c r="FC74" s="223"/>
      <c r="FD74" s="223"/>
      <c r="FE74" s="223"/>
      <c r="FF74" s="223"/>
      <c r="FG74" s="223"/>
      <c r="FH74" s="223"/>
      <c r="FI74" s="223"/>
      <c r="FJ74" s="223"/>
      <c r="FK74" s="223"/>
      <c r="FL74" s="223"/>
      <c r="FM74" s="223"/>
      <c r="FN74" s="223"/>
      <c r="FO74" s="223"/>
      <c r="FP74" s="223"/>
      <c r="FQ74" s="223"/>
      <c r="FR74" s="223"/>
      <c r="FS74" s="223"/>
      <c r="FT74" s="223"/>
      <c r="FU74" s="223"/>
      <c r="FV74" s="223"/>
      <c r="FW74" s="223"/>
      <c r="FX74" s="223"/>
      <c r="FY74" s="223"/>
      <c r="FZ74" s="223"/>
      <c r="GA74" s="223"/>
      <c r="GB74" s="223"/>
      <c r="GC74" s="223"/>
      <c r="GD74" s="223"/>
      <c r="GE74" s="223"/>
      <c r="GF74" s="223"/>
      <c r="GG74" s="223"/>
      <c r="GH74" s="223"/>
      <c r="GI74" s="223"/>
      <c r="GJ74" s="223"/>
      <c r="GK74" s="223"/>
      <c r="GL74" s="223"/>
      <c r="GM74" s="223"/>
      <c r="GN74" s="223"/>
    </row>
    <row r="75" spans="1:196" ht="16.2" customHeight="1" collapsed="1" x14ac:dyDescent="0.25">
      <c r="A75" s="810" t="s">
        <v>759</v>
      </c>
      <c r="C75" s="923">
        <v>45786</v>
      </c>
      <c r="D75" s="923">
        <f t="shared" ref="D75:D82" si="8">C75-G75</f>
        <v>0.36800000000221189</v>
      </c>
      <c r="E75" s="141" t="s">
        <v>72</v>
      </c>
      <c r="F75" s="142" t="s">
        <v>73</v>
      </c>
      <c r="G75" s="132">
        <v>45785.631999999998</v>
      </c>
      <c r="H75" s="302">
        <v>50294.195200000002</v>
      </c>
      <c r="I75" s="132">
        <f t="shared" si="4"/>
        <v>4508.5632000000041</v>
      </c>
      <c r="J75" s="867">
        <f t="shared" si="6"/>
        <v>9.8471136097892112E-2</v>
      </c>
      <c r="K75" s="1127" t="s">
        <v>1261</v>
      </c>
      <c r="L75" s="224"/>
    </row>
    <row r="76" spans="1:196" ht="13.8" x14ac:dyDescent="0.25">
      <c r="A76" s="810" t="s">
        <v>785</v>
      </c>
      <c r="C76" s="923">
        <v>37233</v>
      </c>
      <c r="D76" s="923">
        <f t="shared" si="8"/>
        <v>0</v>
      </c>
      <c r="E76" s="141" t="s">
        <v>74</v>
      </c>
      <c r="F76" s="142" t="s">
        <v>75</v>
      </c>
      <c r="G76" s="132">
        <v>37233</v>
      </c>
      <c r="H76" s="302">
        <v>6587.5</v>
      </c>
      <c r="I76" s="132">
        <f t="shared" si="4"/>
        <v>-30645.5</v>
      </c>
      <c r="J76" s="867">
        <f t="shared" si="6"/>
        <v>-0.82307361748986119</v>
      </c>
      <c r="K76" s="1130"/>
      <c r="L76" s="224"/>
    </row>
    <row r="77" spans="1:196" ht="13.8" x14ac:dyDescent="0.25">
      <c r="C77" s="923">
        <v>58875</v>
      </c>
      <c r="D77" s="923">
        <f t="shared" si="8"/>
        <v>0.18951999999990221</v>
      </c>
      <c r="E77" s="141" t="s">
        <v>76</v>
      </c>
      <c r="F77" s="142" t="s">
        <v>78</v>
      </c>
      <c r="G77" s="132">
        <v>58874.81048</v>
      </c>
      <c r="H77" s="132">
        <v>79620.138309999995</v>
      </c>
      <c r="I77" s="132">
        <f t="shared" si="4"/>
        <v>20745.327829999995</v>
      </c>
      <c r="J77" s="867">
        <f t="shared" si="6"/>
        <v>0.35236339040186399</v>
      </c>
      <c r="K77" s="1131" t="s">
        <v>1262</v>
      </c>
      <c r="L77" s="224"/>
    </row>
    <row r="78" spans="1:196" s="104" customFormat="1" ht="13.8" hidden="1" outlineLevel="1" x14ac:dyDescent="0.25">
      <c r="A78" s="810" t="s">
        <v>373</v>
      </c>
      <c r="B78" s="810" t="s">
        <v>228</v>
      </c>
      <c r="C78" s="923"/>
      <c r="D78" s="923"/>
      <c r="E78" s="159"/>
      <c r="F78" s="215" t="s">
        <v>228</v>
      </c>
      <c r="G78" s="296">
        <v>58874.81048</v>
      </c>
      <c r="H78" s="304">
        <v>64620.138309999995</v>
      </c>
      <c r="I78" s="153">
        <f>H78-G78</f>
        <v>5745.3278299999947</v>
      </c>
      <c r="J78" s="878">
        <f t="shared" ref="J78:J79" si="9">IFERROR(I78/G78,"-")</f>
        <v>9.7585500202190964E-2</v>
      </c>
      <c r="K78" s="1125" t="s">
        <v>1185</v>
      </c>
      <c r="L78" s="224"/>
      <c r="M78" s="107"/>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c r="EF78"/>
      <c r="EG78"/>
      <c r="EH78"/>
      <c r="EI78"/>
      <c r="EJ78"/>
      <c r="EK78"/>
      <c r="EL78"/>
      <c r="EM78"/>
      <c r="EN78"/>
      <c r="EO78"/>
      <c r="EP78"/>
      <c r="EQ78"/>
      <c r="ER78"/>
      <c r="ES78"/>
      <c r="ET78"/>
      <c r="EU78"/>
      <c r="EV78"/>
      <c r="EW78"/>
      <c r="EX78"/>
      <c r="EY78"/>
      <c r="EZ78"/>
      <c r="FA78"/>
      <c r="FB78"/>
      <c r="FC78"/>
      <c r="FD78"/>
      <c r="FE78"/>
      <c r="FF78"/>
      <c r="FG78"/>
      <c r="FH78"/>
      <c r="FI78"/>
      <c r="FJ78"/>
      <c r="FK78"/>
      <c r="FL78"/>
      <c r="FM78"/>
      <c r="FN78"/>
      <c r="FO78"/>
      <c r="FP78"/>
      <c r="FQ78"/>
      <c r="FR78"/>
      <c r="FS78"/>
      <c r="FT78"/>
      <c r="FU78"/>
      <c r="FV78"/>
      <c r="FW78"/>
      <c r="FX78"/>
      <c r="FY78"/>
      <c r="FZ78"/>
      <c r="GA78"/>
      <c r="GB78"/>
      <c r="GC78"/>
      <c r="GD78"/>
      <c r="GE78"/>
      <c r="GF78"/>
      <c r="GG78"/>
      <c r="GH78"/>
      <c r="GI78"/>
      <c r="GJ78"/>
      <c r="GK78"/>
      <c r="GL78"/>
      <c r="GM78"/>
      <c r="GN78"/>
    </row>
    <row r="79" spans="1:196" s="104" customFormat="1" ht="13.8" hidden="1" outlineLevel="1" x14ac:dyDescent="0.25">
      <c r="A79" s="810" t="s">
        <v>373</v>
      </c>
      <c r="B79" s="810" t="s">
        <v>554</v>
      </c>
      <c r="C79" s="923"/>
      <c r="D79" s="923"/>
      <c r="E79" s="214"/>
      <c r="F79" s="160" t="s">
        <v>198</v>
      </c>
      <c r="G79" s="296">
        <v>0</v>
      </c>
      <c r="H79" s="304">
        <v>15000</v>
      </c>
      <c r="I79" s="153">
        <f>H79-G79</f>
        <v>15000</v>
      </c>
      <c r="J79" s="878" t="str">
        <f t="shared" si="9"/>
        <v>-</v>
      </c>
      <c r="K79" s="1125" t="s">
        <v>1436</v>
      </c>
      <c r="L79" s="224"/>
      <c r="M79" s="107"/>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c r="EE79"/>
      <c r="EF79"/>
      <c r="EG79"/>
      <c r="EH79"/>
      <c r="EI79"/>
      <c r="EJ79"/>
      <c r="EK79"/>
      <c r="EL79"/>
      <c r="EM79"/>
      <c r="EN79"/>
      <c r="EO79"/>
      <c r="EP79"/>
      <c r="EQ79"/>
      <c r="ER79"/>
      <c r="ES79"/>
      <c r="ET79"/>
      <c r="EU79"/>
      <c r="EV79"/>
      <c r="EW79"/>
      <c r="EX79"/>
      <c r="EY79"/>
      <c r="EZ79"/>
      <c r="FA79"/>
      <c r="FB79"/>
      <c r="FC79"/>
      <c r="FD79"/>
      <c r="FE79"/>
      <c r="FF79"/>
      <c r="FG79"/>
      <c r="FH79"/>
      <c r="FI79"/>
      <c r="FJ79"/>
      <c r="FK79"/>
      <c r="FL79"/>
      <c r="FM79"/>
      <c r="FN79"/>
      <c r="FO79"/>
      <c r="FP79"/>
      <c r="FQ79"/>
      <c r="FR79"/>
      <c r="FS79"/>
      <c r="FT79"/>
      <c r="FU79"/>
      <c r="FV79"/>
      <c r="FW79"/>
      <c r="FX79"/>
      <c r="FY79"/>
      <c r="FZ79"/>
      <c r="GA79"/>
      <c r="GB79"/>
      <c r="GC79"/>
      <c r="GD79"/>
      <c r="GE79"/>
      <c r="GF79"/>
      <c r="GG79"/>
      <c r="GH79"/>
      <c r="GI79"/>
      <c r="GJ79"/>
      <c r="GK79"/>
      <c r="GL79"/>
      <c r="GM79"/>
      <c r="GN79"/>
    </row>
    <row r="80" spans="1:196" ht="27.6" collapsed="1" x14ac:dyDescent="0.25">
      <c r="A80" s="810" t="s">
        <v>226</v>
      </c>
      <c r="B80" s="810" t="s">
        <v>563</v>
      </c>
      <c r="C80" s="923">
        <v>159369</v>
      </c>
      <c r="D80" s="923">
        <f t="shared" si="8"/>
        <v>9.2545429099118337E-2</v>
      </c>
      <c r="E80" s="141" t="s">
        <v>77</v>
      </c>
      <c r="F80" s="142" t="s">
        <v>662</v>
      </c>
      <c r="G80" s="132">
        <v>159368.9074545709</v>
      </c>
      <c r="H80" s="132">
        <v>1047339.1639484835</v>
      </c>
      <c r="I80" s="132">
        <f t="shared" si="4"/>
        <v>887970.25649391266</v>
      </c>
      <c r="J80" s="867">
        <f t="shared" si="6"/>
        <v>5.5717910769202836</v>
      </c>
      <c r="K80" s="1131" t="s">
        <v>1186</v>
      </c>
      <c r="L80" s="224"/>
    </row>
    <row r="81" spans="1:196" ht="13.8" x14ac:dyDescent="0.25">
      <c r="A81" s="810" t="s">
        <v>226</v>
      </c>
      <c r="B81" s="810" t="s">
        <v>564</v>
      </c>
      <c r="C81" s="923">
        <v>5558962</v>
      </c>
      <c r="D81" s="923">
        <f t="shared" si="8"/>
        <v>-283950</v>
      </c>
      <c r="E81" s="141" t="s">
        <v>79</v>
      </c>
      <c r="F81" s="142" t="s">
        <v>80</v>
      </c>
      <c r="G81" s="132">
        <v>5842912</v>
      </c>
      <c r="H81" s="132">
        <v>4392666</v>
      </c>
      <c r="I81" s="132">
        <f t="shared" si="4"/>
        <v>-1450246</v>
      </c>
      <c r="J81" s="867">
        <f t="shared" si="6"/>
        <v>-0.24820603151305376</v>
      </c>
      <c r="K81" s="1127"/>
      <c r="L81" s="224"/>
    </row>
    <row r="82" spans="1:196" ht="13.8" x14ac:dyDescent="0.25">
      <c r="C82" s="923">
        <f>244439-G86</f>
        <v>226439</v>
      </c>
      <c r="D82" s="923">
        <f t="shared" si="8"/>
        <v>-40888</v>
      </c>
      <c r="E82" s="141" t="s">
        <v>381</v>
      </c>
      <c r="F82" s="142" t="s">
        <v>562</v>
      </c>
      <c r="G82" s="132">
        <v>267327</v>
      </c>
      <c r="H82" s="132">
        <v>351755.64443500002</v>
      </c>
      <c r="I82" s="132">
        <f t="shared" ref="I82:I87" si="10">H82-G82</f>
        <v>84428.644435000024</v>
      </c>
      <c r="J82" s="867">
        <f t="shared" si="6"/>
        <v>0.31582535409816453</v>
      </c>
      <c r="K82" s="1131"/>
      <c r="L82" s="224"/>
    </row>
    <row r="83" spans="1:196" s="104" customFormat="1" ht="13.8" hidden="1" outlineLevel="1" x14ac:dyDescent="0.25">
      <c r="A83" s="810" t="s">
        <v>760</v>
      </c>
      <c r="B83" s="810" t="s">
        <v>228</v>
      </c>
      <c r="C83" s="923"/>
      <c r="D83" s="923"/>
      <c r="E83" s="159"/>
      <c r="F83" s="215" t="s">
        <v>228</v>
      </c>
      <c r="G83" s="296">
        <v>126030</v>
      </c>
      <c r="H83" s="304">
        <v>135619.10443499999</v>
      </c>
      <c r="I83" s="153">
        <f t="shared" si="10"/>
        <v>9589.1044349999866</v>
      </c>
      <c r="J83" s="878">
        <f t="shared" si="6"/>
        <v>7.6085887764817797E-2</v>
      </c>
      <c r="K83" s="1125"/>
      <c r="L83" s="224"/>
      <c r="M83" s="107"/>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c r="EB83"/>
      <c r="EC83"/>
      <c r="ED83"/>
      <c r="EE83"/>
      <c r="EF83"/>
      <c r="EG83"/>
      <c r="EH83"/>
      <c r="EI83"/>
      <c r="EJ83"/>
      <c r="EK83"/>
      <c r="EL83"/>
      <c r="EM83"/>
      <c r="EN83"/>
      <c r="EO83"/>
      <c r="EP83"/>
      <c r="EQ83"/>
      <c r="ER83"/>
      <c r="ES83"/>
      <c r="ET83"/>
      <c r="EU83"/>
      <c r="EV83"/>
      <c r="EW83"/>
      <c r="EX83"/>
      <c r="EY83"/>
      <c r="EZ83"/>
      <c r="FA83"/>
      <c r="FB83"/>
      <c r="FC83"/>
      <c r="FD83"/>
      <c r="FE83"/>
      <c r="FF83"/>
      <c r="FG83"/>
      <c r="FH83"/>
      <c r="FI83"/>
      <c r="FJ83"/>
      <c r="FK83"/>
      <c r="FL83"/>
      <c r="FM83"/>
      <c r="FN83"/>
      <c r="FO83"/>
      <c r="FP83"/>
      <c r="FQ83"/>
      <c r="FR83"/>
      <c r="FS83"/>
      <c r="FT83"/>
      <c r="FU83"/>
      <c r="FV83"/>
      <c r="FW83"/>
      <c r="FX83"/>
      <c r="FY83"/>
      <c r="FZ83"/>
      <c r="GA83"/>
      <c r="GB83"/>
      <c r="GC83"/>
      <c r="GD83"/>
      <c r="GE83"/>
      <c r="GF83"/>
      <c r="GG83"/>
      <c r="GH83"/>
      <c r="GI83"/>
      <c r="GJ83"/>
      <c r="GK83"/>
      <c r="GL83"/>
      <c r="GM83"/>
      <c r="GN83"/>
    </row>
    <row r="84" spans="1:196" s="104" customFormat="1" ht="13.8" hidden="1" outlineLevel="1" x14ac:dyDescent="0.25">
      <c r="A84" s="810" t="s">
        <v>760</v>
      </c>
      <c r="B84" s="810" t="s">
        <v>554</v>
      </c>
      <c r="C84" s="923"/>
      <c r="D84" s="923"/>
      <c r="E84" s="214"/>
      <c r="F84" s="160" t="s">
        <v>198</v>
      </c>
      <c r="G84" s="296">
        <v>118559</v>
      </c>
      <c r="H84" s="304">
        <v>185036.54</v>
      </c>
      <c r="I84" s="153">
        <f t="shared" si="10"/>
        <v>66477.540000000008</v>
      </c>
      <c r="J84" s="878">
        <f t="shared" si="6"/>
        <v>0.56071272530976146</v>
      </c>
      <c r="K84" s="1125" t="s">
        <v>1664</v>
      </c>
      <c r="L84" s="224"/>
      <c r="M84" s="107"/>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c r="EB84"/>
      <c r="EC84"/>
      <c r="ED84"/>
      <c r="EE84"/>
      <c r="EF84"/>
      <c r="EG84"/>
      <c r="EH84"/>
      <c r="EI84"/>
      <c r="EJ84"/>
      <c r="EK84"/>
      <c r="EL84"/>
      <c r="EM84"/>
      <c r="EN84"/>
      <c r="EO84"/>
      <c r="EP84"/>
      <c r="EQ84"/>
      <c r="ER84"/>
      <c r="ES84"/>
      <c r="ET84"/>
      <c r="EU84"/>
      <c r="EV84"/>
      <c r="EW84"/>
      <c r="EX84"/>
      <c r="EY84"/>
      <c r="EZ84"/>
      <c r="FA84"/>
      <c r="FB84"/>
      <c r="FC84"/>
      <c r="FD84"/>
      <c r="FE84"/>
      <c r="FF84"/>
      <c r="FG84"/>
      <c r="FH84"/>
      <c r="FI84"/>
      <c r="FJ84"/>
      <c r="FK84"/>
      <c r="FL84"/>
      <c r="FM84"/>
      <c r="FN84"/>
      <c r="FO84"/>
      <c r="FP84"/>
      <c r="FQ84"/>
      <c r="FR84"/>
      <c r="FS84"/>
      <c r="FT84"/>
      <c r="FU84"/>
      <c r="FV84"/>
      <c r="FW84"/>
      <c r="FX84"/>
      <c r="FY84"/>
      <c r="FZ84"/>
      <c r="GA84"/>
      <c r="GB84"/>
      <c r="GC84"/>
      <c r="GD84"/>
      <c r="GE84"/>
      <c r="GF84"/>
      <c r="GG84"/>
      <c r="GH84"/>
      <c r="GI84"/>
      <c r="GJ84"/>
      <c r="GK84"/>
      <c r="GL84"/>
      <c r="GM84"/>
      <c r="GN84"/>
    </row>
    <row r="85" spans="1:196" s="104" customFormat="1" ht="13.8" hidden="1" outlineLevel="1" x14ac:dyDescent="0.25">
      <c r="A85" s="810" t="s">
        <v>760</v>
      </c>
      <c r="B85" s="810" t="s">
        <v>556</v>
      </c>
      <c r="C85" s="923"/>
      <c r="D85" s="923"/>
      <c r="E85" s="159"/>
      <c r="F85" s="160" t="s">
        <v>197</v>
      </c>
      <c r="G85" s="296">
        <v>22738</v>
      </c>
      <c r="H85" s="304">
        <v>31100</v>
      </c>
      <c r="I85" s="153">
        <f t="shared" si="10"/>
        <v>8362</v>
      </c>
      <c r="J85" s="878">
        <f t="shared" si="6"/>
        <v>0.3677544199138007</v>
      </c>
      <c r="K85" s="1126" t="s">
        <v>1428</v>
      </c>
      <c r="L85" s="224"/>
      <c r="M85" s="107"/>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c r="DU85"/>
      <c r="DV85"/>
      <c r="DW85"/>
      <c r="DX85"/>
      <c r="DY85"/>
      <c r="DZ85"/>
      <c r="EA85"/>
      <c r="EB85"/>
      <c r="EC85"/>
      <c r="ED85"/>
      <c r="EE85"/>
      <c r="EF85"/>
      <c r="EG85"/>
      <c r="EH85"/>
      <c r="EI85"/>
      <c r="EJ85"/>
      <c r="EK85"/>
      <c r="EL85"/>
      <c r="EM85"/>
      <c r="EN85"/>
      <c r="EO85"/>
      <c r="EP85"/>
      <c r="EQ85"/>
      <c r="ER85"/>
      <c r="ES85"/>
      <c r="ET85"/>
      <c r="EU85"/>
      <c r="EV85"/>
      <c r="EW85"/>
      <c r="EX85"/>
      <c r="EY85"/>
      <c r="EZ85"/>
      <c r="FA85"/>
      <c r="FB85"/>
      <c r="FC85"/>
      <c r="FD85"/>
      <c r="FE85"/>
      <c r="FF85"/>
      <c r="FG85"/>
      <c r="FH85"/>
      <c r="FI85"/>
      <c r="FJ85"/>
      <c r="FK85"/>
      <c r="FL85"/>
      <c r="FM85"/>
      <c r="FN85"/>
      <c r="FO85"/>
      <c r="FP85"/>
      <c r="FQ85"/>
      <c r="FR85"/>
      <c r="FS85"/>
      <c r="FT85"/>
      <c r="FU85"/>
      <c r="FV85"/>
      <c r="FW85"/>
      <c r="FX85"/>
      <c r="FY85"/>
      <c r="FZ85"/>
      <c r="GA85"/>
      <c r="GB85"/>
      <c r="GC85"/>
      <c r="GD85"/>
      <c r="GE85"/>
      <c r="GF85"/>
      <c r="GG85"/>
      <c r="GH85"/>
      <c r="GI85"/>
      <c r="GJ85"/>
      <c r="GK85"/>
      <c r="GL85"/>
      <c r="GM85"/>
      <c r="GN85"/>
    </row>
    <row r="86" spans="1:196" s="216" customFormat="1" ht="13.8" hidden="1" outlineLevel="1" x14ac:dyDescent="0.25">
      <c r="A86" s="810" t="s">
        <v>760</v>
      </c>
      <c r="B86" s="810" t="s">
        <v>555</v>
      </c>
      <c r="C86" s="923"/>
      <c r="D86" s="923"/>
      <c r="E86" s="162"/>
      <c r="F86" s="163" t="s">
        <v>555</v>
      </c>
      <c r="G86" s="296">
        <v>18000</v>
      </c>
      <c r="H86" s="304">
        <v>18000</v>
      </c>
      <c r="I86" s="299">
        <f t="shared" si="10"/>
        <v>0</v>
      </c>
      <c r="J86" s="879">
        <f t="shared" si="6"/>
        <v>0</v>
      </c>
      <c r="K86" s="1129"/>
      <c r="L86" s="224"/>
      <c r="M86" s="1114"/>
      <c r="N86" s="223"/>
      <c r="O86" s="223"/>
      <c r="P86" s="223"/>
      <c r="Q86" s="223"/>
      <c r="R86" s="223"/>
      <c r="S86" s="223"/>
      <c r="T86" s="223"/>
      <c r="U86" s="223"/>
      <c r="V86" s="223"/>
      <c r="W86" s="223"/>
      <c r="X86" s="223"/>
      <c r="Y86" s="223"/>
      <c r="Z86" s="223"/>
      <c r="AA86" s="223"/>
      <c r="AB86" s="223"/>
      <c r="AC86" s="223"/>
      <c r="AD86" s="223"/>
      <c r="AE86" s="223"/>
      <c r="AF86" s="223"/>
      <c r="AG86" s="223"/>
      <c r="AH86" s="223"/>
      <c r="AI86" s="223"/>
      <c r="AJ86" s="223"/>
      <c r="AK86" s="223"/>
      <c r="AL86" s="223"/>
      <c r="AM86" s="223"/>
      <c r="AN86" s="223"/>
      <c r="AO86" s="223"/>
      <c r="AP86" s="223"/>
      <c r="AQ86" s="223"/>
      <c r="AR86" s="223"/>
      <c r="AS86" s="223"/>
      <c r="AT86" s="223"/>
      <c r="AU86" s="223"/>
      <c r="AV86" s="223"/>
      <c r="AW86" s="223"/>
      <c r="AX86" s="223"/>
      <c r="AY86" s="223"/>
      <c r="AZ86" s="223"/>
      <c r="BA86" s="223"/>
      <c r="BB86" s="223"/>
      <c r="BC86" s="223"/>
      <c r="BD86" s="223"/>
      <c r="BE86" s="223"/>
      <c r="BF86" s="223"/>
      <c r="BG86" s="223"/>
      <c r="BH86" s="223"/>
      <c r="BI86" s="223"/>
      <c r="BJ86" s="223"/>
      <c r="BK86" s="223"/>
      <c r="BL86" s="223"/>
      <c r="BM86" s="223"/>
      <c r="BN86" s="223"/>
      <c r="BO86" s="223"/>
      <c r="BP86" s="223"/>
      <c r="BQ86" s="223"/>
      <c r="BR86" s="223"/>
      <c r="BS86" s="223"/>
      <c r="BT86" s="223"/>
      <c r="BU86" s="223"/>
      <c r="BV86" s="223"/>
      <c r="BW86" s="223"/>
      <c r="BX86" s="223"/>
      <c r="BY86" s="223"/>
      <c r="BZ86" s="223"/>
      <c r="CA86" s="223"/>
      <c r="CB86" s="223"/>
      <c r="CC86" s="223"/>
      <c r="CD86" s="223"/>
      <c r="CE86" s="223"/>
      <c r="CF86" s="223"/>
      <c r="CG86" s="223"/>
      <c r="CH86" s="223"/>
      <c r="CI86" s="223"/>
      <c r="CJ86" s="223"/>
      <c r="CK86" s="223"/>
      <c r="CL86" s="223"/>
      <c r="CM86" s="223"/>
      <c r="CN86" s="223"/>
      <c r="CO86" s="223"/>
      <c r="CP86" s="223"/>
      <c r="CQ86" s="223"/>
      <c r="CR86" s="223"/>
      <c r="CS86" s="223"/>
      <c r="CT86" s="223"/>
      <c r="CU86" s="223"/>
      <c r="CV86" s="223"/>
      <c r="CW86" s="223"/>
      <c r="CX86" s="223"/>
      <c r="CY86" s="223"/>
      <c r="CZ86" s="223"/>
      <c r="DA86" s="223"/>
      <c r="DB86" s="223"/>
      <c r="DC86" s="223"/>
      <c r="DD86" s="223"/>
      <c r="DE86" s="223"/>
      <c r="DF86" s="223"/>
      <c r="DG86" s="223"/>
      <c r="DH86" s="223"/>
      <c r="DI86" s="223"/>
      <c r="DJ86" s="223"/>
      <c r="DK86" s="223"/>
      <c r="DL86" s="223"/>
      <c r="DM86" s="223"/>
      <c r="DN86" s="223"/>
      <c r="DO86" s="223"/>
      <c r="DP86" s="223"/>
      <c r="DQ86" s="223"/>
      <c r="DR86" s="223"/>
      <c r="DS86" s="223"/>
      <c r="DT86" s="223"/>
      <c r="DU86" s="223"/>
      <c r="DV86" s="223"/>
      <c r="DW86" s="223"/>
      <c r="DX86" s="223"/>
      <c r="DY86" s="223"/>
      <c r="DZ86" s="223"/>
      <c r="EA86" s="223"/>
      <c r="EB86" s="223"/>
      <c r="EC86" s="223"/>
      <c r="ED86" s="223"/>
      <c r="EE86" s="223"/>
      <c r="EF86" s="223"/>
      <c r="EG86" s="223"/>
      <c r="EH86" s="223"/>
      <c r="EI86" s="223"/>
      <c r="EJ86" s="223"/>
      <c r="EK86" s="223"/>
      <c r="EL86" s="223"/>
      <c r="EM86" s="223"/>
      <c r="EN86" s="223"/>
      <c r="EO86" s="223"/>
      <c r="EP86" s="223"/>
      <c r="EQ86" s="223"/>
      <c r="ER86" s="223"/>
      <c r="ES86" s="223"/>
      <c r="ET86" s="223"/>
      <c r="EU86" s="223"/>
      <c r="EV86" s="223"/>
      <c r="EW86" s="223"/>
      <c r="EX86" s="223"/>
      <c r="EY86" s="223"/>
      <c r="EZ86" s="223"/>
      <c r="FA86" s="223"/>
      <c r="FB86" s="223"/>
      <c r="FC86" s="223"/>
      <c r="FD86" s="223"/>
      <c r="FE86" s="223"/>
      <c r="FF86" s="223"/>
      <c r="FG86" s="223"/>
      <c r="FH86" s="223"/>
      <c r="FI86" s="223"/>
      <c r="FJ86" s="223"/>
      <c r="FK86" s="223"/>
      <c r="FL86" s="223"/>
      <c r="FM86" s="223"/>
      <c r="FN86" s="223"/>
      <c r="FO86" s="223"/>
      <c r="FP86" s="223"/>
      <c r="FQ86" s="223"/>
      <c r="FR86" s="223"/>
      <c r="FS86" s="223"/>
      <c r="FT86" s="223"/>
      <c r="FU86" s="223"/>
      <c r="FV86" s="223"/>
      <c r="FW86" s="223"/>
      <c r="FX86" s="223"/>
      <c r="FY86" s="223"/>
      <c r="FZ86" s="223"/>
      <c r="GA86" s="223"/>
      <c r="GB86" s="223"/>
      <c r="GC86" s="223"/>
      <c r="GD86" s="223"/>
      <c r="GE86" s="223"/>
      <c r="GF86" s="223"/>
      <c r="GG86" s="223"/>
      <c r="GH86" s="223"/>
      <c r="GI86" s="223"/>
      <c r="GJ86" s="223"/>
      <c r="GK86" s="223"/>
      <c r="GL86" s="223"/>
      <c r="GM86" s="223"/>
      <c r="GN86" s="223"/>
    </row>
    <row r="87" spans="1:196" ht="13.8" collapsed="1" x14ac:dyDescent="0.25">
      <c r="C87" s="923">
        <f>854522-G91</f>
        <v>850387</v>
      </c>
      <c r="D87" s="923">
        <f>C87-G87</f>
        <v>-0.64999999990686774</v>
      </c>
      <c r="E87" s="143" t="s">
        <v>10</v>
      </c>
      <c r="F87" s="144" t="s">
        <v>206</v>
      </c>
      <c r="G87" s="294">
        <v>850387.64999999991</v>
      </c>
      <c r="H87" s="295">
        <v>926669.29245700024</v>
      </c>
      <c r="I87" s="126">
        <f t="shared" si="10"/>
        <v>76281.642457000329</v>
      </c>
      <c r="J87" s="864">
        <f>IFERROR(I87/G87,"-")</f>
        <v>8.9702199293463791E-2</v>
      </c>
      <c r="K87" s="1132"/>
      <c r="L87" s="224"/>
    </row>
    <row r="88" spans="1:196" s="104" customFormat="1" ht="19.2" hidden="1" customHeight="1" outlineLevel="1" x14ac:dyDescent="0.25">
      <c r="A88" s="810" t="s">
        <v>744</v>
      </c>
      <c r="B88" s="810" t="s">
        <v>228</v>
      </c>
      <c r="C88" s="923"/>
      <c r="D88" s="923"/>
      <c r="E88" s="159"/>
      <c r="F88" s="215" t="s">
        <v>228</v>
      </c>
      <c r="G88" s="296">
        <v>725150.45</v>
      </c>
      <c r="H88" s="304">
        <v>773929.08845700021</v>
      </c>
      <c r="I88" s="153">
        <f t="shared" si="4"/>
        <v>48778.638457000256</v>
      </c>
      <c r="J88" s="878">
        <f t="shared" si="6"/>
        <v>6.7266921584341929E-2</v>
      </c>
      <c r="K88" s="998" t="s">
        <v>1263</v>
      </c>
      <c r="L88" s="155"/>
      <c r="M88" s="107"/>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c r="DU88"/>
      <c r="DV88"/>
      <c r="DW88"/>
      <c r="DX88"/>
      <c r="DY88"/>
      <c r="DZ88"/>
      <c r="EA88"/>
      <c r="EB88"/>
      <c r="EC88"/>
      <c r="ED88"/>
      <c r="EE88"/>
      <c r="EF88"/>
      <c r="EG88"/>
      <c r="EH88"/>
      <c r="EI88"/>
      <c r="EJ88"/>
      <c r="EK88"/>
      <c r="EL88"/>
      <c r="EM88"/>
      <c r="EN88"/>
      <c r="EO88"/>
      <c r="EP88"/>
      <c r="EQ88"/>
      <c r="ER88"/>
      <c r="ES88"/>
      <c r="ET88"/>
      <c r="EU88"/>
      <c r="EV88"/>
      <c r="EW88"/>
      <c r="EX88"/>
      <c r="EY88"/>
      <c r="EZ88"/>
      <c r="FA88"/>
      <c r="FB88"/>
      <c r="FC88"/>
      <c r="FD88"/>
      <c r="FE88"/>
      <c r="FF88"/>
      <c r="FG88"/>
      <c r="FH88"/>
      <c r="FI88"/>
      <c r="FJ88"/>
      <c r="FK88"/>
      <c r="FL88"/>
      <c r="FM88"/>
      <c r="FN88"/>
      <c r="FO88"/>
      <c r="FP88"/>
      <c r="FQ88"/>
      <c r="FR88"/>
      <c r="FS88"/>
      <c r="FT88"/>
      <c r="FU88"/>
      <c r="FV88"/>
      <c r="FW88"/>
      <c r="FX88"/>
      <c r="FY88"/>
      <c r="FZ88"/>
      <c r="GA88"/>
      <c r="GB88"/>
      <c r="GC88"/>
      <c r="GD88"/>
      <c r="GE88"/>
      <c r="GF88"/>
      <c r="GG88"/>
      <c r="GH88"/>
      <c r="GI88"/>
      <c r="GJ88"/>
      <c r="GK88"/>
      <c r="GL88"/>
      <c r="GM88"/>
      <c r="GN88"/>
    </row>
    <row r="89" spans="1:196" s="104" customFormat="1" ht="70.95" hidden="1" customHeight="1" outlineLevel="1" x14ac:dyDescent="0.25">
      <c r="A89" s="810" t="s">
        <v>744</v>
      </c>
      <c r="B89" s="810" t="s">
        <v>554</v>
      </c>
      <c r="C89" s="923"/>
      <c r="D89" s="923"/>
      <c r="E89" s="214"/>
      <c r="F89" s="160" t="s">
        <v>198</v>
      </c>
      <c r="G89" s="296">
        <v>118378.2</v>
      </c>
      <c r="H89" s="304">
        <v>142973.204</v>
      </c>
      <c r="I89" s="153">
        <f t="shared" si="4"/>
        <v>24595.004000000001</v>
      </c>
      <c r="J89" s="878">
        <f t="shared" si="6"/>
        <v>0.20776632859766411</v>
      </c>
      <c r="K89" s="1125" t="s">
        <v>1634</v>
      </c>
      <c r="L89" s="155"/>
      <c r="M89" s="107"/>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c r="DU89"/>
      <c r="DV89"/>
      <c r="DW89"/>
      <c r="DX89"/>
      <c r="DY89"/>
      <c r="DZ89"/>
      <c r="EA89"/>
      <c r="EB89"/>
      <c r="EC89"/>
      <c r="ED89"/>
      <c r="EE89"/>
      <c r="EF89"/>
      <c r="EG89"/>
      <c r="EH89"/>
      <c r="EI89"/>
      <c r="EJ89"/>
      <c r="EK89"/>
      <c r="EL89"/>
      <c r="EM89"/>
      <c r="EN89"/>
      <c r="EO89"/>
      <c r="EP89"/>
      <c r="EQ89"/>
      <c r="ER89"/>
      <c r="ES89"/>
      <c r="ET89"/>
      <c r="EU89"/>
      <c r="EV89"/>
      <c r="EW89"/>
      <c r="EX89"/>
      <c r="EY89"/>
      <c r="EZ89"/>
      <c r="FA89"/>
      <c r="FB89"/>
      <c r="FC89"/>
      <c r="FD89"/>
      <c r="FE89"/>
      <c r="FF89"/>
      <c r="FG89"/>
      <c r="FH89"/>
      <c r="FI89"/>
      <c r="FJ89"/>
      <c r="FK89"/>
      <c r="FL89"/>
      <c r="FM89"/>
      <c r="FN89"/>
      <c r="FO89"/>
      <c r="FP89"/>
      <c r="FQ89"/>
      <c r="FR89"/>
      <c r="FS89"/>
      <c r="FT89"/>
      <c r="FU89"/>
      <c r="FV89"/>
      <c r="FW89"/>
      <c r="FX89"/>
      <c r="FY89"/>
      <c r="FZ89"/>
      <c r="GA89"/>
      <c r="GB89"/>
      <c r="GC89"/>
      <c r="GD89"/>
      <c r="GE89"/>
      <c r="GF89"/>
      <c r="GG89"/>
      <c r="GH89"/>
      <c r="GI89"/>
      <c r="GJ89"/>
      <c r="GK89"/>
      <c r="GL89"/>
      <c r="GM89"/>
      <c r="GN89"/>
    </row>
    <row r="90" spans="1:196" s="104" customFormat="1" ht="13.8" hidden="1" outlineLevel="1" x14ac:dyDescent="0.25">
      <c r="A90" s="810" t="s">
        <v>744</v>
      </c>
      <c r="B90" s="810" t="s">
        <v>556</v>
      </c>
      <c r="C90" s="923"/>
      <c r="D90" s="923"/>
      <c r="E90" s="159"/>
      <c r="F90" s="160" t="s">
        <v>197</v>
      </c>
      <c r="G90" s="296">
        <v>6859</v>
      </c>
      <c r="H90" s="304">
        <v>9767</v>
      </c>
      <c r="I90" s="153">
        <f t="shared" si="4"/>
        <v>2908</v>
      </c>
      <c r="J90" s="878">
        <f t="shared" si="6"/>
        <v>0.42396850852894008</v>
      </c>
      <c r="K90" s="998" t="s">
        <v>1429</v>
      </c>
      <c r="L90" s="155"/>
      <c r="M90" s="107"/>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c r="DU90"/>
      <c r="DV90"/>
      <c r="DW90"/>
      <c r="DX90"/>
      <c r="DY90"/>
      <c r="DZ90"/>
      <c r="EA90"/>
      <c r="EB90"/>
      <c r="EC90"/>
      <c r="ED90"/>
      <c r="EE90"/>
      <c r="EF90"/>
      <c r="EG90"/>
      <c r="EH90"/>
      <c r="EI90"/>
      <c r="EJ90"/>
      <c r="EK90"/>
      <c r="EL90"/>
      <c r="EM90"/>
      <c r="EN90"/>
      <c r="EO90"/>
      <c r="EP90"/>
      <c r="EQ90"/>
      <c r="ER90"/>
      <c r="ES90"/>
      <c r="ET90"/>
      <c r="EU90"/>
      <c r="EV90"/>
      <c r="EW90"/>
      <c r="EX90"/>
      <c r="EY90"/>
      <c r="EZ90"/>
      <c r="FA90"/>
      <c r="FB90"/>
      <c r="FC90"/>
      <c r="FD90"/>
      <c r="FE90"/>
      <c r="FF90"/>
      <c r="FG90"/>
      <c r="FH90"/>
      <c r="FI90"/>
      <c r="FJ90"/>
      <c r="FK90"/>
      <c r="FL90"/>
      <c r="FM90"/>
      <c r="FN90"/>
      <c r="FO90"/>
      <c r="FP90"/>
      <c r="FQ90"/>
      <c r="FR90"/>
      <c r="FS90"/>
      <c r="FT90"/>
      <c r="FU90"/>
      <c r="FV90"/>
      <c r="FW90"/>
      <c r="FX90"/>
      <c r="FY90"/>
      <c r="FZ90"/>
      <c r="GA90"/>
      <c r="GB90"/>
      <c r="GC90"/>
      <c r="GD90"/>
      <c r="GE90"/>
      <c r="GF90"/>
      <c r="GG90"/>
      <c r="GH90"/>
      <c r="GI90"/>
      <c r="GJ90"/>
      <c r="GK90"/>
      <c r="GL90"/>
      <c r="GM90"/>
      <c r="GN90"/>
    </row>
    <row r="91" spans="1:196" s="525" customFormat="1" ht="13.8" hidden="1" outlineLevel="1" x14ac:dyDescent="0.25">
      <c r="A91" s="1407" t="s">
        <v>744</v>
      </c>
      <c r="B91" s="1407" t="s">
        <v>555</v>
      </c>
      <c r="C91" s="1408"/>
      <c r="D91" s="1408"/>
      <c r="E91" s="523"/>
      <c r="F91" s="520" t="s">
        <v>555</v>
      </c>
      <c r="G91" s="505">
        <v>4135</v>
      </c>
      <c r="H91" s="505">
        <v>11400</v>
      </c>
      <c r="I91" s="510">
        <f t="shared" si="4"/>
        <v>7265</v>
      </c>
      <c r="J91" s="876">
        <f t="shared" si="6"/>
        <v>1.7569528415961306</v>
      </c>
      <c r="K91" s="1135"/>
      <c r="L91" s="515"/>
      <c r="M91" s="1116"/>
      <c r="N91" s="515"/>
      <c r="O91" s="515"/>
      <c r="P91" s="515"/>
      <c r="Q91" s="515"/>
      <c r="R91" s="515"/>
      <c r="S91" s="515"/>
      <c r="T91" s="515"/>
      <c r="U91" s="515"/>
      <c r="V91" s="515"/>
      <c r="W91" s="515"/>
      <c r="X91" s="515"/>
      <c r="Y91" s="515"/>
      <c r="Z91" s="515"/>
      <c r="AA91" s="515"/>
      <c r="AB91" s="515"/>
      <c r="AC91" s="515"/>
      <c r="AD91" s="515"/>
      <c r="AE91" s="515"/>
      <c r="AF91" s="515"/>
      <c r="AG91" s="515"/>
      <c r="AH91" s="515"/>
      <c r="AI91" s="515"/>
      <c r="AJ91" s="515"/>
      <c r="AK91" s="515"/>
      <c r="AL91" s="515"/>
      <c r="AM91" s="515"/>
      <c r="AN91" s="515"/>
      <c r="AO91" s="515"/>
      <c r="AP91" s="515"/>
      <c r="AQ91" s="515"/>
      <c r="AR91" s="515"/>
      <c r="AS91" s="515"/>
      <c r="AT91" s="515"/>
      <c r="AU91" s="515"/>
      <c r="AV91" s="515"/>
      <c r="AW91" s="515"/>
      <c r="AX91" s="515"/>
      <c r="AY91" s="515"/>
      <c r="AZ91" s="515"/>
      <c r="BA91" s="515"/>
      <c r="BB91" s="515"/>
      <c r="BC91" s="515"/>
      <c r="BD91" s="515"/>
      <c r="BE91" s="515"/>
      <c r="BF91" s="515"/>
      <c r="BG91" s="515"/>
      <c r="BH91" s="515"/>
      <c r="BI91" s="515"/>
      <c r="BJ91" s="515"/>
      <c r="BK91" s="515"/>
      <c r="BL91" s="515"/>
      <c r="BM91" s="515"/>
      <c r="BN91" s="515"/>
      <c r="BO91" s="515"/>
      <c r="BP91" s="515"/>
      <c r="BQ91" s="515"/>
      <c r="BR91" s="515"/>
      <c r="BS91" s="515"/>
      <c r="BT91" s="515"/>
      <c r="BU91" s="515"/>
      <c r="BV91" s="515"/>
      <c r="BW91" s="515"/>
      <c r="BX91" s="515"/>
      <c r="BY91" s="515"/>
      <c r="BZ91" s="515"/>
      <c r="CA91" s="515"/>
      <c r="CB91" s="515"/>
      <c r="CC91" s="515"/>
      <c r="CD91" s="515"/>
      <c r="CE91" s="515"/>
      <c r="CF91" s="515"/>
      <c r="CG91" s="515"/>
      <c r="CH91" s="515"/>
      <c r="CI91" s="515"/>
      <c r="CJ91" s="515"/>
      <c r="CK91" s="515"/>
      <c r="CL91" s="515"/>
      <c r="CM91" s="515"/>
      <c r="CN91" s="515"/>
      <c r="CO91" s="515"/>
      <c r="CP91" s="515"/>
      <c r="CQ91" s="515"/>
      <c r="CR91" s="515"/>
      <c r="CS91" s="515"/>
      <c r="CT91" s="515"/>
      <c r="CU91" s="515"/>
      <c r="CV91" s="515"/>
      <c r="CW91" s="515"/>
      <c r="CX91" s="515"/>
      <c r="CY91" s="515"/>
      <c r="CZ91" s="515"/>
      <c r="DA91" s="515"/>
      <c r="DB91" s="515"/>
      <c r="DC91" s="515"/>
      <c r="DD91" s="515"/>
      <c r="DE91" s="515"/>
      <c r="DF91" s="515"/>
      <c r="DG91" s="515"/>
      <c r="DH91" s="515"/>
      <c r="DI91" s="515"/>
      <c r="DJ91" s="515"/>
      <c r="DK91" s="515"/>
      <c r="DL91" s="515"/>
      <c r="DM91" s="515"/>
      <c r="DN91" s="515"/>
      <c r="DO91" s="515"/>
      <c r="DP91" s="515"/>
      <c r="DQ91" s="515"/>
      <c r="DR91" s="515"/>
      <c r="DS91" s="515"/>
      <c r="DT91" s="515"/>
      <c r="DU91" s="515"/>
      <c r="DV91" s="515"/>
      <c r="DW91" s="515"/>
      <c r="DX91" s="515"/>
      <c r="DY91" s="515"/>
      <c r="DZ91" s="515"/>
      <c r="EA91" s="515"/>
      <c r="EB91" s="515"/>
      <c r="EC91" s="515"/>
      <c r="ED91" s="515"/>
      <c r="EE91" s="515"/>
      <c r="EF91" s="515"/>
      <c r="EG91" s="515"/>
      <c r="EH91" s="515"/>
      <c r="EI91" s="515"/>
      <c r="EJ91" s="515"/>
      <c r="EK91" s="515"/>
      <c r="EL91" s="515"/>
      <c r="EM91" s="515"/>
      <c r="EN91" s="515"/>
      <c r="EO91" s="515"/>
      <c r="EP91" s="515"/>
      <c r="EQ91" s="515"/>
      <c r="ER91" s="515"/>
      <c r="ES91" s="515"/>
      <c r="ET91" s="515"/>
      <c r="EU91" s="515"/>
      <c r="EV91" s="515"/>
      <c r="EW91" s="515"/>
      <c r="EX91" s="515"/>
      <c r="EY91" s="515"/>
      <c r="EZ91" s="515"/>
      <c r="FA91" s="515"/>
      <c r="FB91" s="515"/>
      <c r="FC91" s="515"/>
      <c r="FD91" s="515"/>
      <c r="FE91" s="515"/>
      <c r="FF91" s="515"/>
      <c r="FG91" s="515"/>
      <c r="FH91" s="515"/>
      <c r="FI91" s="515"/>
      <c r="FJ91" s="515"/>
      <c r="FK91" s="515"/>
      <c r="FL91" s="515"/>
      <c r="FM91" s="515"/>
      <c r="FN91" s="515"/>
      <c r="FO91" s="515"/>
      <c r="FP91" s="515"/>
      <c r="FQ91" s="515"/>
      <c r="FR91" s="515"/>
      <c r="FS91" s="515"/>
      <c r="FT91" s="515"/>
      <c r="FU91" s="515"/>
      <c r="FV91" s="515"/>
      <c r="FW91" s="515"/>
      <c r="FX91" s="515"/>
      <c r="FY91" s="515"/>
      <c r="FZ91" s="515"/>
      <c r="GA91" s="515"/>
      <c r="GB91" s="515"/>
      <c r="GC91" s="515"/>
      <c r="GD91" s="515"/>
      <c r="GE91" s="515"/>
      <c r="GF91" s="515"/>
      <c r="GG91" s="515"/>
      <c r="GH91" s="515"/>
      <c r="GI91" s="515"/>
      <c r="GJ91" s="515"/>
      <c r="GK91" s="515"/>
      <c r="GL91" s="515"/>
      <c r="GM91" s="515"/>
      <c r="GN91" s="515"/>
    </row>
    <row r="92" spans="1:196" ht="13.8" collapsed="1" x14ac:dyDescent="0.25">
      <c r="C92" s="923">
        <f>123918+50028</f>
        <v>173946</v>
      </c>
      <c r="D92" s="923">
        <f>C92-G92</f>
        <v>-0.72749610000755638</v>
      </c>
      <c r="E92" s="143" t="s">
        <v>15</v>
      </c>
      <c r="F92" s="144" t="s">
        <v>82</v>
      </c>
      <c r="G92" s="294">
        <v>173946.72749610001</v>
      </c>
      <c r="H92" s="295">
        <v>207617.29264600005</v>
      </c>
      <c r="I92" s="126">
        <f t="shared" si="4"/>
        <v>33670.565149900038</v>
      </c>
      <c r="J92" s="864">
        <f t="shared" si="6"/>
        <v>0.19356825871101802</v>
      </c>
      <c r="K92" s="1133"/>
      <c r="L92" s="224"/>
    </row>
    <row r="93" spans="1:196" s="104" customFormat="1" ht="13.8" hidden="1" outlineLevel="1" x14ac:dyDescent="0.25">
      <c r="A93" s="810" t="s">
        <v>769</v>
      </c>
      <c r="B93" s="810" t="s">
        <v>228</v>
      </c>
      <c r="C93" s="923"/>
      <c r="D93" s="923"/>
      <c r="E93" s="159"/>
      <c r="F93" s="215" t="s">
        <v>228</v>
      </c>
      <c r="G93" s="296">
        <v>98739.397496099991</v>
      </c>
      <c r="H93" s="304">
        <v>133182.56264600003</v>
      </c>
      <c r="I93" s="153">
        <f t="shared" si="4"/>
        <v>34443.165149900044</v>
      </c>
      <c r="J93" s="878">
        <f t="shared" si="6"/>
        <v>0.34882899858954963</v>
      </c>
      <c r="K93" s="998" t="s">
        <v>1431</v>
      </c>
      <c r="L93" s="155"/>
      <c r="M93" s="107"/>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c r="DU93"/>
      <c r="DV93"/>
      <c r="DW93"/>
      <c r="DX93"/>
      <c r="DY93"/>
      <c r="DZ93"/>
      <c r="EA93"/>
      <c r="EB93"/>
      <c r="EC93"/>
      <c r="ED93"/>
      <c r="EE93"/>
      <c r="EF93"/>
      <c r="EG93"/>
      <c r="EH93"/>
      <c r="EI93"/>
      <c r="EJ93"/>
      <c r="EK93"/>
      <c r="EL93"/>
      <c r="EM93"/>
      <c r="EN93"/>
      <c r="EO93"/>
      <c r="EP93"/>
      <c r="EQ93"/>
      <c r="ER93"/>
      <c r="ES93"/>
      <c r="ET93"/>
      <c r="EU93"/>
      <c r="EV93"/>
      <c r="EW93"/>
      <c r="EX93"/>
      <c r="EY93"/>
      <c r="EZ93"/>
      <c r="FA93"/>
      <c r="FB93"/>
      <c r="FC93"/>
      <c r="FD93"/>
      <c r="FE93"/>
      <c r="FF93"/>
      <c r="FG93"/>
      <c r="FH93"/>
      <c r="FI93"/>
      <c r="FJ93"/>
      <c r="FK93"/>
      <c r="FL93"/>
      <c r="FM93"/>
      <c r="FN93"/>
      <c r="FO93"/>
      <c r="FP93"/>
      <c r="FQ93"/>
      <c r="FR93"/>
      <c r="FS93"/>
      <c r="FT93"/>
      <c r="FU93"/>
      <c r="FV93"/>
      <c r="FW93"/>
      <c r="FX93"/>
      <c r="FY93"/>
      <c r="FZ93"/>
      <c r="GA93"/>
      <c r="GB93"/>
      <c r="GC93"/>
      <c r="GD93"/>
      <c r="GE93"/>
      <c r="GF93"/>
      <c r="GG93"/>
      <c r="GH93"/>
      <c r="GI93"/>
      <c r="GJ93"/>
      <c r="GK93"/>
      <c r="GL93"/>
      <c r="GM93"/>
      <c r="GN93"/>
    </row>
    <row r="94" spans="1:196" s="104" customFormat="1" ht="55.2" hidden="1" outlineLevel="1" x14ac:dyDescent="0.25">
      <c r="A94" s="810" t="s">
        <v>769</v>
      </c>
      <c r="B94" s="810" t="s">
        <v>554</v>
      </c>
      <c r="C94" s="923"/>
      <c r="D94" s="923"/>
      <c r="E94" s="214"/>
      <c r="F94" s="160" t="s">
        <v>198</v>
      </c>
      <c r="G94" s="296">
        <v>21927</v>
      </c>
      <c r="H94" s="304">
        <v>25853.65</v>
      </c>
      <c r="I94" s="153">
        <f t="shared" si="4"/>
        <v>3926.6500000000015</v>
      </c>
      <c r="J94" s="878">
        <f t="shared" si="6"/>
        <v>0.17907830528572086</v>
      </c>
      <c r="K94" s="1125" t="s">
        <v>1455</v>
      </c>
      <c r="L94" s="155"/>
      <c r="M94" s="107"/>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c r="DU94"/>
      <c r="DV94"/>
      <c r="DW94"/>
      <c r="DX94"/>
      <c r="DY94"/>
      <c r="DZ94"/>
      <c r="EA94"/>
      <c r="EB94"/>
      <c r="EC94"/>
      <c r="ED94"/>
      <c r="EE94"/>
      <c r="EF94"/>
      <c r="EG94"/>
      <c r="EH94"/>
      <c r="EI94"/>
      <c r="EJ94"/>
      <c r="EK94"/>
      <c r="EL94"/>
      <c r="EM94"/>
      <c r="EN94"/>
      <c r="EO94"/>
      <c r="EP94"/>
      <c r="EQ94"/>
      <c r="ER94"/>
      <c r="ES94"/>
      <c r="ET94"/>
      <c r="EU94"/>
      <c r="EV94"/>
      <c r="EW94"/>
      <c r="EX94"/>
      <c r="EY94"/>
      <c r="EZ94"/>
      <c r="FA94"/>
      <c r="FB94"/>
      <c r="FC94"/>
      <c r="FD94"/>
      <c r="FE94"/>
      <c r="FF94"/>
      <c r="FG94"/>
      <c r="FH94"/>
      <c r="FI94"/>
      <c r="FJ94"/>
      <c r="FK94"/>
      <c r="FL94"/>
      <c r="FM94"/>
      <c r="FN94"/>
      <c r="FO94"/>
      <c r="FP94"/>
      <c r="FQ94"/>
      <c r="FR94"/>
      <c r="FS94"/>
      <c r="FT94"/>
      <c r="FU94"/>
      <c r="FV94"/>
      <c r="FW94"/>
      <c r="FX94"/>
      <c r="FY94"/>
      <c r="FZ94"/>
      <c r="GA94"/>
      <c r="GB94"/>
      <c r="GC94"/>
      <c r="GD94"/>
      <c r="GE94"/>
      <c r="GF94"/>
      <c r="GG94"/>
      <c r="GH94"/>
      <c r="GI94"/>
      <c r="GJ94"/>
      <c r="GK94"/>
      <c r="GL94"/>
      <c r="GM94"/>
      <c r="GN94"/>
    </row>
    <row r="95" spans="1:196" s="216" customFormat="1" ht="13.8" hidden="1" outlineLevel="1" x14ac:dyDescent="0.25">
      <c r="A95" s="810" t="s">
        <v>770</v>
      </c>
      <c r="B95" s="810" t="s">
        <v>554</v>
      </c>
      <c r="C95" s="923">
        <v>50028</v>
      </c>
      <c r="D95" s="923">
        <f>C95-G95</f>
        <v>-0.33000000000174623</v>
      </c>
      <c r="E95" s="811"/>
      <c r="F95" s="859" t="s">
        <v>714</v>
      </c>
      <c r="G95" s="296">
        <v>50028.33</v>
      </c>
      <c r="H95" s="304">
        <v>45166.33</v>
      </c>
      <c r="I95" s="153">
        <f t="shared" ref="I95" si="11">H95-G95</f>
        <v>-4862</v>
      </c>
      <c r="J95" s="878">
        <f t="shared" ref="J95" si="12">IFERROR(I95/G95,"-")</f>
        <v>-9.718493501582004E-2</v>
      </c>
      <c r="K95" s="812" t="s">
        <v>1432</v>
      </c>
      <c r="L95" s="323"/>
      <c r="M95" s="1114"/>
      <c r="N95" s="223"/>
      <c r="O95" s="223"/>
      <c r="P95" s="223"/>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3"/>
      <c r="BA95" s="223"/>
      <c r="BB95" s="223"/>
      <c r="BC95" s="223"/>
      <c r="BD95" s="223"/>
      <c r="BE95" s="223"/>
      <c r="BF95" s="223"/>
      <c r="BG95" s="223"/>
      <c r="BH95" s="223"/>
      <c r="BI95" s="223"/>
      <c r="BJ95" s="223"/>
      <c r="BK95" s="223"/>
      <c r="BL95" s="223"/>
      <c r="BM95" s="223"/>
      <c r="BN95" s="223"/>
      <c r="BO95" s="223"/>
      <c r="BP95" s="223"/>
      <c r="BQ95" s="223"/>
      <c r="BR95" s="223"/>
      <c r="BS95" s="223"/>
      <c r="BT95" s="223"/>
      <c r="BU95" s="223"/>
      <c r="BV95" s="223"/>
      <c r="BW95" s="223"/>
      <c r="BX95" s="223"/>
      <c r="BY95" s="223"/>
      <c r="BZ95" s="223"/>
      <c r="CA95" s="223"/>
      <c r="CB95" s="223"/>
      <c r="CC95" s="223"/>
      <c r="CD95" s="223"/>
      <c r="CE95" s="223"/>
      <c r="CF95" s="223"/>
      <c r="CG95" s="223"/>
      <c r="CH95" s="223"/>
      <c r="CI95" s="223"/>
      <c r="CJ95" s="223"/>
      <c r="CK95" s="223"/>
      <c r="CL95" s="223"/>
      <c r="CM95" s="223"/>
      <c r="CN95" s="223"/>
      <c r="CO95" s="223"/>
      <c r="CP95" s="223"/>
      <c r="CQ95" s="223"/>
      <c r="CR95" s="223"/>
      <c r="CS95" s="223"/>
      <c r="CT95" s="223"/>
      <c r="CU95" s="223"/>
      <c r="CV95" s="223"/>
      <c r="CW95" s="223"/>
      <c r="CX95" s="223"/>
      <c r="CY95" s="223"/>
      <c r="CZ95" s="223"/>
      <c r="DA95" s="223"/>
      <c r="DB95" s="223"/>
      <c r="DC95" s="223"/>
      <c r="DD95" s="223"/>
      <c r="DE95" s="223"/>
      <c r="DF95" s="223"/>
      <c r="DG95" s="223"/>
      <c r="DH95" s="223"/>
      <c r="DI95" s="223"/>
      <c r="DJ95" s="223"/>
      <c r="DK95" s="223"/>
      <c r="DL95" s="223"/>
      <c r="DM95" s="223"/>
      <c r="DN95" s="223"/>
      <c r="DO95" s="223"/>
      <c r="DP95" s="223"/>
      <c r="DQ95" s="223"/>
      <c r="DR95" s="223"/>
      <c r="DS95" s="223"/>
      <c r="DT95" s="223"/>
      <c r="DU95" s="223"/>
      <c r="DV95" s="223"/>
      <c r="DW95" s="223"/>
      <c r="DX95" s="223"/>
      <c r="DY95" s="223"/>
      <c r="DZ95" s="223"/>
      <c r="EA95" s="223"/>
      <c r="EB95" s="223"/>
      <c r="EC95" s="223"/>
      <c r="ED95" s="223"/>
      <c r="EE95" s="223"/>
      <c r="EF95" s="223"/>
      <c r="EG95" s="223"/>
      <c r="EH95" s="223"/>
      <c r="EI95" s="223"/>
      <c r="EJ95" s="223"/>
      <c r="EK95" s="223"/>
      <c r="EL95" s="223"/>
      <c r="EM95" s="223"/>
      <c r="EN95" s="223"/>
      <c r="EO95" s="223"/>
      <c r="EP95" s="223"/>
      <c r="EQ95" s="223"/>
      <c r="ER95" s="223"/>
      <c r="ES95" s="223"/>
      <c r="ET95" s="223"/>
      <c r="EU95" s="223"/>
      <c r="EV95" s="223"/>
      <c r="EW95" s="223"/>
      <c r="EX95" s="223"/>
      <c r="EY95" s="223"/>
      <c r="EZ95" s="223"/>
      <c r="FA95" s="223"/>
      <c r="FB95" s="223"/>
      <c r="FC95" s="223"/>
      <c r="FD95" s="223"/>
      <c r="FE95" s="223"/>
      <c r="FF95" s="223"/>
      <c r="FG95" s="223"/>
      <c r="FH95" s="223"/>
      <c r="FI95" s="223"/>
      <c r="FJ95" s="223"/>
      <c r="FK95" s="223"/>
      <c r="FL95" s="223"/>
      <c r="FM95" s="223"/>
      <c r="FN95" s="223"/>
      <c r="FO95" s="223"/>
      <c r="FP95" s="223"/>
      <c r="FQ95" s="223"/>
      <c r="FR95" s="223"/>
      <c r="FS95" s="223"/>
      <c r="FT95" s="223"/>
      <c r="FU95" s="223"/>
      <c r="FV95" s="223"/>
      <c r="FW95" s="223"/>
      <c r="FX95" s="223"/>
      <c r="FY95" s="223"/>
      <c r="FZ95" s="223"/>
      <c r="GA95" s="223"/>
      <c r="GB95" s="223"/>
      <c r="GC95" s="223"/>
      <c r="GD95" s="223"/>
      <c r="GE95" s="223"/>
      <c r="GF95" s="223"/>
      <c r="GG95" s="223"/>
      <c r="GH95" s="223"/>
      <c r="GI95" s="223"/>
      <c r="GJ95" s="223"/>
      <c r="GK95" s="223"/>
      <c r="GL95" s="223"/>
      <c r="GM95" s="223"/>
      <c r="GN95" s="223"/>
    </row>
    <row r="96" spans="1:196" s="104" customFormat="1" ht="13.8" hidden="1" outlineLevel="1" x14ac:dyDescent="0.25">
      <c r="A96" s="810" t="s">
        <v>769</v>
      </c>
      <c r="B96" s="810" t="s">
        <v>556</v>
      </c>
      <c r="C96" s="923"/>
      <c r="D96" s="923"/>
      <c r="E96" s="159"/>
      <c r="F96" s="160" t="s">
        <v>197</v>
      </c>
      <c r="G96" s="296">
        <v>3252</v>
      </c>
      <c r="H96" s="304">
        <v>3414.75</v>
      </c>
      <c r="I96" s="153">
        <f t="shared" si="4"/>
        <v>162.75</v>
      </c>
      <c r="J96" s="878">
        <f t="shared" si="6"/>
        <v>5.0046125461254615E-2</v>
      </c>
      <c r="K96" s="998"/>
      <c r="L96" s="155"/>
      <c r="M96" s="107"/>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c r="DU96"/>
      <c r="DV96"/>
      <c r="DW96"/>
      <c r="DX96"/>
      <c r="DY96"/>
      <c r="DZ96"/>
      <c r="EA96"/>
      <c r="EB96"/>
      <c r="EC96"/>
      <c r="ED96"/>
      <c r="EE96"/>
      <c r="EF96"/>
      <c r="EG96"/>
      <c r="EH96"/>
      <c r="EI96"/>
      <c r="EJ96"/>
      <c r="EK96"/>
      <c r="EL96"/>
      <c r="EM96"/>
      <c r="EN96"/>
      <c r="EO96"/>
      <c r="EP96"/>
      <c r="EQ96"/>
      <c r="ER96"/>
      <c r="ES96"/>
      <c r="ET96"/>
      <c r="EU96"/>
      <c r="EV96"/>
      <c r="EW96"/>
      <c r="EX96"/>
      <c r="EY96"/>
      <c r="EZ96"/>
      <c r="FA96"/>
      <c r="FB96"/>
      <c r="FC96"/>
      <c r="FD96"/>
      <c r="FE96"/>
      <c r="FF96"/>
      <c r="FG96"/>
      <c r="FH96"/>
      <c r="FI96"/>
      <c r="FJ96"/>
      <c r="FK96"/>
      <c r="FL96"/>
      <c r="FM96"/>
      <c r="FN96"/>
      <c r="FO96"/>
      <c r="FP96"/>
      <c r="FQ96"/>
      <c r="FR96"/>
      <c r="FS96"/>
      <c r="FT96"/>
      <c r="FU96"/>
      <c r="FV96"/>
      <c r="FW96"/>
      <c r="FX96"/>
      <c r="FY96"/>
      <c r="FZ96"/>
      <c r="GA96"/>
      <c r="GB96"/>
      <c r="GC96"/>
      <c r="GD96"/>
      <c r="GE96"/>
      <c r="GF96"/>
      <c r="GG96"/>
      <c r="GH96"/>
      <c r="GI96"/>
      <c r="GJ96"/>
      <c r="GK96"/>
      <c r="GL96"/>
      <c r="GM96"/>
      <c r="GN96"/>
    </row>
    <row r="97" spans="1:196" s="525" customFormat="1" ht="13.8" hidden="1" outlineLevel="1" x14ac:dyDescent="0.25">
      <c r="A97" s="1095" t="s">
        <v>769</v>
      </c>
      <c r="B97" s="1095" t="s">
        <v>555</v>
      </c>
      <c r="C97" s="1096"/>
      <c r="D97" s="1096"/>
      <c r="E97" s="523"/>
      <c r="F97" s="520" t="s">
        <v>555</v>
      </c>
      <c r="G97" s="504">
        <v>0</v>
      </c>
      <c r="H97" s="504">
        <v>0</v>
      </c>
      <c r="I97" s="510">
        <f t="shared" si="4"/>
        <v>0</v>
      </c>
      <c r="J97" s="876" t="str">
        <f t="shared" si="6"/>
        <v>-</v>
      </c>
      <c r="K97" s="1135"/>
      <c r="L97" s="515"/>
      <c r="M97" s="1116"/>
      <c r="N97" s="515"/>
      <c r="O97" s="515"/>
      <c r="P97" s="515"/>
      <c r="Q97" s="515"/>
      <c r="R97" s="515"/>
      <c r="S97" s="515"/>
      <c r="T97" s="515"/>
      <c r="U97" s="515"/>
      <c r="V97" s="515"/>
      <c r="W97" s="515"/>
      <c r="X97" s="515"/>
      <c r="Y97" s="515"/>
      <c r="Z97" s="515"/>
      <c r="AA97" s="515"/>
      <c r="AB97" s="515"/>
      <c r="AC97" s="515"/>
      <c r="AD97" s="515"/>
      <c r="AE97" s="515"/>
      <c r="AF97" s="515"/>
      <c r="AG97" s="515"/>
      <c r="AH97" s="515"/>
      <c r="AI97" s="515"/>
      <c r="AJ97" s="515"/>
      <c r="AK97" s="515"/>
      <c r="AL97" s="515"/>
      <c r="AM97" s="515"/>
      <c r="AN97" s="515"/>
      <c r="AO97" s="515"/>
      <c r="AP97" s="515"/>
      <c r="AQ97" s="515"/>
      <c r="AR97" s="515"/>
      <c r="AS97" s="515"/>
      <c r="AT97" s="515"/>
      <c r="AU97" s="515"/>
      <c r="AV97" s="515"/>
      <c r="AW97" s="515"/>
      <c r="AX97" s="515"/>
      <c r="AY97" s="515"/>
      <c r="AZ97" s="515"/>
      <c r="BA97" s="515"/>
      <c r="BB97" s="515"/>
      <c r="BC97" s="515"/>
      <c r="BD97" s="515"/>
      <c r="BE97" s="515"/>
      <c r="BF97" s="515"/>
      <c r="BG97" s="515"/>
      <c r="BH97" s="515"/>
      <c r="BI97" s="515"/>
      <c r="BJ97" s="515"/>
      <c r="BK97" s="515"/>
      <c r="BL97" s="515"/>
      <c r="BM97" s="515"/>
      <c r="BN97" s="515"/>
      <c r="BO97" s="515"/>
      <c r="BP97" s="515"/>
      <c r="BQ97" s="515"/>
      <c r="BR97" s="515"/>
      <c r="BS97" s="515"/>
      <c r="BT97" s="515"/>
      <c r="BU97" s="515"/>
      <c r="BV97" s="515"/>
      <c r="BW97" s="515"/>
      <c r="BX97" s="515"/>
      <c r="BY97" s="515"/>
      <c r="BZ97" s="515"/>
      <c r="CA97" s="515"/>
      <c r="CB97" s="515"/>
      <c r="CC97" s="515"/>
      <c r="CD97" s="515"/>
      <c r="CE97" s="515"/>
      <c r="CF97" s="515"/>
      <c r="CG97" s="515"/>
      <c r="CH97" s="515"/>
      <c r="CI97" s="515"/>
      <c r="CJ97" s="515"/>
      <c r="CK97" s="515"/>
      <c r="CL97" s="515"/>
      <c r="CM97" s="515"/>
      <c r="CN97" s="515"/>
      <c r="CO97" s="515"/>
      <c r="CP97" s="515"/>
      <c r="CQ97" s="515"/>
      <c r="CR97" s="515"/>
      <c r="CS97" s="515"/>
      <c r="CT97" s="515"/>
      <c r="CU97" s="515"/>
      <c r="CV97" s="515"/>
      <c r="CW97" s="515"/>
      <c r="CX97" s="515"/>
      <c r="CY97" s="515"/>
      <c r="CZ97" s="515"/>
      <c r="DA97" s="515"/>
      <c r="DB97" s="515"/>
      <c r="DC97" s="515"/>
      <c r="DD97" s="515"/>
      <c r="DE97" s="515"/>
      <c r="DF97" s="515"/>
      <c r="DG97" s="515"/>
      <c r="DH97" s="515"/>
      <c r="DI97" s="515"/>
      <c r="DJ97" s="515"/>
      <c r="DK97" s="515"/>
      <c r="DL97" s="515"/>
      <c r="DM97" s="515"/>
      <c r="DN97" s="515"/>
      <c r="DO97" s="515"/>
      <c r="DP97" s="515"/>
      <c r="DQ97" s="515"/>
      <c r="DR97" s="515"/>
      <c r="DS97" s="515"/>
      <c r="DT97" s="515"/>
      <c r="DU97" s="515"/>
      <c r="DV97" s="515"/>
      <c r="DW97" s="515"/>
      <c r="DX97" s="515"/>
      <c r="DY97" s="515"/>
      <c r="DZ97" s="515"/>
      <c r="EA97" s="515"/>
      <c r="EB97" s="515"/>
      <c r="EC97" s="515"/>
      <c r="ED97" s="515"/>
      <c r="EE97" s="515"/>
      <c r="EF97" s="515"/>
      <c r="EG97" s="515"/>
      <c r="EH97" s="515"/>
      <c r="EI97" s="515"/>
      <c r="EJ97" s="515"/>
      <c r="EK97" s="515"/>
      <c r="EL97" s="515"/>
      <c r="EM97" s="515"/>
      <c r="EN97" s="515"/>
      <c r="EO97" s="515"/>
      <c r="EP97" s="515"/>
      <c r="EQ97" s="515"/>
      <c r="ER97" s="515"/>
      <c r="ES97" s="515"/>
      <c r="ET97" s="515"/>
      <c r="EU97" s="515"/>
      <c r="EV97" s="515"/>
      <c r="EW97" s="515"/>
      <c r="EX97" s="515"/>
      <c r="EY97" s="515"/>
      <c r="EZ97" s="515"/>
      <c r="FA97" s="515"/>
      <c r="FB97" s="515"/>
      <c r="FC97" s="515"/>
      <c r="FD97" s="515"/>
      <c r="FE97" s="515"/>
      <c r="FF97" s="515"/>
      <c r="FG97" s="515"/>
      <c r="FH97" s="515"/>
      <c r="FI97" s="515"/>
      <c r="FJ97" s="515"/>
      <c r="FK97" s="515"/>
      <c r="FL97" s="515"/>
      <c r="FM97" s="515"/>
      <c r="FN97" s="515"/>
      <c r="FO97" s="515"/>
      <c r="FP97" s="515"/>
      <c r="FQ97" s="515"/>
      <c r="FR97" s="515"/>
      <c r="FS97" s="515"/>
      <c r="FT97" s="515"/>
      <c r="FU97" s="515"/>
      <c r="FV97" s="515"/>
      <c r="FW97" s="515"/>
      <c r="FX97" s="515"/>
      <c r="FY97" s="515"/>
      <c r="FZ97" s="515"/>
      <c r="GA97" s="515"/>
      <c r="GB97" s="515"/>
      <c r="GC97" s="515"/>
      <c r="GD97" s="515"/>
      <c r="GE97" s="515"/>
      <c r="GF97" s="515"/>
      <c r="GG97" s="515"/>
      <c r="GH97" s="515"/>
      <c r="GI97" s="515"/>
      <c r="GJ97" s="515"/>
      <c r="GK97" s="515"/>
      <c r="GL97" s="515"/>
      <c r="GM97" s="515"/>
      <c r="GN97" s="515"/>
    </row>
    <row r="98" spans="1:196" ht="27" customHeight="1" collapsed="1" x14ac:dyDescent="0.25">
      <c r="E98" s="143" t="s">
        <v>19</v>
      </c>
      <c r="F98" s="144" t="s">
        <v>83</v>
      </c>
      <c r="G98" s="294">
        <v>6238826.8145316662</v>
      </c>
      <c r="H98" s="295">
        <v>9822525.2801130004</v>
      </c>
      <c r="I98" s="126">
        <f t="shared" si="4"/>
        <v>3583698.4655813342</v>
      </c>
      <c r="J98" s="864">
        <f t="shared" si="6"/>
        <v>0.57441864826798428</v>
      </c>
      <c r="K98" s="423"/>
      <c r="L98" s="224"/>
    </row>
    <row r="99" spans="1:196" s="343" customFormat="1" ht="13.8" x14ac:dyDescent="0.25">
      <c r="A99" s="1404"/>
      <c r="B99" s="1404"/>
      <c r="C99" s="1399"/>
      <c r="D99" s="1399"/>
      <c r="E99" s="338"/>
      <c r="F99" s="339" t="s">
        <v>228</v>
      </c>
      <c r="G99" s="340">
        <v>2655644.6898650001</v>
      </c>
      <c r="H99" s="340">
        <v>3172635.1098130001</v>
      </c>
      <c r="I99" s="341">
        <f t="shared" si="4"/>
        <v>516990.419948</v>
      </c>
      <c r="J99" s="873">
        <f t="shared" si="6"/>
        <v>0.19467605057297074</v>
      </c>
      <c r="K99" s="425"/>
      <c r="L99" s="470"/>
      <c r="M99" s="1115"/>
      <c r="N99" s="924"/>
      <c r="O99" s="924"/>
      <c r="P99" s="924"/>
      <c r="Q99" s="924"/>
      <c r="R99" s="924"/>
      <c r="S99" s="924"/>
      <c r="T99" s="924"/>
      <c r="U99" s="924"/>
      <c r="V99" s="924"/>
      <c r="W99" s="924"/>
      <c r="X99" s="924"/>
      <c r="Y99" s="924"/>
      <c r="Z99" s="924"/>
      <c r="AA99" s="924"/>
      <c r="AB99" s="924"/>
      <c r="AC99" s="924"/>
      <c r="AD99" s="924"/>
      <c r="AE99" s="924"/>
      <c r="AF99" s="924"/>
      <c r="AG99" s="924"/>
      <c r="AH99" s="924"/>
      <c r="AI99" s="924"/>
      <c r="AJ99" s="924"/>
      <c r="AK99" s="924"/>
      <c r="AL99" s="924"/>
      <c r="AM99" s="924"/>
      <c r="AN99" s="924"/>
      <c r="AO99" s="924"/>
      <c r="AP99" s="924"/>
      <c r="AQ99" s="924"/>
      <c r="AR99" s="924"/>
      <c r="AS99" s="924"/>
      <c r="AT99" s="924"/>
      <c r="AU99" s="924"/>
      <c r="AV99" s="924"/>
      <c r="AW99" s="924"/>
      <c r="AX99" s="924"/>
      <c r="AY99" s="924"/>
      <c r="AZ99" s="924"/>
      <c r="BA99" s="924"/>
      <c r="BB99" s="924"/>
      <c r="BC99" s="924"/>
      <c r="BD99" s="924"/>
      <c r="BE99" s="924"/>
      <c r="BF99" s="924"/>
      <c r="BG99" s="924"/>
      <c r="BH99" s="924"/>
      <c r="BI99" s="924"/>
      <c r="BJ99" s="924"/>
      <c r="BK99" s="924"/>
      <c r="BL99" s="924"/>
      <c r="BM99" s="924"/>
      <c r="BN99" s="924"/>
      <c r="BO99" s="924"/>
      <c r="BP99" s="924"/>
      <c r="BQ99" s="924"/>
      <c r="BR99" s="924"/>
      <c r="BS99" s="924"/>
      <c r="BT99" s="924"/>
      <c r="BU99" s="924"/>
      <c r="BV99" s="924"/>
      <c r="BW99" s="924"/>
      <c r="BX99" s="924"/>
      <c r="BY99" s="924"/>
      <c r="BZ99" s="924"/>
      <c r="CA99" s="924"/>
      <c r="CB99" s="924"/>
      <c r="CC99" s="924"/>
      <c r="CD99" s="924"/>
      <c r="CE99" s="924"/>
      <c r="CF99" s="924"/>
      <c r="CG99" s="924"/>
      <c r="CH99" s="924"/>
      <c r="CI99" s="924"/>
      <c r="CJ99" s="924"/>
      <c r="CK99" s="924"/>
      <c r="CL99" s="924"/>
      <c r="CM99" s="924"/>
      <c r="CN99" s="924"/>
      <c r="CO99" s="924"/>
      <c r="CP99" s="924"/>
      <c r="CQ99" s="924"/>
      <c r="CR99" s="924"/>
      <c r="CS99" s="924"/>
      <c r="CT99" s="924"/>
      <c r="CU99" s="924"/>
      <c r="CV99" s="924"/>
      <c r="CW99" s="924"/>
      <c r="CX99" s="924"/>
      <c r="CY99" s="924"/>
      <c r="CZ99" s="924"/>
      <c r="DA99" s="924"/>
      <c r="DB99" s="924"/>
      <c r="DC99" s="924"/>
      <c r="DD99" s="924"/>
      <c r="DE99" s="924"/>
      <c r="DF99" s="924"/>
      <c r="DG99" s="924"/>
      <c r="DH99" s="924"/>
      <c r="DI99" s="924"/>
      <c r="DJ99" s="924"/>
      <c r="DK99" s="924"/>
      <c r="DL99" s="924"/>
      <c r="DM99" s="924"/>
      <c r="DN99" s="924"/>
      <c r="DO99" s="924"/>
      <c r="DP99" s="924"/>
      <c r="DQ99" s="924"/>
      <c r="DR99" s="924"/>
      <c r="DS99" s="924"/>
      <c r="DT99" s="924"/>
      <c r="DU99" s="924"/>
      <c r="DV99" s="924"/>
      <c r="DW99" s="924"/>
      <c r="DX99" s="924"/>
      <c r="DY99" s="924"/>
      <c r="DZ99" s="924"/>
      <c r="EA99" s="924"/>
      <c r="EB99" s="924"/>
      <c r="EC99" s="924"/>
      <c r="ED99" s="924"/>
      <c r="EE99" s="924"/>
      <c r="EF99" s="924"/>
      <c r="EG99" s="924"/>
      <c r="EH99" s="924"/>
      <c r="EI99" s="924"/>
      <c r="EJ99" s="924"/>
      <c r="EK99" s="924"/>
      <c r="EL99" s="924"/>
      <c r="EM99" s="924"/>
      <c r="EN99" s="924"/>
      <c r="EO99" s="924"/>
      <c r="EP99" s="924"/>
      <c r="EQ99" s="924"/>
      <c r="ER99" s="924"/>
      <c r="ES99" s="924"/>
      <c r="ET99" s="924"/>
      <c r="EU99" s="924"/>
      <c r="EV99" s="924"/>
      <c r="EW99" s="924"/>
      <c r="EX99" s="924"/>
      <c r="EY99" s="924"/>
      <c r="EZ99" s="924"/>
      <c r="FA99" s="924"/>
      <c r="FB99" s="924"/>
      <c r="FC99" s="924"/>
      <c r="FD99" s="924"/>
      <c r="FE99" s="924"/>
      <c r="FF99" s="924"/>
      <c r="FG99" s="924"/>
      <c r="FH99" s="924"/>
      <c r="FI99" s="924"/>
      <c r="FJ99" s="924"/>
      <c r="FK99" s="924"/>
      <c r="FL99" s="924"/>
      <c r="FM99" s="924"/>
      <c r="FN99" s="924"/>
      <c r="FO99" s="924"/>
      <c r="FP99" s="924"/>
      <c r="FQ99" s="924"/>
      <c r="FR99" s="924"/>
      <c r="FS99" s="924"/>
      <c r="FT99" s="924"/>
      <c r="FU99" s="924"/>
      <c r="FV99" s="924"/>
      <c r="FW99" s="924"/>
      <c r="FX99" s="924"/>
      <c r="FY99" s="924"/>
      <c r="FZ99" s="924"/>
      <c r="GA99" s="924"/>
      <c r="GB99" s="924"/>
      <c r="GC99" s="924"/>
      <c r="GD99" s="924"/>
      <c r="GE99" s="924"/>
      <c r="GF99" s="924"/>
      <c r="GG99" s="924"/>
      <c r="GH99" s="924"/>
      <c r="GI99" s="924"/>
      <c r="GJ99" s="924"/>
      <c r="GK99" s="924"/>
      <c r="GL99" s="924"/>
      <c r="GM99" s="924"/>
      <c r="GN99" s="924"/>
    </row>
    <row r="100" spans="1:196" s="343" customFormat="1" ht="13.8" x14ac:dyDescent="0.25">
      <c r="A100" s="1404"/>
      <c r="B100" s="1404"/>
      <c r="C100" s="1399"/>
      <c r="D100" s="1399"/>
      <c r="E100" s="344"/>
      <c r="F100" s="345" t="s">
        <v>198</v>
      </c>
      <c r="G100" s="340">
        <v>3502519.1246666666</v>
      </c>
      <c r="H100" s="340">
        <v>6564995.1703000003</v>
      </c>
      <c r="I100" s="341">
        <f t="shared" si="4"/>
        <v>3062476.0456333337</v>
      </c>
      <c r="J100" s="873">
        <f t="shared" si="6"/>
        <v>0.87436383260998995</v>
      </c>
      <c r="K100" s="424"/>
      <c r="L100" s="470"/>
      <c r="M100" s="1115"/>
      <c r="N100" s="924"/>
      <c r="O100" s="924"/>
      <c r="P100" s="924"/>
      <c r="Q100" s="924"/>
      <c r="R100" s="924"/>
      <c r="S100" s="924"/>
      <c r="T100" s="924"/>
      <c r="U100" s="924"/>
      <c r="V100" s="924"/>
      <c r="W100" s="924"/>
      <c r="X100" s="924"/>
      <c r="Y100" s="924"/>
      <c r="Z100" s="924"/>
      <c r="AA100" s="924"/>
      <c r="AB100" s="924"/>
      <c r="AC100" s="924"/>
      <c r="AD100" s="924"/>
      <c r="AE100" s="924"/>
      <c r="AF100" s="924"/>
      <c r="AG100" s="924"/>
      <c r="AH100" s="924"/>
      <c r="AI100" s="924"/>
      <c r="AJ100" s="924"/>
      <c r="AK100" s="924"/>
      <c r="AL100" s="924"/>
      <c r="AM100" s="924"/>
      <c r="AN100" s="924"/>
      <c r="AO100" s="924"/>
      <c r="AP100" s="924"/>
      <c r="AQ100" s="924"/>
      <c r="AR100" s="924"/>
      <c r="AS100" s="924"/>
      <c r="AT100" s="924"/>
      <c r="AU100" s="924"/>
      <c r="AV100" s="924"/>
      <c r="AW100" s="924"/>
      <c r="AX100" s="924"/>
      <c r="AY100" s="924"/>
      <c r="AZ100" s="924"/>
      <c r="BA100" s="924"/>
      <c r="BB100" s="924"/>
      <c r="BC100" s="924"/>
      <c r="BD100" s="924"/>
      <c r="BE100" s="924"/>
      <c r="BF100" s="924"/>
      <c r="BG100" s="924"/>
      <c r="BH100" s="924"/>
      <c r="BI100" s="924"/>
      <c r="BJ100" s="924"/>
      <c r="BK100" s="924"/>
      <c r="BL100" s="924"/>
      <c r="BM100" s="924"/>
      <c r="BN100" s="924"/>
      <c r="BO100" s="924"/>
      <c r="BP100" s="924"/>
      <c r="BQ100" s="924"/>
      <c r="BR100" s="924"/>
      <c r="BS100" s="924"/>
      <c r="BT100" s="924"/>
      <c r="BU100" s="924"/>
      <c r="BV100" s="924"/>
      <c r="BW100" s="924"/>
      <c r="BX100" s="924"/>
      <c r="BY100" s="924"/>
      <c r="BZ100" s="924"/>
      <c r="CA100" s="924"/>
      <c r="CB100" s="924"/>
      <c r="CC100" s="924"/>
      <c r="CD100" s="924"/>
      <c r="CE100" s="924"/>
      <c r="CF100" s="924"/>
      <c r="CG100" s="924"/>
      <c r="CH100" s="924"/>
      <c r="CI100" s="924"/>
      <c r="CJ100" s="924"/>
      <c r="CK100" s="924"/>
      <c r="CL100" s="924"/>
      <c r="CM100" s="924"/>
      <c r="CN100" s="924"/>
      <c r="CO100" s="924"/>
      <c r="CP100" s="924"/>
      <c r="CQ100" s="924"/>
      <c r="CR100" s="924"/>
      <c r="CS100" s="924"/>
      <c r="CT100" s="924"/>
      <c r="CU100" s="924"/>
      <c r="CV100" s="924"/>
      <c r="CW100" s="924"/>
      <c r="CX100" s="924"/>
      <c r="CY100" s="924"/>
      <c r="CZ100" s="924"/>
      <c r="DA100" s="924"/>
      <c r="DB100" s="924"/>
      <c r="DC100" s="924"/>
      <c r="DD100" s="924"/>
      <c r="DE100" s="924"/>
      <c r="DF100" s="924"/>
      <c r="DG100" s="924"/>
      <c r="DH100" s="924"/>
      <c r="DI100" s="924"/>
      <c r="DJ100" s="924"/>
      <c r="DK100" s="924"/>
      <c r="DL100" s="924"/>
      <c r="DM100" s="924"/>
      <c r="DN100" s="924"/>
      <c r="DO100" s="924"/>
      <c r="DP100" s="924"/>
      <c r="DQ100" s="924"/>
      <c r="DR100" s="924"/>
      <c r="DS100" s="924"/>
      <c r="DT100" s="924"/>
      <c r="DU100" s="924"/>
      <c r="DV100" s="924"/>
      <c r="DW100" s="924"/>
      <c r="DX100" s="924"/>
      <c r="DY100" s="924"/>
      <c r="DZ100" s="924"/>
      <c r="EA100" s="924"/>
      <c r="EB100" s="924"/>
      <c r="EC100" s="924"/>
      <c r="ED100" s="924"/>
      <c r="EE100" s="924"/>
      <c r="EF100" s="924"/>
      <c r="EG100" s="924"/>
      <c r="EH100" s="924"/>
      <c r="EI100" s="924"/>
      <c r="EJ100" s="924"/>
      <c r="EK100" s="924"/>
      <c r="EL100" s="924"/>
      <c r="EM100" s="924"/>
      <c r="EN100" s="924"/>
      <c r="EO100" s="924"/>
      <c r="EP100" s="924"/>
      <c r="EQ100" s="924"/>
      <c r="ER100" s="924"/>
      <c r="ES100" s="924"/>
      <c r="ET100" s="924"/>
      <c r="EU100" s="924"/>
      <c r="EV100" s="924"/>
      <c r="EW100" s="924"/>
      <c r="EX100" s="924"/>
      <c r="EY100" s="924"/>
      <c r="EZ100" s="924"/>
      <c r="FA100" s="924"/>
      <c r="FB100" s="924"/>
      <c r="FC100" s="924"/>
      <c r="FD100" s="924"/>
      <c r="FE100" s="924"/>
      <c r="FF100" s="924"/>
      <c r="FG100" s="924"/>
      <c r="FH100" s="924"/>
      <c r="FI100" s="924"/>
      <c r="FJ100" s="924"/>
      <c r="FK100" s="924"/>
      <c r="FL100" s="924"/>
      <c r="FM100" s="924"/>
      <c r="FN100" s="924"/>
      <c r="FO100" s="924"/>
      <c r="FP100" s="924"/>
      <c r="FQ100" s="924"/>
      <c r="FR100" s="924"/>
      <c r="FS100" s="924"/>
      <c r="FT100" s="924"/>
      <c r="FU100" s="924"/>
      <c r="FV100" s="924"/>
      <c r="FW100" s="924"/>
      <c r="FX100" s="924"/>
      <c r="FY100" s="924"/>
      <c r="FZ100" s="924"/>
      <c r="GA100" s="924"/>
      <c r="GB100" s="924"/>
      <c r="GC100" s="924"/>
      <c r="GD100" s="924"/>
      <c r="GE100" s="924"/>
      <c r="GF100" s="924"/>
      <c r="GG100" s="924"/>
      <c r="GH100" s="924"/>
      <c r="GI100" s="924"/>
      <c r="GJ100" s="924"/>
      <c r="GK100" s="924"/>
      <c r="GL100" s="924"/>
      <c r="GM100" s="924"/>
      <c r="GN100" s="924"/>
    </row>
    <row r="101" spans="1:196" s="343" customFormat="1" ht="13.8" x14ac:dyDescent="0.25">
      <c r="A101" s="1404"/>
      <c r="B101" s="1404"/>
      <c r="C101" s="1399"/>
      <c r="D101" s="1399"/>
      <c r="E101" s="338"/>
      <c r="F101" s="339" t="s">
        <v>197</v>
      </c>
      <c r="G101" s="340">
        <v>80663</v>
      </c>
      <c r="H101" s="340">
        <v>84895</v>
      </c>
      <c r="I101" s="341">
        <f t="shared" si="4"/>
        <v>4232</v>
      </c>
      <c r="J101" s="873">
        <f t="shared" si="6"/>
        <v>5.2465194698932599E-2</v>
      </c>
      <c r="K101" s="424"/>
      <c r="L101" s="470"/>
      <c r="M101" s="1115"/>
      <c r="N101" s="924"/>
      <c r="O101" s="924"/>
      <c r="P101" s="924"/>
      <c r="Q101" s="924"/>
      <c r="R101" s="924"/>
      <c r="S101" s="924"/>
      <c r="T101" s="924"/>
      <c r="U101" s="924"/>
      <c r="V101" s="924"/>
      <c r="W101" s="924"/>
      <c r="X101" s="924"/>
      <c r="Y101" s="924"/>
      <c r="Z101" s="924"/>
      <c r="AA101" s="924"/>
      <c r="AB101" s="924"/>
      <c r="AC101" s="924"/>
      <c r="AD101" s="924"/>
      <c r="AE101" s="924"/>
      <c r="AF101" s="924"/>
      <c r="AG101" s="924"/>
      <c r="AH101" s="924"/>
      <c r="AI101" s="924"/>
      <c r="AJ101" s="924"/>
      <c r="AK101" s="924"/>
      <c r="AL101" s="924"/>
      <c r="AM101" s="924"/>
      <c r="AN101" s="924"/>
      <c r="AO101" s="924"/>
      <c r="AP101" s="924"/>
      <c r="AQ101" s="924"/>
      <c r="AR101" s="924"/>
      <c r="AS101" s="924"/>
      <c r="AT101" s="924"/>
      <c r="AU101" s="924"/>
      <c r="AV101" s="924"/>
      <c r="AW101" s="924"/>
      <c r="AX101" s="924"/>
      <c r="AY101" s="924"/>
      <c r="AZ101" s="924"/>
      <c r="BA101" s="924"/>
      <c r="BB101" s="924"/>
      <c r="BC101" s="924"/>
      <c r="BD101" s="924"/>
      <c r="BE101" s="924"/>
      <c r="BF101" s="924"/>
      <c r="BG101" s="924"/>
      <c r="BH101" s="924"/>
      <c r="BI101" s="924"/>
      <c r="BJ101" s="924"/>
      <c r="BK101" s="924"/>
      <c r="BL101" s="924"/>
      <c r="BM101" s="924"/>
      <c r="BN101" s="924"/>
      <c r="BO101" s="924"/>
      <c r="BP101" s="924"/>
      <c r="BQ101" s="924"/>
      <c r="BR101" s="924"/>
      <c r="BS101" s="924"/>
      <c r="BT101" s="924"/>
      <c r="BU101" s="924"/>
      <c r="BV101" s="924"/>
      <c r="BW101" s="924"/>
      <c r="BX101" s="924"/>
      <c r="BY101" s="924"/>
      <c r="BZ101" s="924"/>
      <c r="CA101" s="924"/>
      <c r="CB101" s="924"/>
      <c r="CC101" s="924"/>
      <c r="CD101" s="924"/>
      <c r="CE101" s="924"/>
      <c r="CF101" s="924"/>
      <c r="CG101" s="924"/>
      <c r="CH101" s="924"/>
      <c r="CI101" s="924"/>
      <c r="CJ101" s="924"/>
      <c r="CK101" s="924"/>
      <c r="CL101" s="924"/>
      <c r="CM101" s="924"/>
      <c r="CN101" s="924"/>
      <c r="CO101" s="924"/>
      <c r="CP101" s="924"/>
      <c r="CQ101" s="924"/>
      <c r="CR101" s="924"/>
      <c r="CS101" s="924"/>
      <c r="CT101" s="924"/>
      <c r="CU101" s="924"/>
      <c r="CV101" s="924"/>
      <c r="CW101" s="924"/>
      <c r="CX101" s="924"/>
      <c r="CY101" s="924"/>
      <c r="CZ101" s="924"/>
      <c r="DA101" s="924"/>
      <c r="DB101" s="924"/>
      <c r="DC101" s="924"/>
      <c r="DD101" s="924"/>
      <c r="DE101" s="924"/>
      <c r="DF101" s="924"/>
      <c r="DG101" s="924"/>
      <c r="DH101" s="924"/>
      <c r="DI101" s="924"/>
      <c r="DJ101" s="924"/>
      <c r="DK101" s="924"/>
      <c r="DL101" s="924"/>
      <c r="DM101" s="924"/>
      <c r="DN101" s="924"/>
      <c r="DO101" s="924"/>
      <c r="DP101" s="924"/>
      <c r="DQ101" s="924"/>
      <c r="DR101" s="924"/>
      <c r="DS101" s="924"/>
      <c r="DT101" s="924"/>
      <c r="DU101" s="924"/>
      <c r="DV101" s="924"/>
      <c r="DW101" s="924"/>
      <c r="DX101" s="924"/>
      <c r="DY101" s="924"/>
      <c r="DZ101" s="924"/>
      <c r="EA101" s="924"/>
      <c r="EB101" s="924"/>
      <c r="EC101" s="924"/>
      <c r="ED101" s="924"/>
      <c r="EE101" s="924"/>
      <c r="EF101" s="924"/>
      <c r="EG101" s="924"/>
      <c r="EH101" s="924"/>
      <c r="EI101" s="924"/>
      <c r="EJ101" s="924"/>
      <c r="EK101" s="924"/>
      <c r="EL101" s="924"/>
      <c r="EM101" s="924"/>
      <c r="EN101" s="924"/>
      <c r="EO101" s="924"/>
      <c r="EP101" s="924"/>
      <c r="EQ101" s="924"/>
      <c r="ER101" s="924"/>
      <c r="ES101" s="924"/>
      <c r="ET101" s="924"/>
      <c r="EU101" s="924"/>
      <c r="EV101" s="924"/>
      <c r="EW101" s="924"/>
      <c r="EX101" s="924"/>
      <c r="EY101" s="924"/>
      <c r="EZ101" s="924"/>
      <c r="FA101" s="924"/>
      <c r="FB101" s="924"/>
      <c r="FC101" s="924"/>
      <c r="FD101" s="924"/>
      <c r="FE101" s="924"/>
      <c r="FF101" s="924"/>
      <c r="FG101" s="924"/>
      <c r="FH101" s="924"/>
      <c r="FI101" s="924"/>
      <c r="FJ101" s="924"/>
      <c r="FK101" s="924"/>
      <c r="FL101" s="924"/>
      <c r="FM101" s="924"/>
      <c r="FN101" s="924"/>
      <c r="FO101" s="924"/>
      <c r="FP101" s="924"/>
      <c r="FQ101" s="924"/>
      <c r="FR101" s="924"/>
      <c r="FS101" s="924"/>
      <c r="FT101" s="924"/>
      <c r="FU101" s="924"/>
      <c r="FV101" s="924"/>
      <c r="FW101" s="924"/>
      <c r="FX101" s="924"/>
      <c r="FY101" s="924"/>
      <c r="FZ101" s="924"/>
      <c r="GA101" s="924"/>
      <c r="GB101" s="924"/>
      <c r="GC101" s="924"/>
      <c r="GD101" s="924"/>
      <c r="GE101" s="924"/>
      <c r="GF101" s="924"/>
      <c r="GG101" s="924"/>
      <c r="GH101" s="924"/>
      <c r="GI101" s="924"/>
      <c r="GJ101" s="924"/>
      <c r="GK101" s="924"/>
      <c r="GL101" s="924"/>
      <c r="GM101" s="924"/>
      <c r="GN101" s="924"/>
    </row>
    <row r="102" spans="1:196" s="517" customFormat="1" ht="13.8" hidden="1" outlineLevel="1" x14ac:dyDescent="0.25">
      <c r="A102" s="810"/>
      <c r="B102" s="810"/>
      <c r="C102" s="923"/>
      <c r="D102" s="923"/>
      <c r="E102" s="530"/>
      <c r="F102" s="531" t="s">
        <v>360</v>
      </c>
      <c r="G102" s="506">
        <v>1100</v>
      </c>
      <c r="H102" s="506">
        <v>1200</v>
      </c>
      <c r="I102" s="509">
        <f>H102-G102</f>
        <v>100</v>
      </c>
      <c r="J102" s="880">
        <f t="shared" si="6"/>
        <v>9.0909090909090912E-2</v>
      </c>
      <c r="K102" s="527"/>
      <c r="L102" s="507"/>
      <c r="M102" s="409"/>
      <c r="N102" s="408"/>
      <c r="O102" s="408"/>
      <c r="P102" s="408"/>
      <c r="Q102" s="408"/>
      <c r="R102" s="408"/>
      <c r="S102" s="408"/>
      <c r="T102" s="408"/>
      <c r="U102" s="408"/>
      <c r="V102" s="408"/>
      <c r="W102" s="408"/>
      <c r="X102" s="408"/>
      <c r="Y102" s="408"/>
      <c r="Z102" s="408"/>
      <c r="AA102" s="408"/>
      <c r="AB102" s="408"/>
      <c r="AC102" s="408"/>
      <c r="AD102" s="408"/>
      <c r="AE102" s="408"/>
      <c r="AF102" s="408"/>
      <c r="AG102" s="408"/>
      <c r="AH102" s="408"/>
      <c r="AI102" s="408"/>
      <c r="AJ102" s="408"/>
      <c r="AK102" s="408"/>
      <c r="AL102" s="408"/>
      <c r="AM102" s="408"/>
      <c r="AN102" s="408"/>
      <c r="AO102" s="408"/>
      <c r="AP102" s="408"/>
      <c r="AQ102" s="408"/>
      <c r="AR102" s="408"/>
      <c r="AS102" s="408"/>
      <c r="AT102" s="408"/>
      <c r="AU102" s="408"/>
      <c r="AV102" s="408"/>
      <c r="AW102" s="408"/>
      <c r="AX102" s="408"/>
      <c r="AY102" s="408"/>
      <c r="AZ102" s="408"/>
      <c r="BA102" s="408"/>
      <c r="BB102" s="408"/>
      <c r="BC102" s="408"/>
      <c r="BD102" s="408"/>
      <c r="BE102" s="408"/>
      <c r="BF102" s="408"/>
      <c r="BG102" s="408"/>
      <c r="BH102" s="408"/>
      <c r="BI102" s="408"/>
      <c r="BJ102" s="408"/>
      <c r="BK102" s="408"/>
      <c r="BL102" s="408"/>
      <c r="BM102" s="408"/>
      <c r="BN102" s="408"/>
      <c r="BO102" s="408"/>
      <c r="BP102" s="408"/>
      <c r="BQ102" s="408"/>
      <c r="BR102" s="408"/>
      <c r="BS102" s="408"/>
      <c r="BT102" s="408"/>
      <c r="BU102" s="408"/>
      <c r="BV102" s="408"/>
      <c r="BW102" s="408"/>
      <c r="BX102" s="408"/>
      <c r="BY102" s="408"/>
      <c r="BZ102" s="408"/>
      <c r="CA102" s="408"/>
      <c r="CB102" s="408"/>
      <c r="CC102" s="408"/>
      <c r="CD102" s="408"/>
      <c r="CE102" s="408"/>
      <c r="CF102" s="408"/>
      <c r="CG102" s="408"/>
      <c r="CH102" s="408"/>
      <c r="CI102" s="408"/>
      <c r="CJ102" s="408"/>
      <c r="CK102" s="408"/>
      <c r="CL102" s="408"/>
      <c r="CM102" s="408"/>
      <c r="CN102" s="408"/>
      <c r="CO102" s="408"/>
      <c r="CP102" s="408"/>
      <c r="CQ102" s="408"/>
      <c r="CR102" s="408"/>
      <c r="CS102" s="408"/>
      <c r="CT102" s="408"/>
      <c r="CU102" s="408"/>
      <c r="CV102" s="408"/>
      <c r="CW102" s="408"/>
      <c r="CX102" s="408"/>
      <c r="CY102" s="408"/>
      <c r="CZ102" s="408"/>
      <c r="DA102" s="408"/>
      <c r="DB102" s="408"/>
      <c r="DC102" s="408"/>
      <c r="DD102" s="408"/>
      <c r="DE102" s="408"/>
      <c r="DF102" s="408"/>
      <c r="DG102" s="408"/>
      <c r="DH102" s="408"/>
      <c r="DI102" s="408"/>
      <c r="DJ102" s="408"/>
      <c r="DK102" s="408"/>
      <c r="DL102" s="408"/>
      <c r="DM102" s="408"/>
      <c r="DN102" s="408"/>
      <c r="DO102" s="408"/>
      <c r="DP102" s="408"/>
      <c r="DQ102" s="408"/>
      <c r="DR102" s="408"/>
      <c r="DS102" s="408"/>
      <c r="DT102" s="408"/>
      <c r="DU102" s="408"/>
      <c r="DV102" s="408"/>
      <c r="DW102" s="408"/>
      <c r="DX102" s="408"/>
      <c r="DY102" s="408"/>
      <c r="DZ102" s="408"/>
      <c r="EA102" s="408"/>
      <c r="EB102" s="408"/>
      <c r="EC102" s="408"/>
      <c r="ED102" s="408"/>
      <c r="EE102" s="408"/>
      <c r="EF102" s="408"/>
      <c r="EG102" s="408"/>
      <c r="EH102" s="408"/>
      <c r="EI102" s="408"/>
      <c r="EJ102" s="408"/>
      <c r="EK102" s="408"/>
      <c r="EL102" s="408"/>
      <c r="EM102" s="408"/>
      <c r="EN102" s="408"/>
      <c r="EO102" s="408"/>
      <c r="EP102" s="408"/>
      <c r="EQ102" s="408"/>
      <c r="ER102" s="408"/>
      <c r="ES102" s="408"/>
      <c r="ET102" s="408"/>
      <c r="EU102" s="408"/>
      <c r="EV102" s="408"/>
      <c r="EW102" s="408"/>
      <c r="EX102" s="408"/>
      <c r="EY102" s="408"/>
      <c r="EZ102" s="408"/>
      <c r="FA102" s="408"/>
      <c r="FB102" s="408"/>
      <c r="FC102" s="408"/>
      <c r="FD102" s="408"/>
      <c r="FE102" s="408"/>
      <c r="FF102" s="408"/>
      <c r="FG102" s="408"/>
      <c r="FH102" s="408"/>
      <c r="FI102" s="408"/>
      <c r="FJ102" s="408"/>
      <c r="FK102" s="408"/>
      <c r="FL102" s="408"/>
      <c r="FM102" s="408"/>
      <c r="FN102" s="408"/>
      <c r="FO102" s="408"/>
      <c r="FP102" s="408"/>
      <c r="FQ102" s="408"/>
      <c r="FR102" s="408"/>
      <c r="FS102" s="408"/>
      <c r="FT102" s="408"/>
      <c r="FU102" s="408"/>
      <c r="FV102" s="408"/>
      <c r="FW102" s="408"/>
      <c r="FX102" s="408"/>
      <c r="FY102" s="408"/>
      <c r="FZ102" s="408"/>
      <c r="GA102" s="408"/>
      <c r="GB102" s="408"/>
      <c r="GC102" s="408"/>
      <c r="GD102" s="408"/>
      <c r="GE102" s="408"/>
      <c r="GF102" s="408"/>
      <c r="GG102" s="408"/>
      <c r="GH102" s="408"/>
      <c r="GI102" s="408"/>
      <c r="GJ102" s="408"/>
      <c r="GK102" s="408"/>
      <c r="GL102" s="408"/>
      <c r="GM102" s="408"/>
      <c r="GN102" s="408"/>
    </row>
    <row r="103" spans="1:196" s="525" customFormat="1" ht="13.8" hidden="1" outlineLevel="1" x14ac:dyDescent="0.25">
      <c r="A103" s="810"/>
      <c r="B103" s="810"/>
      <c r="C103" s="923"/>
      <c r="D103" s="923"/>
      <c r="E103" s="523"/>
      <c r="F103" s="531" t="s">
        <v>555</v>
      </c>
      <c r="G103" s="505" t="e">
        <v>#REF!</v>
      </c>
      <c r="H103" s="505" t="e">
        <v>#REF!</v>
      </c>
      <c r="I103" s="510" t="e">
        <f t="shared" si="4"/>
        <v>#REF!</v>
      </c>
      <c r="J103" s="876" t="str">
        <f t="shared" si="6"/>
        <v>-</v>
      </c>
      <c r="K103" s="526"/>
      <c r="L103" s="507"/>
      <c r="M103" s="1116"/>
      <c r="N103" s="515"/>
      <c r="O103" s="515"/>
      <c r="P103" s="515"/>
      <c r="Q103" s="515"/>
      <c r="R103" s="515"/>
      <c r="S103" s="515"/>
      <c r="T103" s="515"/>
      <c r="U103" s="515"/>
      <c r="V103" s="515"/>
      <c r="W103" s="515"/>
      <c r="X103" s="515"/>
      <c r="Y103" s="515"/>
      <c r="Z103" s="515"/>
      <c r="AA103" s="515"/>
      <c r="AB103" s="515"/>
      <c r="AC103" s="515"/>
      <c r="AD103" s="515"/>
      <c r="AE103" s="515"/>
      <c r="AF103" s="515"/>
      <c r="AG103" s="515"/>
      <c r="AH103" s="515"/>
      <c r="AI103" s="515"/>
      <c r="AJ103" s="515"/>
      <c r="AK103" s="515"/>
      <c r="AL103" s="515"/>
      <c r="AM103" s="515"/>
      <c r="AN103" s="515"/>
      <c r="AO103" s="515"/>
      <c r="AP103" s="515"/>
      <c r="AQ103" s="515"/>
      <c r="AR103" s="515"/>
      <c r="AS103" s="515"/>
      <c r="AT103" s="515"/>
      <c r="AU103" s="515"/>
      <c r="AV103" s="515"/>
      <c r="AW103" s="515"/>
      <c r="AX103" s="515"/>
      <c r="AY103" s="515"/>
      <c r="AZ103" s="515"/>
      <c r="BA103" s="515"/>
      <c r="BB103" s="515"/>
      <c r="BC103" s="515"/>
      <c r="BD103" s="515"/>
      <c r="BE103" s="515"/>
      <c r="BF103" s="515"/>
      <c r="BG103" s="515"/>
      <c r="BH103" s="515"/>
      <c r="BI103" s="515"/>
      <c r="BJ103" s="515"/>
      <c r="BK103" s="515"/>
      <c r="BL103" s="515"/>
      <c r="BM103" s="515"/>
      <c r="BN103" s="515"/>
      <c r="BO103" s="515"/>
      <c r="BP103" s="515"/>
      <c r="BQ103" s="515"/>
      <c r="BR103" s="515"/>
      <c r="BS103" s="515"/>
      <c r="BT103" s="515"/>
      <c r="BU103" s="515"/>
      <c r="BV103" s="515"/>
      <c r="BW103" s="515"/>
      <c r="BX103" s="515"/>
      <c r="BY103" s="515"/>
      <c r="BZ103" s="515"/>
      <c r="CA103" s="515"/>
      <c r="CB103" s="515"/>
      <c r="CC103" s="515"/>
      <c r="CD103" s="515"/>
      <c r="CE103" s="515"/>
      <c r="CF103" s="515"/>
      <c r="CG103" s="515"/>
      <c r="CH103" s="515"/>
      <c r="CI103" s="515"/>
      <c r="CJ103" s="515"/>
      <c r="CK103" s="515"/>
      <c r="CL103" s="515"/>
      <c r="CM103" s="515"/>
      <c r="CN103" s="515"/>
      <c r="CO103" s="515"/>
      <c r="CP103" s="515"/>
      <c r="CQ103" s="515"/>
      <c r="CR103" s="515"/>
      <c r="CS103" s="515"/>
      <c r="CT103" s="515"/>
      <c r="CU103" s="515"/>
      <c r="CV103" s="515"/>
      <c r="CW103" s="515"/>
      <c r="CX103" s="515"/>
      <c r="CY103" s="515"/>
      <c r="CZ103" s="515"/>
      <c r="DA103" s="515"/>
      <c r="DB103" s="515"/>
      <c r="DC103" s="515"/>
      <c r="DD103" s="515"/>
      <c r="DE103" s="515"/>
      <c r="DF103" s="515"/>
      <c r="DG103" s="515"/>
      <c r="DH103" s="515"/>
      <c r="DI103" s="515"/>
      <c r="DJ103" s="515"/>
      <c r="DK103" s="515"/>
      <c r="DL103" s="515"/>
      <c r="DM103" s="515"/>
      <c r="DN103" s="515"/>
      <c r="DO103" s="515"/>
      <c r="DP103" s="515"/>
      <c r="DQ103" s="515"/>
      <c r="DR103" s="515"/>
      <c r="DS103" s="515"/>
      <c r="DT103" s="515"/>
      <c r="DU103" s="515"/>
      <c r="DV103" s="515"/>
      <c r="DW103" s="515"/>
      <c r="DX103" s="515"/>
      <c r="DY103" s="515"/>
      <c r="DZ103" s="515"/>
      <c r="EA103" s="515"/>
      <c r="EB103" s="515"/>
      <c r="EC103" s="515"/>
      <c r="ED103" s="515"/>
      <c r="EE103" s="515"/>
      <c r="EF103" s="515"/>
      <c r="EG103" s="515"/>
      <c r="EH103" s="515"/>
      <c r="EI103" s="515"/>
      <c r="EJ103" s="515"/>
      <c r="EK103" s="515"/>
      <c r="EL103" s="515"/>
      <c r="EM103" s="515"/>
      <c r="EN103" s="515"/>
      <c r="EO103" s="515"/>
      <c r="EP103" s="515"/>
      <c r="EQ103" s="515"/>
      <c r="ER103" s="515"/>
      <c r="ES103" s="515"/>
      <c r="ET103" s="515"/>
      <c r="EU103" s="515"/>
      <c r="EV103" s="515"/>
      <c r="EW103" s="515"/>
      <c r="EX103" s="515"/>
      <c r="EY103" s="515"/>
      <c r="EZ103" s="515"/>
      <c r="FA103" s="515"/>
      <c r="FB103" s="515"/>
      <c r="FC103" s="515"/>
      <c r="FD103" s="515"/>
      <c r="FE103" s="515"/>
      <c r="FF103" s="515"/>
      <c r="FG103" s="515"/>
      <c r="FH103" s="515"/>
      <c r="FI103" s="515"/>
      <c r="FJ103" s="515"/>
      <c r="FK103" s="515"/>
      <c r="FL103" s="515"/>
      <c r="FM103" s="515"/>
      <c r="FN103" s="515"/>
      <c r="FO103" s="515"/>
      <c r="FP103" s="515"/>
      <c r="FQ103" s="515"/>
      <c r="FR103" s="515"/>
      <c r="FS103" s="515"/>
      <c r="FT103" s="515"/>
      <c r="FU103" s="515"/>
      <c r="FV103" s="515"/>
      <c r="FW103" s="515"/>
      <c r="FX103" s="515"/>
      <c r="FY103" s="515"/>
      <c r="FZ103" s="515"/>
      <c r="GA103" s="515"/>
      <c r="GB103" s="515"/>
      <c r="GC103" s="515"/>
      <c r="GD103" s="515"/>
      <c r="GE103" s="515"/>
      <c r="GF103" s="515"/>
      <c r="GG103" s="515"/>
      <c r="GH103" s="515"/>
      <c r="GI103" s="515"/>
      <c r="GJ103" s="515"/>
      <c r="GK103" s="515"/>
      <c r="GL103" s="515"/>
      <c r="GM103" s="515"/>
      <c r="GN103" s="515"/>
    </row>
    <row r="104" spans="1:196" s="537" customFormat="1" ht="14.4" hidden="1" outlineLevel="1" x14ac:dyDescent="0.3">
      <c r="A104" s="810"/>
      <c r="B104" s="810"/>
      <c r="C104" s="923"/>
      <c r="D104" s="923"/>
      <c r="E104" s="532"/>
      <c r="F104" s="533" t="s">
        <v>229</v>
      </c>
      <c r="G104" s="534" t="e">
        <v>#REF!</v>
      </c>
      <c r="H104" s="534" t="e">
        <v>#REF!</v>
      </c>
      <c r="I104" s="535" t="e">
        <f>H104-G104</f>
        <v>#REF!</v>
      </c>
      <c r="J104" s="881" t="str">
        <f t="shared" si="6"/>
        <v>-</v>
      </c>
      <c r="K104" s="536"/>
      <c r="L104" s="507"/>
      <c r="M104" s="1117"/>
      <c r="N104" s="926"/>
      <c r="O104" s="926"/>
      <c r="P104" s="926"/>
      <c r="Q104" s="926"/>
      <c r="R104" s="926"/>
      <c r="S104" s="926"/>
      <c r="T104" s="926"/>
      <c r="U104" s="926"/>
      <c r="V104" s="926"/>
      <c r="W104" s="926"/>
      <c r="X104" s="926"/>
      <c r="Y104" s="926"/>
      <c r="Z104" s="926"/>
      <c r="AA104" s="926"/>
      <c r="AB104" s="926"/>
      <c r="AC104" s="926"/>
      <c r="AD104" s="926"/>
      <c r="AE104" s="926"/>
      <c r="AF104" s="926"/>
      <c r="AG104" s="926"/>
      <c r="AH104" s="926"/>
      <c r="AI104" s="926"/>
      <c r="AJ104" s="926"/>
      <c r="AK104" s="926"/>
      <c r="AL104" s="926"/>
      <c r="AM104" s="926"/>
      <c r="AN104" s="926"/>
      <c r="AO104" s="926"/>
      <c r="AP104" s="926"/>
      <c r="AQ104" s="926"/>
      <c r="AR104" s="926"/>
      <c r="AS104" s="926"/>
      <c r="AT104" s="926"/>
      <c r="AU104" s="926"/>
      <c r="AV104" s="926"/>
      <c r="AW104" s="926"/>
      <c r="AX104" s="926"/>
      <c r="AY104" s="926"/>
      <c r="AZ104" s="926"/>
      <c r="BA104" s="926"/>
      <c r="BB104" s="926"/>
      <c r="BC104" s="926"/>
      <c r="BD104" s="926"/>
      <c r="BE104" s="926"/>
      <c r="BF104" s="926"/>
      <c r="BG104" s="926"/>
      <c r="BH104" s="926"/>
      <c r="BI104" s="926"/>
      <c r="BJ104" s="926"/>
      <c r="BK104" s="926"/>
      <c r="BL104" s="926"/>
      <c r="BM104" s="926"/>
      <c r="BN104" s="926"/>
      <c r="BO104" s="926"/>
      <c r="BP104" s="926"/>
      <c r="BQ104" s="926"/>
      <c r="BR104" s="926"/>
      <c r="BS104" s="926"/>
      <c r="BT104" s="926"/>
      <c r="BU104" s="926"/>
      <c r="BV104" s="926"/>
      <c r="BW104" s="926"/>
      <c r="BX104" s="926"/>
      <c r="BY104" s="926"/>
      <c r="BZ104" s="926"/>
      <c r="CA104" s="926"/>
      <c r="CB104" s="926"/>
      <c r="CC104" s="926"/>
      <c r="CD104" s="926"/>
      <c r="CE104" s="926"/>
      <c r="CF104" s="926"/>
      <c r="CG104" s="926"/>
      <c r="CH104" s="926"/>
      <c r="CI104" s="926"/>
      <c r="CJ104" s="926"/>
      <c r="CK104" s="926"/>
      <c r="CL104" s="926"/>
      <c r="CM104" s="926"/>
      <c r="CN104" s="926"/>
      <c r="CO104" s="926"/>
      <c r="CP104" s="926"/>
      <c r="CQ104" s="926"/>
      <c r="CR104" s="926"/>
      <c r="CS104" s="926"/>
      <c r="CT104" s="926"/>
      <c r="CU104" s="926"/>
      <c r="CV104" s="926"/>
      <c r="CW104" s="926"/>
      <c r="CX104" s="926"/>
      <c r="CY104" s="926"/>
      <c r="CZ104" s="926"/>
      <c r="DA104" s="926"/>
      <c r="DB104" s="926"/>
      <c r="DC104" s="926"/>
      <c r="DD104" s="926"/>
      <c r="DE104" s="926"/>
      <c r="DF104" s="926"/>
      <c r="DG104" s="926"/>
      <c r="DH104" s="926"/>
      <c r="DI104" s="926"/>
      <c r="DJ104" s="926"/>
      <c r="DK104" s="926"/>
      <c r="DL104" s="926"/>
      <c r="DM104" s="926"/>
      <c r="DN104" s="926"/>
      <c r="DO104" s="926"/>
      <c r="DP104" s="926"/>
      <c r="DQ104" s="926"/>
      <c r="DR104" s="926"/>
      <c r="DS104" s="926"/>
      <c r="DT104" s="926"/>
      <c r="DU104" s="926"/>
      <c r="DV104" s="926"/>
      <c r="DW104" s="926"/>
      <c r="DX104" s="926"/>
      <c r="DY104" s="926"/>
      <c r="DZ104" s="926"/>
      <c r="EA104" s="926"/>
      <c r="EB104" s="926"/>
      <c r="EC104" s="926"/>
      <c r="ED104" s="926"/>
      <c r="EE104" s="926"/>
      <c r="EF104" s="926"/>
      <c r="EG104" s="926"/>
      <c r="EH104" s="926"/>
      <c r="EI104" s="926"/>
      <c r="EJ104" s="926"/>
      <c r="EK104" s="926"/>
      <c r="EL104" s="926"/>
      <c r="EM104" s="926"/>
      <c r="EN104" s="926"/>
      <c r="EO104" s="926"/>
      <c r="EP104" s="926"/>
      <c r="EQ104" s="926"/>
      <c r="ER104" s="926"/>
      <c r="ES104" s="926"/>
      <c r="ET104" s="926"/>
      <c r="EU104" s="926"/>
      <c r="EV104" s="926"/>
      <c r="EW104" s="926"/>
      <c r="EX104" s="926"/>
      <c r="EY104" s="926"/>
      <c r="EZ104" s="926"/>
      <c r="FA104" s="926"/>
      <c r="FB104" s="926"/>
      <c r="FC104" s="926"/>
      <c r="FD104" s="926"/>
      <c r="FE104" s="926"/>
      <c r="FF104" s="926"/>
      <c r="FG104" s="926"/>
      <c r="FH104" s="926"/>
      <c r="FI104" s="926"/>
      <c r="FJ104" s="926"/>
      <c r="FK104" s="926"/>
      <c r="FL104" s="926"/>
      <c r="FM104" s="926"/>
      <c r="FN104" s="926"/>
      <c r="FO104" s="926"/>
      <c r="FP104" s="926"/>
      <c r="FQ104" s="926"/>
      <c r="FR104" s="926"/>
      <c r="FS104" s="926"/>
      <c r="FT104" s="926"/>
      <c r="FU104" s="926"/>
      <c r="FV104" s="926"/>
      <c r="FW104" s="926"/>
      <c r="FX104" s="926"/>
      <c r="FY104" s="926"/>
      <c r="FZ104" s="926"/>
      <c r="GA104" s="926"/>
      <c r="GB104" s="926"/>
      <c r="GC104" s="926"/>
      <c r="GD104" s="926"/>
      <c r="GE104" s="926"/>
      <c r="GF104" s="926"/>
      <c r="GG104" s="926"/>
      <c r="GH104" s="926"/>
      <c r="GI104" s="926"/>
      <c r="GJ104" s="926"/>
      <c r="GK104" s="926"/>
      <c r="GL104" s="926"/>
      <c r="GM104" s="926"/>
      <c r="GN104" s="926"/>
    </row>
    <row r="105" spans="1:196" ht="13.8" collapsed="1" x14ac:dyDescent="0.25">
      <c r="A105" s="810" t="s">
        <v>764</v>
      </c>
      <c r="C105" s="923">
        <v>70497</v>
      </c>
      <c r="D105" s="923">
        <f>C105-G105</f>
        <v>0</v>
      </c>
      <c r="E105" s="141" t="s">
        <v>20</v>
      </c>
      <c r="F105" s="145" t="s">
        <v>81</v>
      </c>
      <c r="G105" s="300">
        <v>70497</v>
      </c>
      <c r="H105" s="311">
        <v>70000</v>
      </c>
      <c r="I105" s="146">
        <f t="shared" ref="I105" si="13">H105-G105</f>
        <v>-497</v>
      </c>
      <c r="J105" s="882">
        <f t="shared" ref="J105" si="14">IFERROR(I105/G105,"-")</f>
        <v>-7.0499453877469961E-3</v>
      </c>
      <c r="K105" s="427"/>
      <c r="L105" s="224"/>
    </row>
    <row r="106" spans="1:196" ht="13.8" x14ac:dyDescent="0.25">
      <c r="C106" s="923">
        <f>278491</f>
        <v>278491</v>
      </c>
      <c r="D106" s="923">
        <f>C106-G106</f>
        <v>-25000</v>
      </c>
      <c r="E106" s="141" t="s">
        <v>21</v>
      </c>
      <c r="F106" s="145" t="s">
        <v>207</v>
      </c>
      <c r="G106" s="300">
        <v>303491</v>
      </c>
      <c r="H106" s="311">
        <v>313523.70461999997</v>
      </c>
      <c r="I106" s="146">
        <f t="shared" si="4"/>
        <v>10032.704619999975</v>
      </c>
      <c r="J106" s="882">
        <f t="shared" si="6"/>
        <v>3.3057667673835382E-2</v>
      </c>
      <c r="K106" s="427"/>
      <c r="L106" s="224"/>
    </row>
    <row r="107" spans="1:196" s="104" customFormat="1" ht="13.8" hidden="1" outlineLevel="1" x14ac:dyDescent="0.25">
      <c r="A107" s="810" t="s">
        <v>754</v>
      </c>
      <c r="B107" s="810" t="s">
        <v>228</v>
      </c>
      <c r="C107" s="923"/>
      <c r="D107" s="923"/>
      <c r="E107" s="159"/>
      <c r="F107" s="160" t="s">
        <v>228</v>
      </c>
      <c r="G107" s="296">
        <v>259758</v>
      </c>
      <c r="H107" s="304">
        <v>258193.14461999998</v>
      </c>
      <c r="I107" s="122">
        <f t="shared" si="4"/>
        <v>-1564.8553800000227</v>
      </c>
      <c r="J107" s="865">
        <f t="shared" si="6"/>
        <v>-6.0242817545562511E-3</v>
      </c>
      <c r="K107" s="419" t="s">
        <v>1611</v>
      </c>
      <c r="L107" s="224"/>
      <c r="M107" s="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c r="DU107"/>
      <c r="DV107"/>
      <c r="DW107"/>
      <c r="DX107"/>
      <c r="DY107"/>
      <c r="DZ107"/>
      <c r="EA107"/>
      <c r="EB107"/>
      <c r="EC107"/>
      <c r="ED107"/>
      <c r="EE107"/>
      <c r="EF107"/>
      <c r="EG107"/>
      <c r="EH107"/>
      <c r="EI107"/>
      <c r="EJ107"/>
      <c r="EK107"/>
      <c r="EL107"/>
      <c r="EM107"/>
      <c r="EN107"/>
      <c r="EO107"/>
      <c r="EP107"/>
      <c r="EQ107"/>
      <c r="ER107"/>
      <c r="ES107"/>
      <c r="ET107"/>
      <c r="EU107"/>
      <c r="EV107"/>
      <c r="EW107"/>
      <c r="EX107"/>
      <c r="EY107"/>
      <c r="EZ107"/>
      <c r="FA107"/>
      <c r="FB107"/>
      <c r="FC107"/>
      <c r="FD107"/>
      <c r="FE107"/>
      <c r="FF107"/>
      <c r="FG107"/>
      <c r="FH107"/>
      <c r="FI107"/>
      <c r="FJ107"/>
      <c r="FK107"/>
      <c r="FL107"/>
      <c r="FM107"/>
      <c r="FN107"/>
      <c r="FO107"/>
      <c r="FP107"/>
      <c r="FQ107"/>
      <c r="FR107"/>
      <c r="FS107"/>
      <c r="FT107"/>
      <c r="FU107"/>
      <c r="FV107"/>
      <c r="FW107"/>
      <c r="FX107"/>
      <c r="FY107"/>
      <c r="FZ107"/>
      <c r="GA107"/>
      <c r="GB107"/>
      <c r="GC107"/>
      <c r="GD107"/>
      <c r="GE107"/>
      <c r="GF107"/>
      <c r="GG107"/>
      <c r="GH107"/>
      <c r="GI107"/>
      <c r="GJ107"/>
      <c r="GK107"/>
      <c r="GL107"/>
      <c r="GM107"/>
      <c r="GN107"/>
    </row>
    <row r="108" spans="1:196" s="104" customFormat="1" ht="61.2" hidden="1" customHeight="1" outlineLevel="1" x14ac:dyDescent="0.25">
      <c r="A108" s="810" t="s">
        <v>754</v>
      </c>
      <c r="B108" s="810" t="s">
        <v>554</v>
      </c>
      <c r="C108" s="923"/>
      <c r="D108" s="923"/>
      <c r="E108" s="214"/>
      <c r="F108" s="215" t="s">
        <v>198</v>
      </c>
      <c r="G108" s="296">
        <v>39904</v>
      </c>
      <c r="H108" s="304">
        <v>52430.559999999998</v>
      </c>
      <c r="I108" s="153">
        <f t="shared" si="4"/>
        <v>12526.559999999998</v>
      </c>
      <c r="J108" s="878">
        <f t="shared" si="6"/>
        <v>0.31391740176423411</v>
      </c>
      <c r="K108" s="1125" t="s">
        <v>1635</v>
      </c>
      <c r="L108" s="224"/>
      <c r="M108" s="107"/>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c r="DU108"/>
      <c r="DV108"/>
      <c r="DW108"/>
      <c r="DX108"/>
      <c r="DY108"/>
      <c r="DZ108"/>
      <c r="EA108"/>
      <c r="EB108"/>
      <c r="EC108"/>
      <c r="ED108"/>
      <c r="EE108"/>
      <c r="EF108"/>
      <c r="EG108"/>
      <c r="EH108"/>
      <c r="EI108"/>
      <c r="EJ108"/>
      <c r="EK108"/>
      <c r="EL108"/>
      <c r="EM108"/>
      <c r="EN108"/>
      <c r="EO108"/>
      <c r="EP108"/>
      <c r="EQ108"/>
      <c r="ER108"/>
      <c r="ES108"/>
      <c r="ET108"/>
      <c r="EU108"/>
      <c r="EV108"/>
      <c r="EW108"/>
      <c r="EX108"/>
      <c r="EY108"/>
      <c r="EZ108"/>
      <c r="FA108"/>
      <c r="FB108"/>
      <c r="FC108"/>
      <c r="FD108"/>
      <c r="FE108"/>
      <c r="FF108"/>
      <c r="FG108"/>
      <c r="FH108"/>
      <c r="FI108"/>
      <c r="FJ108"/>
      <c r="FK108"/>
      <c r="FL108"/>
      <c r="FM108"/>
      <c r="FN108"/>
      <c r="FO108"/>
      <c r="FP108"/>
      <c r="FQ108"/>
      <c r="FR108"/>
      <c r="FS108"/>
      <c r="FT108"/>
      <c r="FU108"/>
      <c r="FV108"/>
      <c r="FW108"/>
      <c r="FX108"/>
      <c r="FY108"/>
      <c r="FZ108"/>
      <c r="GA108"/>
      <c r="GB108"/>
      <c r="GC108"/>
      <c r="GD108"/>
      <c r="GE108"/>
      <c r="GF108"/>
      <c r="GG108"/>
      <c r="GH108"/>
      <c r="GI108"/>
      <c r="GJ108"/>
      <c r="GK108"/>
      <c r="GL108"/>
      <c r="GM108"/>
      <c r="GN108"/>
    </row>
    <row r="109" spans="1:196" s="104" customFormat="1" ht="13.8" hidden="1" outlineLevel="1" x14ac:dyDescent="0.25">
      <c r="A109" s="810" t="s">
        <v>754</v>
      </c>
      <c r="B109" s="810" t="s">
        <v>556</v>
      </c>
      <c r="C109" s="923"/>
      <c r="D109" s="923"/>
      <c r="E109" s="159"/>
      <c r="F109" s="160" t="s">
        <v>197</v>
      </c>
      <c r="G109" s="296">
        <v>3829</v>
      </c>
      <c r="H109" s="304">
        <v>2900</v>
      </c>
      <c r="I109" s="153">
        <f t="shared" si="4"/>
        <v>-929</v>
      </c>
      <c r="J109" s="878">
        <f t="shared" si="6"/>
        <v>-0.24262209454165579</v>
      </c>
      <c r="K109" s="501"/>
      <c r="L109" s="224"/>
      <c r="M109" s="107"/>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c r="DU109"/>
      <c r="DV109"/>
      <c r="DW109"/>
      <c r="DX109"/>
      <c r="DY109"/>
      <c r="DZ109"/>
      <c r="EA109"/>
      <c r="EB109"/>
      <c r="EC109"/>
      <c r="ED109"/>
      <c r="EE109"/>
      <c r="EF109"/>
      <c r="EG109"/>
      <c r="EH109"/>
      <c r="EI109"/>
      <c r="EJ109"/>
      <c r="EK109"/>
      <c r="EL109"/>
      <c r="EM109"/>
      <c r="EN109"/>
      <c r="EO109"/>
      <c r="EP109"/>
      <c r="EQ109"/>
      <c r="ER109"/>
      <c r="ES109"/>
      <c r="ET109"/>
      <c r="EU109"/>
      <c r="EV109"/>
      <c r="EW109"/>
      <c r="EX109"/>
      <c r="EY109"/>
      <c r="EZ109"/>
      <c r="FA109"/>
      <c r="FB109"/>
      <c r="FC109"/>
      <c r="FD109"/>
      <c r="FE109"/>
      <c r="FF109"/>
      <c r="FG109"/>
      <c r="FH109"/>
      <c r="FI109"/>
      <c r="FJ109"/>
      <c r="FK109"/>
      <c r="FL109"/>
      <c r="FM109"/>
      <c r="FN109"/>
      <c r="FO109"/>
      <c r="FP109"/>
      <c r="FQ109"/>
      <c r="FR109"/>
      <c r="FS109"/>
      <c r="FT109"/>
      <c r="FU109"/>
      <c r="FV109"/>
      <c r="FW109"/>
      <c r="FX109"/>
      <c r="FY109"/>
      <c r="FZ109"/>
      <c r="GA109"/>
      <c r="GB109"/>
      <c r="GC109"/>
      <c r="GD109"/>
      <c r="GE109"/>
      <c r="GF109"/>
      <c r="GG109"/>
      <c r="GH109"/>
      <c r="GI109"/>
      <c r="GJ109"/>
      <c r="GK109"/>
      <c r="GL109"/>
      <c r="GM109"/>
      <c r="GN109"/>
    </row>
    <row r="110" spans="1:196" s="525" customFormat="1" ht="13.8" hidden="1" outlineLevel="1" x14ac:dyDescent="0.25">
      <c r="A110" s="1095" t="s">
        <v>754</v>
      </c>
      <c r="B110" s="1095" t="s">
        <v>555</v>
      </c>
      <c r="C110" s="1096"/>
      <c r="D110" s="1096"/>
      <c r="E110" s="523"/>
      <c r="F110" s="520" t="s">
        <v>555</v>
      </c>
      <c r="G110" s="504">
        <v>0</v>
      </c>
      <c r="H110" s="504">
        <v>0</v>
      </c>
      <c r="I110" s="510">
        <f t="shared" si="4"/>
        <v>0</v>
      </c>
      <c r="J110" s="876" t="str">
        <f t="shared" si="6"/>
        <v>-</v>
      </c>
      <c r="K110" s="1135"/>
      <c r="L110" s="507"/>
      <c r="M110" s="1116"/>
      <c r="N110" s="515"/>
      <c r="O110" s="515"/>
      <c r="P110" s="515"/>
      <c r="Q110" s="515"/>
      <c r="R110" s="515"/>
      <c r="S110" s="515"/>
      <c r="T110" s="515"/>
      <c r="U110" s="515"/>
      <c r="V110" s="515"/>
      <c r="W110" s="515"/>
      <c r="X110" s="515"/>
      <c r="Y110" s="515"/>
      <c r="Z110" s="515"/>
      <c r="AA110" s="515"/>
      <c r="AB110" s="515"/>
      <c r="AC110" s="515"/>
      <c r="AD110" s="515"/>
      <c r="AE110" s="515"/>
      <c r="AF110" s="515"/>
      <c r="AG110" s="515"/>
      <c r="AH110" s="515"/>
      <c r="AI110" s="515"/>
      <c r="AJ110" s="515"/>
      <c r="AK110" s="515"/>
      <c r="AL110" s="515"/>
      <c r="AM110" s="515"/>
      <c r="AN110" s="515"/>
      <c r="AO110" s="515"/>
      <c r="AP110" s="515"/>
      <c r="AQ110" s="515"/>
      <c r="AR110" s="515"/>
      <c r="AS110" s="515"/>
      <c r="AT110" s="515"/>
      <c r="AU110" s="515"/>
      <c r="AV110" s="515"/>
      <c r="AW110" s="515"/>
      <c r="AX110" s="515"/>
      <c r="AY110" s="515"/>
      <c r="AZ110" s="515"/>
      <c r="BA110" s="515"/>
      <c r="BB110" s="515"/>
      <c r="BC110" s="515"/>
      <c r="BD110" s="515"/>
      <c r="BE110" s="515"/>
      <c r="BF110" s="515"/>
      <c r="BG110" s="515"/>
      <c r="BH110" s="515"/>
      <c r="BI110" s="515"/>
      <c r="BJ110" s="515"/>
      <c r="BK110" s="515"/>
      <c r="BL110" s="515"/>
      <c r="BM110" s="515"/>
      <c r="BN110" s="515"/>
      <c r="BO110" s="515"/>
      <c r="BP110" s="515"/>
      <c r="BQ110" s="515"/>
      <c r="BR110" s="515"/>
      <c r="BS110" s="515"/>
      <c r="BT110" s="515"/>
      <c r="BU110" s="515"/>
      <c r="BV110" s="515"/>
      <c r="BW110" s="515"/>
      <c r="BX110" s="515"/>
      <c r="BY110" s="515"/>
      <c r="BZ110" s="515"/>
      <c r="CA110" s="515"/>
      <c r="CB110" s="515"/>
      <c r="CC110" s="515"/>
      <c r="CD110" s="515"/>
      <c r="CE110" s="515"/>
      <c r="CF110" s="515"/>
      <c r="CG110" s="515"/>
      <c r="CH110" s="515"/>
      <c r="CI110" s="515"/>
      <c r="CJ110" s="515"/>
      <c r="CK110" s="515"/>
      <c r="CL110" s="515"/>
      <c r="CM110" s="515"/>
      <c r="CN110" s="515"/>
      <c r="CO110" s="515"/>
      <c r="CP110" s="515"/>
      <c r="CQ110" s="515"/>
      <c r="CR110" s="515"/>
      <c r="CS110" s="515"/>
      <c r="CT110" s="515"/>
      <c r="CU110" s="515"/>
      <c r="CV110" s="515"/>
      <c r="CW110" s="515"/>
      <c r="CX110" s="515"/>
      <c r="CY110" s="515"/>
      <c r="CZ110" s="515"/>
      <c r="DA110" s="515"/>
      <c r="DB110" s="515"/>
      <c r="DC110" s="515"/>
      <c r="DD110" s="515"/>
      <c r="DE110" s="515"/>
      <c r="DF110" s="515"/>
      <c r="DG110" s="515"/>
      <c r="DH110" s="515"/>
      <c r="DI110" s="515"/>
      <c r="DJ110" s="515"/>
      <c r="DK110" s="515"/>
      <c r="DL110" s="515"/>
      <c r="DM110" s="515"/>
      <c r="DN110" s="515"/>
      <c r="DO110" s="515"/>
      <c r="DP110" s="515"/>
      <c r="DQ110" s="515"/>
      <c r="DR110" s="515"/>
      <c r="DS110" s="515"/>
      <c r="DT110" s="515"/>
      <c r="DU110" s="515"/>
      <c r="DV110" s="515"/>
      <c r="DW110" s="515"/>
      <c r="DX110" s="515"/>
      <c r="DY110" s="515"/>
      <c r="DZ110" s="515"/>
      <c r="EA110" s="515"/>
      <c r="EB110" s="515"/>
      <c r="EC110" s="515"/>
      <c r="ED110" s="515"/>
      <c r="EE110" s="515"/>
      <c r="EF110" s="515"/>
      <c r="EG110" s="515"/>
      <c r="EH110" s="515"/>
      <c r="EI110" s="515"/>
      <c r="EJ110" s="515"/>
      <c r="EK110" s="515"/>
      <c r="EL110" s="515"/>
      <c r="EM110" s="515"/>
      <c r="EN110" s="515"/>
      <c r="EO110" s="515"/>
      <c r="EP110" s="515"/>
      <c r="EQ110" s="515"/>
      <c r="ER110" s="515"/>
      <c r="ES110" s="515"/>
      <c r="ET110" s="515"/>
      <c r="EU110" s="515"/>
      <c r="EV110" s="515"/>
      <c r="EW110" s="515"/>
      <c r="EX110" s="515"/>
      <c r="EY110" s="515"/>
      <c r="EZ110" s="515"/>
      <c r="FA110" s="515"/>
      <c r="FB110" s="515"/>
      <c r="FC110" s="515"/>
      <c r="FD110" s="515"/>
      <c r="FE110" s="515"/>
      <c r="FF110" s="515"/>
      <c r="FG110" s="515"/>
      <c r="FH110" s="515"/>
      <c r="FI110" s="515"/>
      <c r="FJ110" s="515"/>
      <c r="FK110" s="515"/>
      <c r="FL110" s="515"/>
      <c r="FM110" s="515"/>
      <c r="FN110" s="515"/>
      <c r="FO110" s="515"/>
      <c r="FP110" s="515"/>
      <c r="FQ110" s="515"/>
      <c r="FR110" s="515"/>
      <c r="FS110" s="515"/>
      <c r="FT110" s="515"/>
      <c r="FU110" s="515"/>
      <c r="FV110" s="515"/>
      <c r="FW110" s="515"/>
      <c r="FX110" s="515"/>
      <c r="FY110" s="515"/>
      <c r="FZ110" s="515"/>
      <c r="GA110" s="515"/>
      <c r="GB110" s="515"/>
      <c r="GC110" s="515"/>
      <c r="GD110" s="515"/>
      <c r="GE110" s="515"/>
      <c r="GF110" s="515"/>
      <c r="GG110" s="515"/>
      <c r="GH110" s="515"/>
      <c r="GI110" s="515"/>
      <c r="GJ110" s="515"/>
      <c r="GK110" s="515"/>
      <c r="GL110" s="515"/>
      <c r="GM110" s="515"/>
      <c r="GN110" s="515"/>
    </row>
    <row r="111" spans="1:196" ht="13.8" collapsed="1" x14ac:dyDescent="0.25">
      <c r="C111" s="923">
        <f>879729-G115-G116-G117</f>
        <v>623988</v>
      </c>
      <c r="D111" s="923">
        <f>C111-G111</f>
        <v>184441.62300000002</v>
      </c>
      <c r="E111" s="141" t="s">
        <v>1172</v>
      </c>
      <c r="F111" s="145" t="s">
        <v>670</v>
      </c>
      <c r="G111" s="300">
        <v>439546.37699999998</v>
      </c>
      <c r="H111" s="311">
        <v>416624.16911999998</v>
      </c>
      <c r="I111" s="146">
        <f t="shared" si="4"/>
        <v>-22922.207880000002</v>
      </c>
      <c r="J111" s="882">
        <f t="shared" si="6"/>
        <v>-5.2149691316873269E-2</v>
      </c>
      <c r="K111" s="1134"/>
      <c r="L111" s="224"/>
    </row>
    <row r="112" spans="1:196" s="104" customFormat="1" ht="30" hidden="1" customHeight="1" outlineLevel="1" x14ac:dyDescent="0.25">
      <c r="A112" s="810" t="s">
        <v>1163</v>
      </c>
      <c r="B112" s="810" t="s">
        <v>228</v>
      </c>
      <c r="C112" s="923"/>
      <c r="D112" s="923"/>
      <c r="E112" s="159"/>
      <c r="F112" s="160" t="s">
        <v>228</v>
      </c>
      <c r="G112" s="296">
        <v>256518.91899999999</v>
      </c>
      <c r="H112" s="304">
        <v>242025.56911999997</v>
      </c>
      <c r="I112" s="153">
        <f t="shared" si="4"/>
        <v>-14493.349880000023</v>
      </c>
      <c r="J112" s="878">
        <f t="shared" si="6"/>
        <v>-5.6500120679208163E-2</v>
      </c>
      <c r="K112" s="1126" t="s">
        <v>1636</v>
      </c>
      <c r="L112" s="224"/>
      <c r="M112" s="107"/>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c r="DU112"/>
      <c r="DV112"/>
      <c r="DW112"/>
      <c r="DX112"/>
      <c r="DY112"/>
      <c r="DZ112"/>
      <c r="EA112"/>
      <c r="EB112"/>
      <c r="EC112"/>
      <c r="ED112"/>
      <c r="EE112"/>
      <c r="EF112"/>
      <c r="EG112"/>
      <c r="EH112"/>
      <c r="EI112"/>
      <c r="EJ112"/>
      <c r="EK112"/>
      <c r="EL112"/>
      <c r="EM112"/>
      <c r="EN112"/>
      <c r="EO112"/>
      <c r="EP112"/>
      <c r="EQ112"/>
      <c r="ER112"/>
      <c r="ES112"/>
      <c r="ET112"/>
      <c r="EU112"/>
      <c r="EV112"/>
      <c r="EW112"/>
      <c r="EX112"/>
      <c r="EY112"/>
      <c r="EZ112"/>
      <c r="FA112"/>
      <c r="FB112"/>
      <c r="FC112"/>
      <c r="FD112"/>
      <c r="FE112"/>
      <c r="FF112"/>
      <c r="FG112"/>
      <c r="FH112"/>
      <c r="FI112"/>
      <c r="FJ112"/>
      <c r="FK112"/>
      <c r="FL112"/>
      <c r="FM112"/>
      <c r="FN112"/>
      <c r="FO112"/>
      <c r="FP112"/>
      <c r="FQ112"/>
      <c r="FR112"/>
      <c r="FS112"/>
      <c r="FT112"/>
      <c r="FU112"/>
      <c r="FV112"/>
      <c r="FW112"/>
      <c r="FX112"/>
      <c r="FY112"/>
      <c r="FZ112"/>
      <c r="GA112"/>
      <c r="GB112"/>
      <c r="GC112"/>
      <c r="GD112"/>
      <c r="GE112"/>
      <c r="GF112"/>
      <c r="GG112"/>
      <c r="GH112"/>
      <c r="GI112"/>
      <c r="GJ112"/>
      <c r="GK112"/>
      <c r="GL112"/>
      <c r="GM112"/>
      <c r="GN112"/>
    </row>
    <row r="113" spans="1:196" s="104" customFormat="1" ht="15" hidden="1" customHeight="1" outlineLevel="1" x14ac:dyDescent="0.25">
      <c r="A113" s="810" t="s">
        <v>1163</v>
      </c>
      <c r="B113" s="810" t="s">
        <v>554</v>
      </c>
      <c r="C113" s="923"/>
      <c r="D113" s="923"/>
      <c r="E113" s="214"/>
      <c r="F113" s="215" t="s">
        <v>198</v>
      </c>
      <c r="G113" s="296">
        <v>177236.45799999998</v>
      </c>
      <c r="H113" s="304">
        <v>171598.6</v>
      </c>
      <c r="I113" s="153">
        <f t="shared" si="4"/>
        <v>-5637.8579999999783</v>
      </c>
      <c r="J113" s="878">
        <f t="shared" si="6"/>
        <v>-3.1809809695023235E-2</v>
      </c>
      <c r="K113" s="1125"/>
      <c r="L113" s="224"/>
      <c r="M113" s="107"/>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c r="DU113"/>
      <c r="DV113"/>
      <c r="DW113"/>
      <c r="DX113"/>
      <c r="DY113"/>
      <c r="DZ113"/>
      <c r="EA113"/>
      <c r="EB113"/>
      <c r="EC113"/>
      <c r="ED113"/>
      <c r="EE113"/>
      <c r="EF113"/>
      <c r="EG113"/>
      <c r="EH113"/>
      <c r="EI113"/>
      <c r="EJ113"/>
      <c r="EK113"/>
      <c r="EL113"/>
      <c r="EM113"/>
      <c r="EN113"/>
      <c r="EO113"/>
      <c r="EP113"/>
      <c r="EQ113"/>
      <c r="ER113"/>
      <c r="ES113"/>
      <c r="ET113"/>
      <c r="EU113"/>
      <c r="EV113"/>
      <c r="EW113"/>
      <c r="EX113"/>
      <c r="EY113"/>
      <c r="EZ113"/>
      <c r="FA113"/>
      <c r="FB113"/>
      <c r="FC113"/>
      <c r="FD113"/>
      <c r="FE113"/>
      <c r="FF113"/>
      <c r="FG113"/>
      <c r="FH113"/>
      <c r="FI113"/>
      <c r="FJ113"/>
      <c r="FK113"/>
      <c r="FL113"/>
      <c r="FM113"/>
      <c r="FN113"/>
      <c r="FO113"/>
      <c r="FP113"/>
      <c r="FQ113"/>
      <c r="FR113"/>
      <c r="FS113"/>
      <c r="FT113"/>
      <c r="FU113"/>
      <c r="FV113"/>
      <c r="FW113"/>
      <c r="FX113"/>
      <c r="FY113"/>
      <c r="FZ113"/>
      <c r="GA113"/>
      <c r="GB113"/>
      <c r="GC113"/>
      <c r="GD113"/>
      <c r="GE113"/>
      <c r="GF113"/>
      <c r="GG113"/>
      <c r="GH113"/>
      <c r="GI113"/>
      <c r="GJ113"/>
      <c r="GK113"/>
      <c r="GL113"/>
      <c r="GM113"/>
      <c r="GN113"/>
    </row>
    <row r="114" spans="1:196" s="104" customFormat="1" ht="13.8" hidden="1" outlineLevel="1" x14ac:dyDescent="0.25">
      <c r="A114" s="810" t="s">
        <v>1163</v>
      </c>
      <c r="B114" s="810" t="s">
        <v>556</v>
      </c>
      <c r="C114" s="923"/>
      <c r="D114" s="923"/>
      <c r="E114" s="159"/>
      <c r="F114" s="160" t="s">
        <v>197</v>
      </c>
      <c r="G114" s="296">
        <v>5791</v>
      </c>
      <c r="H114" s="304">
        <v>3000</v>
      </c>
      <c r="I114" s="153">
        <f t="shared" ref="I114:I136" si="15">H114-G114</f>
        <v>-2791</v>
      </c>
      <c r="J114" s="878">
        <f t="shared" ref="J114:J142" si="16">IFERROR(I114/G114,"-")</f>
        <v>-0.48195475738214472</v>
      </c>
      <c r="K114" s="501"/>
      <c r="L114" s="224"/>
      <c r="M114" s="107"/>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c r="EA114"/>
      <c r="EB114"/>
      <c r="EC114"/>
      <c r="ED114"/>
      <c r="EE114"/>
      <c r="EF114"/>
      <c r="EG114"/>
      <c r="EH114"/>
      <c r="EI114"/>
      <c r="EJ114"/>
      <c r="EK114"/>
      <c r="EL114"/>
      <c r="EM114"/>
      <c r="EN114"/>
      <c r="EO114"/>
      <c r="EP114"/>
      <c r="EQ114"/>
      <c r="ER114"/>
      <c r="ES114"/>
      <c r="ET114"/>
      <c r="EU114"/>
      <c r="EV114"/>
      <c r="EW114"/>
      <c r="EX114"/>
      <c r="EY114"/>
      <c r="EZ114"/>
      <c r="FA114"/>
      <c r="FB114"/>
      <c r="FC114"/>
      <c r="FD114"/>
      <c r="FE114"/>
      <c r="FF114"/>
      <c r="FG114"/>
      <c r="FH114"/>
      <c r="FI114"/>
      <c r="FJ114"/>
      <c r="FK114"/>
      <c r="FL114"/>
      <c r="FM114"/>
      <c r="FN114"/>
      <c r="FO114"/>
      <c r="FP114"/>
      <c r="FQ114"/>
      <c r="FR114"/>
      <c r="FS114"/>
      <c r="FT114"/>
      <c r="FU114"/>
      <c r="FV114"/>
      <c r="FW114"/>
      <c r="FX114"/>
      <c r="FY114"/>
      <c r="FZ114"/>
      <c r="GA114"/>
      <c r="GB114"/>
      <c r="GC114"/>
      <c r="GD114"/>
      <c r="GE114"/>
      <c r="GF114"/>
      <c r="GG114"/>
      <c r="GH114"/>
      <c r="GI114"/>
      <c r="GJ114"/>
      <c r="GK114"/>
      <c r="GL114"/>
      <c r="GM114"/>
      <c r="GN114"/>
    </row>
    <row r="115" spans="1:196" s="104" customFormat="1" ht="13.8" hidden="1" outlineLevel="1" x14ac:dyDescent="0.25">
      <c r="A115" s="810" t="s">
        <v>1163</v>
      </c>
      <c r="B115" s="810" t="s">
        <v>182</v>
      </c>
      <c r="C115" s="923"/>
      <c r="D115" s="923"/>
      <c r="E115" s="326"/>
      <c r="F115" s="327" t="s">
        <v>361</v>
      </c>
      <c r="G115" s="296">
        <v>1100</v>
      </c>
      <c r="H115" s="304">
        <v>1200</v>
      </c>
      <c r="I115" s="153">
        <f t="shared" si="15"/>
        <v>100</v>
      </c>
      <c r="J115" s="878">
        <f t="shared" si="16"/>
        <v>9.0909090909090912E-2</v>
      </c>
      <c r="K115" s="501"/>
      <c r="L115" s="224"/>
      <c r="M115" s="107"/>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c r="DU115"/>
      <c r="DV115"/>
      <c r="DW115"/>
      <c r="DX115"/>
      <c r="DY115"/>
      <c r="DZ115"/>
      <c r="EA115"/>
      <c r="EB115"/>
      <c r="EC115"/>
      <c r="ED115"/>
      <c r="EE115"/>
      <c r="EF115"/>
      <c r="EG115"/>
      <c r="EH115"/>
      <c r="EI115"/>
      <c r="EJ115"/>
      <c r="EK115"/>
      <c r="EL115"/>
      <c r="EM115"/>
      <c r="EN115"/>
      <c r="EO115"/>
      <c r="EP115"/>
      <c r="EQ115"/>
      <c r="ER115"/>
      <c r="ES115"/>
      <c r="ET115"/>
      <c r="EU115"/>
      <c r="EV115"/>
      <c r="EW115"/>
      <c r="EX115"/>
      <c r="EY115"/>
      <c r="EZ115"/>
      <c r="FA115"/>
      <c r="FB115"/>
      <c r="FC115"/>
      <c r="FD115"/>
      <c r="FE115"/>
      <c r="FF115"/>
      <c r="FG115"/>
      <c r="FH115"/>
      <c r="FI115"/>
      <c r="FJ115"/>
      <c r="FK115"/>
      <c r="FL115"/>
      <c r="FM115"/>
      <c r="FN115"/>
      <c r="FO115"/>
      <c r="FP115"/>
      <c r="FQ115"/>
      <c r="FR115"/>
      <c r="FS115"/>
      <c r="FT115"/>
      <c r="FU115"/>
      <c r="FV115"/>
      <c r="FW115"/>
      <c r="FX115"/>
      <c r="FY115"/>
      <c r="FZ115"/>
      <c r="GA115"/>
      <c r="GB115"/>
      <c r="GC115"/>
      <c r="GD115"/>
      <c r="GE115"/>
      <c r="GF115"/>
      <c r="GG115"/>
      <c r="GH115"/>
      <c r="GI115"/>
      <c r="GJ115"/>
      <c r="GK115"/>
      <c r="GL115"/>
      <c r="GM115"/>
      <c r="GN115"/>
    </row>
    <row r="116" spans="1:196" s="525" customFormat="1" ht="13.8" hidden="1" outlineLevel="1" x14ac:dyDescent="0.25">
      <c r="A116" s="1407" t="s">
        <v>1163</v>
      </c>
      <c r="B116" s="1407" t="s">
        <v>555</v>
      </c>
      <c r="C116" s="1408"/>
      <c r="D116" s="1408"/>
      <c r="E116" s="523"/>
      <c r="F116" s="520" t="s">
        <v>555</v>
      </c>
      <c r="G116" s="505">
        <v>196787</v>
      </c>
      <c r="H116" s="505">
        <v>15259</v>
      </c>
      <c r="I116" s="510">
        <f>H116-G116</f>
        <v>-181528</v>
      </c>
      <c r="J116" s="876">
        <f t="shared" si="16"/>
        <v>-0.92245930879580462</v>
      </c>
      <c r="K116" s="1135"/>
      <c r="L116" s="1409"/>
      <c r="M116" s="1116"/>
      <c r="N116" s="515"/>
      <c r="O116" s="515"/>
      <c r="P116" s="515"/>
      <c r="Q116" s="515"/>
      <c r="R116" s="515"/>
      <c r="S116" s="515"/>
      <c r="T116" s="515"/>
      <c r="U116" s="515"/>
      <c r="V116" s="515"/>
      <c r="W116" s="515"/>
      <c r="X116" s="515"/>
      <c r="Y116" s="515"/>
      <c r="Z116" s="515"/>
      <c r="AA116" s="515"/>
      <c r="AB116" s="515"/>
      <c r="AC116" s="515"/>
      <c r="AD116" s="515"/>
      <c r="AE116" s="515"/>
      <c r="AF116" s="515"/>
      <c r="AG116" s="515"/>
      <c r="AH116" s="515"/>
      <c r="AI116" s="515"/>
      <c r="AJ116" s="515"/>
      <c r="AK116" s="515"/>
      <c r="AL116" s="515"/>
      <c r="AM116" s="515"/>
      <c r="AN116" s="515"/>
      <c r="AO116" s="515"/>
      <c r="AP116" s="515"/>
      <c r="AQ116" s="515"/>
      <c r="AR116" s="515"/>
      <c r="AS116" s="515"/>
      <c r="AT116" s="515"/>
      <c r="AU116" s="515"/>
      <c r="AV116" s="515"/>
      <c r="AW116" s="515"/>
      <c r="AX116" s="515"/>
      <c r="AY116" s="515"/>
      <c r="AZ116" s="515"/>
      <c r="BA116" s="515"/>
      <c r="BB116" s="515"/>
      <c r="BC116" s="515"/>
      <c r="BD116" s="515"/>
      <c r="BE116" s="515"/>
      <c r="BF116" s="515"/>
      <c r="BG116" s="515"/>
      <c r="BH116" s="515"/>
      <c r="BI116" s="515"/>
      <c r="BJ116" s="515"/>
      <c r="BK116" s="515"/>
      <c r="BL116" s="515"/>
      <c r="BM116" s="515"/>
      <c r="BN116" s="515"/>
      <c r="BO116" s="515"/>
      <c r="BP116" s="515"/>
      <c r="BQ116" s="515"/>
      <c r="BR116" s="515"/>
      <c r="BS116" s="515"/>
      <c r="BT116" s="515"/>
      <c r="BU116" s="515"/>
      <c r="BV116" s="515"/>
      <c r="BW116" s="515"/>
      <c r="BX116" s="515"/>
      <c r="BY116" s="515"/>
      <c r="BZ116" s="515"/>
      <c r="CA116" s="515"/>
      <c r="CB116" s="515"/>
      <c r="CC116" s="515"/>
      <c r="CD116" s="515"/>
      <c r="CE116" s="515"/>
      <c r="CF116" s="515"/>
      <c r="CG116" s="515"/>
      <c r="CH116" s="515"/>
      <c r="CI116" s="515"/>
      <c r="CJ116" s="515"/>
      <c r="CK116" s="515"/>
      <c r="CL116" s="515"/>
      <c r="CM116" s="515"/>
      <c r="CN116" s="515"/>
      <c r="CO116" s="515"/>
      <c r="CP116" s="515"/>
      <c r="CQ116" s="515"/>
      <c r="CR116" s="515"/>
      <c r="CS116" s="515"/>
      <c r="CT116" s="515"/>
      <c r="CU116" s="515"/>
      <c r="CV116" s="515"/>
      <c r="CW116" s="515"/>
      <c r="CX116" s="515"/>
      <c r="CY116" s="515"/>
      <c r="CZ116" s="515"/>
      <c r="DA116" s="515"/>
      <c r="DB116" s="515"/>
      <c r="DC116" s="515"/>
      <c r="DD116" s="515"/>
      <c r="DE116" s="515"/>
      <c r="DF116" s="515"/>
      <c r="DG116" s="515"/>
      <c r="DH116" s="515"/>
      <c r="DI116" s="515"/>
      <c r="DJ116" s="515"/>
      <c r="DK116" s="515"/>
      <c r="DL116" s="515"/>
      <c r="DM116" s="515"/>
      <c r="DN116" s="515"/>
      <c r="DO116" s="515"/>
      <c r="DP116" s="515"/>
      <c r="DQ116" s="515"/>
      <c r="DR116" s="515"/>
      <c r="DS116" s="515"/>
      <c r="DT116" s="515"/>
      <c r="DU116" s="515"/>
      <c r="DV116" s="515"/>
      <c r="DW116" s="515"/>
      <c r="DX116" s="515"/>
      <c r="DY116" s="515"/>
      <c r="DZ116" s="515"/>
      <c r="EA116" s="515"/>
      <c r="EB116" s="515"/>
      <c r="EC116" s="515"/>
      <c r="ED116" s="515"/>
      <c r="EE116" s="515"/>
      <c r="EF116" s="515"/>
      <c r="EG116" s="515"/>
      <c r="EH116" s="515"/>
      <c r="EI116" s="515"/>
      <c r="EJ116" s="515"/>
      <c r="EK116" s="515"/>
      <c r="EL116" s="515"/>
      <c r="EM116" s="515"/>
      <c r="EN116" s="515"/>
      <c r="EO116" s="515"/>
      <c r="EP116" s="515"/>
      <c r="EQ116" s="515"/>
      <c r="ER116" s="515"/>
      <c r="ES116" s="515"/>
      <c r="ET116" s="515"/>
      <c r="EU116" s="515"/>
      <c r="EV116" s="515"/>
      <c r="EW116" s="515"/>
      <c r="EX116" s="515"/>
      <c r="EY116" s="515"/>
      <c r="EZ116" s="515"/>
      <c r="FA116" s="515"/>
      <c r="FB116" s="515"/>
      <c r="FC116" s="515"/>
      <c r="FD116" s="515"/>
      <c r="FE116" s="515"/>
      <c r="FF116" s="515"/>
      <c r="FG116" s="515"/>
      <c r="FH116" s="515"/>
      <c r="FI116" s="515"/>
      <c r="FJ116" s="515"/>
      <c r="FK116" s="515"/>
      <c r="FL116" s="515"/>
      <c r="FM116" s="515"/>
      <c r="FN116" s="515"/>
      <c r="FO116" s="515"/>
      <c r="FP116" s="515"/>
      <c r="FQ116" s="515"/>
      <c r="FR116" s="515"/>
      <c r="FS116" s="515"/>
      <c r="FT116" s="515"/>
      <c r="FU116" s="515"/>
      <c r="FV116" s="515"/>
      <c r="FW116" s="515"/>
      <c r="FX116" s="515"/>
      <c r="FY116" s="515"/>
      <c r="FZ116" s="515"/>
      <c r="GA116" s="515"/>
      <c r="GB116" s="515"/>
      <c r="GC116" s="515"/>
      <c r="GD116" s="515"/>
      <c r="GE116" s="515"/>
      <c r="GF116" s="515"/>
      <c r="GG116" s="515"/>
      <c r="GH116" s="515"/>
      <c r="GI116" s="515"/>
      <c r="GJ116" s="515"/>
      <c r="GK116" s="515"/>
      <c r="GL116" s="515"/>
      <c r="GM116" s="515"/>
      <c r="GN116" s="515"/>
    </row>
    <row r="117" spans="1:196" s="525" customFormat="1" ht="16.2" hidden="1" customHeight="1" outlineLevel="1" x14ac:dyDescent="0.25">
      <c r="A117" s="1407" t="s">
        <v>1163</v>
      </c>
      <c r="B117" s="1407" t="s">
        <v>192</v>
      </c>
      <c r="C117" s="1408"/>
      <c r="D117" s="1408"/>
      <c r="E117" s="528"/>
      <c r="F117" s="1097" t="s">
        <v>43</v>
      </c>
      <c r="G117" s="505">
        <v>57854</v>
      </c>
      <c r="H117" s="505">
        <v>38951.97</v>
      </c>
      <c r="I117" s="510">
        <f t="shared" si="15"/>
        <v>-18902.03</v>
      </c>
      <c r="J117" s="876">
        <f t="shared" si="16"/>
        <v>-0.32671950081238976</v>
      </c>
      <c r="K117" s="1135"/>
      <c r="L117" s="1409"/>
      <c r="M117" s="1116"/>
      <c r="N117" s="515"/>
      <c r="O117" s="515"/>
      <c r="P117" s="515"/>
      <c r="Q117" s="515"/>
      <c r="R117" s="515"/>
      <c r="S117" s="515"/>
      <c r="T117" s="515"/>
      <c r="U117" s="515"/>
      <c r="V117" s="515"/>
      <c r="W117" s="515"/>
      <c r="X117" s="515"/>
      <c r="Y117" s="515"/>
      <c r="Z117" s="515"/>
      <c r="AA117" s="515"/>
      <c r="AB117" s="515"/>
      <c r="AC117" s="515"/>
      <c r="AD117" s="515"/>
      <c r="AE117" s="515"/>
      <c r="AF117" s="515"/>
      <c r="AG117" s="515"/>
      <c r="AH117" s="515"/>
      <c r="AI117" s="515"/>
      <c r="AJ117" s="515"/>
      <c r="AK117" s="515"/>
      <c r="AL117" s="515"/>
      <c r="AM117" s="515"/>
      <c r="AN117" s="515"/>
      <c r="AO117" s="515"/>
      <c r="AP117" s="515"/>
      <c r="AQ117" s="515"/>
      <c r="AR117" s="515"/>
      <c r="AS117" s="515"/>
      <c r="AT117" s="515"/>
      <c r="AU117" s="515"/>
      <c r="AV117" s="515"/>
      <c r="AW117" s="515"/>
      <c r="AX117" s="515"/>
      <c r="AY117" s="515"/>
      <c r="AZ117" s="515"/>
      <c r="BA117" s="515"/>
      <c r="BB117" s="515"/>
      <c r="BC117" s="515"/>
      <c r="BD117" s="515"/>
      <c r="BE117" s="515"/>
      <c r="BF117" s="515"/>
      <c r="BG117" s="515"/>
      <c r="BH117" s="515"/>
      <c r="BI117" s="515"/>
      <c r="BJ117" s="515"/>
      <c r="BK117" s="515"/>
      <c r="BL117" s="515"/>
      <c r="BM117" s="515"/>
      <c r="BN117" s="515"/>
      <c r="BO117" s="515"/>
      <c r="BP117" s="515"/>
      <c r="BQ117" s="515"/>
      <c r="BR117" s="515"/>
      <c r="BS117" s="515"/>
      <c r="BT117" s="515"/>
      <c r="BU117" s="515"/>
      <c r="BV117" s="515"/>
      <c r="BW117" s="515"/>
      <c r="BX117" s="515"/>
      <c r="BY117" s="515"/>
      <c r="BZ117" s="515"/>
      <c r="CA117" s="515"/>
      <c r="CB117" s="515"/>
      <c r="CC117" s="515"/>
      <c r="CD117" s="515"/>
      <c r="CE117" s="515"/>
      <c r="CF117" s="515"/>
      <c r="CG117" s="515"/>
      <c r="CH117" s="515"/>
      <c r="CI117" s="515"/>
      <c r="CJ117" s="515"/>
      <c r="CK117" s="515"/>
      <c r="CL117" s="515"/>
      <c r="CM117" s="515"/>
      <c r="CN117" s="515"/>
      <c r="CO117" s="515"/>
      <c r="CP117" s="515"/>
      <c r="CQ117" s="515"/>
      <c r="CR117" s="515"/>
      <c r="CS117" s="515"/>
      <c r="CT117" s="515"/>
      <c r="CU117" s="515"/>
      <c r="CV117" s="515"/>
      <c r="CW117" s="515"/>
      <c r="CX117" s="515"/>
      <c r="CY117" s="515"/>
      <c r="CZ117" s="515"/>
      <c r="DA117" s="515"/>
      <c r="DB117" s="515"/>
      <c r="DC117" s="515"/>
      <c r="DD117" s="515"/>
      <c r="DE117" s="515"/>
      <c r="DF117" s="515"/>
      <c r="DG117" s="515"/>
      <c r="DH117" s="515"/>
      <c r="DI117" s="515"/>
      <c r="DJ117" s="515"/>
      <c r="DK117" s="515"/>
      <c r="DL117" s="515"/>
      <c r="DM117" s="515"/>
      <c r="DN117" s="515"/>
      <c r="DO117" s="515"/>
      <c r="DP117" s="515"/>
      <c r="DQ117" s="515"/>
      <c r="DR117" s="515"/>
      <c r="DS117" s="515"/>
      <c r="DT117" s="515"/>
      <c r="DU117" s="515"/>
      <c r="DV117" s="515"/>
      <c r="DW117" s="515"/>
      <c r="DX117" s="515"/>
      <c r="DY117" s="515"/>
      <c r="DZ117" s="515"/>
      <c r="EA117" s="515"/>
      <c r="EB117" s="515"/>
      <c r="EC117" s="515"/>
      <c r="ED117" s="515"/>
      <c r="EE117" s="515"/>
      <c r="EF117" s="515"/>
      <c r="EG117" s="515"/>
      <c r="EH117" s="515"/>
      <c r="EI117" s="515"/>
      <c r="EJ117" s="515"/>
      <c r="EK117" s="515"/>
      <c r="EL117" s="515"/>
      <c r="EM117" s="515"/>
      <c r="EN117" s="515"/>
      <c r="EO117" s="515"/>
      <c r="EP117" s="515"/>
      <c r="EQ117" s="515"/>
      <c r="ER117" s="515"/>
      <c r="ES117" s="515"/>
      <c r="ET117" s="515"/>
      <c r="EU117" s="515"/>
      <c r="EV117" s="515"/>
      <c r="EW117" s="515"/>
      <c r="EX117" s="515"/>
      <c r="EY117" s="515"/>
      <c r="EZ117" s="515"/>
      <c r="FA117" s="515"/>
      <c r="FB117" s="515"/>
      <c r="FC117" s="515"/>
      <c r="FD117" s="515"/>
      <c r="FE117" s="515"/>
      <c r="FF117" s="515"/>
      <c r="FG117" s="515"/>
      <c r="FH117" s="515"/>
      <c r="FI117" s="515"/>
      <c r="FJ117" s="515"/>
      <c r="FK117" s="515"/>
      <c r="FL117" s="515"/>
      <c r="FM117" s="515"/>
      <c r="FN117" s="515"/>
      <c r="FO117" s="515"/>
      <c r="FP117" s="515"/>
      <c r="FQ117" s="515"/>
      <c r="FR117" s="515"/>
      <c r="FS117" s="515"/>
      <c r="FT117" s="515"/>
      <c r="FU117" s="515"/>
      <c r="FV117" s="515"/>
      <c r="FW117" s="515"/>
      <c r="FX117" s="515"/>
      <c r="FY117" s="515"/>
      <c r="FZ117" s="515"/>
      <c r="GA117" s="515"/>
      <c r="GB117" s="515"/>
      <c r="GC117" s="515"/>
      <c r="GD117" s="515"/>
      <c r="GE117" s="515"/>
      <c r="GF117" s="515"/>
      <c r="GG117" s="515"/>
      <c r="GH117" s="515"/>
      <c r="GI117" s="515"/>
      <c r="GJ117" s="515"/>
      <c r="GK117" s="515"/>
      <c r="GL117" s="515"/>
      <c r="GM117" s="515"/>
      <c r="GN117" s="515"/>
    </row>
    <row r="118" spans="1:196" s="223" customFormat="1" ht="14.4" hidden="1" outlineLevel="1" x14ac:dyDescent="0.3">
      <c r="A118" s="810"/>
      <c r="B118" s="810"/>
      <c r="C118" s="999"/>
      <c r="D118" s="999"/>
      <c r="E118" s="454" t="s">
        <v>1172</v>
      </c>
      <c r="F118" s="461" t="s">
        <v>229</v>
      </c>
      <c r="G118" s="300"/>
      <c r="H118" s="311"/>
      <c r="I118" s="222">
        <f t="shared" si="15"/>
        <v>0</v>
      </c>
      <c r="J118" s="883" t="str">
        <f t="shared" si="16"/>
        <v>-</v>
      </c>
      <c r="K118" s="1136"/>
      <c r="L118" s="224"/>
      <c r="M118" s="1114"/>
    </row>
    <row r="119" spans="1:196" ht="13.8" collapsed="1" x14ac:dyDescent="0.25">
      <c r="C119" s="923">
        <v>238680</v>
      </c>
      <c r="D119" s="923">
        <f>C119-G119</f>
        <v>25000</v>
      </c>
      <c r="E119" s="141" t="s">
        <v>1173</v>
      </c>
      <c r="F119" s="145" t="s">
        <v>648</v>
      </c>
      <c r="G119" s="300">
        <v>213680</v>
      </c>
      <c r="H119" s="311">
        <v>270341.769065</v>
      </c>
      <c r="I119" s="146">
        <f>H119-G119</f>
        <v>56661.769065</v>
      </c>
      <c r="J119" s="882">
        <f t="shared" si="16"/>
        <v>0.26517113939067766</v>
      </c>
      <c r="K119" s="1134"/>
      <c r="L119" s="224"/>
    </row>
    <row r="120" spans="1:196" s="104" customFormat="1" ht="41.4" hidden="1" outlineLevel="1" x14ac:dyDescent="0.25">
      <c r="A120" s="810" t="s">
        <v>783</v>
      </c>
      <c r="B120" s="810" t="s">
        <v>228</v>
      </c>
      <c r="C120" s="923"/>
      <c r="D120" s="923"/>
      <c r="E120" s="159"/>
      <c r="F120" s="160" t="s">
        <v>228</v>
      </c>
      <c r="G120" s="296">
        <v>181664</v>
      </c>
      <c r="H120" s="304">
        <v>232506.769065</v>
      </c>
      <c r="I120" s="153">
        <f>H120-G120</f>
        <v>50842.769065</v>
      </c>
      <c r="J120" s="878">
        <f t="shared" si="16"/>
        <v>0.27987256178989783</v>
      </c>
      <c r="K120" s="1125" t="s">
        <v>1449</v>
      </c>
      <c r="L120" s="224"/>
      <c r="M120" s="107"/>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c r="DU120"/>
      <c r="DV120"/>
      <c r="DW120"/>
      <c r="DX120"/>
      <c r="DY120"/>
      <c r="DZ120"/>
      <c r="EA120"/>
      <c r="EB120"/>
      <c r="EC120"/>
      <c r="ED120"/>
      <c r="EE120"/>
      <c r="EF120"/>
      <c r="EG120"/>
      <c r="EH120"/>
      <c r="EI120"/>
      <c r="EJ120"/>
      <c r="EK120"/>
      <c r="EL120"/>
      <c r="EM120"/>
      <c r="EN120"/>
      <c r="EO120"/>
      <c r="EP120"/>
      <c r="EQ120"/>
      <c r="ER120"/>
      <c r="ES120"/>
      <c r="ET120"/>
      <c r="EU120"/>
      <c r="EV120"/>
      <c r="EW120"/>
      <c r="EX120"/>
      <c r="EY120"/>
      <c r="EZ120"/>
      <c r="FA120"/>
      <c r="FB120"/>
      <c r="FC120"/>
      <c r="FD120"/>
      <c r="FE120"/>
      <c r="FF120"/>
      <c r="FG120"/>
      <c r="FH120"/>
      <c r="FI120"/>
      <c r="FJ120"/>
      <c r="FK120"/>
      <c r="FL120"/>
      <c r="FM120"/>
      <c r="FN120"/>
      <c r="FO120"/>
      <c r="FP120"/>
      <c r="FQ120"/>
      <c r="FR120"/>
      <c r="FS120"/>
      <c r="FT120"/>
      <c r="FU120"/>
      <c r="FV120"/>
      <c r="FW120"/>
      <c r="FX120"/>
      <c r="FY120"/>
      <c r="FZ120"/>
      <c r="GA120"/>
      <c r="GB120"/>
      <c r="GC120"/>
      <c r="GD120"/>
      <c r="GE120"/>
      <c r="GF120"/>
      <c r="GG120"/>
      <c r="GH120"/>
      <c r="GI120"/>
      <c r="GJ120"/>
      <c r="GK120"/>
      <c r="GL120"/>
      <c r="GM120"/>
      <c r="GN120"/>
    </row>
    <row r="121" spans="1:196" s="104" customFormat="1" ht="41.4" hidden="1" outlineLevel="1" x14ac:dyDescent="0.25">
      <c r="A121" s="810" t="s">
        <v>783</v>
      </c>
      <c r="B121" s="810" t="s">
        <v>554</v>
      </c>
      <c r="C121" s="923"/>
      <c r="D121" s="923"/>
      <c r="E121" s="214"/>
      <c r="F121" s="215" t="s">
        <v>198</v>
      </c>
      <c r="G121" s="296">
        <v>29316</v>
      </c>
      <c r="H121" s="304">
        <v>33335</v>
      </c>
      <c r="I121" s="153">
        <f t="shared" ref="I121:I123" si="17">H121-G121</f>
        <v>4019</v>
      </c>
      <c r="J121" s="878">
        <f t="shared" si="16"/>
        <v>0.1370923727657252</v>
      </c>
      <c r="K121" s="1125" t="s">
        <v>1637</v>
      </c>
      <c r="L121" s="224"/>
      <c r="M121" s="107"/>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c r="DU121"/>
      <c r="DV121"/>
      <c r="DW121"/>
      <c r="DX121"/>
      <c r="DY121"/>
      <c r="DZ121"/>
      <c r="EA121"/>
      <c r="EB121"/>
      <c r="EC121"/>
      <c r="ED121"/>
      <c r="EE121"/>
      <c r="EF121"/>
      <c r="EG121"/>
      <c r="EH121"/>
      <c r="EI121"/>
      <c r="EJ121"/>
      <c r="EK121"/>
      <c r="EL121"/>
      <c r="EM121"/>
      <c r="EN121"/>
      <c r="EO121"/>
      <c r="EP121"/>
      <c r="EQ121"/>
      <c r="ER121"/>
      <c r="ES121"/>
      <c r="ET121"/>
      <c r="EU121"/>
      <c r="EV121"/>
      <c r="EW121"/>
      <c r="EX121"/>
      <c r="EY121"/>
      <c r="EZ121"/>
      <c r="FA121"/>
      <c r="FB121"/>
      <c r="FC121"/>
      <c r="FD121"/>
      <c r="FE121"/>
      <c r="FF121"/>
      <c r="FG121"/>
      <c r="FH121"/>
      <c r="FI121"/>
      <c r="FJ121"/>
      <c r="FK121"/>
      <c r="FL121"/>
      <c r="FM121"/>
      <c r="FN121"/>
      <c r="FO121"/>
      <c r="FP121"/>
      <c r="FQ121"/>
      <c r="FR121"/>
      <c r="FS121"/>
      <c r="FT121"/>
      <c r="FU121"/>
      <c r="FV121"/>
      <c r="FW121"/>
      <c r="FX121"/>
      <c r="FY121"/>
      <c r="FZ121"/>
      <c r="GA121"/>
      <c r="GB121"/>
      <c r="GC121"/>
      <c r="GD121"/>
      <c r="GE121"/>
      <c r="GF121"/>
      <c r="GG121"/>
      <c r="GH121"/>
      <c r="GI121"/>
      <c r="GJ121"/>
      <c r="GK121"/>
      <c r="GL121"/>
      <c r="GM121"/>
      <c r="GN121"/>
    </row>
    <row r="122" spans="1:196" s="104" customFormat="1" ht="13.8" hidden="1" outlineLevel="1" x14ac:dyDescent="0.25">
      <c r="A122" s="810" t="s">
        <v>783</v>
      </c>
      <c r="B122" s="810" t="s">
        <v>556</v>
      </c>
      <c r="C122" s="923"/>
      <c r="D122" s="923"/>
      <c r="E122" s="159"/>
      <c r="F122" s="160" t="s">
        <v>197</v>
      </c>
      <c r="G122" s="296">
        <v>2700</v>
      </c>
      <c r="H122" s="304">
        <v>4500</v>
      </c>
      <c r="I122" s="153">
        <f t="shared" si="17"/>
        <v>1800</v>
      </c>
      <c r="J122" s="878">
        <f t="shared" si="16"/>
        <v>0.66666666666666663</v>
      </c>
      <c r="K122" s="428"/>
      <c r="L122" s="224"/>
      <c r="M122" s="107"/>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c r="DU122"/>
      <c r="DV122"/>
      <c r="DW122"/>
      <c r="DX122"/>
      <c r="DY122"/>
      <c r="DZ122"/>
      <c r="EA122"/>
      <c r="EB122"/>
      <c r="EC122"/>
      <c r="ED122"/>
      <c r="EE122"/>
      <c r="EF122"/>
      <c r="EG122"/>
      <c r="EH122"/>
      <c r="EI122"/>
      <c r="EJ122"/>
      <c r="EK122"/>
      <c r="EL122"/>
      <c r="EM122"/>
      <c r="EN122"/>
      <c r="EO122"/>
      <c r="EP122"/>
      <c r="EQ122"/>
      <c r="ER122"/>
      <c r="ES122"/>
      <c r="ET122"/>
      <c r="EU122"/>
      <c r="EV122"/>
      <c r="EW122"/>
      <c r="EX122"/>
      <c r="EY122"/>
      <c r="EZ122"/>
      <c r="FA122"/>
      <c r="FB122"/>
      <c r="FC122"/>
      <c r="FD122"/>
      <c r="FE122"/>
      <c r="FF122"/>
      <c r="FG122"/>
      <c r="FH122"/>
      <c r="FI122"/>
      <c r="FJ122"/>
      <c r="FK122"/>
      <c r="FL122"/>
      <c r="FM122"/>
      <c r="FN122"/>
      <c r="FO122"/>
      <c r="FP122"/>
      <c r="FQ122"/>
      <c r="FR122"/>
      <c r="FS122"/>
      <c r="FT122"/>
      <c r="FU122"/>
      <c r="FV122"/>
      <c r="FW122"/>
      <c r="FX122"/>
      <c r="FY122"/>
      <c r="FZ122"/>
      <c r="GA122"/>
      <c r="GB122"/>
      <c r="GC122"/>
      <c r="GD122"/>
      <c r="GE122"/>
      <c r="GF122"/>
      <c r="GG122"/>
      <c r="GH122"/>
      <c r="GI122"/>
      <c r="GJ122"/>
      <c r="GK122"/>
      <c r="GL122"/>
      <c r="GM122"/>
      <c r="GN122"/>
    </row>
    <row r="123" spans="1:196" s="216" customFormat="1" ht="13.8" hidden="1" outlineLevel="1" x14ac:dyDescent="0.25">
      <c r="A123" s="810" t="s">
        <v>783</v>
      </c>
      <c r="B123" s="810" t="s">
        <v>555</v>
      </c>
      <c r="C123" s="923"/>
      <c r="D123" s="923"/>
      <c r="E123" s="162"/>
      <c r="F123" s="163" t="s">
        <v>555</v>
      </c>
      <c r="G123" s="296">
        <v>0</v>
      </c>
      <c r="H123" s="304">
        <v>78000</v>
      </c>
      <c r="I123" s="153">
        <f t="shared" si="17"/>
        <v>78000</v>
      </c>
      <c r="J123" s="879" t="str">
        <f t="shared" si="16"/>
        <v>-</v>
      </c>
      <c r="K123" s="420"/>
      <c r="L123" s="224"/>
      <c r="M123" s="1114"/>
      <c r="N123" s="223"/>
      <c r="O123" s="223"/>
      <c r="P123" s="223"/>
      <c r="Q123" s="223"/>
      <c r="R123" s="223"/>
      <c r="S123" s="223"/>
      <c r="T123" s="223"/>
      <c r="U123" s="223"/>
      <c r="V123" s="223"/>
      <c r="W123" s="223"/>
      <c r="X123" s="223"/>
      <c r="Y123" s="223"/>
      <c r="Z123" s="223"/>
      <c r="AA123" s="223"/>
      <c r="AB123" s="223"/>
      <c r="AC123" s="223"/>
      <c r="AD123" s="223"/>
      <c r="AE123" s="223"/>
      <c r="AF123" s="223"/>
      <c r="AG123" s="223"/>
      <c r="AH123" s="223"/>
      <c r="AI123" s="223"/>
      <c r="AJ123" s="223"/>
      <c r="AK123" s="223"/>
      <c r="AL123" s="223"/>
      <c r="AM123" s="223"/>
      <c r="AN123" s="223"/>
      <c r="AO123" s="223"/>
      <c r="AP123" s="223"/>
      <c r="AQ123" s="223"/>
      <c r="AR123" s="223"/>
      <c r="AS123" s="223"/>
      <c r="AT123" s="223"/>
      <c r="AU123" s="223"/>
      <c r="AV123" s="223"/>
      <c r="AW123" s="223"/>
      <c r="AX123" s="223"/>
      <c r="AY123" s="223"/>
      <c r="AZ123" s="223"/>
      <c r="BA123" s="223"/>
      <c r="BB123" s="223"/>
      <c r="BC123" s="223"/>
      <c r="BD123" s="223"/>
      <c r="BE123" s="223"/>
      <c r="BF123" s="223"/>
      <c r="BG123" s="223"/>
      <c r="BH123" s="223"/>
      <c r="BI123" s="223"/>
      <c r="BJ123" s="223"/>
      <c r="BK123" s="223"/>
      <c r="BL123" s="223"/>
      <c r="BM123" s="223"/>
      <c r="BN123" s="223"/>
      <c r="BO123" s="223"/>
      <c r="BP123" s="223"/>
      <c r="BQ123" s="223"/>
      <c r="BR123" s="223"/>
      <c r="BS123" s="223"/>
      <c r="BT123" s="223"/>
      <c r="BU123" s="223"/>
      <c r="BV123" s="223"/>
      <c r="BW123" s="223"/>
      <c r="BX123" s="223"/>
      <c r="BY123" s="223"/>
      <c r="BZ123" s="223"/>
      <c r="CA123" s="223"/>
      <c r="CB123" s="223"/>
      <c r="CC123" s="223"/>
      <c r="CD123" s="223"/>
      <c r="CE123" s="223"/>
      <c r="CF123" s="223"/>
      <c r="CG123" s="223"/>
      <c r="CH123" s="223"/>
      <c r="CI123" s="223"/>
      <c r="CJ123" s="223"/>
      <c r="CK123" s="223"/>
      <c r="CL123" s="223"/>
      <c r="CM123" s="223"/>
      <c r="CN123" s="223"/>
      <c r="CO123" s="223"/>
      <c r="CP123" s="223"/>
      <c r="CQ123" s="223"/>
      <c r="CR123" s="223"/>
      <c r="CS123" s="223"/>
      <c r="CT123" s="223"/>
      <c r="CU123" s="223"/>
      <c r="CV123" s="223"/>
      <c r="CW123" s="223"/>
      <c r="CX123" s="223"/>
      <c r="CY123" s="223"/>
      <c r="CZ123" s="223"/>
      <c r="DA123" s="223"/>
      <c r="DB123" s="223"/>
      <c r="DC123" s="223"/>
      <c r="DD123" s="223"/>
      <c r="DE123" s="223"/>
      <c r="DF123" s="223"/>
      <c r="DG123" s="223"/>
      <c r="DH123" s="223"/>
      <c r="DI123" s="223"/>
      <c r="DJ123" s="223"/>
      <c r="DK123" s="223"/>
      <c r="DL123" s="223"/>
      <c r="DM123" s="223"/>
      <c r="DN123" s="223"/>
      <c r="DO123" s="223"/>
      <c r="DP123" s="223"/>
      <c r="DQ123" s="223"/>
      <c r="DR123" s="223"/>
      <c r="DS123" s="223"/>
      <c r="DT123" s="223"/>
      <c r="DU123" s="223"/>
      <c r="DV123" s="223"/>
      <c r="DW123" s="223"/>
      <c r="DX123" s="223"/>
      <c r="DY123" s="223"/>
      <c r="DZ123" s="223"/>
      <c r="EA123" s="223"/>
      <c r="EB123" s="223"/>
      <c r="EC123" s="223"/>
      <c r="ED123" s="223"/>
      <c r="EE123" s="223"/>
      <c r="EF123" s="223"/>
      <c r="EG123" s="223"/>
      <c r="EH123" s="223"/>
      <c r="EI123" s="223"/>
      <c r="EJ123" s="223"/>
      <c r="EK123" s="223"/>
      <c r="EL123" s="223"/>
      <c r="EM123" s="223"/>
      <c r="EN123" s="223"/>
      <c r="EO123" s="223"/>
      <c r="EP123" s="223"/>
      <c r="EQ123" s="223"/>
      <c r="ER123" s="223"/>
      <c r="ES123" s="223"/>
      <c r="ET123" s="223"/>
      <c r="EU123" s="223"/>
      <c r="EV123" s="223"/>
      <c r="EW123" s="223"/>
      <c r="EX123" s="223"/>
      <c r="EY123" s="223"/>
      <c r="EZ123" s="223"/>
      <c r="FA123" s="223"/>
      <c r="FB123" s="223"/>
      <c r="FC123" s="223"/>
      <c r="FD123" s="223"/>
      <c r="FE123" s="223"/>
      <c r="FF123" s="223"/>
      <c r="FG123" s="223"/>
      <c r="FH123" s="223"/>
      <c r="FI123" s="223"/>
      <c r="FJ123" s="223"/>
      <c r="FK123" s="223"/>
      <c r="FL123" s="223"/>
      <c r="FM123" s="223"/>
      <c r="FN123" s="223"/>
      <c r="FO123" s="223"/>
      <c r="FP123" s="223"/>
      <c r="FQ123" s="223"/>
      <c r="FR123" s="223"/>
      <c r="FS123" s="223"/>
      <c r="FT123" s="223"/>
      <c r="FU123" s="223"/>
      <c r="FV123" s="223"/>
      <c r="FW123" s="223"/>
      <c r="FX123" s="223"/>
      <c r="FY123" s="223"/>
      <c r="FZ123" s="223"/>
      <c r="GA123" s="223"/>
      <c r="GB123" s="223"/>
      <c r="GC123" s="223"/>
      <c r="GD123" s="223"/>
      <c r="GE123" s="223"/>
      <c r="GF123" s="223"/>
      <c r="GG123" s="223"/>
      <c r="GH123" s="223"/>
      <c r="GI123" s="223"/>
      <c r="GJ123" s="223"/>
      <c r="GK123" s="223"/>
      <c r="GL123" s="223"/>
      <c r="GM123" s="223"/>
      <c r="GN123" s="223"/>
    </row>
    <row r="124" spans="1:196" ht="13.8" collapsed="1" x14ac:dyDescent="0.25">
      <c r="E124" s="141" t="s">
        <v>1174</v>
      </c>
      <c r="F124" s="145" t="s">
        <v>1536</v>
      </c>
      <c r="G124" s="300">
        <v>143939.43753166666</v>
      </c>
      <c r="H124" s="311">
        <v>160572.14087500004</v>
      </c>
      <c r="I124" s="146">
        <f t="shared" ref="I124:I128" si="18">H124-G124</f>
        <v>16632.703343333385</v>
      </c>
      <c r="J124" s="882">
        <f t="shared" si="16"/>
        <v>0.11555348296865613</v>
      </c>
      <c r="K124" s="427"/>
      <c r="L124" s="224"/>
    </row>
    <row r="125" spans="1:196" s="104" customFormat="1" ht="15" hidden="1" customHeight="1" outlineLevel="1" x14ac:dyDescent="0.25">
      <c r="A125" s="810" t="s">
        <v>761</v>
      </c>
      <c r="B125" s="810" t="s">
        <v>228</v>
      </c>
      <c r="C125" s="923"/>
      <c r="D125" s="923"/>
      <c r="E125" s="159"/>
      <c r="F125" s="160" t="s">
        <v>228</v>
      </c>
      <c r="G125" s="296">
        <v>105225.770865</v>
      </c>
      <c r="H125" s="304">
        <v>115308.14087500003</v>
      </c>
      <c r="I125" s="153">
        <f t="shared" si="18"/>
        <v>10082.370010000028</v>
      </c>
      <c r="J125" s="878">
        <f t="shared" si="16"/>
        <v>9.5816546907841249E-2</v>
      </c>
      <c r="K125" s="1126"/>
      <c r="L125" s="224"/>
      <c r="M125" s="107"/>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c r="FS125"/>
      <c r="FT125"/>
      <c r="FU125"/>
      <c r="FV125"/>
      <c r="FW125"/>
      <c r="FX125"/>
      <c r="FY125"/>
      <c r="FZ125"/>
      <c r="GA125"/>
      <c r="GB125"/>
      <c r="GC125"/>
      <c r="GD125"/>
      <c r="GE125"/>
      <c r="GF125"/>
      <c r="GG125"/>
      <c r="GH125"/>
      <c r="GI125"/>
      <c r="GJ125"/>
      <c r="GK125"/>
      <c r="GL125"/>
      <c r="GM125"/>
      <c r="GN125"/>
    </row>
    <row r="126" spans="1:196" s="104" customFormat="1" ht="13.8" hidden="1" outlineLevel="1" x14ac:dyDescent="0.25">
      <c r="A126" s="810" t="s">
        <v>761</v>
      </c>
      <c r="B126" s="810" t="s">
        <v>554</v>
      </c>
      <c r="C126" s="923"/>
      <c r="D126" s="923"/>
      <c r="E126" s="214"/>
      <c r="F126" s="215" t="s">
        <v>198</v>
      </c>
      <c r="G126" s="296">
        <v>38713.666666666664</v>
      </c>
      <c r="H126" s="304">
        <v>45264</v>
      </c>
      <c r="I126" s="153">
        <f t="shared" si="18"/>
        <v>6550.3333333333358</v>
      </c>
      <c r="J126" s="878">
        <f t="shared" si="16"/>
        <v>0.16919950749519988</v>
      </c>
      <c r="K126" s="1125" t="s">
        <v>1450</v>
      </c>
      <c r="L126" s="224"/>
      <c r="M126" s="107"/>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c r="FP126"/>
      <c r="FQ126"/>
      <c r="FR126"/>
      <c r="FS126"/>
      <c r="FT126"/>
      <c r="FU126"/>
      <c r="FV126"/>
      <c r="FW126"/>
      <c r="FX126"/>
      <c r="FY126"/>
      <c r="FZ126"/>
      <c r="GA126"/>
      <c r="GB126"/>
      <c r="GC126"/>
      <c r="GD126"/>
      <c r="GE126"/>
      <c r="GF126"/>
      <c r="GG126"/>
      <c r="GH126"/>
      <c r="GI126"/>
      <c r="GJ126"/>
      <c r="GK126"/>
      <c r="GL126"/>
      <c r="GM126"/>
      <c r="GN126"/>
    </row>
    <row r="127" spans="1:196" s="104" customFormat="1" ht="13.8" hidden="1" outlineLevel="1" x14ac:dyDescent="0.25">
      <c r="A127" s="810" t="s">
        <v>761</v>
      </c>
      <c r="B127" s="810" t="s">
        <v>556</v>
      </c>
      <c r="C127" s="923"/>
      <c r="D127" s="923"/>
      <c r="E127" s="159"/>
      <c r="F127" s="160" t="s">
        <v>197</v>
      </c>
      <c r="G127" s="296">
        <v>0</v>
      </c>
      <c r="H127" s="304">
        <v>0</v>
      </c>
      <c r="I127" s="153">
        <f t="shared" si="18"/>
        <v>0</v>
      </c>
      <c r="J127" s="878" t="str">
        <f t="shared" si="16"/>
        <v>-</v>
      </c>
      <c r="K127" s="428"/>
      <c r="L127" s="224"/>
      <c r="M127" s="10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c r="DU127"/>
      <c r="DV127"/>
      <c r="DW127"/>
      <c r="DX127"/>
      <c r="DY127"/>
      <c r="DZ127"/>
      <c r="EA127"/>
      <c r="EB127"/>
      <c r="EC127"/>
      <c r="ED127"/>
      <c r="EE127"/>
      <c r="EF127"/>
      <c r="EG127"/>
      <c r="EH127"/>
      <c r="EI127"/>
      <c r="EJ127"/>
      <c r="EK127"/>
      <c r="EL127"/>
      <c r="EM127"/>
      <c r="EN127"/>
      <c r="EO127"/>
      <c r="EP127"/>
      <c r="EQ127"/>
      <c r="ER127"/>
      <c r="ES127"/>
      <c r="ET127"/>
      <c r="EU127"/>
      <c r="EV127"/>
      <c r="EW127"/>
      <c r="EX127"/>
      <c r="EY127"/>
      <c r="EZ127"/>
      <c r="FA127"/>
      <c r="FB127"/>
      <c r="FC127"/>
      <c r="FD127"/>
      <c r="FE127"/>
      <c r="FF127"/>
      <c r="FG127"/>
      <c r="FH127"/>
      <c r="FI127"/>
      <c r="FJ127"/>
      <c r="FK127"/>
      <c r="FL127"/>
      <c r="FM127"/>
      <c r="FN127"/>
      <c r="FO127"/>
      <c r="FP127"/>
      <c r="FQ127"/>
      <c r="FR127"/>
      <c r="FS127"/>
      <c r="FT127"/>
      <c r="FU127"/>
      <c r="FV127"/>
      <c r="FW127"/>
      <c r="FX127"/>
      <c r="FY127"/>
      <c r="FZ127"/>
      <c r="GA127"/>
      <c r="GB127"/>
      <c r="GC127"/>
      <c r="GD127"/>
      <c r="GE127"/>
      <c r="GF127"/>
      <c r="GG127"/>
      <c r="GH127"/>
      <c r="GI127"/>
      <c r="GJ127"/>
      <c r="GK127"/>
      <c r="GL127"/>
      <c r="GM127"/>
      <c r="GN127"/>
    </row>
    <row r="128" spans="1:196" s="525" customFormat="1" ht="13.8" hidden="1" outlineLevel="1" x14ac:dyDescent="0.25">
      <c r="A128" s="1095" t="s">
        <v>761</v>
      </c>
      <c r="B128" s="1095" t="s">
        <v>555</v>
      </c>
      <c r="C128" s="1096"/>
      <c r="D128" s="1096"/>
      <c r="E128" s="523"/>
      <c r="F128" s="520" t="s">
        <v>555</v>
      </c>
      <c r="G128" s="504">
        <v>39565</v>
      </c>
      <c r="H128" s="504">
        <v>0</v>
      </c>
      <c r="I128" s="510">
        <f t="shared" si="18"/>
        <v>-39565</v>
      </c>
      <c r="J128" s="876">
        <f t="shared" si="16"/>
        <v>-1</v>
      </c>
      <c r="K128" s="526"/>
      <c r="L128" s="507"/>
      <c r="M128" s="1116"/>
      <c r="N128" s="515"/>
      <c r="O128" s="515"/>
      <c r="P128" s="515"/>
      <c r="Q128" s="515"/>
      <c r="R128" s="515"/>
      <c r="S128" s="515"/>
      <c r="T128" s="515"/>
      <c r="U128" s="515"/>
      <c r="V128" s="515"/>
      <c r="W128" s="515"/>
      <c r="X128" s="515"/>
      <c r="Y128" s="515"/>
      <c r="Z128" s="515"/>
      <c r="AA128" s="515"/>
      <c r="AB128" s="515"/>
      <c r="AC128" s="515"/>
      <c r="AD128" s="515"/>
      <c r="AE128" s="515"/>
      <c r="AF128" s="515"/>
      <c r="AG128" s="515"/>
      <c r="AH128" s="515"/>
      <c r="AI128" s="515"/>
      <c r="AJ128" s="515"/>
      <c r="AK128" s="515"/>
      <c r="AL128" s="515"/>
      <c r="AM128" s="515"/>
      <c r="AN128" s="515"/>
      <c r="AO128" s="515"/>
      <c r="AP128" s="515"/>
      <c r="AQ128" s="515"/>
      <c r="AR128" s="515"/>
      <c r="AS128" s="515"/>
      <c r="AT128" s="515"/>
      <c r="AU128" s="515"/>
      <c r="AV128" s="515"/>
      <c r="AW128" s="515"/>
      <c r="AX128" s="515"/>
      <c r="AY128" s="515"/>
      <c r="AZ128" s="515"/>
      <c r="BA128" s="515"/>
      <c r="BB128" s="515"/>
      <c r="BC128" s="515"/>
      <c r="BD128" s="515"/>
      <c r="BE128" s="515"/>
      <c r="BF128" s="515"/>
      <c r="BG128" s="515"/>
      <c r="BH128" s="515"/>
      <c r="BI128" s="515"/>
      <c r="BJ128" s="515"/>
      <c r="BK128" s="515"/>
      <c r="BL128" s="515"/>
      <c r="BM128" s="515"/>
      <c r="BN128" s="515"/>
      <c r="BO128" s="515"/>
      <c r="BP128" s="515"/>
      <c r="BQ128" s="515"/>
      <c r="BR128" s="515"/>
      <c r="BS128" s="515"/>
      <c r="BT128" s="515"/>
      <c r="BU128" s="515"/>
      <c r="BV128" s="515"/>
      <c r="BW128" s="515"/>
      <c r="BX128" s="515"/>
      <c r="BY128" s="515"/>
      <c r="BZ128" s="515"/>
      <c r="CA128" s="515"/>
      <c r="CB128" s="515"/>
      <c r="CC128" s="515"/>
      <c r="CD128" s="515"/>
      <c r="CE128" s="515"/>
      <c r="CF128" s="515"/>
      <c r="CG128" s="515"/>
      <c r="CH128" s="515"/>
      <c r="CI128" s="515"/>
      <c r="CJ128" s="515"/>
      <c r="CK128" s="515"/>
      <c r="CL128" s="515"/>
      <c r="CM128" s="515"/>
      <c r="CN128" s="515"/>
      <c r="CO128" s="515"/>
      <c r="CP128" s="515"/>
      <c r="CQ128" s="515"/>
      <c r="CR128" s="515"/>
      <c r="CS128" s="515"/>
      <c r="CT128" s="515"/>
      <c r="CU128" s="515"/>
      <c r="CV128" s="515"/>
      <c r="CW128" s="515"/>
      <c r="CX128" s="515"/>
      <c r="CY128" s="515"/>
      <c r="CZ128" s="515"/>
      <c r="DA128" s="515"/>
      <c r="DB128" s="515"/>
      <c r="DC128" s="515"/>
      <c r="DD128" s="515"/>
      <c r="DE128" s="515"/>
      <c r="DF128" s="515"/>
      <c r="DG128" s="515"/>
      <c r="DH128" s="515"/>
      <c r="DI128" s="515"/>
      <c r="DJ128" s="515"/>
      <c r="DK128" s="515"/>
      <c r="DL128" s="515"/>
      <c r="DM128" s="515"/>
      <c r="DN128" s="515"/>
      <c r="DO128" s="515"/>
      <c r="DP128" s="515"/>
      <c r="DQ128" s="515"/>
      <c r="DR128" s="515"/>
      <c r="DS128" s="515"/>
      <c r="DT128" s="515"/>
      <c r="DU128" s="515"/>
      <c r="DV128" s="515"/>
      <c r="DW128" s="515"/>
      <c r="DX128" s="515"/>
      <c r="DY128" s="515"/>
      <c r="DZ128" s="515"/>
      <c r="EA128" s="515"/>
      <c r="EB128" s="515"/>
      <c r="EC128" s="515"/>
      <c r="ED128" s="515"/>
      <c r="EE128" s="515"/>
      <c r="EF128" s="515"/>
      <c r="EG128" s="515"/>
      <c r="EH128" s="515"/>
      <c r="EI128" s="515"/>
      <c r="EJ128" s="515"/>
      <c r="EK128" s="515"/>
      <c r="EL128" s="515"/>
      <c r="EM128" s="515"/>
      <c r="EN128" s="515"/>
      <c r="EO128" s="515"/>
      <c r="EP128" s="515"/>
      <c r="EQ128" s="515"/>
      <c r="ER128" s="515"/>
      <c r="ES128" s="515"/>
      <c r="ET128" s="515"/>
      <c r="EU128" s="515"/>
      <c r="EV128" s="515"/>
      <c r="EW128" s="515"/>
      <c r="EX128" s="515"/>
      <c r="EY128" s="515"/>
      <c r="EZ128" s="515"/>
      <c r="FA128" s="515"/>
      <c r="FB128" s="515"/>
      <c r="FC128" s="515"/>
      <c r="FD128" s="515"/>
      <c r="FE128" s="515"/>
      <c r="FF128" s="515"/>
      <c r="FG128" s="515"/>
      <c r="FH128" s="515"/>
      <c r="FI128" s="515"/>
      <c r="FJ128" s="515"/>
      <c r="FK128" s="515"/>
      <c r="FL128" s="515"/>
      <c r="FM128" s="515"/>
      <c r="FN128" s="515"/>
      <c r="FO128" s="515"/>
      <c r="FP128" s="515"/>
      <c r="FQ128" s="515"/>
      <c r="FR128" s="515"/>
      <c r="FS128" s="515"/>
      <c r="FT128" s="515"/>
      <c r="FU128" s="515"/>
      <c r="FV128" s="515"/>
      <c r="FW128" s="515"/>
      <c r="FX128" s="515"/>
      <c r="FY128" s="515"/>
      <c r="FZ128" s="515"/>
      <c r="GA128" s="515"/>
      <c r="GB128" s="515"/>
      <c r="GC128" s="515"/>
      <c r="GD128" s="515"/>
      <c r="GE128" s="515"/>
      <c r="GF128" s="515"/>
      <c r="GG128" s="515"/>
      <c r="GH128" s="515"/>
      <c r="GI128" s="515"/>
      <c r="GJ128" s="515"/>
      <c r="GK128" s="515"/>
      <c r="GL128" s="515"/>
      <c r="GM128" s="515"/>
      <c r="GN128" s="515"/>
    </row>
    <row r="129" spans="1:196" ht="15.6" collapsed="1" x14ac:dyDescent="0.3">
      <c r="A129" s="1050"/>
      <c r="E129" s="141" t="s">
        <v>1175</v>
      </c>
      <c r="F129" s="145" t="s">
        <v>1346</v>
      </c>
      <c r="G129" s="300">
        <v>112206.36</v>
      </c>
      <c r="H129" s="311">
        <v>170350.66029999999</v>
      </c>
      <c r="I129" s="146">
        <f>H129-G129</f>
        <v>58144.300299999988</v>
      </c>
      <c r="J129" s="882">
        <f t="shared" si="16"/>
        <v>0.51819077189563933</v>
      </c>
      <c r="K129" s="427"/>
      <c r="L129" s="224"/>
    </row>
    <row r="130" spans="1:196" s="104" customFormat="1" ht="13.8" hidden="1" outlineLevel="1" x14ac:dyDescent="0.25">
      <c r="A130" s="810" t="s">
        <v>787</v>
      </c>
      <c r="B130" s="810" t="s">
        <v>554</v>
      </c>
      <c r="C130" s="923"/>
      <c r="D130" s="923"/>
      <c r="E130" s="214"/>
      <c r="F130" s="215" t="s">
        <v>198</v>
      </c>
      <c r="G130" s="296">
        <v>29968</v>
      </c>
      <c r="H130" s="304">
        <v>53306.637600000002</v>
      </c>
      <c r="I130" s="153">
        <f>H130-G130</f>
        <v>23338.637600000002</v>
      </c>
      <c r="J130" s="878">
        <f t="shared" si="16"/>
        <v>0.77878529097704219</v>
      </c>
      <c r="K130" s="421" t="s">
        <v>1638</v>
      </c>
      <c r="L130" s="224"/>
      <c r="M130" s="107"/>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c r="DU130"/>
      <c r="DV130"/>
      <c r="DW130"/>
      <c r="DX130"/>
      <c r="DY130"/>
      <c r="DZ130"/>
      <c r="EA130"/>
      <c r="EB130"/>
      <c r="EC130"/>
      <c r="ED130"/>
      <c r="EE130"/>
      <c r="EF130"/>
      <c r="EG130"/>
      <c r="EH130"/>
      <c r="EI130"/>
      <c r="EJ130"/>
      <c r="EK130"/>
      <c r="EL130"/>
      <c r="EM130"/>
      <c r="EN130"/>
      <c r="EO130"/>
      <c r="EP130"/>
      <c r="EQ130"/>
      <c r="ER130"/>
      <c r="ES130"/>
      <c r="ET130"/>
      <c r="EU130"/>
      <c r="EV130"/>
      <c r="EW130"/>
      <c r="EX130"/>
      <c r="EY130"/>
      <c r="EZ130"/>
      <c r="FA130"/>
      <c r="FB130"/>
      <c r="FC130"/>
      <c r="FD130"/>
      <c r="FE130"/>
      <c r="FF130"/>
      <c r="FG130"/>
      <c r="FH130"/>
      <c r="FI130"/>
      <c r="FJ130"/>
      <c r="FK130"/>
      <c r="FL130"/>
      <c r="FM130"/>
      <c r="FN130"/>
      <c r="FO130"/>
      <c r="FP130"/>
      <c r="FQ130"/>
      <c r="FR130"/>
      <c r="FS130"/>
      <c r="FT130"/>
      <c r="FU130"/>
      <c r="FV130"/>
      <c r="FW130"/>
      <c r="FX130"/>
      <c r="FY130"/>
      <c r="FZ130"/>
      <c r="GA130"/>
      <c r="GB130"/>
      <c r="GC130"/>
      <c r="GD130"/>
      <c r="GE130"/>
      <c r="GF130"/>
      <c r="GG130"/>
      <c r="GH130"/>
      <c r="GI130"/>
      <c r="GJ130"/>
      <c r="GK130"/>
      <c r="GL130"/>
      <c r="GM130"/>
      <c r="GN130"/>
    </row>
    <row r="131" spans="1:196" s="104" customFormat="1" ht="13.8" hidden="1" outlineLevel="1" x14ac:dyDescent="0.25">
      <c r="A131" s="810" t="s">
        <v>743</v>
      </c>
      <c r="B131" s="810" t="s">
        <v>554</v>
      </c>
      <c r="C131" s="923"/>
      <c r="D131" s="923"/>
      <c r="E131" s="159"/>
      <c r="F131" s="215" t="s">
        <v>198</v>
      </c>
      <c r="G131" s="296">
        <v>82238.36</v>
      </c>
      <c r="H131" s="304">
        <v>117044.0227</v>
      </c>
      <c r="I131" s="153">
        <f>H131-G131</f>
        <v>34805.662700000001</v>
      </c>
      <c r="J131" s="878">
        <f t="shared" si="16"/>
        <v>0.42322904663954874</v>
      </c>
      <c r="K131" s="436" t="s">
        <v>1668</v>
      </c>
      <c r="L131" s="224"/>
      <c r="M131" s="107"/>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c r="DU131"/>
      <c r="DV131"/>
      <c r="DW131"/>
      <c r="DX131"/>
      <c r="DY131"/>
      <c r="DZ131"/>
      <c r="EA131"/>
      <c r="EB131"/>
      <c r="EC131"/>
      <c r="ED131"/>
      <c r="EE131"/>
      <c r="EF131"/>
      <c r="EG131"/>
      <c r="EH131"/>
      <c r="EI131"/>
      <c r="EJ131"/>
      <c r="EK131"/>
      <c r="EL131"/>
      <c r="EM131"/>
      <c r="EN131"/>
      <c r="EO131"/>
      <c r="EP131"/>
      <c r="EQ131"/>
      <c r="ER131"/>
      <c r="ES131"/>
      <c r="ET131"/>
      <c r="EU131"/>
      <c r="EV131"/>
      <c r="EW131"/>
      <c r="EX131"/>
      <c r="EY131"/>
      <c r="EZ131"/>
      <c r="FA131"/>
      <c r="FB131"/>
      <c r="FC131"/>
      <c r="FD131"/>
      <c r="FE131"/>
      <c r="FF131"/>
      <c r="FG131"/>
      <c r="FH131"/>
      <c r="FI131"/>
      <c r="FJ131"/>
      <c r="FK131"/>
      <c r="FL131"/>
      <c r="FM131"/>
      <c r="FN131"/>
      <c r="FO131"/>
      <c r="FP131"/>
      <c r="FQ131"/>
      <c r="FR131"/>
      <c r="FS131"/>
      <c r="FT131"/>
      <c r="FU131"/>
      <c r="FV131"/>
      <c r="FW131"/>
      <c r="FX131"/>
      <c r="FY131"/>
      <c r="FZ131"/>
      <c r="GA131"/>
      <c r="GB131"/>
      <c r="GC131"/>
      <c r="GD131"/>
      <c r="GE131"/>
      <c r="GF131"/>
      <c r="GG131"/>
      <c r="GH131"/>
      <c r="GI131"/>
      <c r="GJ131"/>
      <c r="GK131"/>
      <c r="GL131"/>
      <c r="GM131"/>
      <c r="GN131"/>
    </row>
    <row r="132" spans="1:196" ht="31.5" customHeight="1" collapsed="1" x14ac:dyDescent="0.25">
      <c r="E132" s="141" t="s">
        <v>1176</v>
      </c>
      <c r="F132" s="145" t="s">
        <v>622</v>
      </c>
      <c r="G132" s="300">
        <v>3430128.6399999997</v>
      </c>
      <c r="H132" s="311">
        <v>4346663.8361329995</v>
      </c>
      <c r="I132" s="146">
        <f t="shared" si="15"/>
        <v>916535.19613299984</v>
      </c>
      <c r="J132" s="882">
        <f t="shared" si="16"/>
        <v>0.26720140622277067</v>
      </c>
      <c r="K132" s="427"/>
      <c r="L132" s="224"/>
    </row>
    <row r="133" spans="1:196" s="104" customFormat="1" ht="13.8" hidden="1" outlineLevel="1" x14ac:dyDescent="0.25">
      <c r="A133" s="810" t="s">
        <v>383</v>
      </c>
      <c r="B133" s="810" t="s">
        <v>228</v>
      </c>
      <c r="C133" s="923"/>
      <c r="D133" s="923"/>
      <c r="E133" s="159"/>
      <c r="F133" s="160" t="s">
        <v>228</v>
      </c>
      <c r="G133" s="304">
        <v>1615395</v>
      </c>
      <c r="H133" s="304">
        <v>2055591.4861329999</v>
      </c>
      <c r="I133" s="153">
        <f t="shared" si="15"/>
        <v>440196.48613299988</v>
      </c>
      <c r="J133" s="878">
        <f t="shared" si="16"/>
        <v>0.27250083486268056</v>
      </c>
      <c r="K133" s="419" t="s">
        <v>1456</v>
      </c>
      <c r="L133" s="224"/>
      <c r="M133" s="107"/>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c r="DU133"/>
      <c r="DV133"/>
      <c r="DW133"/>
      <c r="DX133"/>
      <c r="DY133"/>
      <c r="DZ133"/>
      <c r="EA133"/>
      <c r="EB133"/>
      <c r="EC133"/>
      <c r="ED133"/>
      <c r="EE133"/>
      <c r="EF133"/>
      <c r="EG133"/>
      <c r="EH133"/>
      <c r="EI133"/>
      <c r="EJ133"/>
      <c r="EK133"/>
      <c r="EL133"/>
      <c r="EM133"/>
      <c r="EN133"/>
      <c r="EO133"/>
      <c r="EP133"/>
      <c r="EQ133"/>
      <c r="ER133"/>
      <c r="ES133"/>
      <c r="ET133"/>
      <c r="EU133"/>
      <c r="EV133"/>
      <c r="EW133"/>
      <c r="EX133"/>
      <c r="EY133"/>
      <c r="EZ133"/>
      <c r="FA133"/>
      <c r="FB133"/>
      <c r="FC133"/>
      <c r="FD133"/>
      <c r="FE133"/>
      <c r="FF133"/>
      <c r="FG133"/>
      <c r="FH133"/>
      <c r="FI133"/>
      <c r="FJ133"/>
      <c r="FK133"/>
      <c r="FL133"/>
      <c r="FM133"/>
      <c r="FN133"/>
      <c r="FO133"/>
      <c r="FP133"/>
      <c r="FQ133"/>
      <c r="FR133"/>
      <c r="FS133"/>
      <c r="FT133"/>
      <c r="FU133"/>
      <c r="FV133"/>
      <c r="FW133"/>
      <c r="FX133"/>
      <c r="FY133"/>
      <c r="FZ133"/>
      <c r="GA133"/>
      <c r="GB133"/>
      <c r="GC133"/>
      <c r="GD133"/>
      <c r="GE133"/>
      <c r="GF133"/>
      <c r="GG133"/>
      <c r="GH133"/>
      <c r="GI133"/>
      <c r="GJ133"/>
      <c r="GK133"/>
      <c r="GL133"/>
      <c r="GM133"/>
      <c r="GN133"/>
    </row>
    <row r="134" spans="1:196" s="104" customFormat="1" ht="82.8" hidden="1" outlineLevel="1" x14ac:dyDescent="0.25">
      <c r="A134" s="810" t="s">
        <v>383</v>
      </c>
      <c r="B134" s="810" t="s">
        <v>554</v>
      </c>
      <c r="C134" s="923"/>
      <c r="D134" s="923"/>
      <c r="E134" s="214"/>
      <c r="F134" s="215" t="s">
        <v>198</v>
      </c>
      <c r="G134" s="304">
        <v>1746390.64</v>
      </c>
      <c r="H134" s="304">
        <v>2244577.35</v>
      </c>
      <c r="I134" s="153">
        <f>H134-G134</f>
        <v>498186.7100000002</v>
      </c>
      <c r="J134" s="878">
        <f t="shared" si="16"/>
        <v>0.28526647966917656</v>
      </c>
      <c r="K134" s="421" t="s">
        <v>1669</v>
      </c>
      <c r="L134" s="224"/>
      <c r="M134" s="107"/>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c r="DU134"/>
      <c r="DV134"/>
      <c r="DW134"/>
      <c r="DX134"/>
      <c r="DY134"/>
      <c r="DZ134"/>
      <c r="EA134"/>
      <c r="EB134"/>
      <c r="EC134"/>
      <c r="ED134"/>
      <c r="EE134"/>
      <c r="EF134"/>
      <c r="EG134"/>
      <c r="EH134"/>
      <c r="EI134"/>
      <c r="EJ134"/>
      <c r="EK134"/>
      <c r="EL134"/>
      <c r="EM134"/>
      <c r="EN134"/>
      <c r="EO134"/>
      <c r="EP134"/>
      <c r="EQ134"/>
      <c r="ER134"/>
      <c r="ES134"/>
      <c r="ET134"/>
      <c r="EU134"/>
      <c r="EV134"/>
      <c r="EW134"/>
      <c r="EX134"/>
      <c r="EY134"/>
      <c r="EZ134"/>
      <c r="FA134"/>
      <c r="FB134"/>
      <c r="FC134"/>
      <c r="FD134"/>
      <c r="FE134"/>
      <c r="FF134"/>
      <c r="FG134"/>
      <c r="FH134"/>
      <c r="FI134"/>
      <c r="FJ134"/>
      <c r="FK134"/>
      <c r="FL134"/>
      <c r="FM134"/>
      <c r="FN134"/>
      <c r="FO134"/>
      <c r="FP134"/>
      <c r="FQ134"/>
      <c r="FR134"/>
      <c r="FS134"/>
      <c r="FT134"/>
      <c r="FU134"/>
      <c r="FV134"/>
      <c r="FW134"/>
      <c r="FX134"/>
      <c r="FY134"/>
      <c r="FZ134"/>
      <c r="GA134"/>
      <c r="GB134"/>
      <c r="GC134"/>
      <c r="GD134"/>
      <c r="GE134"/>
      <c r="GF134"/>
      <c r="GG134"/>
      <c r="GH134"/>
      <c r="GI134"/>
      <c r="GJ134"/>
      <c r="GK134"/>
      <c r="GL134"/>
      <c r="GM134"/>
      <c r="GN134"/>
    </row>
    <row r="135" spans="1:196" s="104" customFormat="1" ht="13.8" hidden="1" outlineLevel="1" x14ac:dyDescent="0.25">
      <c r="A135" s="810" t="s">
        <v>383</v>
      </c>
      <c r="B135" s="810" t="s">
        <v>556</v>
      </c>
      <c r="C135" s="923"/>
      <c r="D135" s="923"/>
      <c r="E135" s="159"/>
      <c r="F135" s="160" t="s">
        <v>197</v>
      </c>
      <c r="G135" s="296">
        <v>68343</v>
      </c>
      <c r="H135" s="304">
        <v>46495</v>
      </c>
      <c r="I135" s="153">
        <f t="shared" si="15"/>
        <v>-21848</v>
      </c>
      <c r="J135" s="878">
        <f t="shared" si="16"/>
        <v>-0.31968160601670981</v>
      </c>
      <c r="K135" s="430"/>
      <c r="L135" s="224"/>
      <c r="M135" s="107"/>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c r="DU135"/>
      <c r="DV135"/>
      <c r="DW135"/>
      <c r="DX135"/>
      <c r="DY135"/>
      <c r="DZ135"/>
      <c r="EA135"/>
      <c r="EB135"/>
      <c r="EC135"/>
      <c r="ED135"/>
      <c r="EE135"/>
      <c r="EF135"/>
      <c r="EG135"/>
      <c r="EH135"/>
      <c r="EI135"/>
      <c r="EJ135"/>
      <c r="EK135"/>
      <c r="EL135"/>
      <c r="EM135"/>
      <c r="EN135"/>
      <c r="EO135"/>
      <c r="EP135"/>
      <c r="EQ135"/>
      <c r="ER135"/>
      <c r="ES135"/>
      <c r="ET135"/>
      <c r="EU135"/>
      <c r="EV135"/>
      <c r="EW135"/>
      <c r="EX135"/>
      <c r="EY135"/>
      <c r="EZ135"/>
      <c r="FA135"/>
      <c r="FB135"/>
      <c r="FC135"/>
      <c r="FD135"/>
      <c r="FE135"/>
      <c r="FF135"/>
      <c r="FG135"/>
      <c r="FH135"/>
      <c r="FI135"/>
      <c r="FJ135"/>
      <c r="FK135"/>
      <c r="FL135"/>
      <c r="FM135"/>
      <c r="FN135"/>
      <c r="FO135"/>
      <c r="FP135"/>
      <c r="FQ135"/>
      <c r="FR135"/>
      <c r="FS135"/>
      <c r="FT135"/>
      <c r="FU135"/>
      <c r="FV135"/>
      <c r="FW135"/>
      <c r="FX135"/>
      <c r="FY135"/>
      <c r="FZ135"/>
      <c r="GA135"/>
      <c r="GB135"/>
      <c r="GC135"/>
      <c r="GD135"/>
      <c r="GE135"/>
      <c r="GF135"/>
      <c r="GG135"/>
      <c r="GH135"/>
      <c r="GI135"/>
      <c r="GJ135"/>
      <c r="GK135"/>
      <c r="GL135"/>
      <c r="GM135"/>
      <c r="GN135"/>
    </row>
    <row r="136" spans="1:196" s="525" customFormat="1" ht="13.8" hidden="1" outlineLevel="1" x14ac:dyDescent="0.25">
      <c r="A136" s="1407" t="s">
        <v>383</v>
      </c>
      <c r="B136" s="1407" t="s">
        <v>555</v>
      </c>
      <c r="C136" s="1408"/>
      <c r="D136" s="1408"/>
      <c r="E136" s="523"/>
      <c r="F136" s="520" t="s">
        <v>555</v>
      </c>
      <c r="G136" s="505">
        <v>132925</v>
      </c>
      <c r="H136" s="505">
        <v>93851</v>
      </c>
      <c r="I136" s="510">
        <f t="shared" si="15"/>
        <v>-39074</v>
      </c>
      <c r="J136" s="876">
        <f t="shared" si="16"/>
        <v>-0.29395523791611811</v>
      </c>
      <c r="K136" s="526"/>
      <c r="L136" s="1409"/>
      <c r="M136" s="1116"/>
      <c r="N136" s="515"/>
      <c r="O136" s="515"/>
      <c r="P136" s="515"/>
      <c r="Q136" s="515"/>
      <c r="R136" s="515"/>
      <c r="S136" s="515"/>
      <c r="T136" s="515"/>
      <c r="U136" s="515"/>
      <c r="V136" s="515"/>
      <c r="W136" s="515"/>
      <c r="X136" s="515"/>
      <c r="Y136" s="515"/>
      <c r="Z136" s="515"/>
      <c r="AA136" s="515"/>
      <c r="AB136" s="515"/>
      <c r="AC136" s="515"/>
      <c r="AD136" s="515"/>
      <c r="AE136" s="515"/>
      <c r="AF136" s="515"/>
      <c r="AG136" s="515"/>
      <c r="AH136" s="515"/>
      <c r="AI136" s="515"/>
      <c r="AJ136" s="515"/>
      <c r="AK136" s="515"/>
      <c r="AL136" s="515"/>
      <c r="AM136" s="515"/>
      <c r="AN136" s="515"/>
      <c r="AO136" s="515"/>
      <c r="AP136" s="515"/>
      <c r="AQ136" s="515"/>
      <c r="AR136" s="515"/>
      <c r="AS136" s="515"/>
      <c r="AT136" s="515"/>
      <c r="AU136" s="515"/>
      <c r="AV136" s="515"/>
      <c r="AW136" s="515"/>
      <c r="AX136" s="515"/>
      <c r="AY136" s="515"/>
      <c r="AZ136" s="515"/>
      <c r="BA136" s="515"/>
      <c r="BB136" s="515"/>
      <c r="BC136" s="515"/>
      <c r="BD136" s="515"/>
      <c r="BE136" s="515"/>
      <c r="BF136" s="515"/>
      <c r="BG136" s="515"/>
      <c r="BH136" s="515"/>
      <c r="BI136" s="515"/>
      <c r="BJ136" s="515"/>
      <c r="BK136" s="515"/>
      <c r="BL136" s="515"/>
      <c r="BM136" s="515"/>
      <c r="BN136" s="515"/>
      <c r="BO136" s="515"/>
      <c r="BP136" s="515"/>
      <c r="BQ136" s="515"/>
      <c r="BR136" s="515"/>
      <c r="BS136" s="515"/>
      <c r="BT136" s="515"/>
      <c r="BU136" s="515"/>
      <c r="BV136" s="515"/>
      <c r="BW136" s="515"/>
      <c r="BX136" s="515"/>
      <c r="BY136" s="515"/>
      <c r="BZ136" s="515"/>
      <c r="CA136" s="515"/>
      <c r="CB136" s="515"/>
      <c r="CC136" s="515"/>
      <c r="CD136" s="515"/>
      <c r="CE136" s="515"/>
      <c r="CF136" s="515"/>
      <c r="CG136" s="515"/>
      <c r="CH136" s="515"/>
      <c r="CI136" s="515"/>
      <c r="CJ136" s="515"/>
      <c r="CK136" s="515"/>
      <c r="CL136" s="515"/>
      <c r="CM136" s="515"/>
      <c r="CN136" s="515"/>
      <c r="CO136" s="515"/>
      <c r="CP136" s="515"/>
      <c r="CQ136" s="515"/>
      <c r="CR136" s="515"/>
      <c r="CS136" s="515"/>
      <c r="CT136" s="515"/>
      <c r="CU136" s="515"/>
      <c r="CV136" s="515"/>
      <c r="CW136" s="515"/>
      <c r="CX136" s="515"/>
      <c r="CY136" s="515"/>
      <c r="CZ136" s="515"/>
      <c r="DA136" s="515"/>
      <c r="DB136" s="515"/>
      <c r="DC136" s="515"/>
      <c r="DD136" s="515"/>
      <c r="DE136" s="515"/>
      <c r="DF136" s="515"/>
      <c r="DG136" s="515"/>
      <c r="DH136" s="515"/>
      <c r="DI136" s="515"/>
      <c r="DJ136" s="515"/>
      <c r="DK136" s="515"/>
      <c r="DL136" s="515"/>
      <c r="DM136" s="515"/>
      <c r="DN136" s="515"/>
      <c r="DO136" s="515"/>
      <c r="DP136" s="515"/>
      <c r="DQ136" s="515"/>
      <c r="DR136" s="515"/>
      <c r="DS136" s="515"/>
      <c r="DT136" s="515"/>
      <c r="DU136" s="515"/>
      <c r="DV136" s="515"/>
      <c r="DW136" s="515"/>
      <c r="DX136" s="515"/>
      <c r="DY136" s="515"/>
      <c r="DZ136" s="515"/>
      <c r="EA136" s="515"/>
      <c r="EB136" s="515"/>
      <c r="EC136" s="515"/>
      <c r="ED136" s="515"/>
      <c r="EE136" s="515"/>
      <c r="EF136" s="515"/>
      <c r="EG136" s="515"/>
      <c r="EH136" s="515"/>
      <c r="EI136" s="515"/>
      <c r="EJ136" s="515"/>
      <c r="EK136" s="515"/>
      <c r="EL136" s="515"/>
      <c r="EM136" s="515"/>
      <c r="EN136" s="515"/>
      <c r="EO136" s="515"/>
      <c r="EP136" s="515"/>
      <c r="EQ136" s="515"/>
      <c r="ER136" s="515"/>
      <c r="ES136" s="515"/>
      <c r="ET136" s="515"/>
      <c r="EU136" s="515"/>
      <c r="EV136" s="515"/>
      <c r="EW136" s="515"/>
      <c r="EX136" s="515"/>
      <c r="EY136" s="515"/>
      <c r="EZ136" s="515"/>
      <c r="FA136" s="515"/>
      <c r="FB136" s="515"/>
      <c r="FC136" s="515"/>
      <c r="FD136" s="515"/>
      <c r="FE136" s="515"/>
      <c r="FF136" s="515"/>
      <c r="FG136" s="515"/>
      <c r="FH136" s="515"/>
      <c r="FI136" s="515"/>
      <c r="FJ136" s="515"/>
      <c r="FK136" s="515"/>
      <c r="FL136" s="515"/>
      <c r="FM136" s="515"/>
      <c r="FN136" s="515"/>
      <c r="FO136" s="515"/>
      <c r="FP136" s="515"/>
      <c r="FQ136" s="515"/>
      <c r="FR136" s="515"/>
      <c r="FS136" s="515"/>
      <c r="FT136" s="515"/>
      <c r="FU136" s="515"/>
      <c r="FV136" s="515"/>
      <c r="FW136" s="515"/>
      <c r="FX136" s="515"/>
      <c r="FY136" s="515"/>
      <c r="FZ136" s="515"/>
      <c r="GA136" s="515"/>
      <c r="GB136" s="515"/>
      <c r="GC136" s="515"/>
      <c r="GD136" s="515"/>
      <c r="GE136" s="515"/>
      <c r="GF136" s="515"/>
      <c r="GG136" s="515"/>
      <c r="GH136" s="515"/>
      <c r="GI136" s="515"/>
      <c r="GJ136" s="515"/>
      <c r="GK136" s="515"/>
      <c r="GL136" s="515"/>
      <c r="GM136" s="515"/>
      <c r="GN136" s="515"/>
    </row>
    <row r="137" spans="1:196" ht="27.6" collapsed="1" x14ac:dyDescent="0.25">
      <c r="E137" s="141" t="s">
        <v>1177</v>
      </c>
      <c r="F137" s="145" t="s">
        <v>668</v>
      </c>
      <c r="G137" s="300">
        <v>1300416</v>
      </c>
      <c r="H137" s="311">
        <v>3779449</v>
      </c>
      <c r="I137" s="146">
        <f t="shared" ref="I137:I142" si="19">H137-G137</f>
        <v>2479033</v>
      </c>
      <c r="J137" s="882">
        <f t="shared" si="16"/>
        <v>1.9063384332398248</v>
      </c>
      <c r="K137" s="427"/>
      <c r="L137" s="224"/>
    </row>
    <row r="138" spans="1:196" s="104" customFormat="1" ht="13.8" hidden="1" outlineLevel="1" x14ac:dyDescent="0.25">
      <c r="A138" s="810" t="s">
        <v>1358</v>
      </c>
      <c r="B138" s="810" t="s">
        <v>228</v>
      </c>
      <c r="C138" s="923"/>
      <c r="D138" s="923"/>
      <c r="E138" s="159"/>
      <c r="F138" s="160" t="s">
        <v>228</v>
      </c>
      <c r="G138" s="296">
        <v>237083</v>
      </c>
      <c r="H138" s="304">
        <v>269010</v>
      </c>
      <c r="I138" s="161">
        <f t="shared" si="19"/>
        <v>31927</v>
      </c>
      <c r="J138" s="884">
        <f t="shared" si="16"/>
        <v>0.13466591868670466</v>
      </c>
      <c r="K138" s="430"/>
      <c r="L138" s="224"/>
      <c r="M138" s="107"/>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c r="DU138"/>
      <c r="DV138"/>
      <c r="DW138"/>
      <c r="DX138"/>
      <c r="DY138"/>
      <c r="DZ138"/>
      <c r="EA138"/>
      <c r="EB138"/>
      <c r="EC138"/>
      <c r="ED138"/>
      <c r="EE138"/>
      <c r="EF138"/>
      <c r="EG138"/>
      <c r="EH138"/>
      <c r="EI138"/>
      <c r="EJ138"/>
      <c r="EK138"/>
      <c r="EL138"/>
      <c r="EM138"/>
      <c r="EN138"/>
      <c r="EO138"/>
      <c r="EP138"/>
      <c r="EQ138"/>
      <c r="ER138"/>
      <c r="ES138"/>
      <c r="ET138"/>
      <c r="EU138"/>
      <c r="EV138"/>
      <c r="EW138"/>
      <c r="EX138"/>
      <c r="EY138"/>
      <c r="EZ138"/>
      <c r="FA138"/>
      <c r="FB138"/>
      <c r="FC138"/>
      <c r="FD138"/>
      <c r="FE138"/>
      <c r="FF138"/>
      <c r="FG138"/>
      <c r="FH138"/>
      <c r="FI138"/>
      <c r="FJ138"/>
      <c r="FK138"/>
      <c r="FL138"/>
      <c r="FM138"/>
      <c r="FN138"/>
      <c r="FO138"/>
      <c r="FP138"/>
      <c r="FQ138"/>
      <c r="FR138"/>
      <c r="FS138"/>
      <c r="FT138"/>
      <c r="FU138"/>
      <c r="FV138"/>
      <c r="FW138"/>
      <c r="FX138"/>
      <c r="FY138"/>
      <c r="FZ138"/>
      <c r="GA138"/>
      <c r="GB138"/>
      <c r="GC138"/>
      <c r="GD138"/>
      <c r="GE138"/>
      <c r="GF138"/>
      <c r="GG138"/>
      <c r="GH138"/>
      <c r="GI138"/>
      <c r="GJ138"/>
      <c r="GK138"/>
      <c r="GL138"/>
      <c r="GM138"/>
      <c r="GN138"/>
    </row>
    <row r="139" spans="1:196" s="104" customFormat="1" ht="13.8" hidden="1" outlineLevel="1" x14ac:dyDescent="0.25">
      <c r="A139" s="810" t="s">
        <v>1358</v>
      </c>
      <c r="B139" s="810" t="s">
        <v>554</v>
      </c>
      <c r="C139" s="923"/>
      <c r="D139" s="923"/>
      <c r="E139" s="214"/>
      <c r="F139" s="215" t="s">
        <v>198</v>
      </c>
      <c r="G139" s="296">
        <v>1063333</v>
      </c>
      <c r="H139" s="304">
        <v>3482439</v>
      </c>
      <c r="I139" s="153">
        <f t="shared" si="19"/>
        <v>2419106</v>
      </c>
      <c r="J139" s="878">
        <f t="shared" si="16"/>
        <v>2.2750220297874701</v>
      </c>
      <c r="K139" s="305"/>
      <c r="L139" s="224"/>
      <c r="M139" s="107"/>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c r="DU139"/>
      <c r="DV139"/>
      <c r="DW139"/>
      <c r="DX139"/>
      <c r="DY139"/>
      <c r="DZ139"/>
      <c r="EA139"/>
      <c r="EB139"/>
      <c r="EC139"/>
      <c r="ED139"/>
      <c r="EE139"/>
      <c r="EF139"/>
      <c r="EG139"/>
      <c r="EH139"/>
      <c r="EI139"/>
      <c r="EJ139"/>
      <c r="EK139"/>
      <c r="EL139"/>
      <c r="EM139"/>
      <c r="EN139"/>
      <c r="EO139"/>
      <c r="EP139"/>
      <c r="EQ139"/>
      <c r="ER139"/>
      <c r="ES139"/>
      <c r="ET139"/>
      <c r="EU139"/>
      <c r="EV139"/>
      <c r="EW139"/>
      <c r="EX139"/>
      <c r="EY139"/>
      <c r="EZ139"/>
      <c r="FA139"/>
      <c r="FB139"/>
      <c r="FC139"/>
      <c r="FD139"/>
      <c r="FE139"/>
      <c r="FF139"/>
      <c r="FG139"/>
      <c r="FH139"/>
      <c r="FI139"/>
      <c r="FJ139"/>
      <c r="FK139"/>
      <c r="FL139"/>
      <c r="FM139"/>
      <c r="FN139"/>
      <c r="FO139"/>
      <c r="FP139"/>
      <c r="FQ139"/>
      <c r="FR139"/>
      <c r="FS139"/>
      <c r="FT139"/>
      <c r="FU139"/>
      <c r="FV139"/>
      <c r="FW139"/>
      <c r="FX139"/>
      <c r="FY139"/>
      <c r="FZ139"/>
      <c r="GA139"/>
      <c r="GB139"/>
      <c r="GC139"/>
      <c r="GD139"/>
      <c r="GE139"/>
      <c r="GF139"/>
      <c r="GG139"/>
      <c r="GH139"/>
      <c r="GI139"/>
      <c r="GJ139"/>
      <c r="GK139"/>
      <c r="GL139"/>
      <c r="GM139"/>
      <c r="GN139"/>
    </row>
    <row r="140" spans="1:196" s="104" customFormat="1" ht="13.8" hidden="1" outlineLevel="1" x14ac:dyDescent="0.25">
      <c r="A140" s="810" t="s">
        <v>1358</v>
      </c>
      <c r="B140" s="810" t="s">
        <v>556</v>
      </c>
      <c r="C140" s="923"/>
      <c r="D140" s="923"/>
      <c r="E140" s="159"/>
      <c r="F140" s="160" t="s">
        <v>197</v>
      </c>
      <c r="G140" s="296">
        <v>0</v>
      </c>
      <c r="H140" s="304">
        <v>28000</v>
      </c>
      <c r="I140" s="161">
        <f t="shared" si="19"/>
        <v>28000</v>
      </c>
      <c r="J140" s="884" t="str">
        <f t="shared" si="16"/>
        <v>-</v>
      </c>
      <c r="K140" s="430"/>
      <c r="L140" s="224"/>
      <c r="M140" s="107"/>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c r="DU140"/>
      <c r="DV140"/>
      <c r="DW140"/>
      <c r="DX140"/>
      <c r="DY140"/>
      <c r="DZ140"/>
      <c r="EA140"/>
      <c r="EB140"/>
      <c r="EC140"/>
      <c r="ED140"/>
      <c r="EE140"/>
      <c r="EF140"/>
      <c r="EG140"/>
      <c r="EH140"/>
      <c r="EI140"/>
      <c r="EJ140"/>
      <c r="EK140"/>
      <c r="EL140"/>
      <c r="EM140"/>
      <c r="EN140"/>
      <c r="EO140"/>
      <c r="EP140"/>
      <c r="EQ140"/>
      <c r="ER140"/>
      <c r="ES140"/>
      <c r="ET140"/>
      <c r="EU140"/>
      <c r="EV140"/>
      <c r="EW140"/>
      <c r="EX140"/>
      <c r="EY140"/>
      <c r="EZ140"/>
      <c r="FA140"/>
      <c r="FB140"/>
      <c r="FC140"/>
      <c r="FD140"/>
      <c r="FE140"/>
      <c r="FF140"/>
      <c r="FG140"/>
      <c r="FH140"/>
      <c r="FI140"/>
      <c r="FJ140"/>
      <c r="FK140"/>
      <c r="FL140"/>
      <c r="FM140"/>
      <c r="FN140"/>
      <c r="FO140"/>
      <c r="FP140"/>
      <c r="FQ140"/>
      <c r="FR140"/>
      <c r="FS140"/>
      <c r="FT140"/>
      <c r="FU140"/>
      <c r="FV140"/>
      <c r="FW140"/>
      <c r="FX140"/>
      <c r="FY140"/>
      <c r="FZ140"/>
      <c r="GA140"/>
      <c r="GB140"/>
      <c r="GC140"/>
      <c r="GD140"/>
      <c r="GE140"/>
      <c r="GF140"/>
      <c r="GG140"/>
      <c r="GH140"/>
      <c r="GI140"/>
      <c r="GJ140"/>
      <c r="GK140"/>
      <c r="GL140"/>
      <c r="GM140"/>
      <c r="GN140"/>
    </row>
    <row r="141" spans="1:196" ht="15" customHeight="1" collapsed="1" x14ac:dyDescent="0.25">
      <c r="E141" s="141" t="s">
        <v>1639</v>
      </c>
      <c r="F141" s="145" t="s">
        <v>334</v>
      </c>
      <c r="G141" s="300"/>
      <c r="H141" s="928"/>
      <c r="I141" s="146">
        <f t="shared" si="19"/>
        <v>0</v>
      </c>
      <c r="J141" s="882" t="str">
        <f t="shared" si="16"/>
        <v>-</v>
      </c>
      <c r="K141" s="415" t="s">
        <v>623</v>
      </c>
      <c r="L141" s="224"/>
    </row>
    <row r="142" spans="1:196" s="104" customFormat="1" ht="13.8" hidden="1" outlineLevel="1" x14ac:dyDescent="0.25">
      <c r="A142" s="858"/>
      <c r="B142" s="858"/>
      <c r="C142" s="997"/>
      <c r="D142" s="997"/>
      <c r="E142" s="326"/>
      <c r="F142" s="327" t="s">
        <v>182</v>
      </c>
      <c r="G142" s="297"/>
      <c r="H142" s="929"/>
      <c r="I142" s="153">
        <f t="shared" si="19"/>
        <v>0</v>
      </c>
      <c r="J142" s="878" t="str">
        <f t="shared" si="16"/>
        <v>-</v>
      </c>
      <c r="K142" s="429"/>
      <c r="L142" s="224"/>
      <c r="M142" s="107"/>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c r="DU142"/>
      <c r="DV142"/>
      <c r="DW142"/>
      <c r="DX142"/>
      <c r="DY142"/>
      <c r="DZ142"/>
      <c r="EA142"/>
      <c r="EB142"/>
      <c r="EC142"/>
      <c r="ED142"/>
      <c r="EE142"/>
      <c r="EF142"/>
      <c r="EG142"/>
      <c r="EH142"/>
      <c r="EI142"/>
      <c r="EJ142"/>
      <c r="EK142"/>
      <c r="EL142"/>
      <c r="EM142"/>
      <c r="EN142"/>
      <c r="EO142"/>
      <c r="EP142"/>
      <c r="EQ142"/>
      <c r="ER142"/>
      <c r="ES142"/>
      <c r="ET142"/>
      <c r="EU142"/>
      <c r="EV142"/>
      <c r="EW142"/>
      <c r="EX142"/>
      <c r="EY142"/>
      <c r="EZ142"/>
      <c r="FA142"/>
      <c r="FB142"/>
      <c r="FC142"/>
      <c r="FD142"/>
      <c r="FE142"/>
      <c r="FF142"/>
      <c r="FG142"/>
      <c r="FH142"/>
      <c r="FI142"/>
      <c r="FJ142"/>
      <c r="FK142"/>
      <c r="FL142"/>
      <c r="FM142"/>
      <c r="FN142"/>
      <c r="FO142"/>
      <c r="FP142"/>
      <c r="FQ142"/>
      <c r="FR142"/>
      <c r="FS142"/>
      <c r="FT142"/>
      <c r="FU142"/>
      <c r="FV142"/>
      <c r="FW142"/>
      <c r="FX142"/>
      <c r="FY142"/>
      <c r="FZ142"/>
      <c r="GA142"/>
      <c r="GB142"/>
      <c r="GC142"/>
      <c r="GD142"/>
      <c r="GE142"/>
      <c r="GF142"/>
      <c r="GG142"/>
      <c r="GH142"/>
      <c r="GI142"/>
      <c r="GJ142"/>
      <c r="GK142"/>
      <c r="GL142"/>
      <c r="GM142"/>
      <c r="GN142"/>
    </row>
    <row r="143" spans="1:196" ht="27.6" customHeight="1" collapsed="1" x14ac:dyDescent="0.3">
      <c r="E143" s="141" t="s">
        <v>1640</v>
      </c>
      <c r="F143" s="145" t="s">
        <v>1359</v>
      </c>
      <c r="G143" s="300">
        <v>224922</v>
      </c>
      <c r="H143" s="311">
        <v>295000</v>
      </c>
      <c r="I143" s="146">
        <f t="shared" ref="I143" si="20">H143-G143</f>
        <v>70078</v>
      </c>
      <c r="J143" s="882">
        <f t="shared" ref="J143:J194" si="21">IFERROR(I143/G143,"-")</f>
        <v>0.31156578725069134</v>
      </c>
      <c r="K143" s="486"/>
      <c r="L143" s="224"/>
    </row>
    <row r="144" spans="1:196" s="104" customFormat="1" ht="27.6" hidden="1" outlineLevel="1" x14ac:dyDescent="0.25">
      <c r="A144" s="810" t="s">
        <v>1360</v>
      </c>
      <c r="B144" s="810" t="s">
        <v>554</v>
      </c>
      <c r="C144" s="923"/>
      <c r="D144" s="923"/>
      <c r="E144" s="326"/>
      <c r="F144" s="327" t="s">
        <v>185</v>
      </c>
      <c r="G144" s="296">
        <v>224922</v>
      </c>
      <c r="H144" s="304">
        <v>295000</v>
      </c>
      <c r="I144" s="153">
        <f t="shared" ref="I144:I149" si="22">H144-G144</f>
        <v>70078</v>
      </c>
      <c r="J144" s="878">
        <f t="shared" si="21"/>
        <v>0.31156578725069134</v>
      </c>
      <c r="K144" s="1140" t="s">
        <v>1457</v>
      </c>
      <c r="L144" s="224"/>
      <c r="M144" s="107"/>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c r="DU144"/>
      <c r="DV144"/>
      <c r="DW144"/>
      <c r="DX144"/>
      <c r="DY144"/>
      <c r="DZ144"/>
      <c r="EA144"/>
      <c r="EB144"/>
      <c r="EC144"/>
      <c r="ED144"/>
      <c r="EE144"/>
      <c r="EF144"/>
      <c r="EG144"/>
      <c r="EH144"/>
      <c r="EI144"/>
      <c r="EJ144"/>
      <c r="EK144"/>
      <c r="EL144"/>
      <c r="EM144"/>
      <c r="EN144"/>
      <c r="EO144"/>
      <c r="EP144"/>
      <c r="EQ144"/>
      <c r="ER144"/>
      <c r="ES144"/>
      <c r="ET144"/>
      <c r="EU144"/>
      <c r="EV144"/>
      <c r="EW144"/>
      <c r="EX144"/>
      <c r="EY144"/>
      <c r="EZ144"/>
      <c r="FA144"/>
      <c r="FB144"/>
      <c r="FC144"/>
      <c r="FD144"/>
      <c r="FE144"/>
      <c r="FF144"/>
      <c r="FG144"/>
      <c r="FH144"/>
      <c r="FI144"/>
      <c r="FJ144"/>
      <c r="FK144"/>
      <c r="FL144"/>
      <c r="FM144"/>
      <c r="FN144"/>
      <c r="FO144"/>
      <c r="FP144"/>
      <c r="FQ144"/>
      <c r="FR144"/>
      <c r="FS144"/>
      <c r="FT144"/>
      <c r="FU144"/>
      <c r="FV144"/>
      <c r="FW144"/>
      <c r="FX144"/>
      <c r="FY144"/>
      <c r="FZ144"/>
      <c r="GA144"/>
      <c r="GB144"/>
      <c r="GC144"/>
      <c r="GD144"/>
      <c r="GE144"/>
      <c r="GF144"/>
      <c r="GG144"/>
      <c r="GH144"/>
      <c r="GI144"/>
      <c r="GJ144"/>
      <c r="GK144"/>
      <c r="GL144"/>
      <c r="GM144"/>
      <c r="GN144"/>
    </row>
    <row r="145" spans="1:196" s="104" customFormat="1" ht="13.8" hidden="1" outlineLevel="1" x14ac:dyDescent="0.25">
      <c r="C145" s="923"/>
      <c r="D145" s="923"/>
      <c r="E145" s="214"/>
      <c r="F145" s="921" t="s">
        <v>182</v>
      </c>
      <c r="G145" s="328"/>
      <c r="H145" s="930"/>
      <c r="I145" s="153">
        <f t="shared" si="22"/>
        <v>0</v>
      </c>
      <c r="J145" s="878" t="str">
        <f t="shared" si="21"/>
        <v>-</v>
      </c>
      <c r="K145" s="429"/>
      <c r="L145" s="224"/>
      <c r="M145" s="107"/>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c r="DU145"/>
      <c r="DV145"/>
      <c r="DW145"/>
      <c r="DX145"/>
      <c r="DY145"/>
      <c r="DZ145"/>
      <c r="EA145"/>
      <c r="EB145"/>
      <c r="EC145"/>
      <c r="ED145"/>
      <c r="EE145"/>
      <c r="EF145"/>
      <c r="EG145"/>
      <c r="EH145"/>
      <c r="EI145"/>
      <c r="EJ145"/>
      <c r="EK145"/>
      <c r="EL145"/>
      <c r="EM145"/>
      <c r="EN145"/>
      <c r="EO145"/>
      <c r="EP145"/>
      <c r="EQ145"/>
      <c r="ER145"/>
      <c r="ES145"/>
      <c r="ET145"/>
      <c r="EU145"/>
      <c r="EV145"/>
      <c r="EW145"/>
      <c r="EX145"/>
      <c r="EY145"/>
      <c r="EZ145"/>
      <c r="FA145"/>
      <c r="FB145"/>
      <c r="FC145"/>
      <c r="FD145"/>
      <c r="FE145"/>
      <c r="FF145"/>
      <c r="FG145"/>
      <c r="FH145"/>
      <c r="FI145"/>
      <c r="FJ145"/>
      <c r="FK145"/>
      <c r="FL145"/>
      <c r="FM145"/>
      <c r="FN145"/>
      <c r="FO145"/>
      <c r="FP145"/>
      <c r="FQ145"/>
      <c r="FR145"/>
      <c r="FS145"/>
      <c r="FT145"/>
      <c r="FU145"/>
      <c r="FV145"/>
      <c r="FW145"/>
      <c r="FX145"/>
      <c r="FY145"/>
      <c r="FZ145"/>
      <c r="GA145"/>
      <c r="GB145"/>
      <c r="GC145"/>
      <c r="GD145"/>
      <c r="GE145"/>
      <c r="GF145"/>
      <c r="GG145"/>
      <c r="GH145"/>
      <c r="GI145"/>
      <c r="GJ145"/>
      <c r="GK145"/>
      <c r="GL145"/>
      <c r="GM145"/>
      <c r="GN145"/>
    </row>
    <row r="146" spans="1:196" ht="13.8" collapsed="1" x14ac:dyDescent="0.25">
      <c r="E146" s="143" t="s">
        <v>22</v>
      </c>
      <c r="F146" s="144" t="s">
        <v>88</v>
      </c>
      <c r="G146" s="127">
        <v>1431621.8249823998</v>
      </c>
      <c r="H146" s="126">
        <v>1659388.5297900001</v>
      </c>
      <c r="I146" s="126">
        <f t="shared" si="22"/>
        <v>227766.70480760024</v>
      </c>
      <c r="J146" s="864">
        <f t="shared" si="21"/>
        <v>0.15909697717160773</v>
      </c>
      <c r="K146" s="423"/>
      <c r="L146" s="224"/>
      <c r="M146" s="1118"/>
      <c r="N146" s="410"/>
      <c r="O146" s="410"/>
      <c r="P146" s="410"/>
    </row>
    <row r="147" spans="1:196" s="343" customFormat="1" ht="13.8" x14ac:dyDescent="0.25">
      <c r="A147" s="1404"/>
      <c r="B147" s="1404"/>
      <c r="C147" s="1399"/>
      <c r="D147" s="1399"/>
      <c r="E147" s="338"/>
      <c r="F147" s="339" t="s">
        <v>228</v>
      </c>
      <c r="G147" s="340">
        <v>1014752.2049824001</v>
      </c>
      <c r="H147" s="340">
        <v>1134561.1297899999</v>
      </c>
      <c r="I147" s="341">
        <f t="shared" si="22"/>
        <v>119808.92480759986</v>
      </c>
      <c r="J147" s="873">
        <f t="shared" si="21"/>
        <v>0.11806717366007383</v>
      </c>
      <c r="K147" s="424"/>
      <c r="L147" s="470"/>
      <c r="M147" s="1414"/>
      <c r="N147" s="347"/>
      <c r="O147" s="347"/>
      <c r="P147" s="347"/>
      <c r="Q147" s="924"/>
      <c r="R147" s="924"/>
      <c r="S147" s="924"/>
      <c r="T147" s="924"/>
      <c r="U147" s="924"/>
      <c r="V147" s="924"/>
      <c r="W147" s="924"/>
      <c r="X147" s="924"/>
      <c r="Y147" s="924"/>
      <c r="Z147" s="924"/>
      <c r="AA147" s="924"/>
      <c r="AB147" s="924"/>
      <c r="AC147" s="924"/>
      <c r="AD147" s="924"/>
      <c r="AE147" s="924"/>
      <c r="AF147" s="924"/>
      <c r="AG147" s="924"/>
      <c r="AH147" s="924"/>
      <c r="AI147" s="924"/>
      <c r="AJ147" s="924"/>
      <c r="AK147" s="924"/>
      <c r="AL147" s="924"/>
      <c r="AM147" s="924"/>
      <c r="AN147" s="924"/>
      <c r="AO147" s="924"/>
      <c r="AP147" s="924"/>
      <c r="AQ147" s="924"/>
      <c r="AR147" s="924"/>
      <c r="AS147" s="924"/>
      <c r="AT147" s="924"/>
      <c r="AU147" s="924"/>
      <c r="AV147" s="924"/>
      <c r="AW147" s="924"/>
      <c r="AX147" s="924"/>
      <c r="AY147" s="924"/>
      <c r="AZ147" s="924"/>
      <c r="BA147" s="924"/>
      <c r="BB147" s="924"/>
      <c r="BC147" s="924"/>
      <c r="BD147" s="924"/>
      <c r="BE147" s="924"/>
      <c r="BF147" s="924"/>
      <c r="BG147" s="924"/>
      <c r="BH147" s="924"/>
      <c r="BI147" s="924"/>
      <c r="BJ147" s="924"/>
      <c r="BK147" s="924"/>
      <c r="BL147" s="924"/>
      <c r="BM147" s="924"/>
      <c r="BN147" s="924"/>
      <c r="BO147" s="924"/>
      <c r="BP147" s="924"/>
      <c r="BQ147" s="924"/>
      <c r="BR147" s="924"/>
      <c r="BS147" s="924"/>
      <c r="BT147" s="924"/>
      <c r="BU147" s="924"/>
      <c r="BV147" s="924"/>
      <c r="BW147" s="924"/>
      <c r="BX147" s="924"/>
      <c r="BY147" s="924"/>
      <c r="BZ147" s="924"/>
      <c r="CA147" s="924"/>
      <c r="CB147" s="924"/>
      <c r="CC147" s="924"/>
      <c r="CD147" s="924"/>
      <c r="CE147" s="924"/>
      <c r="CF147" s="924"/>
      <c r="CG147" s="924"/>
      <c r="CH147" s="924"/>
      <c r="CI147" s="924"/>
      <c r="CJ147" s="924"/>
      <c r="CK147" s="924"/>
      <c r="CL147" s="924"/>
      <c r="CM147" s="924"/>
      <c r="CN147" s="924"/>
      <c r="CO147" s="924"/>
      <c r="CP147" s="924"/>
      <c r="CQ147" s="924"/>
      <c r="CR147" s="924"/>
      <c r="CS147" s="924"/>
      <c r="CT147" s="924"/>
      <c r="CU147" s="924"/>
      <c r="CV147" s="924"/>
      <c r="CW147" s="924"/>
      <c r="CX147" s="924"/>
      <c r="CY147" s="924"/>
      <c r="CZ147" s="924"/>
      <c r="DA147" s="924"/>
      <c r="DB147" s="924"/>
      <c r="DC147" s="924"/>
      <c r="DD147" s="924"/>
      <c r="DE147" s="924"/>
      <c r="DF147" s="924"/>
      <c r="DG147" s="924"/>
      <c r="DH147" s="924"/>
      <c r="DI147" s="924"/>
      <c r="DJ147" s="924"/>
      <c r="DK147" s="924"/>
      <c r="DL147" s="924"/>
      <c r="DM147" s="924"/>
      <c r="DN147" s="924"/>
      <c r="DO147" s="924"/>
      <c r="DP147" s="924"/>
      <c r="DQ147" s="924"/>
      <c r="DR147" s="924"/>
      <c r="DS147" s="924"/>
      <c r="DT147" s="924"/>
      <c r="DU147" s="924"/>
      <c r="DV147" s="924"/>
      <c r="DW147" s="924"/>
      <c r="DX147" s="924"/>
      <c r="DY147" s="924"/>
      <c r="DZ147" s="924"/>
      <c r="EA147" s="924"/>
      <c r="EB147" s="924"/>
      <c r="EC147" s="924"/>
      <c r="ED147" s="924"/>
      <c r="EE147" s="924"/>
      <c r="EF147" s="924"/>
      <c r="EG147" s="924"/>
      <c r="EH147" s="924"/>
      <c r="EI147" s="924"/>
      <c r="EJ147" s="924"/>
      <c r="EK147" s="924"/>
      <c r="EL147" s="924"/>
      <c r="EM147" s="924"/>
      <c r="EN147" s="924"/>
      <c r="EO147" s="924"/>
      <c r="EP147" s="924"/>
      <c r="EQ147" s="924"/>
      <c r="ER147" s="924"/>
      <c r="ES147" s="924"/>
      <c r="ET147" s="924"/>
      <c r="EU147" s="924"/>
      <c r="EV147" s="924"/>
      <c r="EW147" s="924"/>
      <c r="EX147" s="924"/>
      <c r="EY147" s="924"/>
      <c r="EZ147" s="924"/>
      <c r="FA147" s="924"/>
      <c r="FB147" s="924"/>
      <c r="FC147" s="924"/>
      <c r="FD147" s="924"/>
      <c r="FE147" s="924"/>
      <c r="FF147" s="924"/>
      <c r="FG147" s="924"/>
      <c r="FH147" s="924"/>
      <c r="FI147" s="924"/>
      <c r="FJ147" s="924"/>
      <c r="FK147" s="924"/>
      <c r="FL147" s="924"/>
      <c r="FM147" s="924"/>
      <c r="FN147" s="924"/>
      <c r="FO147" s="924"/>
      <c r="FP147" s="924"/>
      <c r="FQ147" s="924"/>
      <c r="FR147" s="924"/>
      <c r="FS147" s="924"/>
      <c r="FT147" s="924"/>
      <c r="FU147" s="924"/>
      <c r="FV147" s="924"/>
      <c r="FW147" s="924"/>
      <c r="FX147" s="924"/>
      <c r="FY147" s="924"/>
      <c r="FZ147" s="924"/>
      <c r="GA147" s="924"/>
      <c r="GB147" s="924"/>
      <c r="GC147" s="924"/>
      <c r="GD147" s="924"/>
      <c r="GE147" s="924"/>
      <c r="GF147" s="924"/>
      <c r="GG147" s="924"/>
      <c r="GH147" s="924"/>
      <c r="GI147" s="924"/>
      <c r="GJ147" s="924"/>
      <c r="GK147" s="924"/>
      <c r="GL147" s="924"/>
      <c r="GM147" s="924"/>
      <c r="GN147" s="924"/>
    </row>
    <row r="148" spans="1:196" s="343" customFormat="1" ht="13.8" x14ac:dyDescent="0.25">
      <c r="A148" s="1404"/>
      <c r="B148" s="1404"/>
      <c r="C148" s="1399"/>
      <c r="D148" s="1399"/>
      <c r="E148" s="344"/>
      <c r="F148" s="345" t="s">
        <v>198</v>
      </c>
      <c r="G148" s="346">
        <v>391984.62</v>
      </c>
      <c r="H148" s="346">
        <v>494161.39999999997</v>
      </c>
      <c r="I148" s="341">
        <f t="shared" si="22"/>
        <v>102176.77999999997</v>
      </c>
      <c r="J148" s="873">
        <f t="shared" si="21"/>
        <v>0.26066527814280055</v>
      </c>
      <c r="K148" s="424"/>
      <c r="L148" s="470"/>
      <c r="M148" s="1414"/>
      <c r="N148" s="347"/>
      <c r="O148" s="347"/>
      <c r="P148" s="347"/>
      <c r="Q148" s="924"/>
      <c r="R148" s="924"/>
      <c r="S148" s="924"/>
      <c r="T148" s="924"/>
      <c r="U148" s="924"/>
      <c r="V148" s="924"/>
      <c r="W148" s="924"/>
      <c r="X148" s="924"/>
      <c r="Y148" s="924"/>
      <c r="Z148" s="924"/>
      <c r="AA148" s="924"/>
      <c r="AB148" s="924"/>
      <c r="AC148" s="924"/>
      <c r="AD148" s="924"/>
      <c r="AE148" s="924"/>
      <c r="AF148" s="924"/>
      <c r="AG148" s="924"/>
      <c r="AH148" s="924"/>
      <c r="AI148" s="924"/>
      <c r="AJ148" s="924"/>
      <c r="AK148" s="924"/>
      <c r="AL148" s="924"/>
      <c r="AM148" s="924"/>
      <c r="AN148" s="924"/>
      <c r="AO148" s="924"/>
      <c r="AP148" s="924"/>
      <c r="AQ148" s="924"/>
      <c r="AR148" s="924"/>
      <c r="AS148" s="924"/>
      <c r="AT148" s="924"/>
      <c r="AU148" s="924"/>
      <c r="AV148" s="924"/>
      <c r="AW148" s="924"/>
      <c r="AX148" s="924"/>
      <c r="AY148" s="924"/>
      <c r="AZ148" s="924"/>
      <c r="BA148" s="924"/>
      <c r="BB148" s="924"/>
      <c r="BC148" s="924"/>
      <c r="BD148" s="924"/>
      <c r="BE148" s="924"/>
      <c r="BF148" s="924"/>
      <c r="BG148" s="924"/>
      <c r="BH148" s="924"/>
      <c r="BI148" s="924"/>
      <c r="BJ148" s="924"/>
      <c r="BK148" s="924"/>
      <c r="BL148" s="924"/>
      <c r="BM148" s="924"/>
      <c r="BN148" s="924"/>
      <c r="BO148" s="924"/>
      <c r="BP148" s="924"/>
      <c r="BQ148" s="924"/>
      <c r="BR148" s="924"/>
      <c r="BS148" s="924"/>
      <c r="BT148" s="924"/>
      <c r="BU148" s="924"/>
      <c r="BV148" s="924"/>
      <c r="BW148" s="924"/>
      <c r="BX148" s="924"/>
      <c r="BY148" s="924"/>
      <c r="BZ148" s="924"/>
      <c r="CA148" s="924"/>
      <c r="CB148" s="924"/>
      <c r="CC148" s="924"/>
      <c r="CD148" s="924"/>
      <c r="CE148" s="924"/>
      <c r="CF148" s="924"/>
      <c r="CG148" s="924"/>
      <c r="CH148" s="924"/>
      <c r="CI148" s="924"/>
      <c r="CJ148" s="924"/>
      <c r="CK148" s="924"/>
      <c r="CL148" s="924"/>
      <c r="CM148" s="924"/>
      <c r="CN148" s="924"/>
      <c r="CO148" s="924"/>
      <c r="CP148" s="924"/>
      <c r="CQ148" s="924"/>
      <c r="CR148" s="924"/>
      <c r="CS148" s="924"/>
      <c r="CT148" s="924"/>
      <c r="CU148" s="924"/>
      <c r="CV148" s="924"/>
      <c r="CW148" s="924"/>
      <c r="CX148" s="924"/>
      <c r="CY148" s="924"/>
      <c r="CZ148" s="924"/>
      <c r="DA148" s="924"/>
      <c r="DB148" s="924"/>
      <c r="DC148" s="924"/>
      <c r="DD148" s="924"/>
      <c r="DE148" s="924"/>
      <c r="DF148" s="924"/>
      <c r="DG148" s="924"/>
      <c r="DH148" s="924"/>
      <c r="DI148" s="924"/>
      <c r="DJ148" s="924"/>
      <c r="DK148" s="924"/>
      <c r="DL148" s="924"/>
      <c r="DM148" s="924"/>
      <c r="DN148" s="924"/>
      <c r="DO148" s="924"/>
      <c r="DP148" s="924"/>
      <c r="DQ148" s="924"/>
      <c r="DR148" s="924"/>
      <c r="DS148" s="924"/>
      <c r="DT148" s="924"/>
      <c r="DU148" s="924"/>
      <c r="DV148" s="924"/>
      <c r="DW148" s="924"/>
      <c r="DX148" s="924"/>
      <c r="DY148" s="924"/>
      <c r="DZ148" s="924"/>
      <c r="EA148" s="924"/>
      <c r="EB148" s="924"/>
      <c r="EC148" s="924"/>
      <c r="ED148" s="924"/>
      <c r="EE148" s="924"/>
      <c r="EF148" s="924"/>
      <c r="EG148" s="924"/>
      <c r="EH148" s="924"/>
      <c r="EI148" s="924"/>
      <c r="EJ148" s="924"/>
      <c r="EK148" s="924"/>
      <c r="EL148" s="924"/>
      <c r="EM148" s="924"/>
      <c r="EN148" s="924"/>
      <c r="EO148" s="924"/>
      <c r="EP148" s="924"/>
      <c r="EQ148" s="924"/>
      <c r="ER148" s="924"/>
      <c r="ES148" s="924"/>
      <c r="ET148" s="924"/>
      <c r="EU148" s="924"/>
      <c r="EV148" s="924"/>
      <c r="EW148" s="924"/>
      <c r="EX148" s="924"/>
      <c r="EY148" s="924"/>
      <c r="EZ148" s="924"/>
      <c r="FA148" s="924"/>
      <c r="FB148" s="924"/>
      <c r="FC148" s="924"/>
      <c r="FD148" s="924"/>
      <c r="FE148" s="924"/>
      <c r="FF148" s="924"/>
      <c r="FG148" s="924"/>
      <c r="FH148" s="924"/>
      <c r="FI148" s="924"/>
      <c r="FJ148" s="924"/>
      <c r="FK148" s="924"/>
      <c r="FL148" s="924"/>
      <c r="FM148" s="924"/>
      <c r="FN148" s="924"/>
      <c r="FO148" s="924"/>
      <c r="FP148" s="924"/>
      <c r="FQ148" s="924"/>
      <c r="FR148" s="924"/>
      <c r="FS148" s="924"/>
      <c r="FT148" s="924"/>
      <c r="FU148" s="924"/>
      <c r="FV148" s="924"/>
      <c r="FW148" s="924"/>
      <c r="FX148" s="924"/>
      <c r="FY148" s="924"/>
      <c r="FZ148" s="924"/>
      <c r="GA148" s="924"/>
      <c r="GB148" s="924"/>
      <c r="GC148" s="924"/>
      <c r="GD148" s="924"/>
      <c r="GE148" s="924"/>
      <c r="GF148" s="924"/>
      <c r="GG148" s="924"/>
      <c r="GH148" s="924"/>
      <c r="GI148" s="924"/>
      <c r="GJ148" s="924"/>
      <c r="GK148" s="924"/>
      <c r="GL148" s="924"/>
      <c r="GM148" s="924"/>
      <c r="GN148" s="924"/>
    </row>
    <row r="149" spans="1:196" s="343" customFormat="1" ht="13.8" x14ac:dyDescent="0.25">
      <c r="A149" s="1404"/>
      <c r="B149" s="1404"/>
      <c r="C149" s="1399"/>
      <c r="D149" s="1399"/>
      <c r="E149" s="338"/>
      <c r="F149" s="339" t="s">
        <v>197</v>
      </c>
      <c r="G149" s="340">
        <v>24885</v>
      </c>
      <c r="H149" s="340">
        <v>30666</v>
      </c>
      <c r="I149" s="341">
        <f t="shared" si="22"/>
        <v>5781</v>
      </c>
      <c r="J149" s="873">
        <f t="shared" si="21"/>
        <v>0.23230861965039179</v>
      </c>
      <c r="K149" s="424"/>
      <c r="L149" s="470"/>
      <c r="M149" s="1414"/>
      <c r="N149" s="347"/>
      <c r="O149" s="347"/>
      <c r="P149" s="347"/>
      <c r="Q149" s="924"/>
      <c r="R149" s="924"/>
      <c r="S149" s="924"/>
      <c r="T149" s="924"/>
      <c r="U149" s="924"/>
      <c r="V149" s="924"/>
      <c r="W149" s="924"/>
      <c r="X149" s="924"/>
      <c r="Y149" s="924"/>
      <c r="Z149" s="924"/>
      <c r="AA149" s="924"/>
      <c r="AB149" s="924"/>
      <c r="AC149" s="924"/>
      <c r="AD149" s="924"/>
      <c r="AE149" s="924"/>
      <c r="AF149" s="924"/>
      <c r="AG149" s="924"/>
      <c r="AH149" s="924"/>
      <c r="AI149" s="924"/>
      <c r="AJ149" s="924"/>
      <c r="AK149" s="924"/>
      <c r="AL149" s="924"/>
      <c r="AM149" s="924"/>
      <c r="AN149" s="924"/>
      <c r="AO149" s="924"/>
      <c r="AP149" s="924"/>
      <c r="AQ149" s="924"/>
      <c r="AR149" s="924"/>
      <c r="AS149" s="924"/>
      <c r="AT149" s="924"/>
      <c r="AU149" s="924"/>
      <c r="AV149" s="924"/>
      <c r="AW149" s="924"/>
      <c r="AX149" s="924"/>
      <c r="AY149" s="924"/>
      <c r="AZ149" s="924"/>
      <c r="BA149" s="924"/>
      <c r="BB149" s="924"/>
      <c r="BC149" s="924"/>
      <c r="BD149" s="924"/>
      <c r="BE149" s="924"/>
      <c r="BF149" s="924"/>
      <c r="BG149" s="924"/>
      <c r="BH149" s="924"/>
      <c r="BI149" s="924"/>
      <c r="BJ149" s="924"/>
      <c r="BK149" s="924"/>
      <c r="BL149" s="924"/>
      <c r="BM149" s="924"/>
      <c r="BN149" s="924"/>
      <c r="BO149" s="924"/>
      <c r="BP149" s="924"/>
      <c r="BQ149" s="924"/>
      <c r="BR149" s="924"/>
      <c r="BS149" s="924"/>
      <c r="BT149" s="924"/>
      <c r="BU149" s="924"/>
      <c r="BV149" s="924"/>
      <c r="BW149" s="924"/>
      <c r="BX149" s="924"/>
      <c r="BY149" s="924"/>
      <c r="BZ149" s="924"/>
      <c r="CA149" s="924"/>
      <c r="CB149" s="924"/>
      <c r="CC149" s="924"/>
      <c r="CD149" s="924"/>
      <c r="CE149" s="924"/>
      <c r="CF149" s="924"/>
      <c r="CG149" s="924"/>
      <c r="CH149" s="924"/>
      <c r="CI149" s="924"/>
      <c r="CJ149" s="924"/>
      <c r="CK149" s="924"/>
      <c r="CL149" s="924"/>
      <c r="CM149" s="924"/>
      <c r="CN149" s="924"/>
      <c r="CO149" s="924"/>
      <c r="CP149" s="924"/>
      <c r="CQ149" s="924"/>
      <c r="CR149" s="924"/>
      <c r="CS149" s="924"/>
      <c r="CT149" s="924"/>
      <c r="CU149" s="924"/>
      <c r="CV149" s="924"/>
      <c r="CW149" s="924"/>
      <c r="CX149" s="924"/>
      <c r="CY149" s="924"/>
      <c r="CZ149" s="924"/>
      <c r="DA149" s="924"/>
      <c r="DB149" s="924"/>
      <c r="DC149" s="924"/>
      <c r="DD149" s="924"/>
      <c r="DE149" s="924"/>
      <c r="DF149" s="924"/>
      <c r="DG149" s="924"/>
      <c r="DH149" s="924"/>
      <c r="DI149" s="924"/>
      <c r="DJ149" s="924"/>
      <c r="DK149" s="924"/>
      <c r="DL149" s="924"/>
      <c r="DM149" s="924"/>
      <c r="DN149" s="924"/>
      <c r="DO149" s="924"/>
      <c r="DP149" s="924"/>
      <c r="DQ149" s="924"/>
      <c r="DR149" s="924"/>
      <c r="DS149" s="924"/>
      <c r="DT149" s="924"/>
      <c r="DU149" s="924"/>
      <c r="DV149" s="924"/>
      <c r="DW149" s="924"/>
      <c r="DX149" s="924"/>
      <c r="DY149" s="924"/>
      <c r="DZ149" s="924"/>
      <c r="EA149" s="924"/>
      <c r="EB149" s="924"/>
      <c r="EC149" s="924"/>
      <c r="ED149" s="924"/>
      <c r="EE149" s="924"/>
      <c r="EF149" s="924"/>
      <c r="EG149" s="924"/>
      <c r="EH149" s="924"/>
      <c r="EI149" s="924"/>
      <c r="EJ149" s="924"/>
      <c r="EK149" s="924"/>
      <c r="EL149" s="924"/>
      <c r="EM149" s="924"/>
      <c r="EN149" s="924"/>
      <c r="EO149" s="924"/>
      <c r="EP149" s="924"/>
      <c r="EQ149" s="924"/>
      <c r="ER149" s="924"/>
      <c r="ES149" s="924"/>
      <c r="ET149" s="924"/>
      <c r="EU149" s="924"/>
      <c r="EV149" s="924"/>
      <c r="EW149" s="924"/>
      <c r="EX149" s="924"/>
      <c r="EY149" s="924"/>
      <c r="EZ149" s="924"/>
      <c r="FA149" s="924"/>
      <c r="FB149" s="924"/>
      <c r="FC149" s="924"/>
      <c r="FD149" s="924"/>
      <c r="FE149" s="924"/>
      <c r="FF149" s="924"/>
      <c r="FG149" s="924"/>
      <c r="FH149" s="924"/>
      <c r="FI149" s="924"/>
      <c r="FJ149" s="924"/>
      <c r="FK149" s="924"/>
      <c r="FL149" s="924"/>
      <c r="FM149" s="924"/>
      <c r="FN149" s="924"/>
      <c r="FO149" s="924"/>
      <c r="FP149" s="924"/>
      <c r="FQ149" s="924"/>
      <c r="FR149" s="924"/>
      <c r="FS149" s="924"/>
      <c r="FT149" s="924"/>
      <c r="FU149" s="924"/>
      <c r="FV149" s="924"/>
      <c r="FW149" s="924"/>
      <c r="FX149" s="924"/>
      <c r="FY149" s="924"/>
      <c r="FZ149" s="924"/>
      <c r="GA149" s="924"/>
      <c r="GB149" s="924"/>
      <c r="GC149" s="924"/>
      <c r="GD149" s="924"/>
      <c r="GE149" s="924"/>
      <c r="GF149" s="924"/>
      <c r="GG149" s="924"/>
      <c r="GH149" s="924"/>
      <c r="GI149" s="924"/>
      <c r="GJ149" s="924"/>
      <c r="GK149" s="924"/>
      <c r="GL149" s="924"/>
      <c r="GM149" s="924"/>
      <c r="GN149" s="924"/>
    </row>
    <row r="150" spans="1:196" s="525" customFormat="1" ht="13.8" x14ac:dyDescent="0.25">
      <c r="A150" s="1407"/>
      <c r="B150" s="1407"/>
      <c r="C150" s="1408"/>
      <c r="D150" s="1408"/>
      <c r="E150" s="528"/>
      <c r="F150" s="520" t="s">
        <v>354</v>
      </c>
      <c r="G150" s="508">
        <v>123354</v>
      </c>
      <c r="H150" s="508">
        <v>333690</v>
      </c>
      <c r="I150" s="529"/>
      <c r="J150" s="886">
        <f t="shared" si="21"/>
        <v>0</v>
      </c>
      <c r="K150" s="1410"/>
      <c r="L150" s="1409"/>
      <c r="M150" s="1116"/>
      <c r="N150" s="515"/>
      <c r="O150" s="515"/>
      <c r="P150" s="515"/>
      <c r="Q150" s="515"/>
      <c r="R150" s="515"/>
      <c r="S150" s="515"/>
      <c r="T150" s="515"/>
      <c r="U150" s="515"/>
      <c r="V150" s="515"/>
      <c r="W150" s="515"/>
      <c r="X150" s="515"/>
      <c r="Y150" s="515"/>
      <c r="Z150" s="515"/>
      <c r="AA150" s="515"/>
      <c r="AB150" s="515"/>
      <c r="AC150" s="515"/>
      <c r="AD150" s="515"/>
      <c r="AE150" s="515"/>
      <c r="AF150" s="515"/>
      <c r="AG150" s="515"/>
      <c r="AH150" s="515"/>
      <c r="AI150" s="515"/>
      <c r="AJ150" s="515"/>
      <c r="AK150" s="515"/>
      <c r="AL150" s="515"/>
      <c r="AM150" s="515"/>
      <c r="AN150" s="515"/>
      <c r="AO150" s="515"/>
      <c r="AP150" s="515"/>
      <c r="AQ150" s="515"/>
      <c r="AR150" s="515"/>
      <c r="AS150" s="515"/>
      <c r="AT150" s="515"/>
      <c r="AU150" s="515"/>
      <c r="AV150" s="515"/>
      <c r="AW150" s="515"/>
      <c r="AX150" s="515"/>
      <c r="AY150" s="515"/>
      <c r="AZ150" s="515"/>
      <c r="BA150" s="515"/>
      <c r="BB150" s="515"/>
      <c r="BC150" s="515"/>
      <c r="BD150" s="515"/>
      <c r="BE150" s="515"/>
      <c r="BF150" s="515"/>
      <c r="BG150" s="515"/>
      <c r="BH150" s="515"/>
      <c r="BI150" s="515"/>
      <c r="BJ150" s="515"/>
      <c r="BK150" s="515"/>
      <c r="BL150" s="515"/>
      <c r="BM150" s="515"/>
      <c r="BN150" s="515"/>
      <c r="BO150" s="515"/>
      <c r="BP150" s="515"/>
      <c r="BQ150" s="515"/>
      <c r="BR150" s="515"/>
      <c r="BS150" s="515"/>
      <c r="BT150" s="515"/>
      <c r="BU150" s="515"/>
      <c r="BV150" s="515"/>
      <c r="BW150" s="515"/>
      <c r="BX150" s="515"/>
      <c r="BY150" s="515"/>
      <c r="BZ150" s="515"/>
      <c r="CA150" s="515"/>
      <c r="CB150" s="515"/>
      <c r="CC150" s="515"/>
      <c r="CD150" s="515"/>
      <c r="CE150" s="515"/>
      <c r="CF150" s="515"/>
      <c r="CG150" s="515"/>
      <c r="CH150" s="515"/>
      <c r="CI150" s="515"/>
      <c r="CJ150" s="515"/>
      <c r="CK150" s="515"/>
      <c r="CL150" s="515"/>
      <c r="CM150" s="515"/>
      <c r="CN150" s="515"/>
      <c r="CO150" s="515"/>
      <c r="CP150" s="515"/>
      <c r="CQ150" s="515"/>
      <c r="CR150" s="515"/>
      <c r="CS150" s="515"/>
      <c r="CT150" s="515"/>
      <c r="CU150" s="515"/>
      <c r="CV150" s="515"/>
      <c r="CW150" s="515"/>
      <c r="CX150" s="515"/>
      <c r="CY150" s="515"/>
      <c r="CZ150" s="515"/>
      <c r="DA150" s="515"/>
      <c r="DB150" s="515"/>
      <c r="DC150" s="515"/>
      <c r="DD150" s="515"/>
      <c r="DE150" s="515"/>
      <c r="DF150" s="515"/>
      <c r="DG150" s="515"/>
      <c r="DH150" s="515"/>
      <c r="DI150" s="515"/>
      <c r="DJ150" s="515"/>
      <c r="DK150" s="515"/>
      <c r="DL150" s="515"/>
      <c r="DM150" s="515"/>
      <c r="DN150" s="515"/>
      <c r="DO150" s="515"/>
      <c r="DP150" s="515"/>
      <c r="DQ150" s="515"/>
      <c r="DR150" s="515"/>
      <c r="DS150" s="515"/>
      <c r="DT150" s="515"/>
      <c r="DU150" s="515"/>
      <c r="DV150" s="515"/>
      <c r="DW150" s="515"/>
      <c r="DX150" s="515"/>
      <c r="DY150" s="515"/>
      <c r="DZ150" s="515"/>
      <c r="EA150" s="515"/>
      <c r="EB150" s="515"/>
      <c r="EC150" s="515"/>
      <c r="ED150" s="515"/>
      <c r="EE150" s="515"/>
      <c r="EF150" s="515"/>
      <c r="EG150" s="515"/>
      <c r="EH150" s="515"/>
      <c r="EI150" s="515"/>
      <c r="EJ150" s="515"/>
      <c r="EK150" s="515"/>
      <c r="EL150" s="515"/>
      <c r="EM150" s="515"/>
      <c r="EN150" s="515"/>
      <c r="EO150" s="515"/>
      <c r="EP150" s="515"/>
      <c r="EQ150" s="515"/>
      <c r="ER150" s="515"/>
      <c r="ES150" s="515"/>
      <c r="ET150" s="515"/>
      <c r="EU150" s="515"/>
      <c r="EV150" s="515"/>
      <c r="EW150" s="515"/>
      <c r="EX150" s="515"/>
      <c r="EY150" s="515"/>
      <c r="EZ150" s="515"/>
      <c r="FA150" s="515"/>
      <c r="FB150" s="515"/>
      <c r="FC150" s="515"/>
      <c r="FD150" s="515"/>
      <c r="FE150" s="515"/>
      <c r="FF150" s="515"/>
      <c r="FG150" s="515"/>
      <c r="FH150" s="515"/>
      <c r="FI150" s="515"/>
      <c r="FJ150" s="515"/>
      <c r="FK150" s="515"/>
      <c r="FL150" s="515"/>
      <c r="FM150" s="515"/>
      <c r="FN150" s="515"/>
      <c r="FO150" s="515"/>
      <c r="FP150" s="515"/>
      <c r="FQ150" s="515"/>
      <c r="FR150" s="515"/>
      <c r="FS150" s="515"/>
      <c r="FT150" s="515"/>
      <c r="FU150" s="515"/>
      <c r="FV150" s="515"/>
      <c r="FW150" s="515"/>
      <c r="FX150" s="515"/>
      <c r="FY150" s="515"/>
      <c r="FZ150" s="515"/>
      <c r="GA150" s="515"/>
      <c r="GB150" s="515"/>
      <c r="GC150" s="515"/>
      <c r="GD150" s="515"/>
      <c r="GE150" s="515"/>
      <c r="GF150" s="515"/>
      <c r="GG150" s="515"/>
      <c r="GH150" s="515"/>
      <c r="GI150" s="515"/>
      <c r="GJ150" s="515"/>
      <c r="GK150" s="515"/>
      <c r="GL150" s="515"/>
      <c r="GM150" s="515"/>
      <c r="GN150" s="515"/>
    </row>
    <row r="151" spans="1:196" s="525" customFormat="1" ht="13.8" x14ac:dyDescent="0.25">
      <c r="A151" s="1407"/>
      <c r="B151" s="1407"/>
      <c r="C151" s="1408"/>
      <c r="D151" s="1408"/>
      <c r="E151" s="528"/>
      <c r="F151" s="1411" t="s">
        <v>167</v>
      </c>
      <c r="G151" s="1412">
        <v>12280</v>
      </c>
      <c r="H151" s="1412">
        <v>13087.993548021685</v>
      </c>
      <c r="I151" s="510">
        <f>H151-G151</f>
        <v>807.99354802168455</v>
      </c>
      <c r="J151" s="876">
        <f t="shared" si="21"/>
        <v>6.5797520197205583E-2</v>
      </c>
      <c r="K151" s="1413"/>
      <c r="L151" s="1409"/>
      <c r="M151" s="1116"/>
      <c r="N151" s="515"/>
      <c r="O151" s="515"/>
      <c r="P151" s="515"/>
      <c r="Q151" s="515"/>
      <c r="R151" s="515"/>
      <c r="S151" s="515"/>
      <c r="T151" s="515"/>
      <c r="U151" s="515"/>
      <c r="V151" s="515"/>
      <c r="W151" s="515"/>
      <c r="X151" s="515"/>
      <c r="Y151" s="515"/>
      <c r="Z151" s="515"/>
      <c r="AA151" s="515"/>
      <c r="AB151" s="515"/>
      <c r="AC151" s="515"/>
      <c r="AD151" s="515"/>
      <c r="AE151" s="515"/>
      <c r="AF151" s="515"/>
      <c r="AG151" s="515"/>
      <c r="AH151" s="515"/>
      <c r="AI151" s="515"/>
      <c r="AJ151" s="515"/>
      <c r="AK151" s="515"/>
      <c r="AL151" s="515"/>
      <c r="AM151" s="515"/>
      <c r="AN151" s="515"/>
      <c r="AO151" s="515"/>
      <c r="AP151" s="515"/>
      <c r="AQ151" s="515"/>
      <c r="AR151" s="515"/>
      <c r="AS151" s="515"/>
      <c r="AT151" s="515"/>
      <c r="AU151" s="515"/>
      <c r="AV151" s="515"/>
      <c r="AW151" s="515"/>
      <c r="AX151" s="515"/>
      <c r="AY151" s="515"/>
      <c r="AZ151" s="515"/>
      <c r="BA151" s="515"/>
      <c r="BB151" s="515"/>
      <c r="BC151" s="515"/>
      <c r="BD151" s="515"/>
      <c r="BE151" s="515"/>
      <c r="BF151" s="515"/>
      <c r="BG151" s="515"/>
      <c r="BH151" s="515"/>
      <c r="BI151" s="515"/>
      <c r="BJ151" s="515"/>
      <c r="BK151" s="515"/>
      <c r="BL151" s="515"/>
      <c r="BM151" s="515"/>
      <c r="BN151" s="515"/>
      <c r="BO151" s="515"/>
      <c r="BP151" s="515"/>
      <c r="BQ151" s="515"/>
      <c r="BR151" s="515"/>
      <c r="BS151" s="515"/>
      <c r="BT151" s="515"/>
      <c r="BU151" s="515"/>
      <c r="BV151" s="515"/>
      <c r="BW151" s="515"/>
      <c r="BX151" s="515"/>
      <c r="BY151" s="515"/>
      <c r="BZ151" s="515"/>
      <c r="CA151" s="515"/>
      <c r="CB151" s="515"/>
      <c r="CC151" s="515"/>
      <c r="CD151" s="515"/>
      <c r="CE151" s="515"/>
      <c r="CF151" s="515"/>
      <c r="CG151" s="515"/>
      <c r="CH151" s="515"/>
      <c r="CI151" s="515"/>
      <c r="CJ151" s="515"/>
      <c r="CK151" s="515"/>
      <c r="CL151" s="515"/>
      <c r="CM151" s="515"/>
      <c r="CN151" s="515"/>
      <c r="CO151" s="515"/>
      <c r="CP151" s="515"/>
      <c r="CQ151" s="515"/>
      <c r="CR151" s="515"/>
      <c r="CS151" s="515"/>
      <c r="CT151" s="515"/>
      <c r="CU151" s="515"/>
      <c r="CV151" s="515"/>
      <c r="CW151" s="515"/>
      <c r="CX151" s="515"/>
      <c r="CY151" s="515"/>
      <c r="CZ151" s="515"/>
      <c r="DA151" s="515"/>
      <c r="DB151" s="515"/>
      <c r="DC151" s="515"/>
      <c r="DD151" s="515"/>
      <c r="DE151" s="515"/>
      <c r="DF151" s="515"/>
      <c r="DG151" s="515"/>
      <c r="DH151" s="515"/>
      <c r="DI151" s="515"/>
      <c r="DJ151" s="515"/>
      <c r="DK151" s="515"/>
      <c r="DL151" s="515"/>
      <c r="DM151" s="515"/>
      <c r="DN151" s="515"/>
      <c r="DO151" s="515"/>
      <c r="DP151" s="515"/>
      <c r="DQ151" s="515"/>
      <c r="DR151" s="515"/>
      <c r="DS151" s="515"/>
      <c r="DT151" s="515"/>
      <c r="DU151" s="515"/>
      <c r="DV151" s="515"/>
      <c r="DW151" s="515"/>
      <c r="DX151" s="515"/>
      <c r="DY151" s="515"/>
      <c r="DZ151" s="515"/>
      <c r="EA151" s="515"/>
      <c r="EB151" s="515"/>
      <c r="EC151" s="515"/>
      <c r="ED151" s="515"/>
      <c r="EE151" s="515"/>
      <c r="EF151" s="515"/>
      <c r="EG151" s="515"/>
      <c r="EH151" s="515"/>
      <c r="EI151" s="515"/>
      <c r="EJ151" s="515"/>
      <c r="EK151" s="515"/>
      <c r="EL151" s="515"/>
      <c r="EM151" s="515"/>
      <c r="EN151" s="515"/>
      <c r="EO151" s="515"/>
      <c r="EP151" s="515"/>
      <c r="EQ151" s="515"/>
      <c r="ER151" s="515"/>
      <c r="ES151" s="515"/>
      <c r="ET151" s="515"/>
      <c r="EU151" s="515"/>
      <c r="EV151" s="515"/>
      <c r="EW151" s="515"/>
      <c r="EX151" s="515"/>
      <c r="EY151" s="515"/>
      <c r="EZ151" s="515"/>
      <c r="FA151" s="515"/>
      <c r="FB151" s="515"/>
      <c r="FC151" s="515"/>
      <c r="FD151" s="515"/>
      <c r="FE151" s="515"/>
      <c r="FF151" s="515"/>
      <c r="FG151" s="515"/>
      <c r="FH151" s="515"/>
      <c r="FI151" s="515"/>
      <c r="FJ151" s="515"/>
      <c r="FK151" s="515"/>
      <c r="FL151" s="515"/>
      <c r="FM151" s="515"/>
      <c r="FN151" s="515"/>
      <c r="FO151" s="515"/>
      <c r="FP151" s="515"/>
      <c r="FQ151" s="515"/>
      <c r="FR151" s="515"/>
      <c r="FS151" s="515"/>
      <c r="FT151" s="515"/>
      <c r="FU151" s="515"/>
      <c r="FV151" s="515"/>
      <c r="FW151" s="515"/>
      <c r="FX151" s="515"/>
      <c r="FY151" s="515"/>
      <c r="FZ151" s="515"/>
      <c r="GA151" s="515"/>
      <c r="GB151" s="515"/>
      <c r="GC151" s="515"/>
      <c r="GD151" s="515"/>
      <c r="GE151" s="515"/>
      <c r="GF151" s="515"/>
      <c r="GG151" s="515"/>
      <c r="GH151" s="515"/>
      <c r="GI151" s="515"/>
      <c r="GJ151" s="515"/>
      <c r="GK151" s="515"/>
      <c r="GL151" s="515"/>
      <c r="GM151" s="515"/>
      <c r="GN151" s="515"/>
    </row>
    <row r="152" spans="1:196" s="525" customFormat="1" ht="13.8" x14ac:dyDescent="0.25">
      <c r="A152" s="1407"/>
      <c r="B152" s="1407"/>
      <c r="C152" s="1408"/>
      <c r="D152" s="1408"/>
      <c r="E152" s="523"/>
      <c r="F152" s="520" t="s">
        <v>555</v>
      </c>
      <c r="G152" s="505">
        <v>201846</v>
      </c>
      <c r="H152" s="505">
        <v>317707.55000000005</v>
      </c>
      <c r="I152" s="510">
        <f>H152-G152</f>
        <v>115861.55000000005</v>
      </c>
      <c r="J152" s="876">
        <f t="shared" si="21"/>
        <v>0.57400964101344609</v>
      </c>
      <c r="K152" s="526"/>
      <c r="L152" s="1409"/>
      <c r="M152" s="1116"/>
      <c r="N152" s="515"/>
      <c r="O152" s="515"/>
      <c r="P152" s="515"/>
      <c r="Q152" s="515"/>
      <c r="R152" s="515"/>
      <c r="S152" s="515"/>
      <c r="T152" s="515"/>
      <c r="U152" s="515"/>
      <c r="V152" s="515"/>
      <c r="W152" s="515"/>
      <c r="X152" s="515"/>
      <c r="Y152" s="515"/>
      <c r="Z152" s="515"/>
      <c r="AA152" s="515"/>
      <c r="AB152" s="515"/>
      <c r="AC152" s="515"/>
      <c r="AD152" s="515"/>
      <c r="AE152" s="515"/>
      <c r="AF152" s="515"/>
      <c r="AG152" s="515"/>
      <c r="AH152" s="515"/>
      <c r="AI152" s="515"/>
      <c r="AJ152" s="515"/>
      <c r="AK152" s="515"/>
      <c r="AL152" s="515"/>
      <c r="AM152" s="515"/>
      <c r="AN152" s="515"/>
      <c r="AO152" s="515"/>
      <c r="AP152" s="515"/>
      <c r="AQ152" s="515"/>
      <c r="AR152" s="515"/>
      <c r="AS152" s="515"/>
      <c r="AT152" s="515"/>
      <c r="AU152" s="515"/>
      <c r="AV152" s="515"/>
      <c r="AW152" s="515"/>
      <c r="AX152" s="515"/>
      <c r="AY152" s="515"/>
      <c r="AZ152" s="515"/>
      <c r="BA152" s="515"/>
      <c r="BB152" s="515"/>
      <c r="BC152" s="515"/>
      <c r="BD152" s="515"/>
      <c r="BE152" s="515"/>
      <c r="BF152" s="515"/>
      <c r="BG152" s="515"/>
      <c r="BH152" s="515"/>
      <c r="BI152" s="515"/>
      <c r="BJ152" s="515"/>
      <c r="BK152" s="515"/>
      <c r="BL152" s="515"/>
      <c r="BM152" s="515"/>
      <c r="BN152" s="515"/>
      <c r="BO152" s="515"/>
      <c r="BP152" s="515"/>
      <c r="BQ152" s="515"/>
      <c r="BR152" s="515"/>
      <c r="BS152" s="515"/>
      <c r="BT152" s="515"/>
      <c r="BU152" s="515"/>
      <c r="BV152" s="515"/>
      <c r="BW152" s="515"/>
      <c r="BX152" s="515"/>
      <c r="BY152" s="515"/>
      <c r="BZ152" s="515"/>
      <c r="CA152" s="515"/>
      <c r="CB152" s="515"/>
      <c r="CC152" s="515"/>
      <c r="CD152" s="515"/>
      <c r="CE152" s="515"/>
      <c r="CF152" s="515"/>
      <c r="CG152" s="515"/>
      <c r="CH152" s="515"/>
      <c r="CI152" s="515"/>
      <c r="CJ152" s="515"/>
      <c r="CK152" s="515"/>
      <c r="CL152" s="515"/>
      <c r="CM152" s="515"/>
      <c r="CN152" s="515"/>
      <c r="CO152" s="515"/>
      <c r="CP152" s="515"/>
      <c r="CQ152" s="515"/>
      <c r="CR152" s="515"/>
      <c r="CS152" s="515"/>
      <c r="CT152" s="515"/>
      <c r="CU152" s="515"/>
      <c r="CV152" s="515"/>
      <c r="CW152" s="515"/>
      <c r="CX152" s="515"/>
      <c r="CY152" s="515"/>
      <c r="CZ152" s="515"/>
      <c r="DA152" s="515"/>
      <c r="DB152" s="515"/>
      <c r="DC152" s="515"/>
      <c r="DD152" s="515"/>
      <c r="DE152" s="515"/>
      <c r="DF152" s="515"/>
      <c r="DG152" s="515"/>
      <c r="DH152" s="515"/>
      <c r="DI152" s="515"/>
      <c r="DJ152" s="515"/>
      <c r="DK152" s="515"/>
      <c r="DL152" s="515"/>
      <c r="DM152" s="515"/>
      <c r="DN152" s="515"/>
      <c r="DO152" s="515"/>
      <c r="DP152" s="515"/>
      <c r="DQ152" s="515"/>
      <c r="DR152" s="515"/>
      <c r="DS152" s="515"/>
      <c r="DT152" s="515"/>
      <c r="DU152" s="515"/>
      <c r="DV152" s="515"/>
      <c r="DW152" s="515"/>
      <c r="DX152" s="515"/>
      <c r="DY152" s="515"/>
      <c r="DZ152" s="515"/>
      <c r="EA152" s="515"/>
      <c r="EB152" s="515"/>
      <c r="EC152" s="515"/>
      <c r="ED152" s="515"/>
      <c r="EE152" s="515"/>
      <c r="EF152" s="515"/>
      <c r="EG152" s="515"/>
      <c r="EH152" s="515"/>
      <c r="EI152" s="515"/>
      <c r="EJ152" s="515"/>
      <c r="EK152" s="515"/>
      <c r="EL152" s="515"/>
      <c r="EM152" s="515"/>
      <c r="EN152" s="515"/>
      <c r="EO152" s="515"/>
      <c r="EP152" s="515"/>
      <c r="EQ152" s="515"/>
      <c r="ER152" s="515"/>
      <c r="ES152" s="515"/>
      <c r="ET152" s="515"/>
      <c r="EU152" s="515"/>
      <c r="EV152" s="515"/>
      <c r="EW152" s="515"/>
      <c r="EX152" s="515"/>
      <c r="EY152" s="515"/>
      <c r="EZ152" s="515"/>
      <c r="FA152" s="515"/>
      <c r="FB152" s="515"/>
      <c r="FC152" s="515"/>
      <c r="FD152" s="515"/>
      <c r="FE152" s="515"/>
      <c r="FF152" s="515"/>
      <c r="FG152" s="515"/>
      <c r="FH152" s="515"/>
      <c r="FI152" s="515"/>
      <c r="FJ152" s="515"/>
      <c r="FK152" s="515"/>
      <c r="FL152" s="515"/>
      <c r="FM152" s="515"/>
      <c r="FN152" s="515"/>
      <c r="FO152" s="515"/>
      <c r="FP152" s="515"/>
      <c r="FQ152" s="515"/>
      <c r="FR152" s="515"/>
      <c r="FS152" s="515"/>
      <c r="FT152" s="515"/>
      <c r="FU152" s="515"/>
      <c r="FV152" s="515"/>
      <c r="FW152" s="515"/>
      <c r="FX152" s="515"/>
      <c r="FY152" s="515"/>
      <c r="FZ152" s="515"/>
      <c r="GA152" s="515"/>
      <c r="GB152" s="515"/>
      <c r="GC152" s="515"/>
      <c r="GD152" s="515"/>
      <c r="GE152" s="515"/>
      <c r="GF152" s="515"/>
      <c r="GG152" s="515"/>
      <c r="GH152" s="515"/>
      <c r="GI152" s="515"/>
      <c r="GJ152" s="515"/>
      <c r="GK152" s="515"/>
      <c r="GL152" s="515"/>
      <c r="GM152" s="515"/>
      <c r="GN152" s="515"/>
    </row>
    <row r="153" spans="1:196" s="525" customFormat="1" ht="13.8" x14ac:dyDescent="0.25">
      <c r="A153" s="1407"/>
      <c r="B153" s="1407"/>
      <c r="C153" s="1408"/>
      <c r="D153" s="1408"/>
      <c r="E153" s="528"/>
      <c r="F153" s="520" t="s">
        <v>192</v>
      </c>
      <c r="G153" s="508">
        <v>0</v>
      </c>
      <c r="H153" s="508">
        <v>2000</v>
      </c>
      <c r="I153" s="529"/>
      <c r="J153" s="886" t="str">
        <f t="shared" si="21"/>
        <v>-</v>
      </c>
      <c r="K153" s="1410"/>
      <c r="L153" s="1409"/>
      <c r="M153" s="1116"/>
      <c r="N153" s="515"/>
      <c r="O153" s="515"/>
      <c r="P153" s="515"/>
      <c r="Q153" s="515"/>
      <c r="R153" s="515"/>
      <c r="S153" s="515"/>
      <c r="T153" s="515"/>
      <c r="U153" s="515"/>
      <c r="V153" s="515"/>
      <c r="W153" s="515"/>
      <c r="X153" s="515"/>
      <c r="Y153" s="515"/>
      <c r="Z153" s="515"/>
      <c r="AA153" s="515"/>
      <c r="AB153" s="515"/>
      <c r="AC153" s="515"/>
      <c r="AD153" s="515"/>
      <c r="AE153" s="515"/>
      <c r="AF153" s="515"/>
      <c r="AG153" s="515"/>
      <c r="AH153" s="515"/>
      <c r="AI153" s="515"/>
      <c r="AJ153" s="515"/>
      <c r="AK153" s="515"/>
      <c r="AL153" s="515"/>
      <c r="AM153" s="515"/>
      <c r="AN153" s="515"/>
      <c r="AO153" s="515"/>
      <c r="AP153" s="515"/>
      <c r="AQ153" s="515"/>
      <c r="AR153" s="515"/>
      <c r="AS153" s="515"/>
      <c r="AT153" s="515"/>
      <c r="AU153" s="515"/>
      <c r="AV153" s="515"/>
      <c r="AW153" s="515"/>
      <c r="AX153" s="515"/>
      <c r="AY153" s="515"/>
      <c r="AZ153" s="515"/>
      <c r="BA153" s="515"/>
      <c r="BB153" s="515"/>
      <c r="BC153" s="515"/>
      <c r="BD153" s="515"/>
      <c r="BE153" s="515"/>
      <c r="BF153" s="515"/>
      <c r="BG153" s="515"/>
      <c r="BH153" s="515"/>
      <c r="BI153" s="515"/>
      <c r="BJ153" s="515"/>
      <c r="BK153" s="515"/>
      <c r="BL153" s="515"/>
      <c r="BM153" s="515"/>
      <c r="BN153" s="515"/>
      <c r="BO153" s="515"/>
      <c r="BP153" s="515"/>
      <c r="BQ153" s="515"/>
      <c r="BR153" s="515"/>
      <c r="BS153" s="515"/>
      <c r="BT153" s="515"/>
      <c r="BU153" s="515"/>
      <c r="BV153" s="515"/>
      <c r="BW153" s="515"/>
      <c r="BX153" s="515"/>
      <c r="BY153" s="515"/>
      <c r="BZ153" s="515"/>
      <c r="CA153" s="515"/>
      <c r="CB153" s="515"/>
      <c r="CC153" s="515"/>
      <c r="CD153" s="515"/>
      <c r="CE153" s="515"/>
      <c r="CF153" s="515"/>
      <c r="CG153" s="515"/>
      <c r="CH153" s="515"/>
      <c r="CI153" s="515"/>
      <c r="CJ153" s="515"/>
      <c r="CK153" s="515"/>
      <c r="CL153" s="515"/>
      <c r="CM153" s="515"/>
      <c r="CN153" s="515"/>
      <c r="CO153" s="515"/>
      <c r="CP153" s="515"/>
      <c r="CQ153" s="515"/>
      <c r="CR153" s="515"/>
      <c r="CS153" s="515"/>
      <c r="CT153" s="515"/>
      <c r="CU153" s="515"/>
      <c r="CV153" s="515"/>
      <c r="CW153" s="515"/>
      <c r="CX153" s="515"/>
      <c r="CY153" s="515"/>
      <c r="CZ153" s="515"/>
      <c r="DA153" s="515"/>
      <c r="DB153" s="515"/>
      <c r="DC153" s="515"/>
      <c r="DD153" s="515"/>
      <c r="DE153" s="515"/>
      <c r="DF153" s="515"/>
      <c r="DG153" s="515"/>
      <c r="DH153" s="515"/>
      <c r="DI153" s="515"/>
      <c r="DJ153" s="515"/>
      <c r="DK153" s="515"/>
      <c r="DL153" s="515"/>
      <c r="DM153" s="515"/>
      <c r="DN153" s="515"/>
      <c r="DO153" s="515"/>
      <c r="DP153" s="515"/>
      <c r="DQ153" s="515"/>
      <c r="DR153" s="515"/>
      <c r="DS153" s="515"/>
      <c r="DT153" s="515"/>
      <c r="DU153" s="515"/>
      <c r="DV153" s="515"/>
      <c r="DW153" s="515"/>
      <c r="DX153" s="515"/>
      <c r="DY153" s="515"/>
      <c r="DZ153" s="515"/>
      <c r="EA153" s="515"/>
      <c r="EB153" s="515"/>
      <c r="EC153" s="515"/>
      <c r="ED153" s="515"/>
      <c r="EE153" s="515"/>
      <c r="EF153" s="515"/>
      <c r="EG153" s="515"/>
      <c r="EH153" s="515"/>
      <c r="EI153" s="515"/>
      <c r="EJ153" s="515"/>
      <c r="EK153" s="515"/>
      <c r="EL153" s="515"/>
      <c r="EM153" s="515"/>
      <c r="EN153" s="515"/>
      <c r="EO153" s="515"/>
      <c r="EP153" s="515"/>
      <c r="EQ153" s="515"/>
      <c r="ER153" s="515"/>
      <c r="ES153" s="515"/>
      <c r="ET153" s="515"/>
      <c r="EU153" s="515"/>
      <c r="EV153" s="515"/>
      <c r="EW153" s="515"/>
      <c r="EX153" s="515"/>
      <c r="EY153" s="515"/>
      <c r="EZ153" s="515"/>
      <c r="FA153" s="515"/>
      <c r="FB153" s="515"/>
      <c r="FC153" s="515"/>
      <c r="FD153" s="515"/>
      <c r="FE153" s="515"/>
      <c r="FF153" s="515"/>
      <c r="FG153" s="515"/>
      <c r="FH153" s="515"/>
      <c r="FI153" s="515"/>
      <c r="FJ153" s="515"/>
      <c r="FK153" s="515"/>
      <c r="FL153" s="515"/>
      <c r="FM153" s="515"/>
      <c r="FN153" s="515"/>
      <c r="FO153" s="515"/>
      <c r="FP153" s="515"/>
      <c r="FQ153" s="515"/>
      <c r="FR153" s="515"/>
      <c r="FS153" s="515"/>
      <c r="FT153" s="515"/>
      <c r="FU153" s="515"/>
      <c r="FV153" s="515"/>
      <c r="FW153" s="515"/>
      <c r="FX153" s="515"/>
      <c r="FY153" s="515"/>
      <c r="FZ153" s="515"/>
      <c r="GA153" s="515"/>
      <c r="GB153" s="515"/>
      <c r="GC153" s="515"/>
      <c r="GD153" s="515"/>
      <c r="GE153" s="515"/>
      <c r="GF153" s="515"/>
      <c r="GG153" s="515"/>
      <c r="GH153" s="515"/>
      <c r="GI153" s="515"/>
      <c r="GJ153" s="515"/>
      <c r="GK153" s="515"/>
      <c r="GL153" s="515"/>
      <c r="GM153" s="515"/>
      <c r="GN153" s="515"/>
    </row>
    <row r="154" spans="1:196" ht="13.8" x14ac:dyDescent="0.25">
      <c r="C154" s="923">
        <f>449681-G159</f>
        <v>442261</v>
      </c>
      <c r="D154" s="923">
        <f>C154-G154</f>
        <v>60950.67988359998</v>
      </c>
      <c r="E154" s="141" t="s">
        <v>84</v>
      </c>
      <c r="F154" s="142" t="s">
        <v>211</v>
      </c>
      <c r="G154" s="302">
        <v>381310.32011640002</v>
      </c>
      <c r="H154" s="302">
        <v>425622.10582000006</v>
      </c>
      <c r="I154" s="132">
        <f t="shared" ref="I154:I167" si="23">H154-G154</f>
        <v>44311.785703600035</v>
      </c>
      <c r="J154" s="867">
        <f t="shared" si="21"/>
        <v>0.11620924838874877</v>
      </c>
      <c r="K154" s="418"/>
      <c r="L154" s="224"/>
      <c r="M154" s="1118"/>
      <c r="N154" s="410"/>
      <c r="O154" s="410"/>
      <c r="P154" s="410"/>
    </row>
    <row r="155" spans="1:196" s="104" customFormat="1" ht="13.8" hidden="1" outlineLevel="1" x14ac:dyDescent="0.25">
      <c r="A155" s="810" t="s">
        <v>762</v>
      </c>
      <c r="B155" s="810" t="s">
        <v>228</v>
      </c>
      <c r="C155" s="923"/>
      <c r="D155" s="923"/>
      <c r="E155" s="159"/>
      <c r="F155" s="215" t="s">
        <v>228</v>
      </c>
      <c r="G155" s="304">
        <v>307520.32011640002</v>
      </c>
      <c r="H155" s="304">
        <v>343652.10582000006</v>
      </c>
      <c r="I155" s="153">
        <f t="shared" si="23"/>
        <v>36131.785703600035</v>
      </c>
      <c r="J155" s="878">
        <f t="shared" si="21"/>
        <v>0.11749397792615374</v>
      </c>
      <c r="K155" s="430"/>
      <c r="L155" s="224"/>
      <c r="M155" s="1118"/>
      <c r="N155" s="410"/>
      <c r="O155" s="410"/>
      <c r="P155" s="410"/>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c r="DU155"/>
      <c r="DV155"/>
      <c r="DW155"/>
      <c r="DX155"/>
      <c r="DY155"/>
      <c r="DZ155"/>
      <c r="EA155"/>
      <c r="EB155"/>
      <c r="EC155"/>
      <c r="ED155"/>
      <c r="EE155"/>
      <c r="EF155"/>
      <c r="EG155"/>
      <c r="EH155"/>
      <c r="EI155"/>
      <c r="EJ155"/>
      <c r="EK155"/>
      <c r="EL155"/>
      <c r="EM155"/>
      <c r="EN155"/>
      <c r="EO155"/>
      <c r="EP155"/>
      <c r="EQ155"/>
      <c r="ER155"/>
      <c r="ES155"/>
      <c r="ET155"/>
      <c r="EU155"/>
      <c r="EV155"/>
      <c r="EW155"/>
      <c r="EX155"/>
      <c r="EY155"/>
      <c r="EZ155"/>
      <c r="FA155"/>
      <c r="FB155"/>
      <c r="FC155"/>
      <c r="FD155"/>
      <c r="FE155"/>
      <c r="FF155"/>
      <c r="FG155"/>
      <c r="FH155"/>
      <c r="FI155"/>
      <c r="FJ155"/>
      <c r="FK155"/>
      <c r="FL155"/>
      <c r="FM155"/>
      <c r="FN155"/>
      <c r="FO155"/>
      <c r="FP155"/>
      <c r="FQ155"/>
      <c r="FR155"/>
      <c r="FS155"/>
      <c r="FT155"/>
      <c r="FU155"/>
      <c r="FV155"/>
      <c r="FW155"/>
      <c r="FX155"/>
      <c r="FY155"/>
      <c r="FZ155"/>
      <c r="GA155"/>
      <c r="GB155"/>
      <c r="GC155"/>
      <c r="GD155"/>
      <c r="GE155"/>
      <c r="GF155"/>
      <c r="GG155"/>
      <c r="GH155"/>
      <c r="GI155"/>
      <c r="GJ155"/>
      <c r="GK155"/>
      <c r="GL155"/>
      <c r="GM155"/>
      <c r="GN155"/>
    </row>
    <row r="156" spans="1:196" s="104" customFormat="1" ht="41.4" hidden="1" outlineLevel="1" x14ac:dyDescent="0.25">
      <c r="A156" s="810" t="s">
        <v>762</v>
      </c>
      <c r="B156" s="810" t="s">
        <v>554</v>
      </c>
      <c r="C156" s="923"/>
      <c r="D156" s="923"/>
      <c r="E156" s="214"/>
      <c r="F156" s="160" t="s">
        <v>198</v>
      </c>
      <c r="G156" s="304">
        <v>67790</v>
      </c>
      <c r="H156" s="304">
        <v>78470</v>
      </c>
      <c r="I156" s="153">
        <f t="shared" si="23"/>
        <v>10680</v>
      </c>
      <c r="J156" s="878">
        <f t="shared" si="21"/>
        <v>0.15754536067266559</v>
      </c>
      <c r="K156" s="305" t="s">
        <v>1612</v>
      </c>
      <c r="L156" s="224"/>
      <c r="M156" s="1118"/>
      <c r="N156" s="410"/>
      <c r="O156" s="410"/>
      <c r="P156" s="410"/>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c r="DU156"/>
      <c r="DV156"/>
      <c r="DW156"/>
      <c r="DX156"/>
      <c r="DY156"/>
      <c r="DZ156"/>
      <c r="EA156"/>
      <c r="EB156"/>
      <c r="EC156"/>
      <c r="ED156"/>
      <c r="EE156"/>
      <c r="EF156"/>
      <c r="EG156"/>
      <c r="EH156"/>
      <c r="EI156"/>
      <c r="EJ156"/>
      <c r="EK156"/>
      <c r="EL156"/>
      <c r="EM156"/>
      <c r="EN156"/>
      <c r="EO156"/>
      <c r="EP156"/>
      <c r="EQ156"/>
      <c r="ER156"/>
      <c r="ES156"/>
      <c r="ET156"/>
      <c r="EU156"/>
      <c r="EV156"/>
      <c r="EW156"/>
      <c r="EX156"/>
      <c r="EY156"/>
      <c r="EZ156"/>
      <c r="FA156"/>
      <c r="FB156"/>
      <c r="FC156"/>
      <c r="FD156"/>
      <c r="FE156"/>
      <c r="FF156"/>
      <c r="FG156"/>
      <c r="FH156"/>
      <c r="FI156"/>
      <c r="FJ156"/>
      <c r="FK156"/>
      <c r="FL156"/>
      <c r="FM156"/>
      <c r="FN156"/>
      <c r="FO156"/>
      <c r="FP156"/>
      <c r="FQ156"/>
      <c r="FR156"/>
      <c r="FS156"/>
      <c r="FT156"/>
      <c r="FU156"/>
      <c r="FV156"/>
      <c r="FW156"/>
      <c r="FX156"/>
      <c r="FY156"/>
      <c r="FZ156"/>
      <c r="GA156"/>
      <c r="GB156"/>
      <c r="GC156"/>
      <c r="GD156"/>
      <c r="GE156"/>
      <c r="GF156"/>
      <c r="GG156"/>
      <c r="GH156"/>
      <c r="GI156"/>
      <c r="GJ156"/>
      <c r="GK156"/>
      <c r="GL156"/>
      <c r="GM156"/>
      <c r="GN156"/>
    </row>
    <row r="157" spans="1:196" s="104" customFormat="1" ht="13.8" hidden="1" outlineLevel="1" x14ac:dyDescent="0.25">
      <c r="A157" s="810" t="s">
        <v>762</v>
      </c>
      <c r="B157" s="810" t="s">
        <v>556</v>
      </c>
      <c r="C157" s="923"/>
      <c r="D157" s="923"/>
      <c r="E157" s="159"/>
      <c r="F157" s="160" t="s">
        <v>197</v>
      </c>
      <c r="G157" s="304">
        <v>6000</v>
      </c>
      <c r="H157" s="304">
        <v>3500</v>
      </c>
      <c r="I157" s="153">
        <f t="shared" si="23"/>
        <v>-2500</v>
      </c>
      <c r="J157" s="878">
        <f t="shared" si="21"/>
        <v>-0.41666666666666669</v>
      </c>
      <c r="K157" s="430"/>
      <c r="L157" s="224"/>
      <c r="M157" s="1118"/>
      <c r="N157" s="410"/>
      <c r="O157" s="410"/>
      <c r="P157" s="410"/>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c r="DU157"/>
      <c r="DV157"/>
      <c r="DW157"/>
      <c r="DX157"/>
      <c r="DY157"/>
      <c r="DZ157"/>
      <c r="EA157"/>
      <c r="EB157"/>
      <c r="EC157"/>
      <c r="ED157"/>
      <c r="EE157"/>
      <c r="EF157"/>
      <c r="EG157"/>
      <c r="EH157"/>
      <c r="EI157"/>
      <c r="EJ157"/>
      <c r="EK157"/>
      <c r="EL157"/>
      <c r="EM157"/>
      <c r="EN157"/>
      <c r="EO157"/>
      <c r="EP157"/>
      <c r="EQ157"/>
      <c r="ER157"/>
      <c r="ES157"/>
      <c r="ET157"/>
      <c r="EU157"/>
      <c r="EV157"/>
      <c r="EW157"/>
      <c r="EX157"/>
      <c r="EY157"/>
      <c r="EZ157"/>
      <c r="FA157"/>
      <c r="FB157"/>
      <c r="FC157"/>
      <c r="FD157"/>
      <c r="FE157"/>
      <c r="FF157"/>
      <c r="FG157"/>
      <c r="FH157"/>
      <c r="FI157"/>
      <c r="FJ157"/>
      <c r="FK157"/>
      <c r="FL157"/>
      <c r="FM157"/>
      <c r="FN157"/>
      <c r="FO157"/>
      <c r="FP157"/>
      <c r="FQ157"/>
      <c r="FR157"/>
      <c r="FS157"/>
      <c r="FT157"/>
      <c r="FU157"/>
      <c r="FV157"/>
      <c r="FW157"/>
      <c r="FX157"/>
      <c r="FY157"/>
      <c r="FZ157"/>
      <c r="GA157"/>
      <c r="GB157"/>
      <c r="GC157"/>
      <c r="GD157"/>
      <c r="GE157"/>
      <c r="GF157"/>
      <c r="GG157"/>
      <c r="GH157"/>
      <c r="GI157"/>
      <c r="GJ157"/>
      <c r="GK157"/>
      <c r="GL157"/>
      <c r="GM157"/>
      <c r="GN157"/>
    </row>
    <row r="158" spans="1:196" s="525" customFormat="1" ht="13.8" hidden="1" outlineLevel="1" x14ac:dyDescent="0.25">
      <c r="A158" s="1407" t="s">
        <v>762</v>
      </c>
      <c r="B158" s="1407" t="s">
        <v>354</v>
      </c>
      <c r="C158" s="1408"/>
      <c r="D158" s="1408"/>
      <c r="E158" s="523"/>
      <c r="F158" s="520" t="s">
        <v>354</v>
      </c>
      <c r="G158" s="505">
        <v>61301</v>
      </c>
      <c r="H158" s="505">
        <v>149900</v>
      </c>
      <c r="I158" s="510">
        <f t="shared" si="23"/>
        <v>88599</v>
      </c>
      <c r="J158" s="876">
        <f>IFERROR(I158/G158,"-")</f>
        <v>1.4453108432162607</v>
      </c>
      <c r="K158" s="526"/>
      <c r="L158" s="1409"/>
      <c r="M158" s="1116"/>
      <c r="N158" s="515"/>
      <c r="O158" s="515"/>
      <c r="P158" s="515"/>
      <c r="Q158" s="515"/>
      <c r="R158" s="515"/>
      <c r="S158" s="515"/>
      <c r="T158" s="515"/>
      <c r="U158" s="515"/>
      <c r="V158" s="515"/>
      <c r="W158" s="515"/>
      <c r="X158" s="515"/>
      <c r="Y158" s="515"/>
      <c r="Z158" s="515"/>
      <c r="AA158" s="515"/>
      <c r="AB158" s="515"/>
      <c r="AC158" s="515"/>
      <c r="AD158" s="515"/>
      <c r="AE158" s="515"/>
      <c r="AF158" s="515"/>
      <c r="AG158" s="515"/>
      <c r="AH158" s="515"/>
      <c r="AI158" s="515"/>
      <c r="AJ158" s="515"/>
      <c r="AK158" s="515"/>
      <c r="AL158" s="515"/>
      <c r="AM158" s="515"/>
      <c r="AN158" s="515"/>
      <c r="AO158" s="515"/>
      <c r="AP158" s="515"/>
      <c r="AQ158" s="515"/>
      <c r="AR158" s="515"/>
      <c r="AS158" s="515"/>
      <c r="AT158" s="515"/>
      <c r="AU158" s="515"/>
      <c r="AV158" s="515"/>
      <c r="AW158" s="515"/>
      <c r="AX158" s="515"/>
      <c r="AY158" s="515"/>
      <c r="AZ158" s="515"/>
      <c r="BA158" s="515"/>
      <c r="BB158" s="515"/>
      <c r="BC158" s="515"/>
      <c r="BD158" s="515"/>
      <c r="BE158" s="515"/>
      <c r="BF158" s="515"/>
      <c r="BG158" s="515"/>
      <c r="BH158" s="515"/>
      <c r="BI158" s="515"/>
      <c r="BJ158" s="515"/>
      <c r="BK158" s="515"/>
      <c r="BL158" s="515"/>
      <c r="BM158" s="515"/>
      <c r="BN158" s="515"/>
      <c r="BO158" s="515"/>
      <c r="BP158" s="515"/>
      <c r="BQ158" s="515"/>
      <c r="BR158" s="515"/>
      <c r="BS158" s="515"/>
      <c r="BT158" s="515"/>
      <c r="BU158" s="515"/>
      <c r="BV158" s="515"/>
      <c r="BW158" s="515"/>
      <c r="BX158" s="515"/>
      <c r="BY158" s="515"/>
      <c r="BZ158" s="515"/>
      <c r="CA158" s="515"/>
      <c r="CB158" s="515"/>
      <c r="CC158" s="515"/>
      <c r="CD158" s="515"/>
      <c r="CE158" s="515"/>
      <c r="CF158" s="515"/>
      <c r="CG158" s="515"/>
      <c r="CH158" s="515"/>
      <c r="CI158" s="515"/>
      <c r="CJ158" s="515"/>
      <c r="CK158" s="515"/>
      <c r="CL158" s="515"/>
      <c r="CM158" s="515"/>
      <c r="CN158" s="515"/>
      <c r="CO158" s="515"/>
      <c r="CP158" s="515"/>
      <c r="CQ158" s="515"/>
      <c r="CR158" s="515"/>
      <c r="CS158" s="515"/>
      <c r="CT158" s="515"/>
      <c r="CU158" s="515"/>
      <c r="CV158" s="515"/>
      <c r="CW158" s="515"/>
      <c r="CX158" s="515"/>
      <c r="CY158" s="515"/>
      <c r="CZ158" s="515"/>
      <c r="DA158" s="515"/>
      <c r="DB158" s="515"/>
      <c r="DC158" s="515"/>
      <c r="DD158" s="515"/>
      <c r="DE158" s="515"/>
      <c r="DF158" s="515"/>
      <c r="DG158" s="515"/>
      <c r="DH158" s="515"/>
      <c r="DI158" s="515"/>
      <c r="DJ158" s="515"/>
      <c r="DK158" s="515"/>
      <c r="DL158" s="515"/>
      <c r="DM158" s="515"/>
      <c r="DN158" s="515"/>
      <c r="DO158" s="515"/>
      <c r="DP158" s="515"/>
      <c r="DQ158" s="515"/>
      <c r="DR158" s="515"/>
      <c r="DS158" s="515"/>
      <c r="DT158" s="515"/>
      <c r="DU158" s="515"/>
      <c r="DV158" s="515"/>
      <c r="DW158" s="515"/>
      <c r="DX158" s="515"/>
      <c r="DY158" s="515"/>
      <c r="DZ158" s="515"/>
      <c r="EA158" s="515"/>
      <c r="EB158" s="515"/>
      <c r="EC158" s="515"/>
      <c r="ED158" s="515"/>
      <c r="EE158" s="515"/>
      <c r="EF158" s="515"/>
      <c r="EG158" s="515"/>
      <c r="EH158" s="515"/>
      <c r="EI158" s="515"/>
      <c r="EJ158" s="515"/>
      <c r="EK158" s="515"/>
      <c r="EL158" s="515"/>
      <c r="EM158" s="515"/>
      <c r="EN158" s="515"/>
      <c r="EO158" s="515"/>
      <c r="EP158" s="515"/>
      <c r="EQ158" s="515"/>
      <c r="ER158" s="515"/>
      <c r="ES158" s="515"/>
      <c r="ET158" s="515"/>
      <c r="EU158" s="515"/>
      <c r="EV158" s="515"/>
      <c r="EW158" s="515"/>
      <c r="EX158" s="515"/>
      <c r="EY158" s="515"/>
      <c r="EZ158" s="515"/>
      <c r="FA158" s="515"/>
      <c r="FB158" s="515"/>
      <c r="FC158" s="515"/>
      <c r="FD158" s="515"/>
      <c r="FE158" s="515"/>
      <c r="FF158" s="515"/>
      <c r="FG158" s="515"/>
      <c r="FH158" s="515"/>
      <c r="FI158" s="515"/>
      <c r="FJ158" s="515"/>
      <c r="FK158" s="515"/>
      <c r="FL158" s="515"/>
      <c r="FM158" s="515"/>
      <c r="FN158" s="515"/>
      <c r="FO158" s="515"/>
      <c r="FP158" s="515"/>
      <c r="FQ158" s="515"/>
      <c r="FR158" s="515"/>
      <c r="FS158" s="515"/>
      <c r="FT158" s="515"/>
      <c r="FU158" s="515"/>
      <c r="FV158" s="515"/>
      <c r="FW158" s="515"/>
      <c r="FX158" s="515"/>
      <c r="FY158" s="515"/>
      <c r="FZ158" s="515"/>
      <c r="GA158" s="515"/>
      <c r="GB158" s="515"/>
      <c r="GC158" s="515"/>
      <c r="GD158" s="515"/>
      <c r="GE158" s="515"/>
      <c r="GF158" s="515"/>
      <c r="GG158" s="515"/>
      <c r="GH158" s="515"/>
      <c r="GI158" s="515"/>
      <c r="GJ158" s="515"/>
      <c r="GK158" s="515"/>
      <c r="GL158" s="515"/>
      <c r="GM158" s="515"/>
      <c r="GN158" s="515"/>
    </row>
    <row r="159" spans="1:196" s="525" customFormat="1" ht="13.8" hidden="1" outlineLevel="1" x14ac:dyDescent="0.25">
      <c r="A159" s="1407" t="s">
        <v>762</v>
      </c>
      <c r="B159" s="1407" t="s">
        <v>182</v>
      </c>
      <c r="C159" s="1408"/>
      <c r="D159" s="1408"/>
      <c r="E159" s="528"/>
      <c r="F159" s="1411" t="s">
        <v>167</v>
      </c>
      <c r="G159" s="505">
        <v>7420</v>
      </c>
      <c r="H159" s="505">
        <v>8328.9983833643491</v>
      </c>
      <c r="I159" s="510">
        <f t="shared" si="23"/>
        <v>908.99838336434914</v>
      </c>
      <c r="J159" s="876">
        <f t="shared" si="21"/>
        <v>0.12250652066904975</v>
      </c>
      <c r="K159" s="1413"/>
      <c r="L159" s="1409"/>
      <c r="M159" s="1116"/>
      <c r="N159" s="515"/>
      <c r="O159" s="515"/>
      <c r="P159" s="515"/>
      <c r="Q159" s="515"/>
      <c r="R159" s="515"/>
      <c r="S159" s="515"/>
      <c r="T159" s="515"/>
      <c r="U159" s="515"/>
      <c r="V159" s="515"/>
      <c r="W159" s="515"/>
      <c r="X159" s="515"/>
      <c r="Y159" s="515"/>
      <c r="Z159" s="515"/>
      <c r="AA159" s="515"/>
      <c r="AB159" s="515"/>
      <c r="AC159" s="515"/>
      <c r="AD159" s="515"/>
      <c r="AE159" s="515"/>
      <c r="AF159" s="515"/>
      <c r="AG159" s="515"/>
      <c r="AH159" s="515"/>
      <c r="AI159" s="515"/>
      <c r="AJ159" s="515"/>
      <c r="AK159" s="515"/>
      <c r="AL159" s="515"/>
      <c r="AM159" s="515"/>
      <c r="AN159" s="515"/>
      <c r="AO159" s="515"/>
      <c r="AP159" s="515"/>
      <c r="AQ159" s="515"/>
      <c r="AR159" s="515"/>
      <c r="AS159" s="515"/>
      <c r="AT159" s="515"/>
      <c r="AU159" s="515"/>
      <c r="AV159" s="515"/>
      <c r="AW159" s="515"/>
      <c r="AX159" s="515"/>
      <c r="AY159" s="515"/>
      <c r="AZ159" s="515"/>
      <c r="BA159" s="515"/>
      <c r="BB159" s="515"/>
      <c r="BC159" s="515"/>
      <c r="BD159" s="515"/>
      <c r="BE159" s="515"/>
      <c r="BF159" s="515"/>
      <c r="BG159" s="515"/>
      <c r="BH159" s="515"/>
      <c r="BI159" s="515"/>
      <c r="BJ159" s="515"/>
      <c r="BK159" s="515"/>
      <c r="BL159" s="515"/>
      <c r="BM159" s="515"/>
      <c r="BN159" s="515"/>
      <c r="BO159" s="515"/>
      <c r="BP159" s="515"/>
      <c r="BQ159" s="515"/>
      <c r="BR159" s="515"/>
      <c r="BS159" s="515"/>
      <c r="BT159" s="515"/>
      <c r="BU159" s="515"/>
      <c r="BV159" s="515"/>
      <c r="BW159" s="515"/>
      <c r="BX159" s="515"/>
      <c r="BY159" s="515"/>
      <c r="BZ159" s="515"/>
      <c r="CA159" s="515"/>
      <c r="CB159" s="515"/>
      <c r="CC159" s="515"/>
      <c r="CD159" s="515"/>
      <c r="CE159" s="515"/>
      <c r="CF159" s="515"/>
      <c r="CG159" s="515"/>
      <c r="CH159" s="515"/>
      <c r="CI159" s="515"/>
      <c r="CJ159" s="515"/>
      <c r="CK159" s="515"/>
      <c r="CL159" s="515"/>
      <c r="CM159" s="515"/>
      <c r="CN159" s="515"/>
      <c r="CO159" s="515"/>
      <c r="CP159" s="515"/>
      <c r="CQ159" s="515"/>
      <c r="CR159" s="515"/>
      <c r="CS159" s="515"/>
      <c r="CT159" s="515"/>
      <c r="CU159" s="515"/>
      <c r="CV159" s="515"/>
      <c r="CW159" s="515"/>
      <c r="CX159" s="515"/>
      <c r="CY159" s="515"/>
      <c r="CZ159" s="515"/>
      <c r="DA159" s="515"/>
      <c r="DB159" s="515"/>
      <c r="DC159" s="515"/>
      <c r="DD159" s="515"/>
      <c r="DE159" s="515"/>
      <c r="DF159" s="515"/>
      <c r="DG159" s="515"/>
      <c r="DH159" s="515"/>
      <c r="DI159" s="515"/>
      <c r="DJ159" s="515"/>
      <c r="DK159" s="515"/>
      <c r="DL159" s="515"/>
      <c r="DM159" s="515"/>
      <c r="DN159" s="515"/>
      <c r="DO159" s="515"/>
      <c r="DP159" s="515"/>
      <c r="DQ159" s="515"/>
      <c r="DR159" s="515"/>
      <c r="DS159" s="515"/>
      <c r="DT159" s="515"/>
      <c r="DU159" s="515"/>
      <c r="DV159" s="515"/>
      <c r="DW159" s="515"/>
      <c r="DX159" s="515"/>
      <c r="DY159" s="515"/>
      <c r="DZ159" s="515"/>
      <c r="EA159" s="515"/>
      <c r="EB159" s="515"/>
      <c r="EC159" s="515"/>
      <c r="ED159" s="515"/>
      <c r="EE159" s="515"/>
      <c r="EF159" s="515"/>
      <c r="EG159" s="515"/>
      <c r="EH159" s="515"/>
      <c r="EI159" s="515"/>
      <c r="EJ159" s="515"/>
      <c r="EK159" s="515"/>
      <c r="EL159" s="515"/>
      <c r="EM159" s="515"/>
      <c r="EN159" s="515"/>
      <c r="EO159" s="515"/>
      <c r="EP159" s="515"/>
      <c r="EQ159" s="515"/>
      <c r="ER159" s="515"/>
      <c r="ES159" s="515"/>
      <c r="ET159" s="515"/>
      <c r="EU159" s="515"/>
      <c r="EV159" s="515"/>
      <c r="EW159" s="515"/>
      <c r="EX159" s="515"/>
      <c r="EY159" s="515"/>
      <c r="EZ159" s="515"/>
      <c r="FA159" s="515"/>
      <c r="FB159" s="515"/>
      <c r="FC159" s="515"/>
      <c r="FD159" s="515"/>
      <c r="FE159" s="515"/>
      <c r="FF159" s="515"/>
      <c r="FG159" s="515"/>
      <c r="FH159" s="515"/>
      <c r="FI159" s="515"/>
      <c r="FJ159" s="515"/>
      <c r="FK159" s="515"/>
      <c r="FL159" s="515"/>
      <c r="FM159" s="515"/>
      <c r="FN159" s="515"/>
      <c r="FO159" s="515"/>
      <c r="FP159" s="515"/>
      <c r="FQ159" s="515"/>
      <c r="FR159" s="515"/>
      <c r="FS159" s="515"/>
      <c r="FT159" s="515"/>
      <c r="FU159" s="515"/>
      <c r="FV159" s="515"/>
      <c r="FW159" s="515"/>
      <c r="FX159" s="515"/>
      <c r="FY159" s="515"/>
      <c r="FZ159" s="515"/>
      <c r="GA159" s="515"/>
      <c r="GB159" s="515"/>
      <c r="GC159" s="515"/>
      <c r="GD159" s="515"/>
      <c r="GE159" s="515"/>
      <c r="GF159" s="515"/>
      <c r="GG159" s="515"/>
      <c r="GH159" s="515"/>
      <c r="GI159" s="515"/>
      <c r="GJ159" s="515"/>
      <c r="GK159" s="515"/>
      <c r="GL159" s="515"/>
      <c r="GM159" s="515"/>
      <c r="GN159" s="515"/>
    </row>
    <row r="160" spans="1:196" s="515" customFormat="1" ht="16.2" hidden="1" customHeight="1" outlineLevel="1" x14ac:dyDescent="0.25">
      <c r="A160" s="1407" t="s">
        <v>1100</v>
      </c>
      <c r="B160" s="1407"/>
      <c r="C160" s="1416"/>
      <c r="D160" s="1416"/>
      <c r="E160" s="1417"/>
      <c r="F160" s="1418" t="s">
        <v>1159</v>
      </c>
      <c r="G160" s="513">
        <v>0</v>
      </c>
      <c r="H160" s="518">
        <v>135145.60000000001</v>
      </c>
      <c r="I160" s="513">
        <f t="shared" ref="I160" si="24">H160-G160</f>
        <v>135145.60000000001</v>
      </c>
      <c r="J160" s="1419" t="str">
        <f t="shared" si="21"/>
        <v>-</v>
      </c>
      <c r="K160" s="1420"/>
      <c r="L160" s="1409"/>
      <c r="M160" s="1116"/>
    </row>
    <row r="161" spans="1:196" s="525" customFormat="1" ht="13.8" hidden="1" outlineLevel="1" x14ac:dyDescent="0.25">
      <c r="A161" s="1407" t="s">
        <v>762</v>
      </c>
      <c r="B161" s="1407" t="s">
        <v>555</v>
      </c>
      <c r="C161" s="1408"/>
      <c r="D161" s="1408"/>
      <c r="E161" s="528"/>
      <c r="F161" s="520" t="s">
        <v>555</v>
      </c>
      <c r="G161" s="505">
        <v>0</v>
      </c>
      <c r="H161" s="505">
        <v>23320</v>
      </c>
      <c r="I161" s="510">
        <f t="shared" si="23"/>
        <v>23320</v>
      </c>
      <c r="J161" s="876" t="str">
        <f t="shared" si="21"/>
        <v>-</v>
      </c>
      <c r="K161" s="526"/>
      <c r="L161" s="1409"/>
      <c r="M161" s="1116"/>
      <c r="N161" s="515"/>
      <c r="O161" s="515"/>
      <c r="P161" s="515"/>
      <c r="Q161" s="515"/>
      <c r="R161" s="515"/>
      <c r="S161" s="515"/>
      <c r="T161" s="515"/>
      <c r="U161" s="515"/>
      <c r="V161" s="515"/>
      <c r="W161" s="515"/>
      <c r="X161" s="515"/>
      <c r="Y161" s="515"/>
      <c r="Z161" s="515"/>
      <c r="AA161" s="515"/>
      <c r="AB161" s="515"/>
      <c r="AC161" s="515"/>
      <c r="AD161" s="515"/>
      <c r="AE161" s="515"/>
      <c r="AF161" s="515"/>
      <c r="AG161" s="515"/>
      <c r="AH161" s="515"/>
      <c r="AI161" s="515"/>
      <c r="AJ161" s="515"/>
      <c r="AK161" s="515"/>
      <c r="AL161" s="515"/>
      <c r="AM161" s="515"/>
      <c r="AN161" s="515"/>
      <c r="AO161" s="515"/>
      <c r="AP161" s="515"/>
      <c r="AQ161" s="515"/>
      <c r="AR161" s="515"/>
      <c r="AS161" s="515"/>
      <c r="AT161" s="515"/>
      <c r="AU161" s="515"/>
      <c r="AV161" s="515"/>
      <c r="AW161" s="515"/>
      <c r="AX161" s="515"/>
      <c r="AY161" s="515"/>
      <c r="AZ161" s="515"/>
      <c r="BA161" s="515"/>
      <c r="BB161" s="515"/>
      <c r="BC161" s="515"/>
      <c r="BD161" s="515"/>
      <c r="BE161" s="515"/>
      <c r="BF161" s="515"/>
      <c r="BG161" s="515"/>
      <c r="BH161" s="515"/>
      <c r="BI161" s="515"/>
      <c r="BJ161" s="515"/>
      <c r="BK161" s="515"/>
      <c r="BL161" s="515"/>
      <c r="BM161" s="515"/>
      <c r="BN161" s="515"/>
      <c r="BO161" s="515"/>
      <c r="BP161" s="515"/>
      <c r="BQ161" s="515"/>
      <c r="BR161" s="515"/>
      <c r="BS161" s="515"/>
      <c r="BT161" s="515"/>
      <c r="BU161" s="515"/>
      <c r="BV161" s="515"/>
      <c r="BW161" s="515"/>
      <c r="BX161" s="515"/>
      <c r="BY161" s="515"/>
      <c r="BZ161" s="515"/>
      <c r="CA161" s="515"/>
      <c r="CB161" s="515"/>
      <c r="CC161" s="515"/>
      <c r="CD161" s="515"/>
      <c r="CE161" s="515"/>
      <c r="CF161" s="515"/>
      <c r="CG161" s="515"/>
      <c r="CH161" s="515"/>
      <c r="CI161" s="515"/>
      <c r="CJ161" s="515"/>
      <c r="CK161" s="515"/>
      <c r="CL161" s="515"/>
      <c r="CM161" s="515"/>
      <c r="CN161" s="515"/>
      <c r="CO161" s="515"/>
      <c r="CP161" s="515"/>
      <c r="CQ161" s="515"/>
      <c r="CR161" s="515"/>
      <c r="CS161" s="515"/>
      <c r="CT161" s="515"/>
      <c r="CU161" s="515"/>
      <c r="CV161" s="515"/>
      <c r="CW161" s="515"/>
      <c r="CX161" s="515"/>
      <c r="CY161" s="515"/>
      <c r="CZ161" s="515"/>
      <c r="DA161" s="515"/>
      <c r="DB161" s="515"/>
      <c r="DC161" s="515"/>
      <c r="DD161" s="515"/>
      <c r="DE161" s="515"/>
      <c r="DF161" s="515"/>
      <c r="DG161" s="515"/>
      <c r="DH161" s="515"/>
      <c r="DI161" s="515"/>
      <c r="DJ161" s="515"/>
      <c r="DK161" s="515"/>
      <c r="DL161" s="515"/>
      <c r="DM161" s="515"/>
      <c r="DN161" s="515"/>
      <c r="DO161" s="515"/>
      <c r="DP161" s="515"/>
      <c r="DQ161" s="515"/>
      <c r="DR161" s="515"/>
      <c r="DS161" s="515"/>
      <c r="DT161" s="515"/>
      <c r="DU161" s="515"/>
      <c r="DV161" s="515"/>
      <c r="DW161" s="515"/>
      <c r="DX161" s="515"/>
      <c r="DY161" s="515"/>
      <c r="DZ161" s="515"/>
      <c r="EA161" s="515"/>
      <c r="EB161" s="515"/>
      <c r="EC161" s="515"/>
      <c r="ED161" s="515"/>
      <c r="EE161" s="515"/>
      <c r="EF161" s="515"/>
      <c r="EG161" s="515"/>
      <c r="EH161" s="515"/>
      <c r="EI161" s="515"/>
      <c r="EJ161" s="515"/>
      <c r="EK161" s="515"/>
      <c r="EL161" s="515"/>
      <c r="EM161" s="515"/>
      <c r="EN161" s="515"/>
      <c r="EO161" s="515"/>
      <c r="EP161" s="515"/>
      <c r="EQ161" s="515"/>
      <c r="ER161" s="515"/>
      <c r="ES161" s="515"/>
      <c r="ET161" s="515"/>
      <c r="EU161" s="515"/>
      <c r="EV161" s="515"/>
      <c r="EW161" s="515"/>
      <c r="EX161" s="515"/>
      <c r="EY161" s="515"/>
      <c r="EZ161" s="515"/>
      <c r="FA161" s="515"/>
      <c r="FB161" s="515"/>
      <c r="FC161" s="515"/>
      <c r="FD161" s="515"/>
      <c r="FE161" s="515"/>
      <c r="FF161" s="515"/>
      <c r="FG161" s="515"/>
      <c r="FH161" s="515"/>
      <c r="FI161" s="515"/>
      <c r="FJ161" s="515"/>
      <c r="FK161" s="515"/>
      <c r="FL161" s="515"/>
      <c r="FM161" s="515"/>
      <c r="FN161" s="515"/>
      <c r="FO161" s="515"/>
      <c r="FP161" s="515"/>
      <c r="FQ161" s="515"/>
      <c r="FR161" s="515"/>
      <c r="FS161" s="515"/>
      <c r="FT161" s="515"/>
      <c r="FU161" s="515"/>
      <c r="FV161" s="515"/>
      <c r="FW161" s="515"/>
      <c r="FX161" s="515"/>
      <c r="FY161" s="515"/>
      <c r="FZ161" s="515"/>
      <c r="GA161" s="515"/>
      <c r="GB161" s="515"/>
      <c r="GC161" s="515"/>
      <c r="GD161" s="515"/>
      <c r="GE161" s="515"/>
      <c r="GF161" s="515"/>
      <c r="GG161" s="515"/>
      <c r="GH161" s="515"/>
      <c r="GI161" s="515"/>
      <c r="GJ161" s="515"/>
      <c r="GK161" s="515"/>
      <c r="GL161" s="515"/>
      <c r="GM161" s="515"/>
      <c r="GN161" s="515"/>
    </row>
    <row r="162" spans="1:196" ht="13.8" collapsed="1" x14ac:dyDescent="0.25">
      <c r="C162" s="923">
        <v>262267</v>
      </c>
      <c r="D162" s="923">
        <f>C162-G162</f>
        <v>31584</v>
      </c>
      <c r="E162" s="141" t="s">
        <v>85</v>
      </c>
      <c r="F162" s="142" t="s">
        <v>628</v>
      </c>
      <c r="G162" s="302">
        <v>230683</v>
      </c>
      <c r="H162" s="302">
        <v>264669.05244999996</v>
      </c>
      <c r="I162" s="132">
        <f t="shared" si="23"/>
        <v>33986.052449999959</v>
      </c>
      <c r="J162" s="867">
        <f t="shared" si="21"/>
        <v>0.14732794549229877</v>
      </c>
      <c r="K162" s="418"/>
      <c r="L162" s="224"/>
      <c r="M162" s="1118"/>
      <c r="N162" s="410"/>
      <c r="O162" s="410"/>
      <c r="P162" s="410"/>
    </row>
    <row r="163" spans="1:196" s="104" customFormat="1" ht="13.8" hidden="1" outlineLevel="1" x14ac:dyDescent="0.25">
      <c r="A163" s="810" t="s">
        <v>782</v>
      </c>
      <c r="B163" s="810" t="s">
        <v>228</v>
      </c>
      <c r="C163" s="923"/>
      <c r="D163" s="923"/>
      <c r="E163" s="159"/>
      <c r="F163" s="215" t="s">
        <v>228</v>
      </c>
      <c r="G163" s="296">
        <v>200455</v>
      </c>
      <c r="H163" s="304">
        <v>222149.05244999999</v>
      </c>
      <c r="I163" s="153">
        <f t="shared" si="23"/>
        <v>21694.052449999988</v>
      </c>
      <c r="J163" s="878">
        <f t="shared" si="21"/>
        <v>0.10822405253049307</v>
      </c>
      <c r="K163" s="430"/>
      <c r="L163" s="224"/>
      <c r="M163" s="1118"/>
      <c r="N163" s="410"/>
      <c r="O163" s="410"/>
      <c r="P163" s="410"/>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c r="DU163"/>
      <c r="DV163"/>
      <c r="DW163"/>
      <c r="DX163"/>
      <c r="DY163"/>
      <c r="DZ163"/>
      <c r="EA163"/>
      <c r="EB163"/>
      <c r="EC163"/>
      <c r="ED163"/>
      <c r="EE163"/>
      <c r="EF163"/>
      <c r="EG163"/>
      <c r="EH163"/>
      <c r="EI163"/>
      <c r="EJ163"/>
      <c r="EK163"/>
      <c r="EL163"/>
      <c r="EM163"/>
      <c r="EN163"/>
      <c r="EO163"/>
      <c r="EP163"/>
      <c r="EQ163"/>
      <c r="ER163"/>
      <c r="ES163"/>
      <c r="ET163"/>
      <c r="EU163"/>
      <c r="EV163"/>
      <c r="EW163"/>
      <c r="EX163"/>
      <c r="EY163"/>
      <c r="EZ163"/>
      <c r="FA163"/>
      <c r="FB163"/>
      <c r="FC163"/>
      <c r="FD163"/>
      <c r="FE163"/>
      <c r="FF163"/>
      <c r="FG163"/>
      <c r="FH163"/>
      <c r="FI163"/>
      <c r="FJ163"/>
      <c r="FK163"/>
      <c r="FL163"/>
      <c r="FM163"/>
      <c r="FN163"/>
      <c r="FO163"/>
      <c r="FP163"/>
      <c r="FQ163"/>
      <c r="FR163"/>
      <c r="FS163"/>
      <c r="FT163"/>
      <c r="FU163"/>
      <c r="FV163"/>
      <c r="FW163"/>
      <c r="FX163"/>
      <c r="FY163"/>
      <c r="FZ163"/>
      <c r="GA163"/>
      <c r="GB163"/>
      <c r="GC163"/>
      <c r="GD163"/>
      <c r="GE163"/>
      <c r="GF163"/>
      <c r="GG163"/>
      <c r="GH163"/>
      <c r="GI163"/>
      <c r="GJ163"/>
      <c r="GK163"/>
      <c r="GL163"/>
      <c r="GM163"/>
      <c r="GN163"/>
    </row>
    <row r="164" spans="1:196" s="104" customFormat="1" ht="69" hidden="1" outlineLevel="1" x14ac:dyDescent="0.25">
      <c r="A164" s="810" t="s">
        <v>782</v>
      </c>
      <c r="B164" s="810" t="s">
        <v>554</v>
      </c>
      <c r="C164" s="923"/>
      <c r="D164" s="923"/>
      <c r="E164" s="214"/>
      <c r="F164" s="160" t="s">
        <v>198</v>
      </c>
      <c r="G164" s="296">
        <v>30228</v>
      </c>
      <c r="H164" s="304">
        <v>42520</v>
      </c>
      <c r="I164" s="153">
        <f t="shared" si="23"/>
        <v>12292</v>
      </c>
      <c r="J164" s="878">
        <f t="shared" si="21"/>
        <v>0.4066428476908826</v>
      </c>
      <c r="K164" s="421" t="s">
        <v>1458</v>
      </c>
      <c r="L164" s="224"/>
      <c r="M164" s="1118"/>
      <c r="N164" s="410"/>
      <c r="O164" s="410"/>
      <c r="P164" s="410"/>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c r="DU164"/>
      <c r="DV164"/>
      <c r="DW164"/>
      <c r="DX164"/>
      <c r="DY164"/>
      <c r="DZ164"/>
      <c r="EA164"/>
      <c r="EB164"/>
      <c r="EC164"/>
      <c r="ED164"/>
      <c r="EE164"/>
      <c r="EF164"/>
      <c r="EG164"/>
      <c r="EH164"/>
      <c r="EI164"/>
      <c r="EJ164"/>
      <c r="EK164"/>
      <c r="EL164"/>
      <c r="EM164"/>
      <c r="EN164"/>
      <c r="EO164"/>
      <c r="EP164"/>
      <c r="EQ164"/>
      <c r="ER164"/>
      <c r="ES164"/>
      <c r="ET164"/>
      <c r="EU164"/>
      <c r="EV164"/>
      <c r="EW164"/>
      <c r="EX164"/>
      <c r="EY164"/>
      <c r="EZ164"/>
      <c r="FA164"/>
      <c r="FB164"/>
      <c r="FC164"/>
      <c r="FD164"/>
      <c r="FE164"/>
      <c r="FF164"/>
      <c r="FG164"/>
      <c r="FH164"/>
      <c r="FI164"/>
      <c r="FJ164"/>
      <c r="FK164"/>
      <c r="FL164"/>
      <c r="FM164"/>
      <c r="FN164"/>
      <c r="FO164"/>
      <c r="FP164"/>
      <c r="FQ164"/>
      <c r="FR164"/>
      <c r="FS164"/>
      <c r="FT164"/>
      <c r="FU164"/>
      <c r="FV164"/>
      <c r="FW164"/>
      <c r="FX164"/>
      <c r="FY164"/>
      <c r="FZ164"/>
      <c r="GA164"/>
      <c r="GB164"/>
      <c r="GC164"/>
      <c r="GD164"/>
      <c r="GE164"/>
      <c r="GF164"/>
      <c r="GG164"/>
      <c r="GH164"/>
      <c r="GI164"/>
      <c r="GJ164"/>
      <c r="GK164"/>
      <c r="GL164"/>
      <c r="GM164"/>
      <c r="GN164"/>
    </row>
    <row r="165" spans="1:196" s="104" customFormat="1" ht="13.8" hidden="1" outlineLevel="1" x14ac:dyDescent="0.25">
      <c r="A165" s="810" t="s">
        <v>782</v>
      </c>
      <c r="B165" s="810" t="s">
        <v>556</v>
      </c>
      <c r="C165" s="923"/>
      <c r="D165" s="923"/>
      <c r="E165" s="159"/>
      <c r="F165" s="160" t="s">
        <v>197</v>
      </c>
      <c r="G165" s="296">
        <v>0</v>
      </c>
      <c r="H165" s="304">
        <v>0</v>
      </c>
      <c r="I165" s="153">
        <f t="shared" si="23"/>
        <v>0</v>
      </c>
      <c r="J165" s="878" t="str">
        <f t="shared" si="21"/>
        <v>-</v>
      </c>
      <c r="K165" s="430"/>
      <c r="L165" s="224"/>
      <c r="M165" s="1118"/>
      <c r="N165" s="410"/>
      <c r="O165" s="410"/>
      <c r="P165" s="410"/>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c r="DU165"/>
      <c r="DV165"/>
      <c r="DW165"/>
      <c r="DX165"/>
      <c r="DY165"/>
      <c r="DZ165"/>
      <c r="EA165"/>
      <c r="EB165"/>
      <c r="EC165"/>
      <c r="ED165"/>
      <c r="EE165"/>
      <c r="EF165"/>
      <c r="EG165"/>
      <c r="EH165"/>
      <c r="EI165"/>
      <c r="EJ165"/>
      <c r="EK165"/>
      <c r="EL165"/>
      <c r="EM165"/>
      <c r="EN165"/>
      <c r="EO165"/>
      <c r="EP165"/>
      <c r="EQ165"/>
      <c r="ER165"/>
      <c r="ES165"/>
      <c r="ET165"/>
      <c r="EU165"/>
      <c r="EV165"/>
      <c r="EW165"/>
      <c r="EX165"/>
      <c r="EY165"/>
      <c r="EZ165"/>
      <c r="FA165"/>
      <c r="FB165"/>
      <c r="FC165"/>
      <c r="FD165"/>
      <c r="FE165"/>
      <c r="FF165"/>
      <c r="FG165"/>
      <c r="FH165"/>
      <c r="FI165"/>
      <c r="FJ165"/>
      <c r="FK165"/>
      <c r="FL165"/>
      <c r="FM165"/>
      <c r="FN165"/>
      <c r="FO165"/>
      <c r="FP165"/>
      <c r="FQ165"/>
      <c r="FR165"/>
      <c r="FS165"/>
      <c r="FT165"/>
      <c r="FU165"/>
      <c r="FV165"/>
      <c r="FW165"/>
      <c r="FX165"/>
      <c r="FY165"/>
      <c r="FZ165"/>
      <c r="GA165"/>
      <c r="GB165"/>
      <c r="GC165"/>
      <c r="GD165"/>
      <c r="GE165"/>
      <c r="GF165"/>
      <c r="GG165"/>
      <c r="GH165"/>
      <c r="GI165"/>
      <c r="GJ165"/>
      <c r="GK165"/>
      <c r="GL165"/>
      <c r="GM165"/>
      <c r="GN165"/>
    </row>
    <row r="166" spans="1:196" s="104" customFormat="1" ht="13.8" hidden="1" outlineLevel="1" x14ac:dyDescent="0.25">
      <c r="A166" s="810" t="s">
        <v>782</v>
      </c>
      <c r="B166" s="810" t="s">
        <v>565</v>
      </c>
      <c r="C166" s="923"/>
      <c r="D166" s="923"/>
      <c r="E166" s="159"/>
      <c r="F166" s="160" t="s">
        <v>608</v>
      </c>
      <c r="G166" s="296">
        <v>27806</v>
      </c>
      <c r="H166" s="304">
        <v>124100</v>
      </c>
      <c r="I166" s="153">
        <f t="shared" si="23"/>
        <v>96294</v>
      </c>
      <c r="J166" s="878">
        <f t="shared" si="21"/>
        <v>3.4630655254261669</v>
      </c>
      <c r="K166" s="430"/>
      <c r="L166" s="224"/>
      <c r="M166" s="1118"/>
      <c r="N166" s="410"/>
      <c r="O166" s="410"/>
      <c r="P166" s="410"/>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c r="DU166"/>
      <c r="DV166"/>
      <c r="DW166"/>
      <c r="DX166"/>
      <c r="DY166"/>
      <c r="DZ166"/>
      <c r="EA166"/>
      <c r="EB166"/>
      <c r="EC166"/>
      <c r="ED166"/>
      <c r="EE166"/>
      <c r="EF166"/>
      <c r="EG166"/>
      <c r="EH166"/>
      <c r="EI166"/>
      <c r="EJ166"/>
      <c r="EK166"/>
      <c r="EL166"/>
      <c r="EM166"/>
      <c r="EN166"/>
      <c r="EO166"/>
      <c r="EP166"/>
      <c r="EQ166"/>
      <c r="ER166"/>
      <c r="ES166"/>
      <c r="ET166"/>
      <c r="EU166"/>
      <c r="EV166"/>
      <c r="EW166"/>
      <c r="EX166"/>
      <c r="EY166"/>
      <c r="EZ166"/>
      <c r="FA166"/>
      <c r="FB166"/>
      <c r="FC166"/>
      <c r="FD166"/>
      <c r="FE166"/>
      <c r="FF166"/>
      <c r="FG166"/>
      <c r="FH166"/>
      <c r="FI166"/>
      <c r="FJ166"/>
      <c r="FK166"/>
      <c r="FL166"/>
      <c r="FM166"/>
      <c r="FN166"/>
      <c r="FO166"/>
      <c r="FP166"/>
      <c r="FQ166"/>
      <c r="FR166"/>
      <c r="FS166"/>
      <c r="FT166"/>
      <c r="FU166"/>
      <c r="FV166"/>
      <c r="FW166"/>
      <c r="FX166"/>
      <c r="FY166"/>
      <c r="FZ166"/>
      <c r="GA166"/>
      <c r="GB166"/>
      <c r="GC166"/>
      <c r="GD166"/>
      <c r="GE166"/>
      <c r="GF166"/>
      <c r="GG166"/>
      <c r="GH166"/>
      <c r="GI166"/>
      <c r="GJ166"/>
      <c r="GK166"/>
      <c r="GL166"/>
      <c r="GM166"/>
      <c r="GN166"/>
    </row>
    <row r="167" spans="1:196" s="525" customFormat="1" ht="13.8" hidden="1" outlineLevel="1" x14ac:dyDescent="0.25">
      <c r="A167" s="1407" t="s">
        <v>782</v>
      </c>
      <c r="B167" s="1407" t="s">
        <v>182</v>
      </c>
      <c r="C167" s="1408"/>
      <c r="D167" s="1408"/>
      <c r="E167" s="528"/>
      <c r="F167" s="1411" t="s">
        <v>167</v>
      </c>
      <c r="G167" s="505">
        <v>4860</v>
      </c>
      <c r="H167" s="505">
        <v>4758.9951646573354</v>
      </c>
      <c r="I167" s="510">
        <f t="shared" si="23"/>
        <v>-101.00483534266459</v>
      </c>
      <c r="J167" s="876">
        <f t="shared" si="21"/>
        <v>-2.0782887930589421E-2</v>
      </c>
      <c r="K167" s="1413"/>
      <c r="L167" s="1409"/>
      <c r="M167" s="1116"/>
      <c r="N167" s="515"/>
      <c r="O167" s="515"/>
      <c r="P167" s="515"/>
      <c r="Q167" s="515"/>
      <c r="R167" s="515"/>
      <c r="S167" s="515"/>
      <c r="T167" s="515"/>
      <c r="U167" s="515"/>
      <c r="V167" s="515"/>
      <c r="W167" s="515"/>
      <c r="X167" s="515"/>
      <c r="Y167" s="515"/>
      <c r="Z167" s="515"/>
      <c r="AA167" s="515"/>
      <c r="AB167" s="515"/>
      <c r="AC167" s="515"/>
      <c r="AD167" s="515"/>
      <c r="AE167" s="515"/>
      <c r="AF167" s="515"/>
      <c r="AG167" s="515"/>
      <c r="AH167" s="515"/>
      <c r="AI167" s="515"/>
      <c r="AJ167" s="515"/>
      <c r="AK167" s="515"/>
      <c r="AL167" s="515"/>
      <c r="AM167" s="515"/>
      <c r="AN167" s="515"/>
      <c r="AO167" s="515"/>
      <c r="AP167" s="515"/>
      <c r="AQ167" s="515"/>
      <c r="AR167" s="515"/>
      <c r="AS167" s="515"/>
      <c r="AT167" s="515"/>
      <c r="AU167" s="515"/>
      <c r="AV167" s="515"/>
      <c r="AW167" s="515"/>
      <c r="AX167" s="515"/>
      <c r="AY167" s="515"/>
      <c r="AZ167" s="515"/>
      <c r="BA167" s="515"/>
      <c r="BB167" s="515"/>
      <c r="BC167" s="515"/>
      <c r="BD167" s="515"/>
      <c r="BE167" s="515"/>
      <c r="BF167" s="515"/>
      <c r="BG167" s="515"/>
      <c r="BH167" s="515"/>
      <c r="BI167" s="515"/>
      <c r="BJ167" s="515"/>
      <c r="BK167" s="515"/>
      <c r="BL167" s="515"/>
      <c r="BM167" s="515"/>
      <c r="BN167" s="515"/>
      <c r="BO167" s="515"/>
      <c r="BP167" s="515"/>
      <c r="BQ167" s="515"/>
      <c r="BR167" s="515"/>
      <c r="BS167" s="515"/>
      <c r="BT167" s="515"/>
      <c r="BU167" s="515"/>
      <c r="BV167" s="515"/>
      <c r="BW167" s="515"/>
      <c r="BX167" s="515"/>
      <c r="BY167" s="515"/>
      <c r="BZ167" s="515"/>
      <c r="CA167" s="515"/>
      <c r="CB167" s="515"/>
      <c r="CC167" s="515"/>
      <c r="CD167" s="515"/>
      <c r="CE167" s="515"/>
      <c r="CF167" s="515"/>
      <c r="CG167" s="515"/>
      <c r="CH167" s="515"/>
      <c r="CI167" s="515"/>
      <c r="CJ167" s="515"/>
      <c r="CK167" s="515"/>
      <c r="CL167" s="515"/>
      <c r="CM167" s="515"/>
      <c r="CN167" s="515"/>
      <c r="CO167" s="515"/>
      <c r="CP167" s="515"/>
      <c r="CQ167" s="515"/>
      <c r="CR167" s="515"/>
      <c r="CS167" s="515"/>
      <c r="CT167" s="515"/>
      <c r="CU167" s="515"/>
      <c r="CV167" s="515"/>
      <c r="CW167" s="515"/>
      <c r="CX167" s="515"/>
      <c r="CY167" s="515"/>
      <c r="CZ167" s="515"/>
      <c r="DA167" s="515"/>
      <c r="DB167" s="515"/>
      <c r="DC167" s="515"/>
      <c r="DD167" s="515"/>
      <c r="DE167" s="515"/>
      <c r="DF167" s="515"/>
      <c r="DG167" s="515"/>
      <c r="DH167" s="515"/>
      <c r="DI167" s="515"/>
      <c r="DJ167" s="515"/>
      <c r="DK167" s="515"/>
      <c r="DL167" s="515"/>
      <c r="DM167" s="515"/>
      <c r="DN167" s="515"/>
      <c r="DO167" s="515"/>
      <c r="DP167" s="515"/>
      <c r="DQ167" s="515"/>
      <c r="DR167" s="515"/>
      <c r="DS167" s="515"/>
      <c r="DT167" s="515"/>
      <c r="DU167" s="515"/>
      <c r="DV167" s="515"/>
      <c r="DW167" s="515"/>
      <c r="DX167" s="515"/>
      <c r="DY167" s="515"/>
      <c r="DZ167" s="515"/>
      <c r="EA167" s="515"/>
      <c r="EB167" s="515"/>
      <c r="EC167" s="515"/>
      <c r="ED167" s="515"/>
      <c r="EE167" s="515"/>
      <c r="EF167" s="515"/>
      <c r="EG167" s="515"/>
      <c r="EH167" s="515"/>
      <c r="EI167" s="515"/>
      <c r="EJ167" s="515"/>
      <c r="EK167" s="515"/>
      <c r="EL167" s="515"/>
      <c r="EM167" s="515"/>
      <c r="EN167" s="515"/>
      <c r="EO167" s="515"/>
      <c r="EP167" s="515"/>
      <c r="EQ167" s="515"/>
      <c r="ER167" s="515"/>
      <c r="ES167" s="515"/>
      <c r="ET167" s="515"/>
      <c r="EU167" s="515"/>
      <c r="EV167" s="515"/>
      <c r="EW167" s="515"/>
      <c r="EX167" s="515"/>
      <c r="EY167" s="515"/>
      <c r="EZ167" s="515"/>
      <c r="FA167" s="515"/>
      <c r="FB167" s="515"/>
      <c r="FC167" s="515"/>
      <c r="FD167" s="515"/>
      <c r="FE167" s="515"/>
      <c r="FF167" s="515"/>
      <c r="FG167" s="515"/>
      <c r="FH167" s="515"/>
      <c r="FI167" s="515"/>
      <c r="FJ167" s="515"/>
      <c r="FK167" s="515"/>
      <c r="FL167" s="515"/>
      <c r="FM167" s="515"/>
      <c r="FN167" s="515"/>
      <c r="FO167" s="515"/>
      <c r="FP167" s="515"/>
      <c r="FQ167" s="515"/>
      <c r="FR167" s="515"/>
      <c r="FS167" s="515"/>
      <c r="FT167" s="515"/>
      <c r="FU167" s="515"/>
      <c r="FV167" s="515"/>
      <c r="FW167" s="515"/>
      <c r="FX167" s="515"/>
      <c r="FY167" s="515"/>
      <c r="FZ167" s="515"/>
      <c r="GA167" s="515"/>
      <c r="GB167" s="515"/>
      <c r="GC167" s="515"/>
      <c r="GD167" s="515"/>
      <c r="GE167" s="515"/>
      <c r="GF167" s="515"/>
      <c r="GG167" s="515"/>
      <c r="GH167" s="515"/>
      <c r="GI167" s="515"/>
      <c r="GJ167" s="515"/>
      <c r="GK167" s="515"/>
      <c r="GL167" s="515"/>
      <c r="GM167" s="515"/>
      <c r="GN167" s="515"/>
    </row>
    <row r="168" spans="1:196" s="525" customFormat="1" ht="13.8" hidden="1" outlineLevel="1" x14ac:dyDescent="0.25">
      <c r="A168" s="1407" t="s">
        <v>782</v>
      </c>
      <c r="B168" s="1407" t="s">
        <v>555</v>
      </c>
      <c r="C168" s="1408"/>
      <c r="D168" s="1408"/>
      <c r="E168" s="523"/>
      <c r="F168" s="520" t="s">
        <v>555</v>
      </c>
      <c r="G168" s="505">
        <v>0</v>
      </c>
      <c r="H168" s="505">
        <v>5000</v>
      </c>
      <c r="I168" s="510">
        <f>H168-G168</f>
        <v>5000</v>
      </c>
      <c r="J168" s="876" t="str">
        <f t="shared" si="21"/>
        <v>-</v>
      </c>
      <c r="K168" s="526"/>
      <c r="L168" s="1409"/>
      <c r="M168" s="1116"/>
      <c r="N168" s="515"/>
      <c r="O168" s="515"/>
      <c r="P168" s="515"/>
      <c r="Q168" s="515"/>
      <c r="R168" s="515"/>
      <c r="S168" s="515"/>
      <c r="T168" s="515"/>
      <c r="U168" s="515"/>
      <c r="V168" s="515"/>
      <c r="W168" s="515"/>
      <c r="X168" s="515"/>
      <c r="Y168" s="515"/>
      <c r="Z168" s="515"/>
      <c r="AA168" s="515"/>
      <c r="AB168" s="515"/>
      <c r="AC168" s="515"/>
      <c r="AD168" s="515"/>
      <c r="AE168" s="515"/>
      <c r="AF168" s="515"/>
      <c r="AG168" s="515"/>
      <c r="AH168" s="515"/>
      <c r="AI168" s="515"/>
      <c r="AJ168" s="515"/>
      <c r="AK168" s="515"/>
      <c r="AL168" s="515"/>
      <c r="AM168" s="515"/>
      <c r="AN168" s="515"/>
      <c r="AO168" s="515"/>
      <c r="AP168" s="515"/>
      <c r="AQ168" s="515"/>
      <c r="AR168" s="515"/>
      <c r="AS168" s="515"/>
      <c r="AT168" s="515"/>
      <c r="AU168" s="515"/>
      <c r="AV168" s="515"/>
      <c r="AW168" s="515"/>
      <c r="AX168" s="515"/>
      <c r="AY168" s="515"/>
      <c r="AZ168" s="515"/>
      <c r="BA168" s="515"/>
      <c r="BB168" s="515"/>
      <c r="BC168" s="515"/>
      <c r="BD168" s="515"/>
      <c r="BE168" s="515"/>
      <c r="BF168" s="515"/>
      <c r="BG168" s="515"/>
      <c r="BH168" s="515"/>
      <c r="BI168" s="515"/>
      <c r="BJ168" s="515"/>
      <c r="BK168" s="515"/>
      <c r="BL168" s="515"/>
      <c r="BM168" s="515"/>
      <c r="BN168" s="515"/>
      <c r="BO168" s="515"/>
      <c r="BP168" s="515"/>
      <c r="BQ168" s="515"/>
      <c r="BR168" s="515"/>
      <c r="BS168" s="515"/>
      <c r="BT168" s="515"/>
      <c r="BU168" s="515"/>
      <c r="BV168" s="515"/>
      <c r="BW168" s="515"/>
      <c r="BX168" s="515"/>
      <c r="BY168" s="515"/>
      <c r="BZ168" s="515"/>
      <c r="CA168" s="515"/>
      <c r="CB168" s="515"/>
      <c r="CC168" s="515"/>
      <c r="CD168" s="515"/>
      <c r="CE168" s="515"/>
      <c r="CF168" s="515"/>
      <c r="CG168" s="515"/>
      <c r="CH168" s="515"/>
      <c r="CI168" s="515"/>
      <c r="CJ168" s="515"/>
      <c r="CK168" s="515"/>
      <c r="CL168" s="515"/>
      <c r="CM168" s="515"/>
      <c r="CN168" s="515"/>
      <c r="CO168" s="515"/>
      <c r="CP168" s="515"/>
      <c r="CQ168" s="515"/>
      <c r="CR168" s="515"/>
      <c r="CS168" s="515"/>
      <c r="CT168" s="515"/>
      <c r="CU168" s="515"/>
      <c r="CV168" s="515"/>
      <c r="CW168" s="515"/>
      <c r="CX168" s="515"/>
      <c r="CY168" s="515"/>
      <c r="CZ168" s="515"/>
      <c r="DA168" s="515"/>
      <c r="DB168" s="515"/>
      <c r="DC168" s="515"/>
      <c r="DD168" s="515"/>
      <c r="DE168" s="515"/>
      <c r="DF168" s="515"/>
      <c r="DG168" s="515"/>
      <c r="DH168" s="515"/>
      <c r="DI168" s="515"/>
      <c r="DJ168" s="515"/>
      <c r="DK168" s="515"/>
      <c r="DL168" s="515"/>
      <c r="DM168" s="515"/>
      <c r="DN168" s="515"/>
      <c r="DO168" s="515"/>
      <c r="DP168" s="515"/>
      <c r="DQ168" s="515"/>
      <c r="DR168" s="515"/>
      <c r="DS168" s="515"/>
      <c r="DT168" s="515"/>
      <c r="DU168" s="515"/>
      <c r="DV168" s="515"/>
      <c r="DW168" s="515"/>
      <c r="DX168" s="515"/>
      <c r="DY168" s="515"/>
      <c r="DZ168" s="515"/>
      <c r="EA168" s="515"/>
      <c r="EB168" s="515"/>
      <c r="EC168" s="515"/>
      <c r="ED168" s="515"/>
      <c r="EE168" s="515"/>
      <c r="EF168" s="515"/>
      <c r="EG168" s="515"/>
      <c r="EH168" s="515"/>
      <c r="EI168" s="515"/>
      <c r="EJ168" s="515"/>
      <c r="EK168" s="515"/>
      <c r="EL168" s="515"/>
      <c r="EM168" s="515"/>
      <c r="EN168" s="515"/>
      <c r="EO168" s="515"/>
      <c r="EP168" s="515"/>
      <c r="EQ168" s="515"/>
      <c r="ER168" s="515"/>
      <c r="ES168" s="515"/>
      <c r="ET168" s="515"/>
      <c r="EU168" s="515"/>
      <c r="EV168" s="515"/>
      <c r="EW168" s="515"/>
      <c r="EX168" s="515"/>
      <c r="EY168" s="515"/>
      <c r="EZ168" s="515"/>
      <c r="FA168" s="515"/>
      <c r="FB168" s="515"/>
      <c r="FC168" s="515"/>
      <c r="FD168" s="515"/>
      <c r="FE168" s="515"/>
      <c r="FF168" s="515"/>
      <c r="FG168" s="515"/>
      <c r="FH168" s="515"/>
      <c r="FI168" s="515"/>
      <c r="FJ168" s="515"/>
      <c r="FK168" s="515"/>
      <c r="FL168" s="515"/>
      <c r="FM168" s="515"/>
      <c r="FN168" s="515"/>
      <c r="FO168" s="515"/>
      <c r="FP168" s="515"/>
      <c r="FQ168" s="515"/>
      <c r="FR168" s="515"/>
      <c r="FS168" s="515"/>
      <c r="FT168" s="515"/>
      <c r="FU168" s="515"/>
      <c r="FV168" s="515"/>
      <c r="FW168" s="515"/>
      <c r="FX168" s="515"/>
      <c r="FY168" s="515"/>
      <c r="FZ168" s="515"/>
      <c r="GA168" s="515"/>
      <c r="GB168" s="515"/>
      <c r="GC168" s="515"/>
      <c r="GD168" s="515"/>
      <c r="GE168" s="515"/>
      <c r="GF168" s="515"/>
      <c r="GG168" s="515"/>
      <c r="GH168" s="515"/>
      <c r="GI168" s="515"/>
      <c r="GJ168" s="515"/>
      <c r="GK168" s="515"/>
      <c r="GL168" s="515"/>
      <c r="GM168" s="515"/>
      <c r="GN168" s="515"/>
    </row>
    <row r="169" spans="1:196" ht="13.8" collapsed="1" x14ac:dyDescent="0.25">
      <c r="C169" s="923">
        <v>106575</v>
      </c>
      <c r="D169" s="923">
        <f>C169-G169</f>
        <v>-0.60496399999829009</v>
      </c>
      <c r="E169" s="141" t="s">
        <v>86</v>
      </c>
      <c r="F169" s="142" t="s">
        <v>625</v>
      </c>
      <c r="G169" s="302">
        <v>106575.604964</v>
      </c>
      <c r="H169" s="302">
        <v>121138.2865</v>
      </c>
      <c r="I169" s="132">
        <f>H169-G169</f>
        <v>14562.681536000004</v>
      </c>
      <c r="J169" s="867">
        <f t="shared" si="21"/>
        <v>0.1366417909700734</v>
      </c>
      <c r="K169" s="418"/>
      <c r="L169" s="224"/>
      <c r="M169" s="1118"/>
      <c r="N169" s="410"/>
      <c r="O169" s="410"/>
      <c r="P169" s="410"/>
    </row>
    <row r="170" spans="1:196" s="104" customFormat="1" ht="13.8" hidden="1" outlineLevel="1" x14ac:dyDescent="0.25">
      <c r="A170" s="810" t="s">
        <v>738</v>
      </c>
      <c r="B170" s="810" t="s">
        <v>228</v>
      </c>
      <c r="C170" s="923"/>
      <c r="D170" s="923"/>
      <c r="E170" s="159"/>
      <c r="F170" s="215" t="s">
        <v>228</v>
      </c>
      <c r="G170" s="304">
        <v>72220.284964000006</v>
      </c>
      <c r="H170" s="304">
        <v>81475.476500000004</v>
      </c>
      <c r="I170" s="153">
        <f>H170-G170</f>
        <v>9255.1915359999985</v>
      </c>
      <c r="J170" s="878">
        <f t="shared" si="21"/>
        <v>0.12815224338443801</v>
      </c>
      <c r="K170" s="430" t="s">
        <v>1641</v>
      </c>
      <c r="L170" s="224"/>
      <c r="M170" s="1118"/>
      <c r="N170" s="410"/>
      <c r="O170" s="410"/>
      <c r="P170" s="41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c r="DU170"/>
      <c r="DV170"/>
      <c r="DW170"/>
      <c r="DX170"/>
      <c r="DY170"/>
      <c r="DZ170"/>
      <c r="EA170"/>
      <c r="EB170"/>
      <c r="EC170"/>
      <c r="ED170"/>
      <c r="EE170"/>
      <c r="EF170"/>
      <c r="EG170"/>
      <c r="EH170"/>
      <c r="EI170"/>
      <c r="EJ170"/>
      <c r="EK170"/>
      <c r="EL170"/>
      <c r="EM170"/>
      <c r="EN170"/>
      <c r="EO170"/>
      <c r="EP170"/>
      <c r="EQ170"/>
      <c r="ER170"/>
      <c r="ES170"/>
      <c r="ET170"/>
      <c r="EU170"/>
      <c r="EV170"/>
      <c r="EW170"/>
      <c r="EX170"/>
      <c r="EY170"/>
      <c r="EZ170"/>
      <c r="FA170"/>
      <c r="FB170"/>
      <c r="FC170"/>
      <c r="FD170"/>
      <c r="FE170"/>
      <c r="FF170"/>
      <c r="FG170"/>
      <c r="FH170"/>
      <c r="FI170"/>
      <c r="FJ170"/>
      <c r="FK170"/>
      <c r="FL170"/>
      <c r="FM170"/>
      <c r="FN170"/>
      <c r="FO170"/>
      <c r="FP170"/>
      <c r="FQ170"/>
      <c r="FR170"/>
      <c r="FS170"/>
      <c r="FT170"/>
      <c r="FU170"/>
      <c r="FV170"/>
      <c r="FW170"/>
      <c r="FX170"/>
      <c r="FY170"/>
      <c r="FZ170"/>
      <c r="GA170"/>
      <c r="GB170"/>
      <c r="GC170"/>
      <c r="GD170"/>
      <c r="GE170"/>
      <c r="GF170"/>
      <c r="GG170"/>
      <c r="GH170"/>
      <c r="GI170"/>
      <c r="GJ170"/>
      <c r="GK170"/>
      <c r="GL170"/>
      <c r="GM170"/>
      <c r="GN170"/>
    </row>
    <row r="171" spans="1:196" s="104" customFormat="1" ht="13.8" hidden="1" outlineLevel="1" x14ac:dyDescent="0.25">
      <c r="A171" s="810" t="s">
        <v>738</v>
      </c>
      <c r="B171" s="810" t="s">
        <v>554</v>
      </c>
      <c r="C171" s="923"/>
      <c r="D171" s="923"/>
      <c r="E171" s="214"/>
      <c r="F171" s="160" t="s">
        <v>198</v>
      </c>
      <c r="G171" s="304">
        <v>34355.32</v>
      </c>
      <c r="H171" s="304">
        <v>34712.81</v>
      </c>
      <c r="I171" s="153">
        <f>H171-G171</f>
        <v>357.48999999999796</v>
      </c>
      <c r="J171" s="878">
        <f t="shared" si="21"/>
        <v>1.0405666429536909E-2</v>
      </c>
      <c r="K171" s="428"/>
      <c r="L171" s="224"/>
      <c r="M171" s="1118"/>
      <c r="N171" s="410"/>
      <c r="O171" s="410"/>
      <c r="P171" s="410"/>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c r="DU171"/>
      <c r="DV171"/>
      <c r="DW171"/>
      <c r="DX171"/>
      <c r="DY171"/>
      <c r="DZ171"/>
      <c r="EA171"/>
      <c r="EB171"/>
      <c r="EC171"/>
      <c r="ED171"/>
      <c r="EE171"/>
      <c r="EF171"/>
      <c r="EG171"/>
      <c r="EH171"/>
      <c r="EI171"/>
      <c r="EJ171"/>
      <c r="EK171"/>
      <c r="EL171"/>
      <c r="EM171"/>
      <c r="EN171"/>
      <c r="EO171"/>
      <c r="EP171"/>
      <c r="EQ171"/>
      <c r="ER171"/>
      <c r="ES171"/>
      <c r="ET171"/>
      <c r="EU171"/>
      <c r="EV171"/>
      <c r="EW171"/>
      <c r="EX171"/>
      <c r="EY171"/>
      <c r="EZ171"/>
      <c r="FA171"/>
      <c r="FB171"/>
      <c r="FC171"/>
      <c r="FD171"/>
      <c r="FE171"/>
      <c r="FF171"/>
      <c r="FG171"/>
      <c r="FH171"/>
      <c r="FI171"/>
      <c r="FJ171"/>
      <c r="FK171"/>
      <c r="FL171"/>
      <c r="FM171"/>
      <c r="FN171"/>
      <c r="FO171"/>
      <c r="FP171"/>
      <c r="FQ171"/>
      <c r="FR171"/>
      <c r="FS171"/>
      <c r="FT171"/>
      <c r="FU171"/>
      <c r="FV171"/>
      <c r="FW171"/>
      <c r="FX171"/>
      <c r="FY171"/>
      <c r="FZ171"/>
      <c r="GA171"/>
      <c r="GB171"/>
      <c r="GC171"/>
      <c r="GD171"/>
      <c r="GE171"/>
      <c r="GF171"/>
      <c r="GG171"/>
      <c r="GH171"/>
      <c r="GI171"/>
      <c r="GJ171"/>
      <c r="GK171"/>
      <c r="GL171"/>
      <c r="GM171"/>
      <c r="GN171"/>
    </row>
    <row r="172" spans="1:196" s="104" customFormat="1" ht="13.8" hidden="1" outlineLevel="1" x14ac:dyDescent="0.25">
      <c r="A172" s="810" t="s">
        <v>738</v>
      </c>
      <c r="B172" s="810" t="s">
        <v>556</v>
      </c>
      <c r="C172" s="923"/>
      <c r="D172" s="923"/>
      <c r="E172" s="159"/>
      <c r="F172" s="160" t="s">
        <v>197</v>
      </c>
      <c r="G172" s="304">
        <v>0</v>
      </c>
      <c r="H172" s="304">
        <v>4950</v>
      </c>
      <c r="I172" s="153">
        <f>H172-G172</f>
        <v>4950</v>
      </c>
      <c r="J172" s="878" t="str">
        <f t="shared" si="21"/>
        <v>-</v>
      </c>
      <c r="K172" s="430" t="s">
        <v>1270</v>
      </c>
      <c r="L172" s="224"/>
      <c r="M172" s="1118"/>
      <c r="N172" s="410"/>
      <c r="O172" s="410"/>
      <c r="P172" s="410"/>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c r="DU172"/>
      <c r="DV172"/>
      <c r="DW172"/>
      <c r="DX172"/>
      <c r="DY172"/>
      <c r="DZ172"/>
      <c r="EA172"/>
      <c r="EB172"/>
      <c r="EC172"/>
      <c r="ED172"/>
      <c r="EE172"/>
      <c r="EF172"/>
      <c r="EG172"/>
      <c r="EH172"/>
      <c r="EI172"/>
      <c r="EJ172"/>
      <c r="EK172"/>
      <c r="EL172"/>
      <c r="EM172"/>
      <c r="EN172"/>
      <c r="EO172"/>
      <c r="EP172"/>
      <c r="EQ172"/>
      <c r="ER172"/>
      <c r="ES172"/>
      <c r="ET172"/>
      <c r="EU172"/>
      <c r="EV172"/>
      <c r="EW172"/>
      <c r="EX172"/>
      <c r="EY172"/>
      <c r="EZ172"/>
      <c r="FA172"/>
      <c r="FB172"/>
      <c r="FC172"/>
      <c r="FD172"/>
      <c r="FE172"/>
      <c r="FF172"/>
      <c r="FG172"/>
      <c r="FH172"/>
      <c r="FI172"/>
      <c r="FJ172"/>
      <c r="FK172"/>
      <c r="FL172"/>
      <c r="FM172"/>
      <c r="FN172"/>
      <c r="FO172"/>
      <c r="FP172"/>
      <c r="FQ172"/>
      <c r="FR172"/>
      <c r="FS172"/>
      <c r="FT172"/>
      <c r="FU172"/>
      <c r="FV172"/>
      <c r="FW172"/>
      <c r="FX172"/>
      <c r="FY172"/>
      <c r="FZ172"/>
      <c r="GA172"/>
      <c r="GB172"/>
      <c r="GC172"/>
      <c r="GD172"/>
      <c r="GE172"/>
      <c r="GF172"/>
      <c r="GG172"/>
      <c r="GH172"/>
      <c r="GI172"/>
      <c r="GJ172"/>
      <c r="GK172"/>
      <c r="GL172"/>
      <c r="GM172"/>
      <c r="GN172"/>
    </row>
    <row r="173" spans="1:196" s="525" customFormat="1" ht="13.8" hidden="1" outlineLevel="1" x14ac:dyDescent="0.25">
      <c r="A173" s="1407" t="s">
        <v>738</v>
      </c>
      <c r="B173" s="1407" t="s">
        <v>555</v>
      </c>
      <c r="C173" s="1408"/>
      <c r="D173" s="1408"/>
      <c r="E173" s="523"/>
      <c r="F173" s="520" t="s">
        <v>555</v>
      </c>
      <c r="G173" s="301">
        <v>0</v>
      </c>
      <c r="H173" s="505">
        <v>0</v>
      </c>
      <c r="I173" s="510">
        <f t="shared" ref="I173:I236" si="25">H173-G173</f>
        <v>0</v>
      </c>
      <c r="J173" s="876" t="str">
        <f t="shared" si="21"/>
        <v>-</v>
      </c>
      <c r="K173" s="526"/>
      <c r="L173" s="1409"/>
      <c r="M173" s="1116"/>
      <c r="N173" s="515"/>
      <c r="O173" s="515"/>
      <c r="P173" s="515"/>
      <c r="Q173" s="515"/>
      <c r="R173" s="515"/>
      <c r="S173" s="515"/>
      <c r="T173" s="515"/>
      <c r="U173" s="515"/>
      <c r="V173" s="515"/>
      <c r="W173" s="515"/>
      <c r="X173" s="515"/>
      <c r="Y173" s="515"/>
      <c r="Z173" s="515"/>
      <c r="AA173" s="515"/>
      <c r="AB173" s="515"/>
      <c r="AC173" s="515"/>
      <c r="AD173" s="515"/>
      <c r="AE173" s="515"/>
      <c r="AF173" s="515"/>
      <c r="AG173" s="515"/>
      <c r="AH173" s="515"/>
      <c r="AI173" s="515"/>
      <c r="AJ173" s="515"/>
      <c r="AK173" s="515"/>
      <c r="AL173" s="515"/>
      <c r="AM173" s="515"/>
      <c r="AN173" s="515"/>
      <c r="AO173" s="515"/>
      <c r="AP173" s="515"/>
      <c r="AQ173" s="515"/>
      <c r="AR173" s="515"/>
      <c r="AS173" s="515"/>
      <c r="AT173" s="515"/>
      <c r="AU173" s="515"/>
      <c r="AV173" s="515"/>
      <c r="AW173" s="515"/>
      <c r="AX173" s="515"/>
      <c r="AY173" s="515"/>
      <c r="AZ173" s="515"/>
      <c r="BA173" s="515"/>
      <c r="BB173" s="515"/>
      <c r="BC173" s="515"/>
      <c r="BD173" s="515"/>
      <c r="BE173" s="515"/>
      <c r="BF173" s="515"/>
      <c r="BG173" s="515"/>
      <c r="BH173" s="515"/>
      <c r="BI173" s="515"/>
      <c r="BJ173" s="515"/>
      <c r="BK173" s="515"/>
      <c r="BL173" s="515"/>
      <c r="BM173" s="515"/>
      <c r="BN173" s="515"/>
      <c r="BO173" s="515"/>
      <c r="BP173" s="515"/>
      <c r="BQ173" s="515"/>
      <c r="BR173" s="515"/>
      <c r="BS173" s="515"/>
      <c r="BT173" s="515"/>
      <c r="BU173" s="515"/>
      <c r="BV173" s="515"/>
      <c r="BW173" s="515"/>
      <c r="BX173" s="515"/>
      <c r="BY173" s="515"/>
      <c r="BZ173" s="515"/>
      <c r="CA173" s="515"/>
      <c r="CB173" s="515"/>
      <c r="CC173" s="515"/>
      <c r="CD173" s="515"/>
      <c r="CE173" s="515"/>
      <c r="CF173" s="515"/>
      <c r="CG173" s="515"/>
      <c r="CH173" s="515"/>
      <c r="CI173" s="515"/>
      <c r="CJ173" s="515"/>
      <c r="CK173" s="515"/>
      <c r="CL173" s="515"/>
      <c r="CM173" s="515"/>
      <c r="CN173" s="515"/>
      <c r="CO173" s="515"/>
      <c r="CP173" s="515"/>
      <c r="CQ173" s="515"/>
      <c r="CR173" s="515"/>
      <c r="CS173" s="515"/>
      <c r="CT173" s="515"/>
      <c r="CU173" s="515"/>
      <c r="CV173" s="515"/>
      <c r="CW173" s="515"/>
      <c r="CX173" s="515"/>
      <c r="CY173" s="515"/>
      <c r="CZ173" s="515"/>
      <c r="DA173" s="515"/>
      <c r="DB173" s="515"/>
      <c r="DC173" s="515"/>
      <c r="DD173" s="515"/>
      <c r="DE173" s="515"/>
      <c r="DF173" s="515"/>
      <c r="DG173" s="515"/>
      <c r="DH173" s="515"/>
      <c r="DI173" s="515"/>
      <c r="DJ173" s="515"/>
      <c r="DK173" s="515"/>
      <c r="DL173" s="515"/>
      <c r="DM173" s="515"/>
      <c r="DN173" s="515"/>
      <c r="DO173" s="515"/>
      <c r="DP173" s="515"/>
      <c r="DQ173" s="515"/>
      <c r="DR173" s="515"/>
      <c r="DS173" s="515"/>
      <c r="DT173" s="515"/>
      <c r="DU173" s="515"/>
      <c r="DV173" s="515"/>
      <c r="DW173" s="515"/>
      <c r="DX173" s="515"/>
      <c r="DY173" s="515"/>
      <c r="DZ173" s="515"/>
      <c r="EA173" s="515"/>
      <c r="EB173" s="515"/>
      <c r="EC173" s="515"/>
      <c r="ED173" s="515"/>
      <c r="EE173" s="515"/>
      <c r="EF173" s="515"/>
      <c r="EG173" s="515"/>
      <c r="EH173" s="515"/>
      <c r="EI173" s="515"/>
      <c r="EJ173" s="515"/>
      <c r="EK173" s="515"/>
      <c r="EL173" s="515"/>
      <c r="EM173" s="515"/>
      <c r="EN173" s="515"/>
      <c r="EO173" s="515"/>
      <c r="EP173" s="515"/>
      <c r="EQ173" s="515"/>
      <c r="ER173" s="515"/>
      <c r="ES173" s="515"/>
      <c r="ET173" s="515"/>
      <c r="EU173" s="515"/>
      <c r="EV173" s="515"/>
      <c r="EW173" s="515"/>
      <c r="EX173" s="515"/>
      <c r="EY173" s="515"/>
      <c r="EZ173" s="515"/>
      <c r="FA173" s="515"/>
      <c r="FB173" s="515"/>
      <c r="FC173" s="515"/>
      <c r="FD173" s="515"/>
      <c r="FE173" s="515"/>
      <c r="FF173" s="515"/>
      <c r="FG173" s="515"/>
      <c r="FH173" s="515"/>
      <c r="FI173" s="515"/>
      <c r="FJ173" s="515"/>
      <c r="FK173" s="515"/>
      <c r="FL173" s="515"/>
      <c r="FM173" s="515"/>
      <c r="FN173" s="515"/>
      <c r="FO173" s="515"/>
      <c r="FP173" s="515"/>
      <c r="FQ173" s="515"/>
      <c r="FR173" s="515"/>
      <c r="FS173" s="515"/>
      <c r="FT173" s="515"/>
      <c r="FU173" s="515"/>
      <c r="FV173" s="515"/>
      <c r="FW173" s="515"/>
      <c r="FX173" s="515"/>
      <c r="FY173" s="515"/>
      <c r="FZ173" s="515"/>
      <c r="GA173" s="515"/>
      <c r="GB173" s="515"/>
      <c r="GC173" s="515"/>
      <c r="GD173" s="515"/>
      <c r="GE173" s="515"/>
      <c r="GF173" s="515"/>
      <c r="GG173" s="515"/>
      <c r="GH173" s="515"/>
      <c r="GI173" s="515"/>
      <c r="GJ173" s="515"/>
      <c r="GK173" s="515"/>
      <c r="GL173" s="515"/>
      <c r="GM173" s="515"/>
      <c r="GN173" s="515"/>
    </row>
    <row r="174" spans="1:196" ht="13.8" collapsed="1" x14ac:dyDescent="0.25">
      <c r="C174" s="923">
        <v>53721</v>
      </c>
      <c r="D174" s="923">
        <f>C174-G174</f>
        <v>-2000</v>
      </c>
      <c r="E174" s="141" t="s">
        <v>87</v>
      </c>
      <c r="F174" s="142" t="s">
        <v>626</v>
      </c>
      <c r="G174" s="302">
        <v>55721</v>
      </c>
      <c r="H174" s="302">
        <v>62655.829250000003</v>
      </c>
      <c r="I174" s="132">
        <f t="shared" si="25"/>
        <v>6934.8292500000025</v>
      </c>
      <c r="J174" s="867">
        <f t="shared" si="21"/>
        <v>0.12445629565154973</v>
      </c>
      <c r="K174" s="418"/>
      <c r="L174" s="224"/>
      <c r="M174" s="1118"/>
      <c r="N174" s="410"/>
      <c r="O174" s="410"/>
      <c r="P174" s="410"/>
    </row>
    <row r="175" spans="1:196" s="104" customFormat="1" ht="13.8" hidden="1" outlineLevel="1" x14ac:dyDescent="0.25">
      <c r="A175" s="810" t="s">
        <v>742</v>
      </c>
      <c r="B175" s="810" t="s">
        <v>228</v>
      </c>
      <c r="C175" s="923"/>
      <c r="D175" s="923"/>
      <c r="E175" s="159"/>
      <c r="F175" s="215" t="s">
        <v>228</v>
      </c>
      <c r="G175" s="304">
        <v>45367</v>
      </c>
      <c r="H175" s="304">
        <v>48012.829250000003</v>
      </c>
      <c r="I175" s="153">
        <f t="shared" si="25"/>
        <v>2645.8292500000025</v>
      </c>
      <c r="J175" s="878">
        <f t="shared" si="21"/>
        <v>5.8320568915731757E-2</v>
      </c>
      <c r="K175" s="430" t="s">
        <v>1642</v>
      </c>
      <c r="L175" s="224"/>
      <c r="M175" s="1118"/>
      <c r="N175" s="410"/>
      <c r="O175" s="410"/>
      <c r="P175" s="410"/>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c r="DO175"/>
      <c r="DP175"/>
      <c r="DQ175"/>
      <c r="DR175"/>
      <c r="DS175"/>
      <c r="DT175"/>
      <c r="DU175"/>
      <c r="DV175"/>
      <c r="DW175"/>
      <c r="DX175"/>
      <c r="DY175"/>
      <c r="DZ175"/>
      <c r="EA175"/>
      <c r="EB175"/>
      <c r="EC175"/>
      <c r="ED175"/>
      <c r="EE175"/>
      <c r="EF175"/>
      <c r="EG175"/>
      <c r="EH175"/>
      <c r="EI175"/>
      <c r="EJ175"/>
      <c r="EK175"/>
      <c r="EL175"/>
      <c r="EM175"/>
      <c r="EN175"/>
      <c r="EO175"/>
      <c r="EP175"/>
      <c r="EQ175"/>
      <c r="ER175"/>
      <c r="ES175"/>
      <c r="ET175"/>
      <c r="EU175"/>
      <c r="EV175"/>
      <c r="EW175"/>
      <c r="EX175"/>
      <c r="EY175"/>
      <c r="EZ175"/>
      <c r="FA175"/>
      <c r="FB175"/>
      <c r="FC175"/>
      <c r="FD175"/>
      <c r="FE175"/>
      <c r="FF175"/>
      <c r="FG175"/>
      <c r="FH175"/>
      <c r="FI175"/>
      <c r="FJ175"/>
      <c r="FK175"/>
      <c r="FL175"/>
      <c r="FM175"/>
      <c r="FN175"/>
      <c r="FO175"/>
      <c r="FP175"/>
      <c r="FQ175"/>
      <c r="FR175"/>
      <c r="FS175"/>
      <c r="FT175"/>
      <c r="FU175"/>
      <c r="FV175"/>
      <c r="FW175"/>
      <c r="FX175"/>
      <c r="FY175"/>
      <c r="FZ175"/>
      <c r="GA175"/>
      <c r="GB175"/>
      <c r="GC175"/>
      <c r="GD175"/>
      <c r="GE175"/>
      <c r="GF175"/>
      <c r="GG175"/>
      <c r="GH175"/>
      <c r="GI175"/>
      <c r="GJ175"/>
      <c r="GK175"/>
      <c r="GL175"/>
      <c r="GM175"/>
      <c r="GN175"/>
    </row>
    <row r="176" spans="1:196" s="104" customFormat="1" ht="13.8" hidden="1" outlineLevel="1" x14ac:dyDescent="0.25">
      <c r="A176" s="810" t="s">
        <v>742</v>
      </c>
      <c r="B176" s="810" t="s">
        <v>554</v>
      </c>
      <c r="C176" s="923"/>
      <c r="D176" s="923"/>
      <c r="E176" s="214"/>
      <c r="F176" s="160" t="s">
        <v>198</v>
      </c>
      <c r="G176" s="304">
        <v>10354</v>
      </c>
      <c r="H176" s="304">
        <v>12102</v>
      </c>
      <c r="I176" s="153">
        <f t="shared" si="25"/>
        <v>1748</v>
      </c>
      <c r="J176" s="878">
        <f t="shared" si="21"/>
        <v>0.16882364303650763</v>
      </c>
      <c r="K176" s="428"/>
      <c r="L176" s="224"/>
      <c r="M176" s="1118"/>
      <c r="N176" s="410"/>
      <c r="O176" s="410"/>
      <c r="P176" s="410"/>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c r="DT176"/>
      <c r="DU176"/>
      <c r="DV176"/>
      <c r="DW176"/>
      <c r="DX176"/>
      <c r="DY176"/>
      <c r="DZ176"/>
      <c r="EA176"/>
      <c r="EB176"/>
      <c r="EC176"/>
      <c r="ED176"/>
      <c r="EE176"/>
      <c r="EF176"/>
      <c r="EG176"/>
      <c r="EH176"/>
      <c r="EI176"/>
      <c r="EJ176"/>
      <c r="EK176"/>
      <c r="EL176"/>
      <c r="EM176"/>
      <c r="EN176"/>
      <c r="EO176"/>
      <c r="EP176"/>
      <c r="EQ176"/>
      <c r="ER176"/>
      <c r="ES176"/>
      <c r="ET176"/>
      <c r="EU176"/>
      <c r="EV176"/>
      <c r="EW176"/>
      <c r="EX176"/>
      <c r="EY176"/>
      <c r="EZ176"/>
      <c r="FA176"/>
      <c r="FB176"/>
      <c r="FC176"/>
      <c r="FD176"/>
      <c r="FE176"/>
      <c r="FF176"/>
      <c r="FG176"/>
      <c r="FH176"/>
      <c r="FI176"/>
      <c r="FJ176"/>
      <c r="FK176"/>
      <c r="FL176"/>
      <c r="FM176"/>
      <c r="FN176"/>
      <c r="FO176"/>
      <c r="FP176"/>
      <c r="FQ176"/>
      <c r="FR176"/>
      <c r="FS176"/>
      <c r="FT176"/>
      <c r="FU176"/>
      <c r="FV176"/>
      <c r="FW176"/>
      <c r="FX176"/>
      <c r="FY176"/>
      <c r="FZ176"/>
      <c r="GA176"/>
      <c r="GB176"/>
      <c r="GC176"/>
      <c r="GD176"/>
      <c r="GE176"/>
      <c r="GF176"/>
      <c r="GG176"/>
      <c r="GH176"/>
      <c r="GI176"/>
      <c r="GJ176"/>
      <c r="GK176"/>
      <c r="GL176"/>
      <c r="GM176"/>
      <c r="GN176"/>
    </row>
    <row r="177" spans="1:196" s="104" customFormat="1" ht="13.8" hidden="1" outlineLevel="1" x14ac:dyDescent="0.25">
      <c r="A177" s="810" t="s">
        <v>742</v>
      </c>
      <c r="B177" s="810" t="s">
        <v>556</v>
      </c>
      <c r="C177" s="923"/>
      <c r="D177" s="923"/>
      <c r="E177" s="159"/>
      <c r="F177" s="160" t="s">
        <v>197</v>
      </c>
      <c r="G177" s="304">
        <v>0</v>
      </c>
      <c r="H177" s="304">
        <v>2541</v>
      </c>
      <c r="I177" s="153">
        <f t="shared" si="25"/>
        <v>2541</v>
      </c>
      <c r="J177" s="878" t="str">
        <f t="shared" si="21"/>
        <v>-</v>
      </c>
      <c r="K177" s="430" t="s">
        <v>1271</v>
      </c>
      <c r="L177" s="224"/>
      <c r="M177" s="1118"/>
      <c r="N177" s="410"/>
      <c r="O177" s="410"/>
      <c r="P177" s="410"/>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c r="DU177"/>
      <c r="DV177"/>
      <c r="DW177"/>
      <c r="DX177"/>
      <c r="DY177"/>
      <c r="DZ177"/>
      <c r="EA177"/>
      <c r="EB177"/>
      <c r="EC177"/>
      <c r="ED177"/>
      <c r="EE177"/>
      <c r="EF177"/>
      <c r="EG177"/>
      <c r="EH177"/>
      <c r="EI177"/>
      <c r="EJ177"/>
      <c r="EK177"/>
      <c r="EL177"/>
      <c r="EM177"/>
      <c r="EN177"/>
      <c r="EO177"/>
      <c r="EP177"/>
      <c r="EQ177"/>
      <c r="ER177"/>
      <c r="ES177"/>
      <c r="ET177"/>
      <c r="EU177"/>
      <c r="EV177"/>
      <c r="EW177"/>
      <c r="EX177"/>
      <c r="EY177"/>
      <c r="EZ177"/>
      <c r="FA177"/>
      <c r="FB177"/>
      <c r="FC177"/>
      <c r="FD177"/>
      <c r="FE177"/>
      <c r="FF177"/>
      <c r="FG177"/>
      <c r="FH177"/>
      <c r="FI177"/>
      <c r="FJ177"/>
      <c r="FK177"/>
      <c r="FL177"/>
      <c r="FM177"/>
      <c r="FN177"/>
      <c r="FO177"/>
      <c r="FP177"/>
      <c r="FQ177"/>
      <c r="FR177"/>
      <c r="FS177"/>
      <c r="FT177"/>
      <c r="FU177"/>
      <c r="FV177"/>
      <c r="FW177"/>
      <c r="FX177"/>
      <c r="FY177"/>
      <c r="FZ177"/>
      <c r="GA177"/>
      <c r="GB177"/>
      <c r="GC177"/>
      <c r="GD177"/>
      <c r="GE177"/>
      <c r="GF177"/>
      <c r="GG177"/>
      <c r="GH177"/>
      <c r="GI177"/>
      <c r="GJ177"/>
      <c r="GK177"/>
      <c r="GL177"/>
      <c r="GM177"/>
      <c r="GN177"/>
    </row>
    <row r="178" spans="1:196" s="525" customFormat="1" ht="13.8" hidden="1" outlineLevel="1" x14ac:dyDescent="0.25">
      <c r="A178" s="1095" t="s">
        <v>742</v>
      </c>
      <c r="B178" s="1095" t="s">
        <v>555</v>
      </c>
      <c r="C178" s="1096"/>
      <c r="D178" s="1096"/>
      <c r="E178" s="523"/>
      <c r="F178" s="520" t="s">
        <v>555</v>
      </c>
      <c r="G178" s="304">
        <v>0</v>
      </c>
      <c r="H178" s="504">
        <v>0</v>
      </c>
      <c r="I178" s="510">
        <f>H178-G178</f>
        <v>0</v>
      </c>
      <c r="J178" s="876" t="str">
        <f t="shared" si="21"/>
        <v>-</v>
      </c>
      <c r="K178" s="526"/>
      <c r="L178" s="507"/>
      <c r="M178" s="1116"/>
      <c r="N178" s="515"/>
      <c r="O178" s="515"/>
      <c r="P178" s="515"/>
      <c r="Q178" s="515"/>
      <c r="R178" s="515"/>
      <c r="S178" s="515"/>
      <c r="T178" s="515"/>
      <c r="U178" s="515"/>
      <c r="V178" s="515"/>
      <c r="W178" s="515"/>
      <c r="X178" s="515"/>
      <c r="Y178" s="515"/>
      <c r="Z178" s="515"/>
      <c r="AA178" s="515"/>
      <c r="AB178" s="515"/>
      <c r="AC178" s="515"/>
      <c r="AD178" s="515"/>
      <c r="AE178" s="515"/>
      <c r="AF178" s="515"/>
      <c r="AG178" s="515"/>
      <c r="AH178" s="515"/>
      <c r="AI178" s="515"/>
      <c r="AJ178" s="515"/>
      <c r="AK178" s="515"/>
      <c r="AL178" s="515"/>
      <c r="AM178" s="515"/>
      <c r="AN178" s="515"/>
      <c r="AO178" s="515"/>
      <c r="AP178" s="515"/>
      <c r="AQ178" s="515"/>
      <c r="AR178" s="515"/>
      <c r="AS178" s="515"/>
      <c r="AT178" s="515"/>
      <c r="AU178" s="515"/>
      <c r="AV178" s="515"/>
      <c r="AW178" s="515"/>
      <c r="AX178" s="515"/>
      <c r="AY178" s="515"/>
      <c r="AZ178" s="515"/>
      <c r="BA178" s="515"/>
      <c r="BB178" s="515"/>
      <c r="BC178" s="515"/>
      <c r="BD178" s="515"/>
      <c r="BE178" s="515"/>
      <c r="BF178" s="515"/>
      <c r="BG178" s="515"/>
      <c r="BH178" s="515"/>
      <c r="BI178" s="515"/>
      <c r="BJ178" s="515"/>
      <c r="BK178" s="515"/>
      <c r="BL178" s="515"/>
      <c r="BM178" s="515"/>
      <c r="BN178" s="515"/>
      <c r="BO178" s="515"/>
      <c r="BP178" s="515"/>
      <c r="BQ178" s="515"/>
      <c r="BR178" s="515"/>
      <c r="BS178" s="515"/>
      <c r="BT178" s="515"/>
      <c r="BU178" s="515"/>
      <c r="BV178" s="515"/>
      <c r="BW178" s="515"/>
      <c r="BX178" s="515"/>
      <c r="BY178" s="515"/>
      <c r="BZ178" s="515"/>
      <c r="CA178" s="515"/>
      <c r="CB178" s="515"/>
      <c r="CC178" s="515"/>
      <c r="CD178" s="515"/>
      <c r="CE178" s="515"/>
      <c r="CF178" s="515"/>
      <c r="CG178" s="515"/>
      <c r="CH178" s="515"/>
      <c r="CI178" s="515"/>
      <c r="CJ178" s="515"/>
      <c r="CK178" s="515"/>
      <c r="CL178" s="515"/>
      <c r="CM178" s="515"/>
      <c r="CN178" s="515"/>
      <c r="CO178" s="515"/>
      <c r="CP178" s="515"/>
      <c r="CQ178" s="515"/>
      <c r="CR178" s="515"/>
      <c r="CS178" s="515"/>
      <c r="CT178" s="515"/>
      <c r="CU178" s="515"/>
      <c r="CV178" s="515"/>
      <c r="CW178" s="515"/>
      <c r="CX178" s="515"/>
      <c r="CY178" s="515"/>
      <c r="CZ178" s="515"/>
      <c r="DA178" s="515"/>
      <c r="DB178" s="515"/>
      <c r="DC178" s="515"/>
      <c r="DD178" s="515"/>
      <c r="DE178" s="515"/>
      <c r="DF178" s="515"/>
      <c r="DG178" s="515"/>
      <c r="DH178" s="515"/>
      <c r="DI178" s="515"/>
      <c r="DJ178" s="515"/>
      <c r="DK178" s="515"/>
      <c r="DL178" s="515"/>
      <c r="DM178" s="515"/>
      <c r="DN178" s="515"/>
      <c r="DO178" s="515"/>
      <c r="DP178" s="515"/>
      <c r="DQ178" s="515"/>
      <c r="DR178" s="515"/>
      <c r="DS178" s="515"/>
      <c r="DT178" s="515"/>
      <c r="DU178" s="515"/>
      <c r="DV178" s="515"/>
      <c r="DW178" s="515"/>
      <c r="DX178" s="515"/>
      <c r="DY178" s="515"/>
      <c r="DZ178" s="515"/>
      <c r="EA178" s="515"/>
      <c r="EB178" s="515"/>
      <c r="EC178" s="515"/>
      <c r="ED178" s="515"/>
      <c r="EE178" s="515"/>
      <c r="EF178" s="515"/>
      <c r="EG178" s="515"/>
      <c r="EH178" s="515"/>
      <c r="EI178" s="515"/>
      <c r="EJ178" s="515"/>
      <c r="EK178" s="515"/>
      <c r="EL178" s="515"/>
      <c r="EM178" s="515"/>
      <c r="EN178" s="515"/>
      <c r="EO178" s="515"/>
      <c r="EP178" s="515"/>
      <c r="EQ178" s="515"/>
      <c r="ER178" s="515"/>
      <c r="ES178" s="515"/>
      <c r="ET178" s="515"/>
      <c r="EU178" s="515"/>
      <c r="EV178" s="515"/>
      <c r="EW178" s="515"/>
      <c r="EX178" s="515"/>
      <c r="EY178" s="515"/>
      <c r="EZ178" s="515"/>
      <c r="FA178" s="515"/>
      <c r="FB178" s="515"/>
      <c r="FC178" s="515"/>
      <c r="FD178" s="515"/>
      <c r="FE178" s="515"/>
      <c r="FF178" s="515"/>
      <c r="FG178" s="515"/>
      <c r="FH178" s="515"/>
      <c r="FI178" s="515"/>
      <c r="FJ178" s="515"/>
      <c r="FK178" s="515"/>
      <c r="FL178" s="515"/>
      <c r="FM178" s="515"/>
      <c r="FN178" s="515"/>
      <c r="FO178" s="515"/>
      <c r="FP178" s="515"/>
      <c r="FQ178" s="515"/>
      <c r="FR178" s="515"/>
      <c r="FS178" s="515"/>
      <c r="FT178" s="515"/>
      <c r="FU178" s="515"/>
      <c r="FV178" s="515"/>
      <c r="FW178" s="515"/>
      <c r="FX178" s="515"/>
      <c r="FY178" s="515"/>
      <c r="FZ178" s="515"/>
      <c r="GA178" s="515"/>
      <c r="GB178" s="515"/>
      <c r="GC178" s="515"/>
      <c r="GD178" s="515"/>
      <c r="GE178" s="515"/>
      <c r="GF178" s="515"/>
      <c r="GG178" s="515"/>
      <c r="GH178" s="515"/>
      <c r="GI178" s="515"/>
      <c r="GJ178" s="515"/>
      <c r="GK178" s="515"/>
      <c r="GL178" s="515"/>
      <c r="GM178" s="515"/>
      <c r="GN178" s="515"/>
    </row>
    <row r="179" spans="1:196" ht="13.8" collapsed="1" x14ac:dyDescent="0.25">
      <c r="C179" s="923">
        <f>740005-G184-G183</f>
        <v>507912</v>
      </c>
      <c r="D179" s="923">
        <f>C179-G179</f>
        <v>-5340.4873019999359</v>
      </c>
      <c r="E179" s="141" t="s">
        <v>624</v>
      </c>
      <c r="F179" s="142" t="s">
        <v>210</v>
      </c>
      <c r="G179" s="302">
        <v>513252.48730199994</v>
      </c>
      <c r="H179" s="302">
        <v>599436.75136999995</v>
      </c>
      <c r="I179" s="132">
        <f t="shared" si="25"/>
        <v>86184.264068000019</v>
      </c>
      <c r="J179" s="867">
        <f t="shared" si="21"/>
        <v>0.16791786927530042</v>
      </c>
      <c r="K179" s="418"/>
      <c r="L179" s="224"/>
      <c r="M179" s="1118"/>
      <c r="N179" s="410"/>
      <c r="O179" s="410"/>
      <c r="P179" s="410"/>
    </row>
    <row r="180" spans="1:196" s="104" customFormat="1" ht="13.8" hidden="1" outlineLevel="1" x14ac:dyDescent="0.25">
      <c r="A180" s="810" t="s">
        <v>778</v>
      </c>
      <c r="B180" s="810" t="s">
        <v>228</v>
      </c>
      <c r="C180" s="923">
        <v>292716</v>
      </c>
      <c r="D180" s="923"/>
      <c r="E180" s="159"/>
      <c r="F180" s="215" t="s">
        <v>228</v>
      </c>
      <c r="G180" s="296">
        <v>292716.18730199995</v>
      </c>
      <c r="H180" s="304">
        <v>322062.16136999999</v>
      </c>
      <c r="I180" s="225">
        <f t="shared" si="25"/>
        <v>29345.97406800004</v>
      </c>
      <c r="J180" s="888">
        <f t="shared" si="21"/>
        <v>0.10025401853749663</v>
      </c>
      <c r="K180" s="1019"/>
      <c r="L180" s="224"/>
      <c r="M180" s="1118"/>
      <c r="N180" s="410"/>
      <c r="O180" s="410"/>
      <c r="P180" s="41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c r="DU180"/>
      <c r="DV180"/>
      <c r="DW180"/>
      <c r="DX180"/>
      <c r="DY180"/>
      <c r="DZ180"/>
      <c r="EA180"/>
      <c r="EB180"/>
      <c r="EC180"/>
      <c r="ED180"/>
      <c r="EE180"/>
      <c r="EF180"/>
      <c r="EG180"/>
      <c r="EH180"/>
      <c r="EI180"/>
      <c r="EJ180"/>
      <c r="EK180"/>
      <c r="EL180"/>
      <c r="EM180"/>
      <c r="EN180"/>
      <c r="EO180"/>
      <c r="EP180"/>
      <c r="EQ180"/>
      <c r="ER180"/>
      <c r="ES180"/>
      <c r="ET180"/>
      <c r="EU180"/>
      <c r="EV180"/>
      <c r="EW180"/>
      <c r="EX180"/>
      <c r="EY180"/>
      <c r="EZ180"/>
      <c r="FA180"/>
      <c r="FB180"/>
      <c r="FC180"/>
      <c r="FD180"/>
      <c r="FE180"/>
      <c r="FF180"/>
      <c r="FG180"/>
      <c r="FH180"/>
      <c r="FI180"/>
      <c r="FJ180"/>
      <c r="FK180"/>
      <c r="FL180"/>
      <c r="FM180"/>
      <c r="FN180"/>
      <c r="FO180"/>
      <c r="FP180"/>
      <c r="FQ180"/>
      <c r="FR180"/>
      <c r="FS180"/>
      <c r="FT180"/>
      <c r="FU180"/>
      <c r="FV180"/>
      <c r="FW180"/>
      <c r="FX180"/>
      <c r="FY180"/>
      <c r="FZ180"/>
      <c r="GA180"/>
      <c r="GB180"/>
      <c r="GC180"/>
      <c r="GD180"/>
      <c r="GE180"/>
      <c r="GF180"/>
      <c r="GG180"/>
      <c r="GH180"/>
      <c r="GI180"/>
      <c r="GJ180"/>
      <c r="GK180"/>
      <c r="GL180"/>
      <c r="GM180"/>
      <c r="GN180"/>
    </row>
    <row r="181" spans="1:196" s="104" customFormat="1" ht="82.8" hidden="1" outlineLevel="1" x14ac:dyDescent="0.25">
      <c r="A181" s="810" t="s">
        <v>778</v>
      </c>
      <c r="B181" s="810" t="s">
        <v>554</v>
      </c>
      <c r="C181" s="923"/>
      <c r="D181" s="923"/>
      <c r="E181" s="214"/>
      <c r="F181" s="215" t="s">
        <v>198</v>
      </c>
      <c r="G181" s="296">
        <v>214372.3</v>
      </c>
      <c r="H181" s="304">
        <v>266074.58999999997</v>
      </c>
      <c r="I181" s="153">
        <f t="shared" si="25"/>
        <v>51702.289999999979</v>
      </c>
      <c r="J181" s="878">
        <f t="shared" si="21"/>
        <v>0.24117990057484098</v>
      </c>
      <c r="K181" s="421" t="s">
        <v>1613</v>
      </c>
      <c r="L181" s="224"/>
      <c r="M181" s="1118"/>
      <c r="N181" s="410"/>
      <c r="O181" s="410"/>
      <c r="P181" s="410"/>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c r="DU181"/>
      <c r="DV181"/>
      <c r="DW181"/>
      <c r="DX181"/>
      <c r="DY181"/>
      <c r="DZ181"/>
      <c r="EA181"/>
      <c r="EB181"/>
      <c r="EC181"/>
      <c r="ED181"/>
      <c r="EE181"/>
      <c r="EF181"/>
      <c r="EG181"/>
      <c r="EH181"/>
      <c r="EI181"/>
      <c r="EJ181"/>
      <c r="EK181"/>
      <c r="EL181"/>
      <c r="EM181"/>
      <c r="EN181"/>
      <c r="EO181"/>
      <c r="EP181"/>
      <c r="EQ181"/>
      <c r="ER181"/>
      <c r="ES181"/>
      <c r="ET181"/>
      <c r="EU181"/>
      <c r="EV181"/>
      <c r="EW181"/>
      <c r="EX181"/>
      <c r="EY181"/>
      <c r="EZ181"/>
      <c r="FA181"/>
      <c r="FB181"/>
      <c r="FC181"/>
      <c r="FD181"/>
      <c r="FE181"/>
      <c r="FF181"/>
      <c r="FG181"/>
      <c r="FH181"/>
      <c r="FI181"/>
      <c r="FJ181"/>
      <c r="FK181"/>
      <c r="FL181"/>
      <c r="FM181"/>
      <c r="FN181"/>
      <c r="FO181"/>
      <c r="FP181"/>
      <c r="FQ181"/>
      <c r="FR181"/>
      <c r="FS181"/>
      <c r="FT181"/>
      <c r="FU181"/>
      <c r="FV181"/>
      <c r="FW181"/>
      <c r="FX181"/>
      <c r="FY181"/>
      <c r="FZ181"/>
      <c r="GA181"/>
      <c r="GB181"/>
      <c r="GC181"/>
      <c r="GD181"/>
      <c r="GE181"/>
      <c r="GF181"/>
      <c r="GG181"/>
      <c r="GH181"/>
      <c r="GI181"/>
      <c r="GJ181"/>
      <c r="GK181"/>
      <c r="GL181"/>
      <c r="GM181"/>
      <c r="GN181"/>
    </row>
    <row r="182" spans="1:196" s="104" customFormat="1" ht="13.8" hidden="1" outlineLevel="1" x14ac:dyDescent="0.25">
      <c r="A182" s="810" t="s">
        <v>778</v>
      </c>
      <c r="B182" s="810" t="s">
        <v>556</v>
      </c>
      <c r="C182" s="923"/>
      <c r="D182" s="923"/>
      <c r="E182" s="159"/>
      <c r="F182" s="160" t="s">
        <v>197</v>
      </c>
      <c r="G182" s="296">
        <v>6164</v>
      </c>
      <c r="H182" s="304">
        <v>11300</v>
      </c>
      <c r="I182" s="161">
        <f t="shared" si="25"/>
        <v>5136</v>
      </c>
      <c r="J182" s="884">
        <f t="shared" si="21"/>
        <v>0.83322517845554833</v>
      </c>
      <c r="K182" s="430"/>
      <c r="L182" s="224"/>
      <c r="M182" s="1118"/>
      <c r="N182" s="410"/>
      <c r="O182" s="410"/>
      <c r="P182" s="410"/>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c r="DT182"/>
      <c r="DU182"/>
      <c r="DV182"/>
      <c r="DW182"/>
      <c r="DX182"/>
      <c r="DY182"/>
      <c r="DZ182"/>
      <c r="EA182"/>
      <c r="EB182"/>
      <c r="EC182"/>
      <c r="ED182"/>
      <c r="EE182"/>
      <c r="EF182"/>
      <c r="EG182"/>
      <c r="EH182"/>
      <c r="EI182"/>
      <c r="EJ182"/>
      <c r="EK182"/>
      <c r="EL182"/>
      <c r="EM182"/>
      <c r="EN182"/>
      <c r="EO182"/>
      <c r="EP182"/>
      <c r="EQ182"/>
      <c r="ER182"/>
      <c r="ES182"/>
      <c r="ET182"/>
      <c r="EU182"/>
      <c r="EV182"/>
      <c r="EW182"/>
      <c r="EX182"/>
      <c r="EY182"/>
      <c r="EZ182"/>
      <c r="FA182"/>
      <c r="FB182"/>
      <c r="FC182"/>
      <c r="FD182"/>
      <c r="FE182"/>
      <c r="FF182"/>
      <c r="FG182"/>
      <c r="FH182"/>
      <c r="FI182"/>
      <c r="FJ182"/>
      <c r="FK182"/>
      <c r="FL182"/>
      <c r="FM182"/>
      <c r="FN182"/>
      <c r="FO182"/>
      <c r="FP182"/>
      <c r="FQ182"/>
      <c r="FR182"/>
      <c r="FS182"/>
      <c r="FT182"/>
      <c r="FU182"/>
      <c r="FV182"/>
      <c r="FW182"/>
      <c r="FX182"/>
      <c r="FY182"/>
      <c r="FZ182"/>
      <c r="GA182"/>
      <c r="GB182"/>
      <c r="GC182"/>
      <c r="GD182"/>
      <c r="GE182"/>
      <c r="GF182"/>
      <c r="GG182"/>
      <c r="GH182"/>
      <c r="GI182"/>
      <c r="GJ182"/>
      <c r="GK182"/>
      <c r="GL182"/>
      <c r="GM182"/>
      <c r="GN182"/>
    </row>
    <row r="183" spans="1:196" s="104" customFormat="1" ht="13.8" hidden="1" outlineLevel="1" x14ac:dyDescent="0.25">
      <c r="A183" s="810" t="s">
        <v>778</v>
      </c>
      <c r="B183" s="810" t="s">
        <v>608</v>
      </c>
      <c r="C183" s="923"/>
      <c r="D183" s="923"/>
      <c r="E183" s="214"/>
      <c r="F183" s="1143" t="s">
        <v>354</v>
      </c>
      <c r="G183" s="296">
        <v>34247</v>
      </c>
      <c r="H183" s="296">
        <v>59690</v>
      </c>
      <c r="I183" s="154">
        <f t="shared" ref="I183" si="26">H183-G183</f>
        <v>25443</v>
      </c>
      <c r="J183" s="1142">
        <f t="shared" si="21"/>
        <v>0.7429263877127924</v>
      </c>
      <c r="K183" s="435"/>
      <c r="L183" s="224"/>
      <c r="M183" s="1118"/>
      <c r="N183" s="410"/>
      <c r="O183" s="410"/>
      <c r="P183" s="410"/>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c r="DK183"/>
      <c r="DL183"/>
      <c r="DM183"/>
      <c r="DN183"/>
      <c r="DO183"/>
      <c r="DP183"/>
      <c r="DQ183"/>
      <c r="DR183"/>
      <c r="DS183"/>
      <c r="DT183"/>
      <c r="DU183"/>
      <c r="DV183"/>
      <c r="DW183"/>
      <c r="DX183"/>
      <c r="DY183"/>
      <c r="DZ183"/>
      <c r="EA183"/>
      <c r="EB183"/>
      <c r="EC183"/>
      <c r="ED183"/>
      <c r="EE183"/>
      <c r="EF183"/>
      <c r="EG183"/>
      <c r="EH183"/>
      <c r="EI183"/>
      <c r="EJ183"/>
      <c r="EK183"/>
      <c r="EL183"/>
      <c r="EM183"/>
      <c r="EN183"/>
      <c r="EO183"/>
      <c r="EP183"/>
      <c r="EQ183"/>
      <c r="ER183"/>
      <c r="ES183"/>
      <c r="ET183"/>
      <c r="EU183"/>
      <c r="EV183"/>
      <c r="EW183"/>
      <c r="EX183"/>
      <c r="EY183"/>
      <c r="EZ183"/>
      <c r="FA183"/>
      <c r="FB183"/>
      <c r="FC183"/>
      <c r="FD183"/>
      <c r="FE183"/>
      <c r="FF183"/>
      <c r="FG183"/>
      <c r="FH183"/>
      <c r="FI183"/>
      <c r="FJ183"/>
      <c r="FK183"/>
      <c r="FL183"/>
      <c r="FM183"/>
      <c r="FN183"/>
      <c r="FO183"/>
      <c r="FP183"/>
      <c r="FQ183"/>
      <c r="FR183"/>
      <c r="FS183"/>
      <c r="FT183"/>
      <c r="FU183"/>
      <c r="FV183"/>
      <c r="FW183"/>
      <c r="FX183"/>
      <c r="FY183"/>
      <c r="FZ183"/>
      <c r="GA183"/>
      <c r="GB183"/>
      <c r="GC183"/>
      <c r="GD183"/>
      <c r="GE183"/>
      <c r="GF183"/>
      <c r="GG183"/>
      <c r="GH183"/>
      <c r="GI183"/>
      <c r="GJ183"/>
      <c r="GK183"/>
      <c r="GL183"/>
      <c r="GM183"/>
      <c r="GN183"/>
    </row>
    <row r="184" spans="1:196" s="525" customFormat="1" ht="13.8" hidden="1" outlineLevel="1" x14ac:dyDescent="0.25">
      <c r="A184" s="1407" t="s">
        <v>778</v>
      </c>
      <c r="B184" s="1407" t="s">
        <v>555</v>
      </c>
      <c r="C184" s="1408"/>
      <c r="D184" s="1408"/>
      <c r="E184" s="523"/>
      <c r="F184" s="520" t="s">
        <v>555</v>
      </c>
      <c r="G184" s="505">
        <v>197846</v>
      </c>
      <c r="H184" s="505">
        <v>150241.95000000001</v>
      </c>
      <c r="I184" s="510">
        <f t="shared" si="25"/>
        <v>-47604.049999999988</v>
      </c>
      <c r="J184" s="876">
        <f t="shared" si="21"/>
        <v>-0.24061163733408808</v>
      </c>
      <c r="K184" s="526"/>
      <c r="L184" s="1409"/>
      <c r="M184" s="1116"/>
      <c r="N184" s="515"/>
      <c r="O184" s="515"/>
      <c r="P184" s="515"/>
      <c r="Q184" s="515"/>
      <c r="R184" s="515"/>
      <c r="S184" s="515"/>
      <c r="T184" s="515"/>
      <c r="U184" s="515"/>
      <c r="V184" s="515"/>
      <c r="W184" s="515"/>
      <c r="X184" s="515"/>
      <c r="Y184" s="515"/>
      <c r="Z184" s="515"/>
      <c r="AA184" s="515"/>
      <c r="AB184" s="515"/>
      <c r="AC184" s="515"/>
      <c r="AD184" s="515"/>
      <c r="AE184" s="515"/>
      <c r="AF184" s="515"/>
      <c r="AG184" s="515"/>
      <c r="AH184" s="515"/>
      <c r="AI184" s="515"/>
      <c r="AJ184" s="515"/>
      <c r="AK184" s="515"/>
      <c r="AL184" s="515"/>
      <c r="AM184" s="515"/>
      <c r="AN184" s="515"/>
      <c r="AO184" s="515"/>
      <c r="AP184" s="515"/>
      <c r="AQ184" s="515"/>
      <c r="AR184" s="515"/>
      <c r="AS184" s="515"/>
      <c r="AT184" s="515"/>
      <c r="AU184" s="515"/>
      <c r="AV184" s="515"/>
      <c r="AW184" s="515"/>
      <c r="AX184" s="515"/>
      <c r="AY184" s="515"/>
      <c r="AZ184" s="515"/>
      <c r="BA184" s="515"/>
      <c r="BB184" s="515"/>
      <c r="BC184" s="515"/>
      <c r="BD184" s="515"/>
      <c r="BE184" s="515"/>
      <c r="BF184" s="515"/>
      <c r="BG184" s="515"/>
      <c r="BH184" s="515"/>
      <c r="BI184" s="515"/>
      <c r="BJ184" s="515"/>
      <c r="BK184" s="515"/>
      <c r="BL184" s="515"/>
      <c r="BM184" s="515"/>
      <c r="BN184" s="515"/>
      <c r="BO184" s="515"/>
      <c r="BP184" s="515"/>
      <c r="BQ184" s="515"/>
      <c r="BR184" s="515"/>
      <c r="BS184" s="515"/>
      <c r="BT184" s="515"/>
      <c r="BU184" s="515"/>
      <c r="BV184" s="515"/>
      <c r="BW184" s="515"/>
      <c r="BX184" s="515"/>
      <c r="BY184" s="515"/>
      <c r="BZ184" s="515"/>
      <c r="CA184" s="515"/>
      <c r="CB184" s="515"/>
      <c r="CC184" s="515"/>
      <c r="CD184" s="515"/>
      <c r="CE184" s="515"/>
      <c r="CF184" s="515"/>
      <c r="CG184" s="515"/>
      <c r="CH184" s="515"/>
      <c r="CI184" s="515"/>
      <c r="CJ184" s="515"/>
      <c r="CK184" s="515"/>
      <c r="CL184" s="515"/>
      <c r="CM184" s="515"/>
      <c r="CN184" s="515"/>
      <c r="CO184" s="515"/>
      <c r="CP184" s="515"/>
      <c r="CQ184" s="515"/>
      <c r="CR184" s="515"/>
      <c r="CS184" s="515"/>
      <c r="CT184" s="515"/>
      <c r="CU184" s="515"/>
      <c r="CV184" s="515"/>
      <c r="CW184" s="515"/>
      <c r="CX184" s="515"/>
      <c r="CY184" s="515"/>
      <c r="CZ184" s="515"/>
      <c r="DA184" s="515"/>
      <c r="DB184" s="515"/>
      <c r="DC184" s="515"/>
      <c r="DD184" s="515"/>
      <c r="DE184" s="515"/>
      <c r="DF184" s="515"/>
      <c r="DG184" s="515"/>
      <c r="DH184" s="515"/>
      <c r="DI184" s="515"/>
      <c r="DJ184" s="515"/>
      <c r="DK184" s="515"/>
      <c r="DL184" s="515"/>
      <c r="DM184" s="515"/>
      <c r="DN184" s="515"/>
      <c r="DO184" s="515"/>
      <c r="DP184" s="515"/>
      <c r="DQ184" s="515"/>
      <c r="DR184" s="515"/>
      <c r="DS184" s="515"/>
      <c r="DT184" s="515"/>
      <c r="DU184" s="515"/>
      <c r="DV184" s="515"/>
      <c r="DW184" s="515"/>
      <c r="DX184" s="515"/>
      <c r="DY184" s="515"/>
      <c r="DZ184" s="515"/>
      <c r="EA184" s="515"/>
      <c r="EB184" s="515"/>
      <c r="EC184" s="515"/>
      <c r="ED184" s="515"/>
      <c r="EE184" s="515"/>
      <c r="EF184" s="515"/>
      <c r="EG184" s="515"/>
      <c r="EH184" s="515"/>
      <c r="EI184" s="515"/>
      <c r="EJ184" s="515"/>
      <c r="EK184" s="515"/>
      <c r="EL184" s="515"/>
      <c r="EM184" s="515"/>
      <c r="EN184" s="515"/>
      <c r="EO184" s="515"/>
      <c r="EP184" s="515"/>
      <c r="EQ184" s="515"/>
      <c r="ER184" s="515"/>
      <c r="ES184" s="515"/>
      <c r="ET184" s="515"/>
      <c r="EU184" s="515"/>
      <c r="EV184" s="515"/>
      <c r="EW184" s="515"/>
      <c r="EX184" s="515"/>
      <c r="EY184" s="515"/>
      <c r="EZ184" s="515"/>
      <c r="FA184" s="515"/>
      <c r="FB184" s="515"/>
      <c r="FC184" s="515"/>
      <c r="FD184" s="515"/>
      <c r="FE184" s="515"/>
      <c r="FF184" s="515"/>
      <c r="FG184" s="515"/>
      <c r="FH184" s="515"/>
      <c r="FI184" s="515"/>
      <c r="FJ184" s="515"/>
      <c r="FK184" s="515"/>
      <c r="FL184" s="515"/>
      <c r="FM184" s="515"/>
      <c r="FN184" s="515"/>
      <c r="FO184" s="515"/>
      <c r="FP184" s="515"/>
      <c r="FQ184" s="515"/>
      <c r="FR184" s="515"/>
      <c r="FS184" s="515"/>
      <c r="FT184" s="515"/>
      <c r="FU184" s="515"/>
      <c r="FV184" s="515"/>
      <c r="FW184" s="515"/>
      <c r="FX184" s="515"/>
      <c r="FY184" s="515"/>
      <c r="FZ184" s="515"/>
      <c r="GA184" s="515"/>
      <c r="GB184" s="515"/>
      <c r="GC184" s="515"/>
      <c r="GD184" s="515"/>
      <c r="GE184" s="515"/>
      <c r="GF184" s="515"/>
      <c r="GG184" s="515"/>
      <c r="GH184" s="515"/>
      <c r="GI184" s="515"/>
      <c r="GJ184" s="515"/>
      <c r="GK184" s="515"/>
      <c r="GL184" s="515"/>
      <c r="GM184" s="515"/>
      <c r="GN184" s="515"/>
    </row>
    <row r="185" spans="1:196" s="525" customFormat="1" ht="13.8" hidden="1" outlineLevel="1" x14ac:dyDescent="0.25">
      <c r="A185" s="1407" t="s">
        <v>778</v>
      </c>
      <c r="B185" s="1407" t="s">
        <v>192</v>
      </c>
      <c r="C185" s="1408"/>
      <c r="D185" s="1408"/>
      <c r="E185" s="528"/>
      <c r="F185" s="1421" t="s">
        <v>192</v>
      </c>
      <c r="G185" s="505">
        <v>0</v>
      </c>
      <c r="H185" s="505">
        <v>0</v>
      </c>
      <c r="I185" s="529"/>
      <c r="J185" s="886" t="str">
        <f t="shared" si="21"/>
        <v>-</v>
      </c>
      <c r="K185" s="1410"/>
      <c r="L185" s="1409"/>
      <c r="M185" s="1116"/>
      <c r="N185" s="515"/>
      <c r="O185" s="515"/>
      <c r="P185" s="515"/>
      <c r="Q185" s="515"/>
      <c r="R185" s="515"/>
      <c r="S185" s="515"/>
      <c r="T185" s="515"/>
      <c r="U185" s="515"/>
      <c r="V185" s="515"/>
      <c r="W185" s="515"/>
      <c r="X185" s="515"/>
      <c r="Y185" s="515"/>
      <c r="Z185" s="515"/>
      <c r="AA185" s="515"/>
      <c r="AB185" s="515"/>
      <c r="AC185" s="515"/>
      <c r="AD185" s="515"/>
      <c r="AE185" s="515"/>
      <c r="AF185" s="515"/>
      <c r="AG185" s="515"/>
      <c r="AH185" s="515"/>
      <c r="AI185" s="515"/>
      <c r="AJ185" s="515"/>
      <c r="AK185" s="515"/>
      <c r="AL185" s="515"/>
      <c r="AM185" s="515"/>
      <c r="AN185" s="515"/>
      <c r="AO185" s="515"/>
      <c r="AP185" s="515"/>
      <c r="AQ185" s="515"/>
      <c r="AR185" s="515"/>
      <c r="AS185" s="515"/>
      <c r="AT185" s="515"/>
      <c r="AU185" s="515"/>
      <c r="AV185" s="515"/>
      <c r="AW185" s="515"/>
      <c r="AX185" s="515"/>
      <c r="AY185" s="515"/>
      <c r="AZ185" s="515"/>
      <c r="BA185" s="515"/>
      <c r="BB185" s="515"/>
      <c r="BC185" s="515"/>
      <c r="BD185" s="515"/>
      <c r="BE185" s="515"/>
      <c r="BF185" s="515"/>
      <c r="BG185" s="515"/>
      <c r="BH185" s="515"/>
      <c r="BI185" s="515"/>
      <c r="BJ185" s="515"/>
      <c r="BK185" s="515"/>
      <c r="BL185" s="515"/>
      <c r="BM185" s="515"/>
      <c r="BN185" s="515"/>
      <c r="BO185" s="515"/>
      <c r="BP185" s="515"/>
      <c r="BQ185" s="515"/>
      <c r="BR185" s="515"/>
      <c r="BS185" s="515"/>
      <c r="BT185" s="515"/>
      <c r="BU185" s="515"/>
      <c r="BV185" s="515"/>
      <c r="BW185" s="515"/>
      <c r="BX185" s="515"/>
      <c r="BY185" s="515"/>
      <c r="BZ185" s="515"/>
      <c r="CA185" s="515"/>
      <c r="CB185" s="515"/>
      <c r="CC185" s="515"/>
      <c r="CD185" s="515"/>
      <c r="CE185" s="515"/>
      <c r="CF185" s="515"/>
      <c r="CG185" s="515"/>
      <c r="CH185" s="515"/>
      <c r="CI185" s="515"/>
      <c r="CJ185" s="515"/>
      <c r="CK185" s="515"/>
      <c r="CL185" s="515"/>
      <c r="CM185" s="515"/>
      <c r="CN185" s="515"/>
      <c r="CO185" s="515"/>
      <c r="CP185" s="515"/>
      <c r="CQ185" s="515"/>
      <c r="CR185" s="515"/>
      <c r="CS185" s="515"/>
      <c r="CT185" s="515"/>
      <c r="CU185" s="515"/>
      <c r="CV185" s="515"/>
      <c r="CW185" s="515"/>
      <c r="CX185" s="515"/>
      <c r="CY185" s="515"/>
      <c r="CZ185" s="515"/>
      <c r="DA185" s="515"/>
      <c r="DB185" s="515"/>
      <c r="DC185" s="515"/>
      <c r="DD185" s="515"/>
      <c r="DE185" s="515"/>
      <c r="DF185" s="515"/>
      <c r="DG185" s="515"/>
      <c r="DH185" s="515"/>
      <c r="DI185" s="515"/>
      <c r="DJ185" s="515"/>
      <c r="DK185" s="515"/>
      <c r="DL185" s="515"/>
      <c r="DM185" s="515"/>
      <c r="DN185" s="515"/>
      <c r="DO185" s="515"/>
      <c r="DP185" s="515"/>
      <c r="DQ185" s="515"/>
      <c r="DR185" s="515"/>
      <c r="DS185" s="515"/>
      <c r="DT185" s="515"/>
      <c r="DU185" s="515"/>
      <c r="DV185" s="515"/>
      <c r="DW185" s="515"/>
      <c r="DX185" s="515"/>
      <c r="DY185" s="515"/>
      <c r="DZ185" s="515"/>
      <c r="EA185" s="515"/>
      <c r="EB185" s="515"/>
      <c r="EC185" s="515"/>
      <c r="ED185" s="515"/>
      <c r="EE185" s="515"/>
      <c r="EF185" s="515"/>
      <c r="EG185" s="515"/>
      <c r="EH185" s="515"/>
      <c r="EI185" s="515"/>
      <c r="EJ185" s="515"/>
      <c r="EK185" s="515"/>
      <c r="EL185" s="515"/>
      <c r="EM185" s="515"/>
      <c r="EN185" s="515"/>
      <c r="EO185" s="515"/>
      <c r="EP185" s="515"/>
      <c r="EQ185" s="515"/>
      <c r="ER185" s="515"/>
      <c r="ES185" s="515"/>
      <c r="ET185" s="515"/>
      <c r="EU185" s="515"/>
      <c r="EV185" s="515"/>
      <c r="EW185" s="515"/>
      <c r="EX185" s="515"/>
      <c r="EY185" s="515"/>
      <c r="EZ185" s="515"/>
      <c r="FA185" s="515"/>
      <c r="FB185" s="515"/>
      <c r="FC185" s="515"/>
      <c r="FD185" s="515"/>
      <c r="FE185" s="515"/>
      <c r="FF185" s="515"/>
      <c r="FG185" s="515"/>
      <c r="FH185" s="515"/>
      <c r="FI185" s="515"/>
      <c r="FJ185" s="515"/>
      <c r="FK185" s="515"/>
      <c r="FL185" s="515"/>
      <c r="FM185" s="515"/>
      <c r="FN185" s="515"/>
      <c r="FO185" s="515"/>
      <c r="FP185" s="515"/>
      <c r="FQ185" s="515"/>
      <c r="FR185" s="515"/>
      <c r="FS185" s="515"/>
      <c r="FT185" s="515"/>
      <c r="FU185" s="515"/>
      <c r="FV185" s="515"/>
      <c r="FW185" s="515"/>
      <c r="FX185" s="515"/>
      <c r="FY185" s="515"/>
      <c r="FZ185" s="515"/>
      <c r="GA185" s="515"/>
      <c r="GB185" s="515"/>
      <c r="GC185" s="515"/>
      <c r="GD185" s="515"/>
      <c r="GE185" s="515"/>
      <c r="GF185" s="515"/>
      <c r="GG185" s="515"/>
      <c r="GH185" s="515"/>
      <c r="GI185" s="515"/>
      <c r="GJ185" s="515"/>
      <c r="GK185" s="515"/>
      <c r="GL185" s="515"/>
      <c r="GM185" s="515"/>
      <c r="GN185" s="515"/>
    </row>
    <row r="186" spans="1:196" ht="13.8" collapsed="1" x14ac:dyDescent="0.25">
      <c r="E186" s="141" t="s">
        <v>208</v>
      </c>
      <c r="F186" s="142" t="s">
        <v>92</v>
      </c>
      <c r="G186" s="479"/>
      <c r="H186" s="132"/>
      <c r="I186" s="148">
        <f t="shared" si="25"/>
        <v>0</v>
      </c>
      <c r="J186" s="889" t="str">
        <f t="shared" si="21"/>
        <v>-</v>
      </c>
      <c r="K186" s="434"/>
      <c r="L186" s="224"/>
      <c r="M186" s="1118"/>
      <c r="N186" s="410"/>
      <c r="O186" s="410"/>
      <c r="P186" s="410"/>
    </row>
    <row r="187" spans="1:196" s="216" customFormat="1" ht="13.8" hidden="1" outlineLevel="1" x14ac:dyDescent="0.25">
      <c r="A187" s="810" t="s">
        <v>758</v>
      </c>
      <c r="B187" s="810" t="s">
        <v>555</v>
      </c>
      <c r="C187" s="923"/>
      <c r="D187" s="923"/>
      <c r="E187" s="162"/>
      <c r="F187" s="163" t="s">
        <v>555</v>
      </c>
      <c r="G187" s="296">
        <v>4000</v>
      </c>
      <c r="H187" s="304">
        <v>4000</v>
      </c>
      <c r="I187" s="320">
        <f>H187-G187</f>
        <v>0</v>
      </c>
      <c r="J187" s="885">
        <f t="shared" si="21"/>
        <v>0</v>
      </c>
      <c r="K187" s="430"/>
      <c r="L187" s="224"/>
      <c r="M187" s="1118"/>
      <c r="N187" s="410"/>
      <c r="O187" s="410"/>
      <c r="P187" s="410"/>
      <c r="Q187" s="223"/>
      <c r="R187" s="223"/>
      <c r="S187" s="223"/>
      <c r="T187" s="223"/>
      <c r="U187" s="223"/>
      <c r="V187" s="223"/>
      <c r="W187" s="223"/>
      <c r="X187" s="223"/>
      <c r="Y187" s="223"/>
      <c r="Z187" s="223"/>
      <c r="AA187" s="223"/>
      <c r="AB187" s="223"/>
      <c r="AC187" s="223"/>
      <c r="AD187" s="223"/>
      <c r="AE187" s="223"/>
      <c r="AF187" s="223"/>
      <c r="AG187" s="223"/>
      <c r="AH187" s="223"/>
      <c r="AI187" s="223"/>
      <c r="AJ187" s="223"/>
      <c r="AK187" s="223"/>
      <c r="AL187" s="223"/>
      <c r="AM187" s="223"/>
      <c r="AN187" s="223"/>
      <c r="AO187" s="223"/>
      <c r="AP187" s="223"/>
      <c r="AQ187" s="223"/>
      <c r="AR187" s="223"/>
      <c r="AS187" s="223"/>
      <c r="AT187" s="223"/>
      <c r="AU187" s="223"/>
      <c r="AV187" s="223"/>
      <c r="AW187" s="223"/>
      <c r="AX187" s="223"/>
      <c r="AY187" s="223"/>
      <c r="AZ187" s="223"/>
      <c r="BA187" s="223"/>
      <c r="BB187" s="223"/>
      <c r="BC187" s="223"/>
      <c r="BD187" s="223"/>
      <c r="BE187" s="223"/>
      <c r="BF187" s="223"/>
      <c r="BG187" s="223"/>
      <c r="BH187" s="223"/>
      <c r="BI187" s="223"/>
      <c r="BJ187" s="223"/>
      <c r="BK187" s="223"/>
      <c r="BL187" s="223"/>
      <c r="BM187" s="223"/>
      <c r="BN187" s="223"/>
      <c r="BO187" s="223"/>
      <c r="BP187" s="223"/>
      <c r="BQ187" s="223"/>
      <c r="BR187" s="223"/>
      <c r="BS187" s="223"/>
      <c r="BT187" s="223"/>
      <c r="BU187" s="223"/>
      <c r="BV187" s="223"/>
      <c r="BW187" s="223"/>
      <c r="BX187" s="223"/>
      <c r="BY187" s="223"/>
      <c r="BZ187" s="223"/>
      <c r="CA187" s="223"/>
      <c r="CB187" s="223"/>
      <c r="CC187" s="223"/>
      <c r="CD187" s="223"/>
      <c r="CE187" s="223"/>
      <c r="CF187" s="223"/>
      <c r="CG187" s="223"/>
      <c r="CH187" s="223"/>
      <c r="CI187" s="223"/>
      <c r="CJ187" s="223"/>
      <c r="CK187" s="223"/>
      <c r="CL187" s="223"/>
      <c r="CM187" s="223"/>
      <c r="CN187" s="223"/>
      <c r="CO187" s="223"/>
      <c r="CP187" s="223"/>
      <c r="CQ187" s="223"/>
      <c r="CR187" s="223"/>
      <c r="CS187" s="223"/>
      <c r="CT187" s="223"/>
      <c r="CU187" s="223"/>
      <c r="CV187" s="223"/>
      <c r="CW187" s="223"/>
      <c r="CX187" s="223"/>
      <c r="CY187" s="223"/>
      <c r="CZ187" s="223"/>
      <c r="DA187" s="223"/>
      <c r="DB187" s="223"/>
      <c r="DC187" s="223"/>
      <c r="DD187" s="223"/>
      <c r="DE187" s="223"/>
      <c r="DF187" s="223"/>
      <c r="DG187" s="223"/>
      <c r="DH187" s="223"/>
      <c r="DI187" s="223"/>
      <c r="DJ187" s="223"/>
      <c r="DK187" s="223"/>
      <c r="DL187" s="223"/>
      <c r="DM187" s="223"/>
      <c r="DN187" s="223"/>
      <c r="DO187" s="223"/>
      <c r="DP187" s="223"/>
      <c r="DQ187" s="223"/>
      <c r="DR187" s="223"/>
      <c r="DS187" s="223"/>
      <c r="DT187" s="223"/>
      <c r="DU187" s="223"/>
      <c r="DV187" s="223"/>
      <c r="DW187" s="223"/>
      <c r="DX187" s="223"/>
      <c r="DY187" s="223"/>
      <c r="DZ187" s="223"/>
      <c r="EA187" s="223"/>
      <c r="EB187" s="223"/>
      <c r="EC187" s="223"/>
      <c r="ED187" s="223"/>
      <c r="EE187" s="223"/>
      <c r="EF187" s="223"/>
      <c r="EG187" s="223"/>
      <c r="EH187" s="223"/>
      <c r="EI187" s="223"/>
      <c r="EJ187" s="223"/>
      <c r="EK187" s="223"/>
      <c r="EL187" s="223"/>
      <c r="EM187" s="223"/>
      <c r="EN187" s="223"/>
      <c r="EO187" s="223"/>
      <c r="EP187" s="223"/>
      <c r="EQ187" s="223"/>
      <c r="ER187" s="223"/>
      <c r="ES187" s="223"/>
      <c r="ET187" s="223"/>
      <c r="EU187" s="223"/>
      <c r="EV187" s="223"/>
      <c r="EW187" s="223"/>
      <c r="EX187" s="223"/>
      <c r="EY187" s="223"/>
      <c r="EZ187" s="223"/>
      <c r="FA187" s="223"/>
      <c r="FB187" s="223"/>
      <c r="FC187" s="223"/>
      <c r="FD187" s="223"/>
      <c r="FE187" s="223"/>
      <c r="FF187" s="223"/>
      <c r="FG187" s="223"/>
      <c r="FH187" s="223"/>
      <c r="FI187" s="223"/>
      <c r="FJ187" s="223"/>
      <c r="FK187" s="223"/>
      <c r="FL187" s="223"/>
      <c r="FM187" s="223"/>
      <c r="FN187" s="223"/>
      <c r="FO187" s="223"/>
      <c r="FP187" s="223"/>
      <c r="FQ187" s="223"/>
      <c r="FR187" s="223"/>
      <c r="FS187" s="223"/>
      <c r="FT187" s="223"/>
      <c r="FU187" s="223"/>
      <c r="FV187" s="223"/>
      <c r="FW187" s="223"/>
      <c r="FX187" s="223"/>
      <c r="FY187" s="223"/>
      <c r="FZ187" s="223"/>
      <c r="GA187" s="223"/>
      <c r="GB187" s="223"/>
      <c r="GC187" s="223"/>
      <c r="GD187" s="223"/>
      <c r="GE187" s="223"/>
      <c r="GF187" s="223"/>
      <c r="GG187" s="223"/>
      <c r="GH187" s="223"/>
      <c r="GI187" s="223"/>
      <c r="GJ187" s="223"/>
      <c r="GK187" s="223"/>
      <c r="GL187" s="223"/>
      <c r="GM187" s="223"/>
      <c r="GN187" s="223"/>
    </row>
    <row r="188" spans="1:196" ht="27.6" collapsed="1" x14ac:dyDescent="0.25">
      <c r="C188" s="923">
        <f>146079-G192</f>
        <v>146079</v>
      </c>
      <c r="D188" s="923">
        <f>C188-G188</f>
        <v>1999.5874000000185</v>
      </c>
      <c r="E188" s="141" t="s">
        <v>209</v>
      </c>
      <c r="F188" s="142" t="s">
        <v>627</v>
      </c>
      <c r="G188" s="302">
        <v>144079.41259999998</v>
      </c>
      <c r="H188" s="302">
        <v>185866.50440000001</v>
      </c>
      <c r="I188" s="132">
        <f t="shared" si="25"/>
        <v>41787.091800000024</v>
      </c>
      <c r="J188" s="867">
        <f t="shared" si="21"/>
        <v>0.29002819379900796</v>
      </c>
      <c r="K188" s="418"/>
      <c r="L188" s="224"/>
      <c r="M188" s="1118"/>
      <c r="N188" s="410"/>
      <c r="O188" s="410"/>
      <c r="P188" s="410"/>
    </row>
    <row r="189" spans="1:196" s="104" customFormat="1" ht="27.6" hidden="1" outlineLevel="1" x14ac:dyDescent="0.25">
      <c r="A189" s="810" t="s">
        <v>763</v>
      </c>
      <c r="B189" s="810" t="s">
        <v>228</v>
      </c>
      <c r="C189" s="923"/>
      <c r="D189" s="923"/>
      <c r="E189" s="159"/>
      <c r="F189" s="215" t="s">
        <v>228</v>
      </c>
      <c r="G189" s="304">
        <v>96473.412599999996</v>
      </c>
      <c r="H189" s="304">
        <v>117209.50440000001</v>
      </c>
      <c r="I189" s="153">
        <f t="shared" si="25"/>
        <v>20736.091800000009</v>
      </c>
      <c r="J189" s="878">
        <f t="shared" si="21"/>
        <v>0.21494100023160173</v>
      </c>
      <c r="K189" s="456" t="s">
        <v>1341</v>
      </c>
      <c r="L189" s="224"/>
      <c r="M189" s="1118"/>
      <c r="N189" s="410"/>
      <c r="O189" s="410"/>
      <c r="P189" s="410"/>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c r="DD189"/>
      <c r="DE189"/>
      <c r="DF189"/>
      <c r="DG189"/>
      <c r="DH189"/>
      <c r="DI189"/>
      <c r="DJ189"/>
      <c r="DK189"/>
      <c r="DL189"/>
      <c r="DM189"/>
      <c r="DN189"/>
      <c r="DO189"/>
      <c r="DP189"/>
      <c r="DQ189"/>
      <c r="DR189"/>
      <c r="DS189"/>
      <c r="DT189"/>
      <c r="DU189"/>
      <c r="DV189"/>
      <c r="DW189"/>
      <c r="DX189"/>
      <c r="DY189"/>
      <c r="DZ189"/>
      <c r="EA189"/>
      <c r="EB189"/>
      <c r="EC189"/>
      <c r="ED189"/>
      <c r="EE189"/>
      <c r="EF189"/>
      <c r="EG189"/>
      <c r="EH189"/>
      <c r="EI189"/>
      <c r="EJ189"/>
      <c r="EK189"/>
      <c r="EL189"/>
      <c r="EM189"/>
      <c r="EN189"/>
      <c r="EO189"/>
      <c r="EP189"/>
      <c r="EQ189"/>
      <c r="ER189"/>
      <c r="ES189"/>
      <c r="ET189"/>
      <c r="EU189"/>
      <c r="EV189"/>
      <c r="EW189"/>
      <c r="EX189"/>
      <c r="EY189"/>
      <c r="EZ189"/>
      <c r="FA189"/>
      <c r="FB189"/>
      <c r="FC189"/>
      <c r="FD189"/>
      <c r="FE189"/>
      <c r="FF189"/>
      <c r="FG189"/>
      <c r="FH189"/>
      <c r="FI189"/>
      <c r="FJ189"/>
      <c r="FK189"/>
      <c r="FL189"/>
      <c r="FM189"/>
      <c r="FN189"/>
      <c r="FO189"/>
      <c r="FP189"/>
      <c r="FQ189"/>
      <c r="FR189"/>
      <c r="FS189"/>
      <c r="FT189"/>
      <c r="FU189"/>
      <c r="FV189"/>
      <c r="FW189"/>
      <c r="FX189"/>
      <c r="FY189"/>
      <c r="FZ189"/>
      <c r="GA189"/>
      <c r="GB189"/>
      <c r="GC189"/>
      <c r="GD189"/>
      <c r="GE189"/>
      <c r="GF189"/>
      <c r="GG189"/>
      <c r="GH189"/>
      <c r="GI189"/>
      <c r="GJ189"/>
      <c r="GK189"/>
      <c r="GL189"/>
      <c r="GM189"/>
      <c r="GN189"/>
    </row>
    <row r="190" spans="1:196" s="104" customFormat="1" ht="41.4" hidden="1" outlineLevel="1" x14ac:dyDescent="0.25">
      <c r="A190" s="810" t="s">
        <v>763</v>
      </c>
      <c r="B190" s="810" t="s">
        <v>554</v>
      </c>
      <c r="C190" s="923"/>
      <c r="D190" s="923"/>
      <c r="E190" s="214"/>
      <c r="F190" s="215" t="s">
        <v>198</v>
      </c>
      <c r="G190" s="304">
        <v>34885</v>
      </c>
      <c r="H190" s="304">
        <v>60282</v>
      </c>
      <c r="I190" s="153">
        <f t="shared" si="25"/>
        <v>25397</v>
      </c>
      <c r="J190" s="878">
        <f t="shared" si="21"/>
        <v>0.7280206392432278</v>
      </c>
      <c r="K190" s="436" t="s">
        <v>1614</v>
      </c>
      <c r="L190" s="224"/>
      <c r="M190" s="1118"/>
      <c r="N190" s="410"/>
      <c r="O190" s="410"/>
      <c r="P190" s="410"/>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c r="CE190"/>
      <c r="CF190"/>
      <c r="CG190"/>
      <c r="CH190"/>
      <c r="CI190"/>
      <c r="CJ190"/>
      <c r="CK190"/>
      <c r="CL190"/>
      <c r="CM190"/>
      <c r="CN190"/>
      <c r="CO190"/>
      <c r="CP190"/>
      <c r="CQ190"/>
      <c r="CR190"/>
      <c r="CS190"/>
      <c r="CT190"/>
      <c r="CU190"/>
      <c r="CV190"/>
      <c r="CW190"/>
      <c r="CX190"/>
      <c r="CY190"/>
      <c r="CZ190"/>
      <c r="DA190"/>
      <c r="DB190"/>
      <c r="DC190"/>
      <c r="DD190"/>
      <c r="DE190"/>
      <c r="DF190"/>
      <c r="DG190"/>
      <c r="DH190"/>
      <c r="DI190"/>
      <c r="DJ190"/>
      <c r="DK190"/>
      <c r="DL190"/>
      <c r="DM190"/>
      <c r="DN190"/>
      <c r="DO190"/>
      <c r="DP190"/>
      <c r="DQ190"/>
      <c r="DR190"/>
      <c r="DS190"/>
      <c r="DT190"/>
      <c r="DU190"/>
      <c r="DV190"/>
      <c r="DW190"/>
      <c r="DX190"/>
      <c r="DY190"/>
      <c r="DZ190"/>
      <c r="EA190"/>
      <c r="EB190"/>
      <c r="EC190"/>
      <c r="ED190"/>
      <c r="EE190"/>
      <c r="EF190"/>
      <c r="EG190"/>
      <c r="EH190"/>
      <c r="EI190"/>
      <c r="EJ190"/>
      <c r="EK190"/>
      <c r="EL190"/>
      <c r="EM190"/>
      <c r="EN190"/>
      <c r="EO190"/>
      <c r="EP190"/>
      <c r="EQ190"/>
      <c r="ER190"/>
      <c r="ES190"/>
      <c r="ET190"/>
      <c r="EU190"/>
      <c r="EV190"/>
      <c r="EW190"/>
      <c r="EX190"/>
      <c r="EY190"/>
      <c r="EZ190"/>
      <c r="FA190"/>
      <c r="FB190"/>
      <c r="FC190"/>
      <c r="FD190"/>
      <c r="FE190"/>
      <c r="FF190"/>
      <c r="FG190"/>
      <c r="FH190"/>
      <c r="FI190"/>
      <c r="FJ190"/>
      <c r="FK190"/>
      <c r="FL190"/>
      <c r="FM190"/>
      <c r="FN190"/>
      <c r="FO190"/>
      <c r="FP190"/>
      <c r="FQ190"/>
      <c r="FR190"/>
      <c r="FS190"/>
      <c r="FT190"/>
      <c r="FU190"/>
      <c r="FV190"/>
      <c r="FW190"/>
      <c r="FX190"/>
      <c r="FY190"/>
      <c r="FZ190"/>
      <c r="GA190"/>
      <c r="GB190"/>
      <c r="GC190"/>
      <c r="GD190"/>
      <c r="GE190"/>
      <c r="GF190"/>
      <c r="GG190"/>
      <c r="GH190"/>
      <c r="GI190"/>
      <c r="GJ190"/>
      <c r="GK190"/>
      <c r="GL190"/>
      <c r="GM190"/>
      <c r="GN190"/>
    </row>
    <row r="191" spans="1:196" s="104" customFormat="1" ht="13.8" hidden="1" outlineLevel="1" x14ac:dyDescent="0.25">
      <c r="A191" s="810" t="s">
        <v>763</v>
      </c>
      <c r="B191" s="810" t="s">
        <v>556</v>
      </c>
      <c r="C191" s="923"/>
      <c r="D191" s="923"/>
      <c r="E191" s="159"/>
      <c r="F191" s="160" t="s">
        <v>197</v>
      </c>
      <c r="G191" s="304">
        <v>12721</v>
      </c>
      <c r="H191" s="304">
        <v>8375</v>
      </c>
      <c r="I191" s="153">
        <f t="shared" si="25"/>
        <v>-4346</v>
      </c>
      <c r="J191" s="878">
        <f t="shared" si="21"/>
        <v>-0.34163980819117995</v>
      </c>
      <c r="K191" s="430"/>
      <c r="L191" s="224"/>
      <c r="M191" s="1118"/>
      <c r="N191" s="410"/>
      <c r="O191" s="410"/>
      <c r="P191" s="410"/>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c r="DK191"/>
      <c r="DL191"/>
      <c r="DM191"/>
      <c r="DN191"/>
      <c r="DO191"/>
      <c r="DP191"/>
      <c r="DQ191"/>
      <c r="DR191"/>
      <c r="DS191"/>
      <c r="DT191"/>
      <c r="DU191"/>
      <c r="DV191"/>
      <c r="DW191"/>
      <c r="DX191"/>
      <c r="DY191"/>
      <c r="DZ191"/>
      <c r="EA191"/>
      <c r="EB191"/>
      <c r="EC191"/>
      <c r="ED191"/>
      <c r="EE191"/>
      <c r="EF191"/>
      <c r="EG191"/>
      <c r="EH191"/>
      <c r="EI191"/>
      <c r="EJ191"/>
      <c r="EK191"/>
      <c r="EL191"/>
      <c r="EM191"/>
      <c r="EN191"/>
      <c r="EO191"/>
      <c r="EP191"/>
      <c r="EQ191"/>
      <c r="ER191"/>
      <c r="ES191"/>
      <c r="ET191"/>
      <c r="EU191"/>
      <c r="EV191"/>
      <c r="EW191"/>
      <c r="EX191"/>
      <c r="EY191"/>
      <c r="EZ191"/>
      <c r="FA191"/>
      <c r="FB191"/>
      <c r="FC191"/>
      <c r="FD191"/>
      <c r="FE191"/>
      <c r="FF191"/>
      <c r="FG191"/>
      <c r="FH191"/>
      <c r="FI191"/>
      <c r="FJ191"/>
      <c r="FK191"/>
      <c r="FL191"/>
      <c r="FM191"/>
      <c r="FN191"/>
      <c r="FO191"/>
      <c r="FP191"/>
      <c r="FQ191"/>
      <c r="FR191"/>
      <c r="FS191"/>
      <c r="FT191"/>
      <c r="FU191"/>
      <c r="FV191"/>
      <c r="FW191"/>
      <c r="FX191"/>
      <c r="FY191"/>
      <c r="FZ191"/>
      <c r="GA191"/>
      <c r="GB191"/>
      <c r="GC191"/>
      <c r="GD191"/>
      <c r="GE191"/>
      <c r="GF191"/>
      <c r="GG191"/>
      <c r="GH191"/>
      <c r="GI191"/>
      <c r="GJ191"/>
      <c r="GK191"/>
      <c r="GL191"/>
      <c r="GM191"/>
      <c r="GN191"/>
    </row>
    <row r="192" spans="1:196" s="525" customFormat="1" ht="13.8" hidden="1" outlineLevel="1" x14ac:dyDescent="0.25">
      <c r="A192" s="1407" t="s">
        <v>763</v>
      </c>
      <c r="B192" s="1407" t="s">
        <v>555</v>
      </c>
      <c r="C192" s="1408"/>
      <c r="D192" s="1408"/>
      <c r="E192" s="523"/>
      <c r="F192" s="520" t="s">
        <v>555</v>
      </c>
      <c r="G192" s="505">
        <v>0</v>
      </c>
      <c r="H192" s="505">
        <v>0</v>
      </c>
      <c r="I192" s="510">
        <f t="shared" si="25"/>
        <v>0</v>
      </c>
      <c r="J192" s="876" t="str">
        <f t="shared" si="21"/>
        <v>-</v>
      </c>
      <c r="K192" s="526">
        <f>G192*$K$103</f>
        <v>0</v>
      </c>
      <c r="L192" s="1409"/>
      <c r="M192" s="1116"/>
      <c r="N192" s="515"/>
      <c r="O192" s="515"/>
      <c r="P192" s="515"/>
      <c r="Q192" s="515"/>
      <c r="R192" s="515"/>
      <c r="S192" s="515"/>
      <c r="T192" s="515"/>
      <c r="U192" s="515"/>
      <c r="V192" s="515"/>
      <c r="W192" s="515"/>
      <c r="X192" s="515"/>
      <c r="Y192" s="515"/>
      <c r="Z192" s="515"/>
      <c r="AA192" s="515"/>
      <c r="AB192" s="515"/>
      <c r="AC192" s="515"/>
      <c r="AD192" s="515"/>
      <c r="AE192" s="515"/>
      <c r="AF192" s="515"/>
      <c r="AG192" s="515"/>
      <c r="AH192" s="515"/>
      <c r="AI192" s="515"/>
      <c r="AJ192" s="515"/>
      <c r="AK192" s="515"/>
      <c r="AL192" s="515"/>
      <c r="AM192" s="515"/>
      <c r="AN192" s="515"/>
      <c r="AO192" s="515"/>
      <c r="AP192" s="515"/>
      <c r="AQ192" s="515"/>
      <c r="AR192" s="515"/>
      <c r="AS192" s="515"/>
      <c r="AT192" s="515"/>
      <c r="AU192" s="515"/>
      <c r="AV192" s="515"/>
      <c r="AW192" s="515"/>
      <c r="AX192" s="515"/>
      <c r="AY192" s="515"/>
      <c r="AZ192" s="515"/>
      <c r="BA192" s="515"/>
      <c r="BB192" s="515"/>
      <c r="BC192" s="515"/>
      <c r="BD192" s="515"/>
      <c r="BE192" s="515"/>
      <c r="BF192" s="515"/>
      <c r="BG192" s="515"/>
      <c r="BH192" s="515"/>
      <c r="BI192" s="515"/>
      <c r="BJ192" s="515"/>
      <c r="BK192" s="515"/>
      <c r="BL192" s="515"/>
      <c r="BM192" s="515"/>
      <c r="BN192" s="515"/>
      <c r="BO192" s="515"/>
      <c r="BP192" s="515"/>
      <c r="BQ192" s="515"/>
      <c r="BR192" s="515"/>
      <c r="BS192" s="515"/>
      <c r="BT192" s="515"/>
      <c r="BU192" s="515"/>
      <c r="BV192" s="515"/>
      <c r="BW192" s="515"/>
      <c r="BX192" s="515"/>
      <c r="BY192" s="515"/>
      <c r="BZ192" s="515"/>
      <c r="CA192" s="515"/>
      <c r="CB192" s="515"/>
      <c r="CC192" s="515"/>
      <c r="CD192" s="515"/>
      <c r="CE192" s="515"/>
      <c r="CF192" s="515"/>
      <c r="CG192" s="515"/>
      <c r="CH192" s="515"/>
      <c r="CI192" s="515"/>
      <c r="CJ192" s="515"/>
      <c r="CK192" s="515"/>
      <c r="CL192" s="515"/>
      <c r="CM192" s="515"/>
      <c r="CN192" s="515"/>
      <c r="CO192" s="515"/>
      <c r="CP192" s="515"/>
      <c r="CQ192" s="515"/>
      <c r="CR192" s="515"/>
      <c r="CS192" s="515"/>
      <c r="CT192" s="515"/>
      <c r="CU192" s="515"/>
      <c r="CV192" s="515"/>
      <c r="CW192" s="515"/>
      <c r="CX192" s="515"/>
      <c r="CY192" s="515"/>
      <c r="CZ192" s="515"/>
      <c r="DA192" s="515"/>
      <c r="DB192" s="515"/>
      <c r="DC192" s="515"/>
      <c r="DD192" s="515"/>
      <c r="DE192" s="515"/>
      <c r="DF192" s="515"/>
      <c r="DG192" s="515"/>
      <c r="DH192" s="515"/>
      <c r="DI192" s="515"/>
      <c r="DJ192" s="515"/>
      <c r="DK192" s="515"/>
      <c r="DL192" s="515"/>
      <c r="DM192" s="515"/>
      <c r="DN192" s="515"/>
      <c r="DO192" s="515"/>
      <c r="DP192" s="515"/>
      <c r="DQ192" s="515"/>
      <c r="DR192" s="515"/>
      <c r="DS192" s="515"/>
      <c r="DT192" s="515"/>
      <c r="DU192" s="515"/>
      <c r="DV192" s="515"/>
      <c r="DW192" s="515"/>
      <c r="DX192" s="515"/>
      <c r="DY192" s="515"/>
      <c r="DZ192" s="515"/>
      <c r="EA192" s="515"/>
      <c r="EB192" s="515"/>
      <c r="EC192" s="515"/>
      <c r="ED192" s="515"/>
      <c r="EE192" s="515"/>
      <c r="EF192" s="515"/>
      <c r="EG192" s="515"/>
      <c r="EH192" s="515"/>
      <c r="EI192" s="515"/>
      <c r="EJ192" s="515"/>
      <c r="EK192" s="515"/>
      <c r="EL192" s="515"/>
      <c r="EM192" s="515"/>
      <c r="EN192" s="515"/>
      <c r="EO192" s="515"/>
      <c r="EP192" s="515"/>
      <c r="EQ192" s="515"/>
      <c r="ER192" s="515"/>
      <c r="ES192" s="515"/>
      <c r="ET192" s="515"/>
      <c r="EU192" s="515"/>
      <c r="EV192" s="515"/>
      <c r="EW192" s="515"/>
      <c r="EX192" s="515"/>
      <c r="EY192" s="515"/>
      <c r="EZ192" s="515"/>
      <c r="FA192" s="515"/>
      <c r="FB192" s="515"/>
      <c r="FC192" s="515"/>
      <c r="FD192" s="515"/>
      <c r="FE192" s="515"/>
      <c r="FF192" s="515"/>
      <c r="FG192" s="515"/>
      <c r="FH192" s="515"/>
      <c r="FI192" s="515"/>
      <c r="FJ192" s="515"/>
      <c r="FK192" s="515"/>
      <c r="FL192" s="515"/>
      <c r="FM192" s="515"/>
      <c r="FN192" s="515"/>
      <c r="FO192" s="515"/>
      <c r="FP192" s="515"/>
      <c r="FQ192" s="515"/>
      <c r="FR192" s="515"/>
      <c r="FS192" s="515"/>
      <c r="FT192" s="515"/>
      <c r="FU192" s="515"/>
      <c r="FV192" s="515"/>
      <c r="FW192" s="515"/>
      <c r="FX192" s="515"/>
      <c r="FY192" s="515"/>
      <c r="FZ192" s="515"/>
      <c r="GA192" s="515"/>
      <c r="GB192" s="515"/>
      <c r="GC192" s="515"/>
      <c r="GD192" s="515"/>
      <c r="GE192" s="515"/>
      <c r="GF192" s="515"/>
      <c r="GG192" s="515"/>
      <c r="GH192" s="515"/>
      <c r="GI192" s="515"/>
      <c r="GJ192" s="515"/>
      <c r="GK192" s="515"/>
      <c r="GL192" s="515"/>
      <c r="GM192" s="515"/>
      <c r="GN192" s="515"/>
    </row>
    <row r="193" spans="1:196" s="525" customFormat="1" ht="13.8" hidden="1" outlineLevel="1" x14ac:dyDescent="0.25">
      <c r="A193" s="1407" t="s">
        <v>763</v>
      </c>
      <c r="B193" s="1407" t="s">
        <v>192</v>
      </c>
      <c r="C193" s="1408"/>
      <c r="D193" s="1408"/>
      <c r="E193" s="528"/>
      <c r="F193" s="1421" t="s">
        <v>43</v>
      </c>
      <c r="G193" s="505">
        <v>0</v>
      </c>
      <c r="H193" s="505">
        <v>2000</v>
      </c>
      <c r="I193" s="510">
        <f t="shared" si="25"/>
        <v>2000</v>
      </c>
      <c r="J193" s="876" t="str">
        <f t="shared" si="21"/>
        <v>-</v>
      </c>
      <c r="K193" s="1410"/>
      <c r="L193" s="1409"/>
      <c r="M193" s="1116"/>
      <c r="N193" s="515"/>
      <c r="O193" s="515"/>
      <c r="P193" s="515"/>
      <c r="Q193" s="515"/>
      <c r="R193" s="515"/>
      <c r="S193" s="515"/>
      <c r="T193" s="515"/>
      <c r="U193" s="515"/>
      <c r="V193" s="515"/>
      <c r="W193" s="515"/>
      <c r="X193" s="515"/>
      <c r="Y193" s="515"/>
      <c r="Z193" s="515"/>
      <c r="AA193" s="515"/>
      <c r="AB193" s="515"/>
      <c r="AC193" s="515"/>
      <c r="AD193" s="515"/>
      <c r="AE193" s="515"/>
      <c r="AF193" s="515"/>
      <c r="AG193" s="515"/>
      <c r="AH193" s="515"/>
      <c r="AI193" s="515"/>
      <c r="AJ193" s="515"/>
      <c r="AK193" s="515"/>
      <c r="AL193" s="515"/>
      <c r="AM193" s="515"/>
      <c r="AN193" s="515"/>
      <c r="AO193" s="515"/>
      <c r="AP193" s="515"/>
      <c r="AQ193" s="515"/>
      <c r="AR193" s="515"/>
      <c r="AS193" s="515"/>
      <c r="AT193" s="515"/>
      <c r="AU193" s="515"/>
      <c r="AV193" s="515"/>
      <c r="AW193" s="515"/>
      <c r="AX193" s="515"/>
      <c r="AY193" s="515"/>
      <c r="AZ193" s="515"/>
      <c r="BA193" s="515"/>
      <c r="BB193" s="515"/>
      <c r="BC193" s="515"/>
      <c r="BD193" s="515"/>
      <c r="BE193" s="515"/>
      <c r="BF193" s="515"/>
      <c r="BG193" s="515"/>
      <c r="BH193" s="515"/>
      <c r="BI193" s="515"/>
      <c r="BJ193" s="515"/>
      <c r="BK193" s="515"/>
      <c r="BL193" s="515"/>
      <c r="BM193" s="515"/>
      <c r="BN193" s="515"/>
      <c r="BO193" s="515"/>
      <c r="BP193" s="515"/>
      <c r="BQ193" s="515"/>
      <c r="BR193" s="515"/>
      <c r="BS193" s="515"/>
      <c r="BT193" s="515"/>
      <c r="BU193" s="515"/>
      <c r="BV193" s="515"/>
      <c r="BW193" s="515"/>
      <c r="BX193" s="515"/>
      <c r="BY193" s="515"/>
      <c r="BZ193" s="515"/>
      <c r="CA193" s="515"/>
      <c r="CB193" s="515"/>
      <c r="CC193" s="515"/>
      <c r="CD193" s="515"/>
      <c r="CE193" s="515"/>
      <c r="CF193" s="515"/>
      <c r="CG193" s="515"/>
      <c r="CH193" s="515"/>
      <c r="CI193" s="515"/>
      <c r="CJ193" s="515"/>
      <c r="CK193" s="515"/>
      <c r="CL193" s="515"/>
      <c r="CM193" s="515"/>
      <c r="CN193" s="515"/>
      <c r="CO193" s="515"/>
      <c r="CP193" s="515"/>
      <c r="CQ193" s="515"/>
      <c r="CR193" s="515"/>
      <c r="CS193" s="515"/>
      <c r="CT193" s="515"/>
      <c r="CU193" s="515"/>
      <c r="CV193" s="515"/>
      <c r="CW193" s="515"/>
      <c r="CX193" s="515"/>
      <c r="CY193" s="515"/>
      <c r="CZ193" s="515"/>
      <c r="DA193" s="515"/>
      <c r="DB193" s="515"/>
      <c r="DC193" s="515"/>
      <c r="DD193" s="515"/>
      <c r="DE193" s="515"/>
      <c r="DF193" s="515"/>
      <c r="DG193" s="515"/>
      <c r="DH193" s="515"/>
      <c r="DI193" s="515"/>
      <c r="DJ193" s="515"/>
      <c r="DK193" s="515"/>
      <c r="DL193" s="515"/>
      <c r="DM193" s="515"/>
      <c r="DN193" s="515"/>
      <c r="DO193" s="515"/>
      <c r="DP193" s="515"/>
      <c r="DQ193" s="515"/>
      <c r="DR193" s="515"/>
      <c r="DS193" s="515"/>
      <c r="DT193" s="515"/>
      <c r="DU193" s="515"/>
      <c r="DV193" s="515"/>
      <c r="DW193" s="515"/>
      <c r="DX193" s="515"/>
      <c r="DY193" s="515"/>
      <c r="DZ193" s="515"/>
      <c r="EA193" s="515"/>
      <c r="EB193" s="515"/>
      <c r="EC193" s="515"/>
      <c r="ED193" s="515"/>
      <c r="EE193" s="515"/>
      <c r="EF193" s="515"/>
      <c r="EG193" s="515"/>
      <c r="EH193" s="515"/>
      <c r="EI193" s="515"/>
      <c r="EJ193" s="515"/>
      <c r="EK193" s="515"/>
      <c r="EL193" s="515"/>
      <c r="EM193" s="515"/>
      <c r="EN193" s="515"/>
      <c r="EO193" s="515"/>
      <c r="EP193" s="515"/>
      <c r="EQ193" s="515"/>
      <c r="ER193" s="515"/>
      <c r="ES193" s="515"/>
      <c r="ET193" s="515"/>
      <c r="EU193" s="515"/>
      <c r="EV193" s="515"/>
      <c r="EW193" s="515"/>
      <c r="EX193" s="515"/>
      <c r="EY193" s="515"/>
      <c r="EZ193" s="515"/>
      <c r="FA193" s="515"/>
      <c r="FB193" s="515"/>
      <c r="FC193" s="515"/>
      <c r="FD193" s="515"/>
      <c r="FE193" s="515"/>
      <c r="FF193" s="515"/>
      <c r="FG193" s="515"/>
      <c r="FH193" s="515"/>
      <c r="FI193" s="515"/>
      <c r="FJ193" s="515"/>
      <c r="FK193" s="515"/>
      <c r="FL193" s="515"/>
      <c r="FM193" s="515"/>
      <c r="FN193" s="515"/>
      <c r="FO193" s="515"/>
      <c r="FP193" s="515"/>
      <c r="FQ193" s="515"/>
      <c r="FR193" s="515"/>
      <c r="FS193" s="515"/>
      <c r="FT193" s="515"/>
      <c r="FU193" s="515"/>
      <c r="FV193" s="515"/>
      <c r="FW193" s="515"/>
      <c r="FX193" s="515"/>
      <c r="FY193" s="515"/>
      <c r="FZ193" s="515"/>
      <c r="GA193" s="515"/>
      <c r="GB193" s="515"/>
      <c r="GC193" s="515"/>
      <c r="GD193" s="515"/>
      <c r="GE193" s="515"/>
      <c r="GF193" s="515"/>
      <c r="GG193" s="515"/>
      <c r="GH193" s="515"/>
      <c r="GI193" s="515"/>
      <c r="GJ193" s="515"/>
      <c r="GK193" s="515"/>
      <c r="GL193" s="515"/>
      <c r="GM193" s="515"/>
      <c r="GN193" s="515"/>
    </row>
    <row r="194" spans="1:196" s="110" customFormat="1" ht="13.8" collapsed="1" x14ac:dyDescent="0.25">
      <c r="A194" s="810"/>
      <c r="B194" s="810"/>
      <c r="C194" s="923"/>
      <c r="D194" s="923"/>
      <c r="E194" s="143" t="s">
        <v>23</v>
      </c>
      <c r="F194" s="144" t="s">
        <v>94</v>
      </c>
      <c r="G194" s="294">
        <v>1715836.6316399998</v>
      </c>
      <c r="H194" s="295">
        <v>2230659.0900725001</v>
      </c>
      <c r="I194" s="126">
        <f t="shared" si="25"/>
        <v>514822.45843250025</v>
      </c>
      <c r="J194" s="864">
        <f t="shared" si="21"/>
        <v>0.30004165253217141</v>
      </c>
      <c r="K194" s="423"/>
      <c r="L194" s="224"/>
      <c r="M194" s="1058"/>
    </row>
    <row r="195" spans="1:196" s="333" customFormat="1" ht="13.8" x14ac:dyDescent="0.25">
      <c r="A195" s="1404"/>
      <c r="B195" s="1404"/>
      <c r="C195" s="1399"/>
      <c r="D195" s="1399"/>
      <c r="E195" s="329"/>
      <c r="F195" s="339" t="s">
        <v>228</v>
      </c>
      <c r="G195" s="340">
        <v>732810.0716400001</v>
      </c>
      <c r="H195" s="340">
        <v>865846.73007249995</v>
      </c>
      <c r="I195" s="341">
        <f t="shared" si="25"/>
        <v>133036.65843249985</v>
      </c>
      <c r="J195" s="873">
        <f t="shared" ref="J195:J257" si="27">IFERROR(I195/G195,"-")</f>
        <v>0.18154316320294159</v>
      </c>
      <c r="K195" s="425"/>
      <c r="L195" s="470"/>
      <c r="M195" s="1119"/>
      <c r="N195" s="925"/>
      <c r="O195" s="925"/>
      <c r="P195" s="925"/>
      <c r="Q195" s="925"/>
      <c r="R195" s="925"/>
      <c r="S195" s="925"/>
      <c r="T195" s="925"/>
      <c r="U195" s="925"/>
      <c r="V195" s="925"/>
      <c r="W195" s="925"/>
      <c r="X195" s="925"/>
      <c r="Y195" s="925"/>
      <c r="Z195" s="925"/>
      <c r="AA195" s="925"/>
      <c r="AB195" s="925"/>
      <c r="AC195" s="925"/>
      <c r="AD195" s="925"/>
      <c r="AE195" s="925"/>
      <c r="AF195" s="925"/>
      <c r="AG195" s="925"/>
      <c r="AH195" s="925"/>
      <c r="AI195" s="925"/>
      <c r="AJ195" s="925"/>
      <c r="AK195" s="925"/>
      <c r="AL195" s="925"/>
      <c r="AM195" s="925"/>
      <c r="AN195" s="925"/>
      <c r="AO195" s="925"/>
      <c r="AP195" s="925"/>
      <c r="AQ195" s="925"/>
      <c r="AR195" s="925"/>
      <c r="AS195" s="925"/>
      <c r="AT195" s="925"/>
      <c r="AU195" s="925"/>
      <c r="AV195" s="925"/>
      <c r="AW195" s="925"/>
      <c r="AX195" s="925"/>
      <c r="AY195" s="925"/>
      <c r="AZ195" s="925"/>
      <c r="BA195" s="925"/>
      <c r="BB195" s="925"/>
      <c r="BC195" s="925"/>
      <c r="BD195" s="925"/>
      <c r="BE195" s="925"/>
      <c r="BF195" s="925"/>
      <c r="BG195" s="925"/>
      <c r="BH195" s="925"/>
      <c r="BI195" s="925"/>
      <c r="BJ195" s="925"/>
      <c r="BK195" s="925"/>
      <c r="BL195" s="925"/>
      <c r="BM195" s="925"/>
      <c r="BN195" s="925"/>
      <c r="BO195" s="925"/>
      <c r="BP195" s="925"/>
      <c r="BQ195" s="925"/>
      <c r="BR195" s="925"/>
      <c r="BS195" s="925"/>
      <c r="BT195" s="925"/>
      <c r="BU195" s="925"/>
      <c r="BV195" s="925"/>
      <c r="BW195" s="925"/>
      <c r="BX195" s="925"/>
      <c r="BY195" s="925"/>
      <c r="BZ195" s="925"/>
      <c r="CA195" s="925"/>
      <c r="CB195" s="925"/>
      <c r="CC195" s="925"/>
      <c r="CD195" s="925"/>
      <c r="CE195" s="925"/>
      <c r="CF195" s="925"/>
      <c r="CG195" s="925"/>
      <c r="CH195" s="925"/>
      <c r="CI195" s="925"/>
      <c r="CJ195" s="925"/>
      <c r="CK195" s="925"/>
      <c r="CL195" s="925"/>
      <c r="CM195" s="925"/>
      <c r="CN195" s="925"/>
      <c r="CO195" s="925"/>
      <c r="CP195" s="925"/>
      <c r="CQ195" s="925"/>
      <c r="CR195" s="925"/>
      <c r="CS195" s="925"/>
      <c r="CT195" s="925"/>
      <c r="CU195" s="925"/>
      <c r="CV195" s="925"/>
      <c r="CW195" s="925"/>
      <c r="CX195" s="925"/>
      <c r="CY195" s="925"/>
      <c r="CZ195" s="925"/>
      <c r="DA195" s="925"/>
      <c r="DB195" s="925"/>
      <c r="DC195" s="925"/>
      <c r="DD195" s="925"/>
      <c r="DE195" s="925"/>
      <c r="DF195" s="925"/>
      <c r="DG195" s="925"/>
      <c r="DH195" s="925"/>
      <c r="DI195" s="925"/>
      <c r="DJ195" s="925"/>
      <c r="DK195" s="925"/>
      <c r="DL195" s="925"/>
      <c r="DM195" s="925"/>
      <c r="DN195" s="925"/>
      <c r="DO195" s="925"/>
      <c r="DP195" s="925"/>
      <c r="DQ195" s="925"/>
      <c r="DR195" s="925"/>
      <c r="DS195" s="925"/>
      <c r="DT195" s="925"/>
      <c r="DU195" s="925"/>
      <c r="DV195" s="925"/>
      <c r="DW195" s="925"/>
      <c r="DX195" s="925"/>
      <c r="DY195" s="925"/>
      <c r="DZ195" s="925"/>
      <c r="EA195" s="925"/>
      <c r="EB195" s="925"/>
      <c r="EC195" s="925"/>
      <c r="ED195" s="925"/>
      <c r="EE195" s="925"/>
      <c r="EF195" s="925"/>
      <c r="EG195" s="925"/>
      <c r="EH195" s="925"/>
      <c r="EI195" s="925"/>
      <c r="EJ195" s="925"/>
      <c r="EK195" s="925"/>
      <c r="EL195" s="925"/>
      <c r="EM195" s="925"/>
      <c r="EN195" s="925"/>
      <c r="EO195" s="925"/>
      <c r="EP195" s="925"/>
      <c r="EQ195" s="925"/>
      <c r="ER195" s="925"/>
      <c r="ES195" s="925"/>
      <c r="ET195" s="925"/>
      <c r="EU195" s="925"/>
      <c r="EV195" s="925"/>
      <c r="EW195" s="925"/>
      <c r="EX195" s="925"/>
      <c r="EY195" s="925"/>
      <c r="EZ195" s="925"/>
      <c r="FA195" s="925"/>
      <c r="FB195" s="925"/>
      <c r="FC195" s="925"/>
      <c r="FD195" s="925"/>
      <c r="FE195" s="925"/>
      <c r="FF195" s="925"/>
      <c r="FG195" s="925"/>
      <c r="FH195" s="925"/>
      <c r="FI195" s="925"/>
      <c r="FJ195" s="925"/>
      <c r="FK195" s="925"/>
      <c r="FL195" s="925"/>
      <c r="FM195" s="925"/>
      <c r="FN195" s="925"/>
      <c r="FO195" s="925"/>
      <c r="FP195" s="925"/>
      <c r="FQ195" s="925"/>
      <c r="FR195" s="925"/>
      <c r="FS195" s="925"/>
      <c r="FT195" s="925"/>
      <c r="FU195" s="925"/>
      <c r="FV195" s="925"/>
      <c r="FW195" s="925"/>
      <c r="FX195" s="925"/>
      <c r="FY195" s="925"/>
      <c r="FZ195" s="925"/>
      <c r="GA195" s="925"/>
      <c r="GB195" s="925"/>
      <c r="GC195" s="925"/>
      <c r="GD195" s="925"/>
      <c r="GE195" s="925"/>
      <c r="GF195" s="925"/>
      <c r="GG195" s="925"/>
      <c r="GH195" s="925"/>
      <c r="GI195" s="925"/>
      <c r="GJ195" s="925"/>
      <c r="GK195" s="925"/>
      <c r="GL195" s="925"/>
      <c r="GM195" s="925"/>
      <c r="GN195" s="925"/>
    </row>
    <row r="196" spans="1:196" s="333" customFormat="1" ht="13.8" x14ac:dyDescent="0.25">
      <c r="A196" s="1404"/>
      <c r="B196" s="1404"/>
      <c r="C196" s="1399"/>
      <c r="D196" s="1399"/>
      <c r="E196" s="331"/>
      <c r="F196" s="345" t="s">
        <v>198</v>
      </c>
      <c r="G196" s="346">
        <v>123765.56</v>
      </c>
      <c r="H196" s="346">
        <v>157480</v>
      </c>
      <c r="I196" s="341">
        <f t="shared" si="25"/>
        <v>33714.44</v>
      </c>
      <c r="J196" s="873">
        <f t="shared" si="27"/>
        <v>0.27240566761868168</v>
      </c>
      <c r="K196" s="425"/>
      <c r="L196" s="470"/>
      <c r="M196" s="1119"/>
      <c r="N196" s="925"/>
      <c r="O196" s="925"/>
      <c r="P196" s="925"/>
      <c r="Q196" s="925"/>
      <c r="R196" s="925"/>
      <c r="S196" s="925"/>
      <c r="T196" s="925"/>
      <c r="U196" s="925"/>
      <c r="V196" s="925"/>
      <c r="W196" s="925"/>
      <c r="X196" s="925"/>
      <c r="Y196" s="925"/>
      <c r="Z196" s="925"/>
      <c r="AA196" s="925"/>
      <c r="AB196" s="925"/>
      <c r="AC196" s="925"/>
      <c r="AD196" s="925"/>
      <c r="AE196" s="925"/>
      <c r="AF196" s="925"/>
      <c r="AG196" s="925"/>
      <c r="AH196" s="925"/>
      <c r="AI196" s="925"/>
      <c r="AJ196" s="925"/>
      <c r="AK196" s="925"/>
      <c r="AL196" s="925"/>
      <c r="AM196" s="925"/>
      <c r="AN196" s="925"/>
      <c r="AO196" s="925"/>
      <c r="AP196" s="925"/>
      <c r="AQ196" s="925"/>
      <c r="AR196" s="925"/>
      <c r="AS196" s="925"/>
      <c r="AT196" s="925"/>
      <c r="AU196" s="925"/>
      <c r="AV196" s="925"/>
      <c r="AW196" s="925"/>
      <c r="AX196" s="925"/>
      <c r="AY196" s="925"/>
      <c r="AZ196" s="925"/>
      <c r="BA196" s="925"/>
      <c r="BB196" s="925"/>
      <c r="BC196" s="925"/>
      <c r="BD196" s="925"/>
      <c r="BE196" s="925"/>
      <c r="BF196" s="925"/>
      <c r="BG196" s="925"/>
      <c r="BH196" s="925"/>
      <c r="BI196" s="925"/>
      <c r="BJ196" s="925"/>
      <c r="BK196" s="925"/>
      <c r="BL196" s="925"/>
      <c r="BM196" s="925"/>
      <c r="BN196" s="925"/>
      <c r="BO196" s="925"/>
      <c r="BP196" s="925"/>
      <c r="BQ196" s="925"/>
      <c r="BR196" s="925"/>
      <c r="BS196" s="925"/>
      <c r="BT196" s="925"/>
      <c r="BU196" s="925"/>
      <c r="BV196" s="925"/>
      <c r="BW196" s="925"/>
      <c r="BX196" s="925"/>
      <c r="BY196" s="925"/>
      <c r="BZ196" s="925"/>
      <c r="CA196" s="925"/>
      <c r="CB196" s="925"/>
      <c r="CC196" s="925"/>
      <c r="CD196" s="925"/>
      <c r="CE196" s="925"/>
      <c r="CF196" s="925"/>
      <c r="CG196" s="925"/>
      <c r="CH196" s="925"/>
      <c r="CI196" s="925"/>
      <c r="CJ196" s="925"/>
      <c r="CK196" s="925"/>
      <c r="CL196" s="925"/>
      <c r="CM196" s="925"/>
      <c r="CN196" s="925"/>
      <c r="CO196" s="925"/>
      <c r="CP196" s="925"/>
      <c r="CQ196" s="925"/>
      <c r="CR196" s="925"/>
      <c r="CS196" s="925"/>
      <c r="CT196" s="925"/>
      <c r="CU196" s="925"/>
      <c r="CV196" s="925"/>
      <c r="CW196" s="925"/>
      <c r="CX196" s="925"/>
      <c r="CY196" s="925"/>
      <c r="CZ196" s="925"/>
      <c r="DA196" s="925"/>
      <c r="DB196" s="925"/>
      <c r="DC196" s="925"/>
      <c r="DD196" s="925"/>
      <c r="DE196" s="925"/>
      <c r="DF196" s="925"/>
      <c r="DG196" s="925"/>
      <c r="DH196" s="925"/>
      <c r="DI196" s="925"/>
      <c r="DJ196" s="925"/>
      <c r="DK196" s="925"/>
      <c r="DL196" s="925"/>
      <c r="DM196" s="925"/>
      <c r="DN196" s="925"/>
      <c r="DO196" s="925"/>
      <c r="DP196" s="925"/>
      <c r="DQ196" s="925"/>
      <c r="DR196" s="925"/>
      <c r="DS196" s="925"/>
      <c r="DT196" s="925"/>
      <c r="DU196" s="925"/>
      <c r="DV196" s="925"/>
      <c r="DW196" s="925"/>
      <c r="DX196" s="925"/>
      <c r="DY196" s="925"/>
      <c r="DZ196" s="925"/>
      <c r="EA196" s="925"/>
      <c r="EB196" s="925"/>
      <c r="EC196" s="925"/>
      <c r="ED196" s="925"/>
      <c r="EE196" s="925"/>
      <c r="EF196" s="925"/>
      <c r="EG196" s="925"/>
      <c r="EH196" s="925"/>
      <c r="EI196" s="925"/>
      <c r="EJ196" s="925"/>
      <c r="EK196" s="925"/>
      <c r="EL196" s="925"/>
      <c r="EM196" s="925"/>
      <c r="EN196" s="925"/>
      <c r="EO196" s="925"/>
      <c r="EP196" s="925"/>
      <c r="EQ196" s="925"/>
      <c r="ER196" s="925"/>
      <c r="ES196" s="925"/>
      <c r="ET196" s="925"/>
      <c r="EU196" s="925"/>
      <c r="EV196" s="925"/>
      <c r="EW196" s="925"/>
      <c r="EX196" s="925"/>
      <c r="EY196" s="925"/>
      <c r="EZ196" s="925"/>
      <c r="FA196" s="925"/>
      <c r="FB196" s="925"/>
      <c r="FC196" s="925"/>
      <c r="FD196" s="925"/>
      <c r="FE196" s="925"/>
      <c r="FF196" s="925"/>
      <c r="FG196" s="925"/>
      <c r="FH196" s="925"/>
      <c r="FI196" s="925"/>
      <c r="FJ196" s="925"/>
      <c r="FK196" s="925"/>
      <c r="FL196" s="925"/>
      <c r="FM196" s="925"/>
      <c r="FN196" s="925"/>
      <c r="FO196" s="925"/>
      <c r="FP196" s="925"/>
      <c r="FQ196" s="925"/>
      <c r="FR196" s="925"/>
      <c r="FS196" s="925"/>
      <c r="FT196" s="925"/>
      <c r="FU196" s="925"/>
      <c r="FV196" s="925"/>
      <c r="FW196" s="925"/>
      <c r="FX196" s="925"/>
      <c r="FY196" s="925"/>
      <c r="FZ196" s="925"/>
      <c r="GA196" s="925"/>
      <c r="GB196" s="925"/>
      <c r="GC196" s="925"/>
      <c r="GD196" s="925"/>
      <c r="GE196" s="925"/>
      <c r="GF196" s="925"/>
      <c r="GG196" s="925"/>
      <c r="GH196" s="925"/>
      <c r="GI196" s="925"/>
      <c r="GJ196" s="925"/>
      <c r="GK196" s="925"/>
      <c r="GL196" s="925"/>
      <c r="GM196" s="925"/>
      <c r="GN196" s="925"/>
    </row>
    <row r="197" spans="1:196" s="333" customFormat="1" ht="13.8" x14ac:dyDescent="0.25">
      <c r="A197" s="1404"/>
      <c r="B197" s="1404"/>
      <c r="C197" s="1399"/>
      <c r="D197" s="1399"/>
      <c r="E197" s="329"/>
      <c r="F197" s="339" t="s">
        <v>186</v>
      </c>
      <c r="G197" s="340">
        <v>851604</v>
      </c>
      <c r="H197" s="340">
        <v>1204132.3600000001</v>
      </c>
      <c r="I197" s="341">
        <f t="shared" si="25"/>
        <v>352528.3600000001</v>
      </c>
      <c r="J197" s="873">
        <f t="shared" si="27"/>
        <v>0.41395808380420956</v>
      </c>
      <c r="K197" s="425"/>
      <c r="L197" s="470"/>
      <c r="M197" s="1119"/>
      <c r="N197" s="925"/>
      <c r="O197" s="925"/>
      <c r="P197" s="925"/>
      <c r="Q197" s="925"/>
      <c r="R197" s="925"/>
      <c r="S197" s="925"/>
      <c r="T197" s="925"/>
      <c r="U197" s="925"/>
      <c r="V197" s="925"/>
      <c r="W197" s="925"/>
      <c r="X197" s="925"/>
      <c r="Y197" s="925"/>
      <c r="Z197" s="925"/>
      <c r="AA197" s="925"/>
      <c r="AB197" s="925"/>
      <c r="AC197" s="925"/>
      <c r="AD197" s="925"/>
      <c r="AE197" s="925"/>
      <c r="AF197" s="925"/>
      <c r="AG197" s="925"/>
      <c r="AH197" s="925"/>
      <c r="AI197" s="925"/>
      <c r="AJ197" s="925"/>
      <c r="AK197" s="925"/>
      <c r="AL197" s="925"/>
      <c r="AM197" s="925"/>
      <c r="AN197" s="925"/>
      <c r="AO197" s="925"/>
      <c r="AP197" s="925"/>
      <c r="AQ197" s="925"/>
      <c r="AR197" s="925"/>
      <c r="AS197" s="925"/>
      <c r="AT197" s="925"/>
      <c r="AU197" s="925"/>
      <c r="AV197" s="925"/>
      <c r="AW197" s="925"/>
      <c r="AX197" s="925"/>
      <c r="AY197" s="925"/>
      <c r="AZ197" s="925"/>
      <c r="BA197" s="925"/>
      <c r="BB197" s="925"/>
      <c r="BC197" s="925"/>
      <c r="BD197" s="925"/>
      <c r="BE197" s="925"/>
      <c r="BF197" s="925"/>
      <c r="BG197" s="925"/>
      <c r="BH197" s="925"/>
      <c r="BI197" s="925"/>
      <c r="BJ197" s="925"/>
      <c r="BK197" s="925"/>
      <c r="BL197" s="925"/>
      <c r="BM197" s="925"/>
      <c r="BN197" s="925"/>
      <c r="BO197" s="925"/>
      <c r="BP197" s="925"/>
      <c r="BQ197" s="925"/>
      <c r="BR197" s="925"/>
      <c r="BS197" s="925"/>
      <c r="BT197" s="925"/>
      <c r="BU197" s="925"/>
      <c r="BV197" s="925"/>
      <c r="BW197" s="925"/>
      <c r="BX197" s="925"/>
      <c r="BY197" s="925"/>
      <c r="BZ197" s="925"/>
      <c r="CA197" s="925"/>
      <c r="CB197" s="925"/>
      <c r="CC197" s="925"/>
      <c r="CD197" s="925"/>
      <c r="CE197" s="925"/>
      <c r="CF197" s="925"/>
      <c r="CG197" s="925"/>
      <c r="CH197" s="925"/>
      <c r="CI197" s="925"/>
      <c r="CJ197" s="925"/>
      <c r="CK197" s="925"/>
      <c r="CL197" s="925"/>
      <c r="CM197" s="925"/>
      <c r="CN197" s="925"/>
      <c r="CO197" s="925"/>
      <c r="CP197" s="925"/>
      <c r="CQ197" s="925"/>
      <c r="CR197" s="925"/>
      <c r="CS197" s="925"/>
      <c r="CT197" s="925"/>
      <c r="CU197" s="925"/>
      <c r="CV197" s="925"/>
      <c r="CW197" s="925"/>
      <c r="CX197" s="925"/>
      <c r="CY197" s="925"/>
      <c r="CZ197" s="925"/>
      <c r="DA197" s="925"/>
      <c r="DB197" s="925"/>
      <c r="DC197" s="925"/>
      <c r="DD197" s="925"/>
      <c r="DE197" s="925"/>
      <c r="DF197" s="925"/>
      <c r="DG197" s="925"/>
      <c r="DH197" s="925"/>
      <c r="DI197" s="925"/>
      <c r="DJ197" s="925"/>
      <c r="DK197" s="925"/>
      <c r="DL197" s="925"/>
      <c r="DM197" s="925"/>
      <c r="DN197" s="925"/>
      <c r="DO197" s="925"/>
      <c r="DP197" s="925"/>
      <c r="DQ197" s="925"/>
      <c r="DR197" s="925"/>
      <c r="DS197" s="925"/>
      <c r="DT197" s="925"/>
      <c r="DU197" s="925"/>
      <c r="DV197" s="925"/>
      <c r="DW197" s="925"/>
      <c r="DX197" s="925"/>
      <c r="DY197" s="925"/>
      <c r="DZ197" s="925"/>
      <c r="EA197" s="925"/>
      <c r="EB197" s="925"/>
      <c r="EC197" s="925"/>
      <c r="ED197" s="925"/>
      <c r="EE197" s="925"/>
      <c r="EF197" s="925"/>
      <c r="EG197" s="925"/>
      <c r="EH197" s="925"/>
      <c r="EI197" s="925"/>
      <c r="EJ197" s="925"/>
      <c r="EK197" s="925"/>
      <c r="EL197" s="925"/>
      <c r="EM197" s="925"/>
      <c r="EN197" s="925"/>
      <c r="EO197" s="925"/>
      <c r="EP197" s="925"/>
      <c r="EQ197" s="925"/>
      <c r="ER197" s="925"/>
      <c r="ES197" s="925"/>
      <c r="ET197" s="925"/>
      <c r="EU197" s="925"/>
      <c r="EV197" s="925"/>
      <c r="EW197" s="925"/>
      <c r="EX197" s="925"/>
      <c r="EY197" s="925"/>
      <c r="EZ197" s="925"/>
      <c r="FA197" s="925"/>
      <c r="FB197" s="925"/>
      <c r="FC197" s="925"/>
      <c r="FD197" s="925"/>
      <c r="FE197" s="925"/>
      <c r="FF197" s="925"/>
      <c r="FG197" s="925"/>
      <c r="FH197" s="925"/>
      <c r="FI197" s="925"/>
      <c r="FJ197" s="925"/>
      <c r="FK197" s="925"/>
      <c r="FL197" s="925"/>
      <c r="FM197" s="925"/>
      <c r="FN197" s="925"/>
      <c r="FO197" s="925"/>
      <c r="FP197" s="925"/>
      <c r="FQ197" s="925"/>
      <c r="FR197" s="925"/>
      <c r="FS197" s="925"/>
      <c r="FT197" s="925"/>
      <c r="FU197" s="925"/>
      <c r="FV197" s="925"/>
      <c r="FW197" s="925"/>
      <c r="FX197" s="925"/>
      <c r="FY197" s="925"/>
      <c r="FZ197" s="925"/>
      <c r="GA197" s="925"/>
      <c r="GB197" s="925"/>
      <c r="GC197" s="925"/>
      <c r="GD197" s="925"/>
      <c r="GE197" s="925"/>
      <c r="GF197" s="925"/>
      <c r="GG197" s="925"/>
      <c r="GH197" s="925"/>
      <c r="GI197" s="925"/>
      <c r="GJ197" s="925"/>
      <c r="GK197" s="925"/>
      <c r="GL197" s="925"/>
      <c r="GM197" s="925"/>
      <c r="GN197" s="925"/>
    </row>
    <row r="198" spans="1:196" s="333" customFormat="1" ht="13.8" x14ac:dyDescent="0.25">
      <c r="A198" s="1404"/>
      <c r="B198" s="1404"/>
      <c r="C198" s="1399"/>
      <c r="D198" s="1399"/>
      <c r="E198" s="329"/>
      <c r="F198" s="339" t="s">
        <v>197</v>
      </c>
      <c r="G198" s="340">
        <v>7657</v>
      </c>
      <c r="H198" s="340">
        <v>3200</v>
      </c>
      <c r="I198" s="341">
        <f t="shared" si="25"/>
        <v>-4457</v>
      </c>
      <c r="J198" s="873">
        <f t="shared" si="27"/>
        <v>-0.58208175525662798</v>
      </c>
      <c r="K198" s="425"/>
      <c r="L198" s="470"/>
      <c r="M198" s="1119"/>
      <c r="N198" s="925"/>
      <c r="O198" s="925"/>
      <c r="P198" s="925"/>
      <c r="Q198" s="925"/>
      <c r="R198" s="925"/>
      <c r="S198" s="925"/>
      <c r="T198" s="925"/>
      <c r="U198" s="925"/>
      <c r="V198" s="925"/>
      <c r="W198" s="925"/>
      <c r="X198" s="925"/>
      <c r="Y198" s="925"/>
      <c r="Z198" s="925"/>
      <c r="AA198" s="925"/>
      <c r="AB198" s="925"/>
      <c r="AC198" s="925"/>
      <c r="AD198" s="925"/>
      <c r="AE198" s="925"/>
      <c r="AF198" s="925"/>
      <c r="AG198" s="925"/>
      <c r="AH198" s="925"/>
      <c r="AI198" s="925"/>
      <c r="AJ198" s="925"/>
      <c r="AK198" s="925"/>
      <c r="AL198" s="925"/>
      <c r="AM198" s="925"/>
      <c r="AN198" s="925"/>
      <c r="AO198" s="925"/>
      <c r="AP198" s="925"/>
      <c r="AQ198" s="925"/>
      <c r="AR198" s="925"/>
      <c r="AS198" s="925"/>
      <c r="AT198" s="925"/>
      <c r="AU198" s="925"/>
      <c r="AV198" s="925"/>
      <c r="AW198" s="925"/>
      <c r="AX198" s="925"/>
      <c r="AY198" s="925"/>
      <c r="AZ198" s="925"/>
      <c r="BA198" s="925"/>
      <c r="BB198" s="925"/>
      <c r="BC198" s="925"/>
      <c r="BD198" s="925"/>
      <c r="BE198" s="925"/>
      <c r="BF198" s="925"/>
      <c r="BG198" s="925"/>
      <c r="BH198" s="925"/>
      <c r="BI198" s="925"/>
      <c r="BJ198" s="925"/>
      <c r="BK198" s="925"/>
      <c r="BL198" s="925"/>
      <c r="BM198" s="925"/>
      <c r="BN198" s="925"/>
      <c r="BO198" s="925"/>
      <c r="BP198" s="925"/>
      <c r="BQ198" s="925"/>
      <c r="BR198" s="925"/>
      <c r="BS198" s="925"/>
      <c r="BT198" s="925"/>
      <c r="BU198" s="925"/>
      <c r="BV198" s="925"/>
      <c r="BW198" s="925"/>
      <c r="BX198" s="925"/>
      <c r="BY198" s="925"/>
      <c r="BZ198" s="925"/>
      <c r="CA198" s="925"/>
      <c r="CB198" s="925"/>
      <c r="CC198" s="925"/>
      <c r="CD198" s="925"/>
      <c r="CE198" s="925"/>
      <c r="CF198" s="925"/>
      <c r="CG198" s="925"/>
      <c r="CH198" s="925"/>
      <c r="CI198" s="925"/>
      <c r="CJ198" s="925"/>
      <c r="CK198" s="925"/>
      <c r="CL198" s="925"/>
      <c r="CM198" s="925"/>
      <c r="CN198" s="925"/>
      <c r="CO198" s="925"/>
      <c r="CP198" s="925"/>
      <c r="CQ198" s="925"/>
      <c r="CR198" s="925"/>
      <c r="CS198" s="925"/>
      <c r="CT198" s="925"/>
      <c r="CU198" s="925"/>
      <c r="CV198" s="925"/>
      <c r="CW198" s="925"/>
      <c r="CX198" s="925"/>
      <c r="CY198" s="925"/>
      <c r="CZ198" s="925"/>
      <c r="DA198" s="925"/>
      <c r="DB198" s="925"/>
      <c r="DC198" s="925"/>
      <c r="DD198" s="925"/>
      <c r="DE198" s="925"/>
      <c r="DF198" s="925"/>
      <c r="DG198" s="925"/>
      <c r="DH198" s="925"/>
      <c r="DI198" s="925"/>
      <c r="DJ198" s="925"/>
      <c r="DK198" s="925"/>
      <c r="DL198" s="925"/>
      <c r="DM198" s="925"/>
      <c r="DN198" s="925"/>
      <c r="DO198" s="925"/>
      <c r="DP198" s="925"/>
      <c r="DQ198" s="925"/>
      <c r="DR198" s="925"/>
      <c r="DS198" s="925"/>
      <c r="DT198" s="925"/>
      <c r="DU198" s="925"/>
      <c r="DV198" s="925"/>
      <c r="DW198" s="925"/>
      <c r="DX198" s="925"/>
      <c r="DY198" s="925"/>
      <c r="DZ198" s="925"/>
      <c r="EA198" s="925"/>
      <c r="EB198" s="925"/>
      <c r="EC198" s="925"/>
      <c r="ED198" s="925"/>
      <c r="EE198" s="925"/>
      <c r="EF198" s="925"/>
      <c r="EG198" s="925"/>
      <c r="EH198" s="925"/>
      <c r="EI198" s="925"/>
      <c r="EJ198" s="925"/>
      <c r="EK198" s="925"/>
      <c r="EL198" s="925"/>
      <c r="EM198" s="925"/>
      <c r="EN198" s="925"/>
      <c r="EO198" s="925"/>
      <c r="EP198" s="925"/>
      <c r="EQ198" s="925"/>
      <c r="ER198" s="925"/>
      <c r="ES198" s="925"/>
      <c r="ET198" s="925"/>
      <c r="EU198" s="925"/>
      <c r="EV198" s="925"/>
      <c r="EW198" s="925"/>
      <c r="EX198" s="925"/>
      <c r="EY198" s="925"/>
      <c r="EZ198" s="925"/>
      <c r="FA198" s="925"/>
      <c r="FB198" s="925"/>
      <c r="FC198" s="925"/>
      <c r="FD198" s="925"/>
      <c r="FE198" s="925"/>
      <c r="FF198" s="925"/>
      <c r="FG198" s="925"/>
      <c r="FH198" s="925"/>
      <c r="FI198" s="925"/>
      <c r="FJ198" s="925"/>
      <c r="FK198" s="925"/>
      <c r="FL198" s="925"/>
      <c r="FM198" s="925"/>
      <c r="FN198" s="925"/>
      <c r="FO198" s="925"/>
      <c r="FP198" s="925"/>
      <c r="FQ198" s="925"/>
      <c r="FR198" s="925"/>
      <c r="FS198" s="925"/>
      <c r="FT198" s="925"/>
      <c r="FU198" s="925"/>
      <c r="FV198" s="925"/>
      <c r="FW198" s="925"/>
      <c r="FX198" s="925"/>
      <c r="FY198" s="925"/>
      <c r="FZ198" s="925"/>
      <c r="GA198" s="925"/>
      <c r="GB198" s="925"/>
      <c r="GC198" s="925"/>
      <c r="GD198" s="925"/>
      <c r="GE198" s="925"/>
      <c r="GF198" s="925"/>
      <c r="GG198" s="925"/>
      <c r="GH198" s="925"/>
      <c r="GI198" s="925"/>
      <c r="GJ198" s="925"/>
      <c r="GK198" s="925"/>
      <c r="GL198" s="925"/>
      <c r="GM198" s="925"/>
      <c r="GN198" s="925"/>
    </row>
    <row r="199" spans="1:196" s="517" customFormat="1" ht="13.8" x14ac:dyDescent="0.25">
      <c r="A199" s="810"/>
      <c r="B199" s="810"/>
      <c r="C199" s="923"/>
      <c r="D199" s="923"/>
      <c r="E199" s="519"/>
      <c r="F199" s="520" t="s">
        <v>167</v>
      </c>
      <c r="G199" s="521">
        <v>315752.29119999998</v>
      </c>
      <c r="H199" s="521">
        <v>455676.9</v>
      </c>
      <c r="I199" s="510">
        <f>H199-G199</f>
        <v>139924.60880000005</v>
      </c>
      <c r="J199" s="876">
        <f t="shared" si="27"/>
        <v>0.44314677264327657</v>
      </c>
      <c r="K199" s="522"/>
      <c r="L199" s="507"/>
      <c r="M199" s="409"/>
      <c r="N199" s="408"/>
      <c r="O199" s="408"/>
      <c r="P199" s="408"/>
      <c r="Q199" s="408"/>
      <c r="R199" s="408"/>
      <c r="S199" s="408"/>
      <c r="T199" s="408"/>
      <c r="U199" s="408"/>
      <c r="V199" s="408"/>
      <c r="W199" s="408"/>
      <c r="X199" s="408"/>
      <c r="Y199" s="408"/>
      <c r="Z199" s="408"/>
      <c r="AA199" s="408"/>
      <c r="AB199" s="408"/>
      <c r="AC199" s="408"/>
      <c r="AD199" s="408"/>
      <c r="AE199" s="408"/>
      <c r="AF199" s="408"/>
      <c r="AG199" s="408"/>
      <c r="AH199" s="408"/>
      <c r="AI199" s="408"/>
      <c r="AJ199" s="408"/>
      <c r="AK199" s="408"/>
      <c r="AL199" s="408"/>
      <c r="AM199" s="408"/>
      <c r="AN199" s="408"/>
      <c r="AO199" s="408"/>
      <c r="AP199" s="408"/>
      <c r="AQ199" s="408"/>
      <c r="AR199" s="408"/>
      <c r="AS199" s="408"/>
      <c r="AT199" s="408"/>
      <c r="AU199" s="408"/>
      <c r="AV199" s="408"/>
      <c r="AW199" s="408"/>
      <c r="AX199" s="408"/>
      <c r="AY199" s="408"/>
      <c r="AZ199" s="408"/>
      <c r="BA199" s="408"/>
      <c r="BB199" s="408"/>
      <c r="BC199" s="408"/>
      <c r="BD199" s="408"/>
      <c r="BE199" s="408"/>
      <c r="BF199" s="408"/>
      <c r="BG199" s="408"/>
      <c r="BH199" s="408"/>
      <c r="BI199" s="408"/>
      <c r="BJ199" s="408"/>
      <c r="BK199" s="408"/>
      <c r="BL199" s="408"/>
      <c r="BM199" s="408"/>
      <c r="BN199" s="408"/>
      <c r="BO199" s="408"/>
      <c r="BP199" s="408"/>
      <c r="BQ199" s="408"/>
      <c r="BR199" s="408"/>
      <c r="BS199" s="408"/>
      <c r="BT199" s="408"/>
      <c r="BU199" s="408"/>
      <c r="BV199" s="408"/>
      <c r="BW199" s="408"/>
      <c r="BX199" s="408"/>
      <c r="BY199" s="408"/>
      <c r="BZ199" s="408"/>
      <c r="CA199" s="408"/>
      <c r="CB199" s="408"/>
      <c r="CC199" s="408"/>
      <c r="CD199" s="408"/>
      <c r="CE199" s="408"/>
      <c r="CF199" s="408"/>
      <c r="CG199" s="408"/>
      <c r="CH199" s="408"/>
      <c r="CI199" s="408"/>
      <c r="CJ199" s="408"/>
      <c r="CK199" s="408"/>
      <c r="CL199" s="408"/>
      <c r="CM199" s="408"/>
      <c r="CN199" s="408"/>
      <c r="CO199" s="408"/>
      <c r="CP199" s="408"/>
      <c r="CQ199" s="408"/>
      <c r="CR199" s="408"/>
      <c r="CS199" s="408"/>
      <c r="CT199" s="408"/>
      <c r="CU199" s="408"/>
      <c r="CV199" s="408"/>
      <c r="CW199" s="408"/>
      <c r="CX199" s="408"/>
      <c r="CY199" s="408"/>
      <c r="CZ199" s="408"/>
      <c r="DA199" s="408"/>
      <c r="DB199" s="408"/>
      <c r="DC199" s="408"/>
      <c r="DD199" s="408"/>
      <c r="DE199" s="408"/>
      <c r="DF199" s="408"/>
      <c r="DG199" s="408"/>
      <c r="DH199" s="408"/>
      <c r="DI199" s="408"/>
      <c r="DJ199" s="408"/>
      <c r="DK199" s="408"/>
      <c r="DL199" s="408"/>
      <c r="DM199" s="408"/>
      <c r="DN199" s="408"/>
      <c r="DO199" s="408"/>
      <c r="DP199" s="408"/>
      <c r="DQ199" s="408"/>
      <c r="DR199" s="408"/>
      <c r="DS199" s="408"/>
      <c r="DT199" s="408"/>
      <c r="DU199" s="408"/>
      <c r="DV199" s="408"/>
      <c r="DW199" s="408"/>
      <c r="DX199" s="408"/>
      <c r="DY199" s="408"/>
      <c r="DZ199" s="408"/>
      <c r="EA199" s="408"/>
      <c r="EB199" s="408"/>
      <c r="EC199" s="408"/>
      <c r="ED199" s="408"/>
      <c r="EE199" s="408"/>
      <c r="EF199" s="408"/>
      <c r="EG199" s="408"/>
      <c r="EH199" s="408"/>
      <c r="EI199" s="408"/>
      <c r="EJ199" s="408"/>
      <c r="EK199" s="408"/>
      <c r="EL199" s="408"/>
      <c r="EM199" s="408"/>
      <c r="EN199" s="408"/>
      <c r="EO199" s="408"/>
      <c r="EP199" s="408"/>
      <c r="EQ199" s="408"/>
      <c r="ER199" s="408"/>
      <c r="ES199" s="408"/>
      <c r="ET199" s="408"/>
      <c r="EU199" s="408"/>
      <c r="EV199" s="408"/>
      <c r="EW199" s="408"/>
      <c r="EX199" s="408"/>
      <c r="EY199" s="408"/>
      <c r="EZ199" s="408"/>
      <c r="FA199" s="408"/>
      <c r="FB199" s="408"/>
      <c r="FC199" s="408"/>
      <c r="FD199" s="408"/>
      <c r="FE199" s="408"/>
      <c r="FF199" s="408"/>
      <c r="FG199" s="408"/>
      <c r="FH199" s="408"/>
      <c r="FI199" s="408"/>
      <c r="FJ199" s="408"/>
      <c r="FK199" s="408"/>
      <c r="FL199" s="408"/>
      <c r="FM199" s="408"/>
      <c r="FN199" s="408"/>
      <c r="FO199" s="408"/>
      <c r="FP199" s="408"/>
      <c r="FQ199" s="408"/>
      <c r="FR199" s="408"/>
      <c r="FS199" s="408"/>
      <c r="FT199" s="408"/>
      <c r="FU199" s="408"/>
      <c r="FV199" s="408"/>
      <c r="FW199" s="408"/>
      <c r="FX199" s="408"/>
      <c r="FY199" s="408"/>
      <c r="FZ199" s="408"/>
      <c r="GA199" s="408"/>
      <c r="GB199" s="408"/>
      <c r="GC199" s="408"/>
      <c r="GD199" s="408"/>
      <c r="GE199" s="408"/>
      <c r="GF199" s="408"/>
      <c r="GG199" s="408"/>
      <c r="GH199" s="408"/>
      <c r="GI199" s="408"/>
      <c r="GJ199" s="408"/>
      <c r="GK199" s="408"/>
      <c r="GL199" s="408"/>
      <c r="GM199" s="408"/>
      <c r="GN199" s="408"/>
    </row>
    <row r="200" spans="1:196" s="525" customFormat="1" ht="13.8" x14ac:dyDescent="0.25">
      <c r="A200" s="810"/>
      <c r="B200" s="810"/>
      <c r="C200" s="923"/>
      <c r="D200" s="923"/>
      <c r="E200" s="523"/>
      <c r="F200" s="520" t="s">
        <v>555</v>
      </c>
      <c r="G200" s="505">
        <v>14050</v>
      </c>
      <c r="H200" s="505">
        <v>15000</v>
      </c>
      <c r="I200" s="510">
        <f t="shared" si="25"/>
        <v>950</v>
      </c>
      <c r="J200" s="876">
        <f t="shared" si="27"/>
        <v>6.7615658362989328E-2</v>
      </c>
      <c r="K200" s="524"/>
      <c r="L200" s="507"/>
      <c r="M200" s="1116"/>
      <c r="N200" s="515"/>
      <c r="O200" s="515"/>
      <c r="P200" s="515"/>
      <c r="Q200" s="515"/>
      <c r="R200" s="515"/>
      <c r="S200" s="515"/>
      <c r="T200" s="515"/>
      <c r="U200" s="515"/>
      <c r="V200" s="515"/>
      <c r="W200" s="515"/>
      <c r="X200" s="515"/>
      <c r="Y200" s="515"/>
      <c r="Z200" s="515"/>
      <c r="AA200" s="515"/>
      <c r="AB200" s="515"/>
      <c r="AC200" s="515"/>
      <c r="AD200" s="515"/>
      <c r="AE200" s="515"/>
      <c r="AF200" s="515"/>
      <c r="AG200" s="515"/>
      <c r="AH200" s="515"/>
      <c r="AI200" s="515"/>
      <c r="AJ200" s="515"/>
      <c r="AK200" s="515"/>
      <c r="AL200" s="515"/>
      <c r="AM200" s="515"/>
      <c r="AN200" s="515"/>
      <c r="AO200" s="515"/>
      <c r="AP200" s="515"/>
      <c r="AQ200" s="515"/>
      <c r="AR200" s="515"/>
      <c r="AS200" s="515"/>
      <c r="AT200" s="515"/>
      <c r="AU200" s="515"/>
      <c r="AV200" s="515"/>
      <c r="AW200" s="515"/>
      <c r="AX200" s="515"/>
      <c r="AY200" s="515"/>
      <c r="AZ200" s="515"/>
      <c r="BA200" s="515"/>
      <c r="BB200" s="515"/>
      <c r="BC200" s="515"/>
      <c r="BD200" s="515"/>
      <c r="BE200" s="515"/>
      <c r="BF200" s="515"/>
      <c r="BG200" s="515"/>
      <c r="BH200" s="515"/>
      <c r="BI200" s="515"/>
      <c r="BJ200" s="515"/>
      <c r="BK200" s="515"/>
      <c r="BL200" s="515"/>
      <c r="BM200" s="515"/>
      <c r="BN200" s="515"/>
      <c r="BO200" s="515"/>
      <c r="BP200" s="515"/>
      <c r="BQ200" s="515"/>
      <c r="BR200" s="515"/>
      <c r="BS200" s="515"/>
      <c r="BT200" s="515"/>
      <c r="BU200" s="515"/>
      <c r="BV200" s="515"/>
      <c r="BW200" s="515"/>
      <c r="BX200" s="515"/>
      <c r="BY200" s="515"/>
      <c r="BZ200" s="515"/>
      <c r="CA200" s="515"/>
      <c r="CB200" s="515"/>
      <c r="CC200" s="515"/>
      <c r="CD200" s="515"/>
      <c r="CE200" s="515"/>
      <c r="CF200" s="515"/>
      <c r="CG200" s="515"/>
      <c r="CH200" s="515"/>
      <c r="CI200" s="515"/>
      <c r="CJ200" s="515"/>
      <c r="CK200" s="515"/>
      <c r="CL200" s="515"/>
      <c r="CM200" s="515"/>
      <c r="CN200" s="515"/>
      <c r="CO200" s="515"/>
      <c r="CP200" s="515"/>
      <c r="CQ200" s="515"/>
      <c r="CR200" s="515"/>
      <c r="CS200" s="515"/>
      <c r="CT200" s="515"/>
      <c r="CU200" s="515"/>
      <c r="CV200" s="515"/>
      <c r="CW200" s="515"/>
      <c r="CX200" s="515"/>
      <c r="CY200" s="515"/>
      <c r="CZ200" s="515"/>
      <c r="DA200" s="515"/>
      <c r="DB200" s="515"/>
      <c r="DC200" s="515"/>
      <c r="DD200" s="515"/>
      <c r="DE200" s="515"/>
      <c r="DF200" s="515"/>
      <c r="DG200" s="515"/>
      <c r="DH200" s="515"/>
      <c r="DI200" s="515"/>
      <c r="DJ200" s="515"/>
      <c r="DK200" s="515"/>
      <c r="DL200" s="515"/>
      <c r="DM200" s="515"/>
      <c r="DN200" s="515"/>
      <c r="DO200" s="515"/>
      <c r="DP200" s="515"/>
      <c r="DQ200" s="515"/>
      <c r="DR200" s="515"/>
      <c r="DS200" s="515"/>
      <c r="DT200" s="515"/>
      <c r="DU200" s="515"/>
      <c r="DV200" s="515"/>
      <c r="DW200" s="515"/>
      <c r="DX200" s="515"/>
      <c r="DY200" s="515"/>
      <c r="DZ200" s="515"/>
      <c r="EA200" s="515"/>
      <c r="EB200" s="515"/>
      <c r="EC200" s="515"/>
      <c r="ED200" s="515"/>
      <c r="EE200" s="515"/>
      <c r="EF200" s="515"/>
      <c r="EG200" s="515"/>
      <c r="EH200" s="515"/>
      <c r="EI200" s="515"/>
      <c r="EJ200" s="515"/>
      <c r="EK200" s="515"/>
      <c r="EL200" s="515"/>
      <c r="EM200" s="515"/>
      <c r="EN200" s="515"/>
      <c r="EO200" s="515"/>
      <c r="EP200" s="515"/>
      <c r="EQ200" s="515"/>
      <c r="ER200" s="515"/>
      <c r="ES200" s="515"/>
      <c r="ET200" s="515"/>
      <c r="EU200" s="515"/>
      <c r="EV200" s="515"/>
      <c r="EW200" s="515"/>
      <c r="EX200" s="515"/>
      <c r="EY200" s="515"/>
      <c r="EZ200" s="515"/>
      <c r="FA200" s="515"/>
      <c r="FB200" s="515"/>
      <c r="FC200" s="515"/>
      <c r="FD200" s="515"/>
      <c r="FE200" s="515"/>
      <c r="FF200" s="515"/>
      <c r="FG200" s="515"/>
      <c r="FH200" s="515"/>
      <c r="FI200" s="515"/>
      <c r="FJ200" s="515"/>
      <c r="FK200" s="515"/>
      <c r="FL200" s="515"/>
      <c r="FM200" s="515"/>
      <c r="FN200" s="515"/>
      <c r="FO200" s="515"/>
      <c r="FP200" s="515"/>
      <c r="FQ200" s="515"/>
      <c r="FR200" s="515"/>
      <c r="FS200" s="515"/>
      <c r="FT200" s="515"/>
      <c r="FU200" s="515"/>
      <c r="FV200" s="515"/>
      <c r="FW200" s="515"/>
      <c r="FX200" s="515"/>
      <c r="FY200" s="515"/>
      <c r="FZ200" s="515"/>
      <c r="GA200" s="515"/>
      <c r="GB200" s="515"/>
      <c r="GC200" s="515"/>
      <c r="GD200" s="515"/>
      <c r="GE200" s="515"/>
      <c r="GF200" s="515"/>
      <c r="GG200" s="515"/>
      <c r="GH200" s="515"/>
      <c r="GI200" s="515"/>
      <c r="GJ200" s="515"/>
      <c r="GK200" s="515"/>
      <c r="GL200" s="515"/>
      <c r="GM200" s="515"/>
      <c r="GN200" s="515"/>
    </row>
    <row r="201" spans="1:196" s="525" customFormat="1" ht="13.8" x14ac:dyDescent="0.25">
      <c r="A201" s="810"/>
      <c r="B201" s="810"/>
      <c r="C201" s="923"/>
      <c r="D201" s="923"/>
      <c r="E201" s="523"/>
      <c r="F201" s="520" t="s">
        <v>353</v>
      </c>
      <c r="G201" s="505">
        <v>400710</v>
      </c>
      <c r="H201" s="505">
        <v>491760</v>
      </c>
      <c r="I201" s="510">
        <f>H201-G201</f>
        <v>91050</v>
      </c>
      <c r="J201" s="876">
        <f t="shared" si="27"/>
        <v>0.22722168151531033</v>
      </c>
      <c r="K201" s="526"/>
      <c r="L201" s="507"/>
      <c r="M201" s="1116"/>
      <c r="N201" s="515"/>
      <c r="O201" s="515"/>
      <c r="P201" s="515"/>
      <c r="Q201" s="515"/>
      <c r="R201" s="515"/>
      <c r="S201" s="515"/>
      <c r="T201" s="515"/>
      <c r="U201" s="515"/>
      <c r="V201" s="515"/>
      <c r="W201" s="515"/>
      <c r="X201" s="515"/>
      <c r="Y201" s="515"/>
      <c r="Z201" s="515"/>
      <c r="AA201" s="515"/>
      <c r="AB201" s="515"/>
      <c r="AC201" s="515"/>
      <c r="AD201" s="515"/>
      <c r="AE201" s="515"/>
      <c r="AF201" s="515"/>
      <c r="AG201" s="515"/>
      <c r="AH201" s="515"/>
      <c r="AI201" s="515"/>
      <c r="AJ201" s="515"/>
      <c r="AK201" s="515"/>
      <c r="AL201" s="515"/>
      <c r="AM201" s="515"/>
      <c r="AN201" s="515"/>
      <c r="AO201" s="515"/>
      <c r="AP201" s="515"/>
      <c r="AQ201" s="515"/>
      <c r="AR201" s="515"/>
      <c r="AS201" s="515"/>
      <c r="AT201" s="515"/>
      <c r="AU201" s="515"/>
      <c r="AV201" s="515"/>
      <c r="AW201" s="515"/>
      <c r="AX201" s="515"/>
      <c r="AY201" s="515"/>
      <c r="AZ201" s="515"/>
      <c r="BA201" s="515"/>
      <c r="BB201" s="515"/>
      <c r="BC201" s="515"/>
      <c r="BD201" s="515"/>
      <c r="BE201" s="515"/>
      <c r="BF201" s="515"/>
      <c r="BG201" s="515"/>
      <c r="BH201" s="515"/>
      <c r="BI201" s="515"/>
      <c r="BJ201" s="515"/>
      <c r="BK201" s="515"/>
      <c r="BL201" s="515"/>
      <c r="BM201" s="515"/>
      <c r="BN201" s="515"/>
      <c r="BO201" s="515"/>
      <c r="BP201" s="515"/>
      <c r="BQ201" s="515"/>
      <c r="BR201" s="515"/>
      <c r="BS201" s="515"/>
      <c r="BT201" s="515"/>
      <c r="BU201" s="515"/>
      <c r="BV201" s="515"/>
      <c r="BW201" s="515"/>
      <c r="BX201" s="515"/>
      <c r="BY201" s="515"/>
      <c r="BZ201" s="515"/>
      <c r="CA201" s="515"/>
      <c r="CB201" s="515"/>
      <c r="CC201" s="515"/>
      <c r="CD201" s="515"/>
      <c r="CE201" s="515"/>
      <c r="CF201" s="515"/>
      <c r="CG201" s="515"/>
      <c r="CH201" s="515"/>
      <c r="CI201" s="515"/>
      <c r="CJ201" s="515"/>
      <c r="CK201" s="515"/>
      <c r="CL201" s="515"/>
      <c r="CM201" s="515"/>
      <c r="CN201" s="515"/>
      <c r="CO201" s="515"/>
      <c r="CP201" s="515"/>
      <c r="CQ201" s="515"/>
      <c r="CR201" s="515"/>
      <c r="CS201" s="515"/>
      <c r="CT201" s="515"/>
      <c r="CU201" s="515"/>
      <c r="CV201" s="515"/>
      <c r="CW201" s="515"/>
      <c r="CX201" s="515"/>
      <c r="CY201" s="515"/>
      <c r="CZ201" s="515"/>
      <c r="DA201" s="515"/>
      <c r="DB201" s="515"/>
      <c r="DC201" s="515"/>
      <c r="DD201" s="515"/>
      <c r="DE201" s="515"/>
      <c r="DF201" s="515"/>
      <c r="DG201" s="515"/>
      <c r="DH201" s="515"/>
      <c r="DI201" s="515"/>
      <c r="DJ201" s="515"/>
      <c r="DK201" s="515"/>
      <c r="DL201" s="515"/>
      <c r="DM201" s="515"/>
      <c r="DN201" s="515"/>
      <c r="DO201" s="515"/>
      <c r="DP201" s="515"/>
      <c r="DQ201" s="515"/>
      <c r="DR201" s="515"/>
      <c r="DS201" s="515"/>
      <c r="DT201" s="515"/>
      <c r="DU201" s="515"/>
      <c r="DV201" s="515"/>
      <c r="DW201" s="515"/>
      <c r="DX201" s="515"/>
      <c r="DY201" s="515"/>
      <c r="DZ201" s="515"/>
      <c r="EA201" s="515"/>
      <c r="EB201" s="515"/>
      <c r="EC201" s="515"/>
      <c r="ED201" s="515"/>
      <c r="EE201" s="515"/>
      <c r="EF201" s="515"/>
      <c r="EG201" s="515"/>
      <c r="EH201" s="515"/>
      <c r="EI201" s="515"/>
      <c r="EJ201" s="515"/>
      <c r="EK201" s="515"/>
      <c r="EL201" s="515"/>
      <c r="EM201" s="515"/>
      <c r="EN201" s="515"/>
      <c r="EO201" s="515"/>
      <c r="EP201" s="515"/>
      <c r="EQ201" s="515"/>
      <c r="ER201" s="515"/>
      <c r="ES201" s="515"/>
      <c r="ET201" s="515"/>
      <c r="EU201" s="515"/>
      <c r="EV201" s="515"/>
      <c r="EW201" s="515"/>
      <c r="EX201" s="515"/>
      <c r="EY201" s="515"/>
      <c r="EZ201" s="515"/>
      <c r="FA201" s="515"/>
      <c r="FB201" s="515"/>
      <c r="FC201" s="515"/>
      <c r="FD201" s="515"/>
      <c r="FE201" s="515"/>
      <c r="FF201" s="515"/>
      <c r="FG201" s="515"/>
      <c r="FH201" s="515"/>
      <c r="FI201" s="515"/>
      <c r="FJ201" s="515"/>
      <c r="FK201" s="515"/>
      <c r="FL201" s="515"/>
      <c r="FM201" s="515"/>
      <c r="FN201" s="515"/>
      <c r="FO201" s="515"/>
      <c r="FP201" s="515"/>
      <c r="FQ201" s="515"/>
      <c r="FR201" s="515"/>
      <c r="FS201" s="515"/>
      <c r="FT201" s="515"/>
      <c r="FU201" s="515"/>
      <c r="FV201" s="515"/>
      <c r="FW201" s="515"/>
      <c r="FX201" s="515"/>
      <c r="FY201" s="515"/>
      <c r="FZ201" s="515"/>
      <c r="GA201" s="515"/>
      <c r="GB201" s="515"/>
      <c r="GC201" s="515"/>
      <c r="GD201" s="515"/>
      <c r="GE201" s="515"/>
      <c r="GF201" s="515"/>
      <c r="GG201" s="515"/>
      <c r="GH201" s="515"/>
      <c r="GI201" s="515"/>
      <c r="GJ201" s="515"/>
      <c r="GK201" s="515"/>
      <c r="GL201" s="515"/>
      <c r="GM201" s="515"/>
      <c r="GN201" s="515"/>
    </row>
    <row r="202" spans="1:196" ht="13.8" x14ac:dyDescent="0.25">
      <c r="C202" s="923">
        <f>1895442-C223-G207-G208-G209</f>
        <v>1569770.7087999999</v>
      </c>
      <c r="D202" s="923">
        <f>C202-G202</f>
        <v>391212.76</v>
      </c>
      <c r="E202" s="141" t="s">
        <v>25</v>
      </c>
      <c r="F202" s="142" t="s">
        <v>212</v>
      </c>
      <c r="G202" s="302">
        <v>1178557.9487999999</v>
      </c>
      <c r="H202" s="302">
        <v>1743109.2481999998</v>
      </c>
      <c r="I202" s="132">
        <f t="shared" si="25"/>
        <v>564551.2993999999</v>
      </c>
      <c r="J202" s="867">
        <f t="shared" si="27"/>
        <v>0.47901870245313127</v>
      </c>
      <c r="K202" s="418"/>
      <c r="L202" s="224"/>
    </row>
    <row r="203" spans="1:196" s="104" customFormat="1" ht="13.8" hidden="1" outlineLevel="1" x14ac:dyDescent="0.25">
      <c r="A203" s="810" t="s">
        <v>773</v>
      </c>
      <c r="B203" s="810" t="s">
        <v>228</v>
      </c>
      <c r="C203" s="923"/>
      <c r="D203" s="923">
        <f>D202-D205</f>
        <v>15392.760000000009</v>
      </c>
      <c r="E203" s="159"/>
      <c r="F203" s="160" t="s">
        <v>228</v>
      </c>
      <c r="G203" s="304">
        <v>451697.70880000002</v>
      </c>
      <c r="H203" s="304">
        <v>474001.24819999991</v>
      </c>
      <c r="I203" s="153">
        <f t="shared" si="25"/>
        <v>22303.539399999892</v>
      </c>
      <c r="J203" s="878">
        <f t="shared" si="27"/>
        <v>4.9377136446524056E-2</v>
      </c>
      <c r="K203" s="430" t="s">
        <v>1578</v>
      </c>
      <c r="L203" s="224"/>
      <c r="M203" s="107"/>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c r="DK203"/>
      <c r="DL203"/>
      <c r="DM203"/>
      <c r="DN203"/>
      <c r="DO203"/>
      <c r="DP203"/>
      <c r="DQ203"/>
      <c r="DR203"/>
      <c r="DS203"/>
      <c r="DT203"/>
      <c r="DU203"/>
      <c r="DV203"/>
      <c r="DW203"/>
      <c r="DX203"/>
      <c r="DY203"/>
      <c r="DZ203"/>
      <c r="EA203"/>
      <c r="EB203"/>
      <c r="EC203"/>
      <c r="ED203"/>
      <c r="EE203"/>
      <c r="EF203"/>
      <c r="EG203"/>
      <c r="EH203"/>
      <c r="EI203"/>
      <c r="EJ203"/>
      <c r="EK203"/>
      <c r="EL203"/>
      <c r="EM203"/>
      <c r="EN203"/>
      <c r="EO203"/>
      <c r="EP203"/>
      <c r="EQ203"/>
      <c r="ER203"/>
      <c r="ES203"/>
      <c r="ET203"/>
      <c r="EU203"/>
      <c r="EV203"/>
      <c r="EW203"/>
      <c r="EX203"/>
      <c r="EY203"/>
      <c r="EZ203"/>
      <c r="FA203"/>
      <c r="FB203"/>
      <c r="FC203"/>
      <c r="FD203"/>
      <c r="FE203"/>
      <c r="FF203"/>
      <c r="FG203"/>
      <c r="FH203"/>
      <c r="FI203"/>
      <c r="FJ203"/>
      <c r="FK203"/>
      <c r="FL203"/>
      <c r="FM203"/>
      <c r="FN203"/>
      <c r="FO203"/>
      <c r="FP203"/>
      <c r="FQ203"/>
      <c r="FR203"/>
      <c r="FS203"/>
      <c r="FT203"/>
      <c r="FU203"/>
      <c r="FV203"/>
      <c r="FW203"/>
      <c r="FX203"/>
      <c r="FY203"/>
      <c r="FZ203"/>
      <c r="GA203"/>
      <c r="GB203"/>
      <c r="GC203"/>
      <c r="GD203"/>
      <c r="GE203"/>
      <c r="GF203"/>
      <c r="GG203"/>
      <c r="GH203"/>
      <c r="GI203"/>
      <c r="GJ203"/>
      <c r="GK203"/>
      <c r="GL203"/>
      <c r="GM203"/>
      <c r="GN203"/>
    </row>
    <row r="204" spans="1:196" s="104" customFormat="1" ht="69" hidden="1" outlineLevel="1" x14ac:dyDescent="0.25">
      <c r="A204" s="810" t="s">
        <v>773</v>
      </c>
      <c r="B204" s="810" t="s">
        <v>554</v>
      </c>
      <c r="C204" s="923"/>
      <c r="D204" s="923"/>
      <c r="E204" s="214"/>
      <c r="F204" s="215" t="s">
        <v>198</v>
      </c>
      <c r="G204" s="304">
        <v>60676.24</v>
      </c>
      <c r="H204" s="304">
        <v>83818</v>
      </c>
      <c r="I204" s="153">
        <f t="shared" si="25"/>
        <v>23141.760000000002</v>
      </c>
      <c r="J204" s="878">
        <f t="shared" si="27"/>
        <v>0.38139739707008874</v>
      </c>
      <c r="K204" s="421" t="s">
        <v>1643</v>
      </c>
      <c r="L204" s="224"/>
      <c r="M204" s="107"/>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c r="DK204"/>
      <c r="DL204"/>
      <c r="DM204"/>
      <c r="DN204"/>
      <c r="DO204"/>
      <c r="DP204"/>
      <c r="DQ204"/>
      <c r="DR204"/>
      <c r="DS204"/>
      <c r="DT204"/>
      <c r="DU204"/>
      <c r="DV204"/>
      <c r="DW204"/>
      <c r="DX204"/>
      <c r="DY204"/>
      <c r="DZ204"/>
      <c r="EA204"/>
      <c r="EB204"/>
      <c r="EC204"/>
      <c r="ED204"/>
      <c r="EE204"/>
      <c r="EF204"/>
      <c r="EG204"/>
      <c r="EH204"/>
      <c r="EI204"/>
      <c r="EJ204"/>
      <c r="EK204"/>
      <c r="EL204"/>
      <c r="EM204"/>
      <c r="EN204"/>
      <c r="EO204"/>
      <c r="EP204"/>
      <c r="EQ204"/>
      <c r="ER204"/>
      <c r="ES204"/>
      <c r="ET204"/>
      <c r="EU204"/>
      <c r="EV204"/>
      <c r="EW204"/>
      <c r="EX204"/>
      <c r="EY204"/>
      <c r="EZ204"/>
      <c r="FA204"/>
      <c r="FB204"/>
      <c r="FC204"/>
      <c r="FD204"/>
      <c r="FE204"/>
      <c r="FF204"/>
      <c r="FG204"/>
      <c r="FH204"/>
      <c r="FI204"/>
      <c r="FJ204"/>
      <c r="FK204"/>
      <c r="FL204"/>
      <c r="FM204"/>
      <c r="FN204"/>
      <c r="FO204"/>
      <c r="FP204"/>
      <c r="FQ204"/>
      <c r="FR204"/>
      <c r="FS204"/>
      <c r="FT204"/>
      <c r="FU204"/>
      <c r="FV204"/>
      <c r="FW204"/>
      <c r="FX204"/>
      <c r="FY204"/>
      <c r="FZ204"/>
      <c r="GA204"/>
      <c r="GB204"/>
      <c r="GC204"/>
      <c r="GD204"/>
      <c r="GE204"/>
      <c r="GF204"/>
      <c r="GG204"/>
      <c r="GH204"/>
      <c r="GI204"/>
      <c r="GJ204"/>
      <c r="GK204"/>
      <c r="GL204"/>
      <c r="GM204"/>
      <c r="GN204"/>
    </row>
    <row r="205" spans="1:196" s="104" customFormat="1" ht="27.6" hidden="1" outlineLevel="1" x14ac:dyDescent="0.25">
      <c r="A205" s="810" t="s">
        <v>773</v>
      </c>
      <c r="B205" s="810" t="s">
        <v>186</v>
      </c>
      <c r="C205" s="923">
        <v>1042004</v>
      </c>
      <c r="D205" s="923">
        <f>C205-G205</f>
        <v>375820</v>
      </c>
      <c r="E205" s="159"/>
      <c r="F205" s="160" t="s">
        <v>186</v>
      </c>
      <c r="G205" s="307">
        <v>666184</v>
      </c>
      <c r="H205" s="307">
        <v>1183990</v>
      </c>
      <c r="I205" s="153">
        <f t="shared" si="25"/>
        <v>517806</v>
      </c>
      <c r="J205" s="878">
        <f t="shared" si="27"/>
        <v>0.77727174474319405</v>
      </c>
      <c r="K205" s="1145" t="s">
        <v>1281</v>
      </c>
      <c r="L205" s="224"/>
      <c r="M205" s="107"/>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c r="DK205"/>
      <c r="DL205"/>
      <c r="DM205"/>
      <c r="DN205"/>
      <c r="DO205"/>
      <c r="DP205"/>
      <c r="DQ205"/>
      <c r="DR205"/>
      <c r="DS205"/>
      <c r="DT205"/>
      <c r="DU205"/>
      <c r="DV205"/>
      <c r="DW205"/>
      <c r="DX205"/>
      <c r="DY205"/>
      <c r="DZ205"/>
      <c r="EA205"/>
      <c r="EB205"/>
      <c r="EC205"/>
      <c r="ED205"/>
      <c r="EE205"/>
      <c r="EF205"/>
      <c r="EG205"/>
      <c r="EH205"/>
      <c r="EI205"/>
      <c r="EJ205"/>
      <c r="EK205"/>
      <c r="EL205"/>
      <c r="EM205"/>
      <c r="EN205"/>
      <c r="EO205"/>
      <c r="EP205"/>
      <c r="EQ205"/>
      <c r="ER205"/>
      <c r="ES205"/>
      <c r="ET205"/>
      <c r="EU205"/>
      <c r="EV205"/>
      <c r="EW205"/>
      <c r="EX205"/>
      <c r="EY205"/>
      <c r="EZ205"/>
      <c r="FA205"/>
      <c r="FB205"/>
      <c r="FC205"/>
      <c r="FD205"/>
      <c r="FE205"/>
      <c r="FF205"/>
      <c r="FG205"/>
      <c r="FH205"/>
      <c r="FI205"/>
      <c r="FJ205"/>
      <c r="FK205"/>
      <c r="FL205"/>
      <c r="FM205"/>
      <c r="FN205"/>
      <c r="FO205"/>
      <c r="FP205"/>
      <c r="FQ205"/>
      <c r="FR205"/>
      <c r="FS205"/>
      <c r="FT205"/>
      <c r="FU205"/>
      <c r="FV205"/>
      <c r="FW205"/>
      <c r="FX205"/>
      <c r="FY205"/>
      <c r="FZ205"/>
      <c r="GA205"/>
      <c r="GB205"/>
      <c r="GC205"/>
      <c r="GD205"/>
      <c r="GE205"/>
      <c r="GF205"/>
      <c r="GG205"/>
      <c r="GH205"/>
      <c r="GI205"/>
      <c r="GJ205"/>
      <c r="GK205"/>
      <c r="GL205"/>
      <c r="GM205"/>
      <c r="GN205"/>
    </row>
    <row r="206" spans="1:196" s="104" customFormat="1" ht="13.8" hidden="1" outlineLevel="1" x14ac:dyDescent="0.25">
      <c r="A206" s="810" t="s">
        <v>773</v>
      </c>
      <c r="B206" s="810" t="s">
        <v>556</v>
      </c>
      <c r="C206" s="923"/>
      <c r="D206" s="923"/>
      <c r="E206" s="159"/>
      <c r="F206" s="160" t="s">
        <v>197</v>
      </c>
      <c r="G206" s="304">
        <v>0</v>
      </c>
      <c r="H206" s="304">
        <v>1300</v>
      </c>
      <c r="I206" s="153">
        <f t="shared" si="25"/>
        <v>1300</v>
      </c>
      <c r="J206" s="878" t="str">
        <f t="shared" si="27"/>
        <v>-</v>
      </c>
      <c r="K206" s="430"/>
      <c r="L206" s="224"/>
      <c r="M206" s="107"/>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c r="DK206"/>
      <c r="DL206"/>
      <c r="DM206"/>
      <c r="DN206"/>
      <c r="DO206"/>
      <c r="DP206"/>
      <c r="DQ206"/>
      <c r="DR206"/>
      <c r="DS206"/>
      <c r="DT206"/>
      <c r="DU206"/>
      <c r="DV206"/>
      <c r="DW206"/>
      <c r="DX206"/>
      <c r="DY206"/>
      <c r="DZ206"/>
      <c r="EA206"/>
      <c r="EB206"/>
      <c r="EC206"/>
      <c r="ED206"/>
      <c r="EE206"/>
      <c r="EF206"/>
      <c r="EG206"/>
      <c r="EH206"/>
      <c r="EI206"/>
      <c r="EJ206"/>
      <c r="EK206"/>
      <c r="EL206"/>
      <c r="EM206"/>
      <c r="EN206"/>
      <c r="EO206"/>
      <c r="EP206"/>
      <c r="EQ206"/>
      <c r="ER206"/>
      <c r="ES206"/>
      <c r="ET206"/>
      <c r="EU206"/>
      <c r="EV206"/>
      <c r="EW206"/>
      <c r="EX206"/>
      <c r="EY206"/>
      <c r="EZ206"/>
      <c r="FA206"/>
      <c r="FB206"/>
      <c r="FC206"/>
      <c r="FD206"/>
      <c r="FE206"/>
      <c r="FF206"/>
      <c r="FG206"/>
      <c r="FH206"/>
      <c r="FI206"/>
      <c r="FJ206"/>
      <c r="FK206"/>
      <c r="FL206"/>
      <c r="FM206"/>
      <c r="FN206"/>
      <c r="FO206"/>
      <c r="FP206"/>
      <c r="FQ206"/>
      <c r="FR206"/>
      <c r="FS206"/>
      <c r="FT206"/>
      <c r="FU206"/>
      <c r="FV206"/>
      <c r="FW206"/>
      <c r="FX206"/>
      <c r="FY206"/>
      <c r="FZ206"/>
      <c r="GA206"/>
      <c r="GB206"/>
      <c r="GC206"/>
      <c r="GD206"/>
      <c r="GE206"/>
      <c r="GF206"/>
      <c r="GG206"/>
      <c r="GH206"/>
      <c r="GI206"/>
      <c r="GJ206"/>
      <c r="GK206"/>
      <c r="GL206"/>
      <c r="GM206"/>
      <c r="GN206"/>
    </row>
    <row r="207" spans="1:196" s="525" customFormat="1" ht="13.8" hidden="1" outlineLevel="1" x14ac:dyDescent="0.25">
      <c r="A207" s="1407" t="s">
        <v>773</v>
      </c>
      <c r="B207" s="1407" t="s">
        <v>182</v>
      </c>
      <c r="C207" s="1408">
        <v>21712</v>
      </c>
      <c r="D207" s="1408">
        <f>C207-G207</f>
        <v>-0.2911999999996624</v>
      </c>
      <c r="E207" s="528"/>
      <c r="F207" s="520" t="s">
        <v>167</v>
      </c>
      <c r="G207" s="301">
        <v>21712.2912</v>
      </c>
      <c r="H207" s="505">
        <v>25953.9</v>
      </c>
      <c r="I207" s="510">
        <f t="shared" si="25"/>
        <v>4241.6088000000018</v>
      </c>
      <c r="J207" s="876">
        <f t="shared" si="27"/>
        <v>0.19535519125683068</v>
      </c>
      <c r="K207" s="1413"/>
      <c r="L207" s="1409"/>
      <c r="M207" s="1116"/>
      <c r="N207" s="515"/>
      <c r="O207" s="515"/>
      <c r="P207" s="515"/>
      <c r="Q207" s="515"/>
      <c r="R207" s="515"/>
      <c r="S207" s="515"/>
      <c r="T207" s="515"/>
      <c r="U207" s="515"/>
      <c r="V207" s="515"/>
      <c r="W207" s="515"/>
      <c r="X207" s="515"/>
      <c r="Y207" s="515"/>
      <c r="Z207" s="515"/>
      <c r="AA207" s="515"/>
      <c r="AB207" s="515"/>
      <c r="AC207" s="515"/>
      <c r="AD207" s="515"/>
      <c r="AE207" s="515"/>
      <c r="AF207" s="515"/>
      <c r="AG207" s="515"/>
      <c r="AH207" s="515"/>
      <c r="AI207" s="515"/>
      <c r="AJ207" s="515"/>
      <c r="AK207" s="515"/>
      <c r="AL207" s="515"/>
      <c r="AM207" s="515"/>
      <c r="AN207" s="515"/>
      <c r="AO207" s="515"/>
      <c r="AP207" s="515"/>
      <c r="AQ207" s="515"/>
      <c r="AR207" s="515"/>
      <c r="AS207" s="515"/>
      <c r="AT207" s="515"/>
      <c r="AU207" s="515"/>
      <c r="AV207" s="515"/>
      <c r="AW207" s="515"/>
      <c r="AX207" s="515"/>
      <c r="AY207" s="515"/>
      <c r="AZ207" s="515"/>
      <c r="BA207" s="515"/>
      <c r="BB207" s="515"/>
      <c r="BC207" s="515"/>
      <c r="BD207" s="515"/>
      <c r="BE207" s="515"/>
      <c r="BF207" s="515"/>
      <c r="BG207" s="515"/>
      <c r="BH207" s="515"/>
      <c r="BI207" s="515"/>
      <c r="BJ207" s="515"/>
      <c r="BK207" s="515"/>
      <c r="BL207" s="515"/>
      <c r="BM207" s="515"/>
      <c r="BN207" s="515"/>
      <c r="BO207" s="515"/>
      <c r="BP207" s="515"/>
      <c r="BQ207" s="515"/>
      <c r="BR207" s="515"/>
      <c r="BS207" s="515"/>
      <c r="BT207" s="515"/>
      <c r="BU207" s="515"/>
      <c r="BV207" s="515"/>
      <c r="BW207" s="515"/>
      <c r="BX207" s="515"/>
      <c r="BY207" s="515"/>
      <c r="BZ207" s="515"/>
      <c r="CA207" s="515"/>
      <c r="CB207" s="515"/>
      <c r="CC207" s="515"/>
      <c r="CD207" s="515"/>
      <c r="CE207" s="515"/>
      <c r="CF207" s="515"/>
      <c r="CG207" s="515"/>
      <c r="CH207" s="515"/>
      <c r="CI207" s="515"/>
      <c r="CJ207" s="515"/>
      <c r="CK207" s="515"/>
      <c r="CL207" s="515"/>
      <c r="CM207" s="515"/>
      <c r="CN207" s="515"/>
      <c r="CO207" s="515"/>
      <c r="CP207" s="515"/>
      <c r="CQ207" s="515"/>
      <c r="CR207" s="515"/>
      <c r="CS207" s="515"/>
      <c r="CT207" s="515"/>
      <c r="CU207" s="515"/>
      <c r="CV207" s="515"/>
      <c r="CW207" s="515"/>
      <c r="CX207" s="515"/>
      <c r="CY207" s="515"/>
      <c r="CZ207" s="515"/>
      <c r="DA207" s="515"/>
      <c r="DB207" s="515"/>
      <c r="DC207" s="515"/>
      <c r="DD207" s="515"/>
      <c r="DE207" s="515"/>
      <c r="DF207" s="515"/>
      <c r="DG207" s="515"/>
      <c r="DH207" s="515"/>
      <c r="DI207" s="515"/>
      <c r="DJ207" s="515"/>
      <c r="DK207" s="515"/>
      <c r="DL207" s="515"/>
      <c r="DM207" s="515"/>
      <c r="DN207" s="515"/>
      <c r="DO207" s="515"/>
      <c r="DP207" s="515"/>
      <c r="DQ207" s="515"/>
      <c r="DR207" s="515"/>
      <c r="DS207" s="515"/>
      <c r="DT207" s="515"/>
      <c r="DU207" s="515"/>
      <c r="DV207" s="515"/>
      <c r="DW207" s="515"/>
      <c r="DX207" s="515"/>
      <c r="DY207" s="515"/>
      <c r="DZ207" s="515"/>
      <c r="EA207" s="515"/>
      <c r="EB207" s="515"/>
      <c r="EC207" s="515"/>
      <c r="ED207" s="515"/>
      <c r="EE207" s="515"/>
      <c r="EF207" s="515"/>
      <c r="EG207" s="515"/>
      <c r="EH207" s="515"/>
      <c r="EI207" s="515"/>
      <c r="EJ207" s="515"/>
      <c r="EK207" s="515"/>
      <c r="EL207" s="515"/>
      <c r="EM207" s="515"/>
      <c r="EN207" s="515"/>
      <c r="EO207" s="515"/>
      <c r="EP207" s="515"/>
      <c r="EQ207" s="515"/>
      <c r="ER207" s="515"/>
      <c r="ES207" s="515"/>
      <c r="ET207" s="515"/>
      <c r="EU207" s="515"/>
      <c r="EV207" s="515"/>
      <c r="EW207" s="515"/>
      <c r="EX207" s="515"/>
      <c r="EY207" s="515"/>
      <c r="EZ207" s="515"/>
      <c r="FA207" s="515"/>
      <c r="FB207" s="515"/>
      <c r="FC207" s="515"/>
      <c r="FD207" s="515"/>
      <c r="FE207" s="515"/>
      <c r="FF207" s="515"/>
      <c r="FG207" s="515"/>
      <c r="FH207" s="515"/>
      <c r="FI207" s="515"/>
      <c r="FJ207" s="515"/>
      <c r="FK207" s="515"/>
      <c r="FL207" s="515"/>
      <c r="FM207" s="515"/>
      <c r="FN207" s="515"/>
      <c r="FO207" s="515"/>
      <c r="FP207" s="515"/>
      <c r="FQ207" s="515"/>
      <c r="FR207" s="515"/>
      <c r="FS207" s="515"/>
      <c r="FT207" s="515"/>
      <c r="FU207" s="515"/>
      <c r="FV207" s="515"/>
      <c r="FW207" s="515"/>
      <c r="FX207" s="515"/>
      <c r="FY207" s="515"/>
      <c r="FZ207" s="515"/>
      <c r="GA207" s="515"/>
      <c r="GB207" s="515"/>
      <c r="GC207" s="515"/>
      <c r="GD207" s="515"/>
      <c r="GE207" s="515"/>
      <c r="GF207" s="515"/>
      <c r="GG207" s="515"/>
      <c r="GH207" s="515"/>
      <c r="GI207" s="515"/>
      <c r="GJ207" s="515"/>
      <c r="GK207" s="515"/>
      <c r="GL207" s="515"/>
      <c r="GM207" s="515"/>
      <c r="GN207" s="515"/>
    </row>
    <row r="208" spans="1:196" s="525" customFormat="1" ht="13.8" hidden="1" outlineLevel="1" x14ac:dyDescent="0.25">
      <c r="A208" s="1407" t="s">
        <v>773</v>
      </c>
      <c r="B208" s="1407" t="s">
        <v>555</v>
      </c>
      <c r="C208" s="1408"/>
      <c r="D208" s="1408"/>
      <c r="E208" s="523"/>
      <c r="F208" s="520" t="s">
        <v>555</v>
      </c>
      <c r="G208" s="301">
        <v>14050</v>
      </c>
      <c r="H208" s="505">
        <v>15000</v>
      </c>
      <c r="I208" s="510">
        <f t="shared" si="25"/>
        <v>950</v>
      </c>
      <c r="J208" s="876">
        <f t="shared" si="27"/>
        <v>6.7615658362989328E-2</v>
      </c>
      <c r="K208" s="526"/>
      <c r="L208" s="1409"/>
      <c r="M208" s="1116"/>
      <c r="N208" s="515"/>
      <c r="O208" s="515"/>
      <c r="P208" s="515"/>
      <c r="Q208" s="515"/>
      <c r="R208" s="515"/>
      <c r="S208" s="515"/>
      <c r="T208" s="515"/>
      <c r="U208" s="515"/>
      <c r="V208" s="515"/>
      <c r="W208" s="515"/>
      <c r="X208" s="515"/>
      <c r="Y208" s="515"/>
      <c r="Z208" s="515"/>
      <c r="AA208" s="515"/>
      <c r="AB208" s="515"/>
      <c r="AC208" s="515"/>
      <c r="AD208" s="515"/>
      <c r="AE208" s="515"/>
      <c r="AF208" s="515"/>
      <c r="AG208" s="515"/>
      <c r="AH208" s="515"/>
      <c r="AI208" s="515"/>
      <c r="AJ208" s="515"/>
      <c r="AK208" s="515"/>
      <c r="AL208" s="515"/>
      <c r="AM208" s="515"/>
      <c r="AN208" s="515"/>
      <c r="AO208" s="515"/>
      <c r="AP208" s="515"/>
      <c r="AQ208" s="515"/>
      <c r="AR208" s="515"/>
      <c r="AS208" s="515"/>
      <c r="AT208" s="515"/>
      <c r="AU208" s="515"/>
      <c r="AV208" s="515"/>
      <c r="AW208" s="515"/>
      <c r="AX208" s="515"/>
      <c r="AY208" s="515"/>
      <c r="AZ208" s="515"/>
      <c r="BA208" s="515"/>
      <c r="BB208" s="515"/>
      <c r="BC208" s="515"/>
      <c r="BD208" s="515"/>
      <c r="BE208" s="515"/>
      <c r="BF208" s="515"/>
      <c r="BG208" s="515"/>
      <c r="BH208" s="515"/>
      <c r="BI208" s="515"/>
      <c r="BJ208" s="515"/>
      <c r="BK208" s="515"/>
      <c r="BL208" s="515"/>
      <c r="BM208" s="515"/>
      <c r="BN208" s="515"/>
      <c r="BO208" s="515"/>
      <c r="BP208" s="515"/>
      <c r="BQ208" s="515"/>
      <c r="BR208" s="515"/>
      <c r="BS208" s="515"/>
      <c r="BT208" s="515"/>
      <c r="BU208" s="515"/>
      <c r="BV208" s="515"/>
      <c r="BW208" s="515"/>
      <c r="BX208" s="515"/>
      <c r="BY208" s="515"/>
      <c r="BZ208" s="515"/>
      <c r="CA208" s="515"/>
      <c r="CB208" s="515"/>
      <c r="CC208" s="515"/>
      <c r="CD208" s="515"/>
      <c r="CE208" s="515"/>
      <c r="CF208" s="515"/>
      <c r="CG208" s="515"/>
      <c r="CH208" s="515"/>
      <c r="CI208" s="515"/>
      <c r="CJ208" s="515"/>
      <c r="CK208" s="515"/>
      <c r="CL208" s="515"/>
      <c r="CM208" s="515"/>
      <c r="CN208" s="515"/>
      <c r="CO208" s="515"/>
      <c r="CP208" s="515"/>
      <c r="CQ208" s="515"/>
      <c r="CR208" s="515"/>
      <c r="CS208" s="515"/>
      <c r="CT208" s="515"/>
      <c r="CU208" s="515"/>
      <c r="CV208" s="515"/>
      <c r="CW208" s="515"/>
      <c r="CX208" s="515"/>
      <c r="CY208" s="515"/>
      <c r="CZ208" s="515"/>
      <c r="DA208" s="515"/>
      <c r="DB208" s="515"/>
      <c r="DC208" s="515"/>
      <c r="DD208" s="515"/>
      <c r="DE208" s="515"/>
      <c r="DF208" s="515"/>
      <c r="DG208" s="515"/>
      <c r="DH208" s="515"/>
      <c r="DI208" s="515"/>
      <c r="DJ208" s="515"/>
      <c r="DK208" s="515"/>
      <c r="DL208" s="515"/>
      <c r="DM208" s="515"/>
      <c r="DN208" s="515"/>
      <c r="DO208" s="515"/>
      <c r="DP208" s="515"/>
      <c r="DQ208" s="515"/>
      <c r="DR208" s="515"/>
      <c r="DS208" s="515"/>
      <c r="DT208" s="515"/>
      <c r="DU208" s="515"/>
      <c r="DV208" s="515"/>
      <c r="DW208" s="515"/>
      <c r="DX208" s="515"/>
      <c r="DY208" s="515"/>
      <c r="DZ208" s="515"/>
      <c r="EA208" s="515"/>
      <c r="EB208" s="515"/>
      <c r="EC208" s="515"/>
      <c r="ED208" s="515"/>
      <c r="EE208" s="515"/>
      <c r="EF208" s="515"/>
      <c r="EG208" s="515"/>
      <c r="EH208" s="515"/>
      <c r="EI208" s="515"/>
      <c r="EJ208" s="515"/>
      <c r="EK208" s="515"/>
      <c r="EL208" s="515"/>
      <c r="EM208" s="515"/>
      <c r="EN208" s="515"/>
      <c r="EO208" s="515"/>
      <c r="EP208" s="515"/>
      <c r="EQ208" s="515"/>
      <c r="ER208" s="515"/>
      <c r="ES208" s="515"/>
      <c r="ET208" s="515"/>
      <c r="EU208" s="515"/>
      <c r="EV208" s="515"/>
      <c r="EW208" s="515"/>
      <c r="EX208" s="515"/>
      <c r="EY208" s="515"/>
      <c r="EZ208" s="515"/>
      <c r="FA208" s="515"/>
      <c r="FB208" s="515"/>
      <c r="FC208" s="515"/>
      <c r="FD208" s="515"/>
      <c r="FE208" s="515"/>
      <c r="FF208" s="515"/>
      <c r="FG208" s="515"/>
      <c r="FH208" s="515"/>
      <c r="FI208" s="515"/>
      <c r="FJ208" s="515"/>
      <c r="FK208" s="515"/>
      <c r="FL208" s="515"/>
      <c r="FM208" s="515"/>
      <c r="FN208" s="515"/>
      <c r="FO208" s="515"/>
      <c r="FP208" s="515"/>
      <c r="FQ208" s="515"/>
      <c r="FR208" s="515"/>
      <c r="FS208" s="515"/>
      <c r="FT208" s="515"/>
      <c r="FU208" s="515"/>
      <c r="FV208" s="515"/>
      <c r="FW208" s="515"/>
      <c r="FX208" s="515"/>
      <c r="FY208" s="515"/>
      <c r="FZ208" s="515"/>
      <c r="GA208" s="515"/>
      <c r="GB208" s="515"/>
      <c r="GC208" s="515"/>
      <c r="GD208" s="515"/>
      <c r="GE208" s="515"/>
      <c r="GF208" s="515"/>
      <c r="GG208" s="515"/>
      <c r="GH208" s="515"/>
      <c r="GI208" s="515"/>
      <c r="GJ208" s="515"/>
      <c r="GK208" s="515"/>
      <c r="GL208" s="515"/>
      <c r="GM208" s="515"/>
      <c r="GN208" s="515"/>
    </row>
    <row r="209" spans="1:196" s="515" customFormat="1" ht="13.8" hidden="1" outlineLevel="1" x14ac:dyDescent="0.25">
      <c r="A209" s="1407" t="s">
        <v>774</v>
      </c>
      <c r="B209" s="1407" t="s">
        <v>182</v>
      </c>
      <c r="C209" s="1408">
        <f>285409</f>
        <v>285409</v>
      </c>
      <c r="D209" s="1408">
        <f>C209-G209</f>
        <v>0</v>
      </c>
      <c r="E209" s="523" t="s">
        <v>26</v>
      </c>
      <c r="F209" s="1422" t="s">
        <v>188</v>
      </c>
      <c r="G209" s="301">
        <v>285409</v>
      </c>
      <c r="H209" s="505">
        <v>421092</v>
      </c>
      <c r="I209" s="510">
        <f t="shared" si="25"/>
        <v>135683</v>
      </c>
      <c r="J209" s="876">
        <f t="shared" si="27"/>
        <v>0.47539846325799118</v>
      </c>
      <c r="K209" s="526"/>
      <c r="L209" s="1409"/>
      <c r="M209" s="1116"/>
    </row>
    <row r="210" spans="1:196" ht="41.4" collapsed="1" x14ac:dyDescent="0.25">
      <c r="C210" s="923">
        <v>574020</v>
      </c>
      <c r="D210" s="923">
        <f>C210-G210</f>
        <v>156423.05449999997</v>
      </c>
      <c r="E210" s="141" t="s">
        <v>27</v>
      </c>
      <c r="F210" s="142" t="s">
        <v>549</v>
      </c>
      <c r="G210" s="302">
        <v>417596.94550000003</v>
      </c>
      <c r="H210" s="302">
        <v>347837.75069250003</v>
      </c>
      <c r="I210" s="132">
        <f>H210-G210</f>
        <v>-69759.194807499996</v>
      </c>
      <c r="J210" s="867">
        <f t="shared" si="27"/>
        <v>-0.16704910215273591</v>
      </c>
      <c r="K210" s="422"/>
      <c r="L210" s="224"/>
    </row>
    <row r="211" spans="1:196" s="104" customFormat="1" ht="31.2" hidden="1" customHeight="1" outlineLevel="1" x14ac:dyDescent="0.25">
      <c r="A211" s="810" t="s">
        <v>1619</v>
      </c>
      <c r="B211" s="810" t="s">
        <v>228</v>
      </c>
      <c r="C211" s="923"/>
      <c r="D211" s="923"/>
      <c r="E211" s="159"/>
      <c r="F211" s="160" t="s">
        <v>228</v>
      </c>
      <c r="G211" s="304">
        <v>177922.9455</v>
      </c>
      <c r="H211" s="304">
        <v>269218.39069250005</v>
      </c>
      <c r="I211" s="153">
        <f t="shared" ref="I211:I215" si="28">H211-G211</f>
        <v>91295.445192500047</v>
      </c>
      <c r="J211" s="878">
        <f t="shared" si="27"/>
        <v>0.51311788333956088</v>
      </c>
      <c r="K211" s="421" t="s">
        <v>1621</v>
      </c>
      <c r="L211" s="224"/>
      <c r="M211" s="1146"/>
      <c r="N211" s="157"/>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c r="CZ211"/>
      <c r="DA211"/>
      <c r="DB211"/>
      <c r="DC211"/>
      <c r="DD211"/>
      <c r="DE211"/>
      <c r="DF211"/>
      <c r="DG211"/>
      <c r="DH211"/>
      <c r="DI211"/>
      <c r="DJ211"/>
      <c r="DK211"/>
      <c r="DL211"/>
      <c r="DM211"/>
      <c r="DN211"/>
      <c r="DO211"/>
      <c r="DP211"/>
      <c r="DQ211"/>
      <c r="DR211"/>
      <c r="DS211"/>
      <c r="DT211"/>
      <c r="DU211"/>
      <c r="DV211"/>
      <c r="DW211"/>
      <c r="DX211"/>
      <c r="DY211"/>
      <c r="DZ211"/>
      <c r="EA211"/>
      <c r="EB211"/>
      <c r="EC211"/>
      <c r="ED211"/>
      <c r="EE211"/>
      <c r="EF211"/>
      <c r="EG211"/>
      <c r="EH211"/>
      <c r="EI211"/>
      <c r="EJ211"/>
      <c r="EK211"/>
      <c r="EL211"/>
      <c r="EM211"/>
      <c r="EN211"/>
      <c r="EO211"/>
      <c r="EP211"/>
      <c r="EQ211"/>
      <c r="ER211"/>
      <c r="ES211"/>
      <c r="ET211"/>
      <c r="EU211"/>
      <c r="EV211"/>
      <c r="EW211"/>
      <c r="EX211"/>
      <c r="EY211"/>
      <c r="EZ211"/>
      <c r="FA211"/>
      <c r="FB211"/>
      <c r="FC211"/>
      <c r="FD211"/>
      <c r="FE211"/>
      <c r="FF211"/>
      <c r="FG211"/>
      <c r="FH211"/>
      <c r="FI211"/>
      <c r="FJ211"/>
      <c r="FK211"/>
      <c r="FL211"/>
      <c r="FM211"/>
      <c r="FN211"/>
      <c r="FO211"/>
      <c r="FP211"/>
      <c r="FQ211"/>
      <c r="FR211"/>
      <c r="FS211"/>
      <c r="FT211"/>
      <c r="FU211"/>
      <c r="FV211"/>
      <c r="FW211"/>
      <c r="FX211"/>
      <c r="FY211"/>
      <c r="FZ211"/>
      <c r="GA211"/>
      <c r="GB211"/>
      <c r="GC211"/>
      <c r="GD211"/>
      <c r="GE211"/>
      <c r="GF211"/>
      <c r="GG211"/>
      <c r="GH211"/>
      <c r="GI211"/>
      <c r="GJ211"/>
      <c r="GK211"/>
      <c r="GL211"/>
      <c r="GM211"/>
      <c r="GN211"/>
    </row>
    <row r="212" spans="1:196" s="104" customFormat="1" ht="13.8" hidden="1" outlineLevel="1" x14ac:dyDescent="0.25">
      <c r="A212" s="810" t="s">
        <v>1619</v>
      </c>
      <c r="B212" s="810" t="s">
        <v>554</v>
      </c>
      <c r="C212" s="923"/>
      <c r="D212" s="923"/>
      <c r="E212" s="214"/>
      <c r="F212" s="215" t="s">
        <v>198</v>
      </c>
      <c r="G212" s="304">
        <v>49124</v>
      </c>
      <c r="H212" s="304">
        <v>56577</v>
      </c>
      <c r="I212" s="153">
        <f t="shared" si="28"/>
        <v>7453</v>
      </c>
      <c r="J212" s="878">
        <f t="shared" si="27"/>
        <v>0.15171810113182965</v>
      </c>
      <c r="K212" s="419" t="s">
        <v>1615</v>
      </c>
      <c r="L212" s="224"/>
      <c r="M212" s="11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c r="DK212"/>
      <c r="DL212"/>
      <c r="DM212"/>
      <c r="DN212"/>
      <c r="DO212"/>
      <c r="DP212"/>
      <c r="DQ212"/>
      <c r="DR212"/>
      <c r="DS212"/>
      <c r="DT212"/>
      <c r="DU212"/>
      <c r="DV212"/>
      <c r="DW212"/>
      <c r="DX212"/>
      <c r="DY212"/>
      <c r="DZ212"/>
      <c r="EA212"/>
      <c r="EB212"/>
      <c r="EC212"/>
      <c r="ED212"/>
      <c r="EE212"/>
      <c r="EF212"/>
      <c r="EG212"/>
      <c r="EH212"/>
      <c r="EI212"/>
      <c r="EJ212"/>
      <c r="EK212"/>
      <c r="EL212"/>
      <c r="EM212"/>
      <c r="EN212"/>
      <c r="EO212"/>
      <c r="EP212"/>
      <c r="EQ212"/>
      <c r="ER212"/>
      <c r="ES212"/>
      <c r="ET212"/>
      <c r="EU212"/>
      <c r="EV212"/>
      <c r="EW212"/>
      <c r="EX212"/>
      <c r="EY212"/>
      <c r="EZ212"/>
      <c r="FA212"/>
      <c r="FB212"/>
      <c r="FC212"/>
      <c r="FD212"/>
      <c r="FE212"/>
      <c r="FF212"/>
      <c r="FG212"/>
      <c r="FH212"/>
      <c r="FI212"/>
      <c r="FJ212"/>
      <c r="FK212"/>
      <c r="FL212"/>
      <c r="FM212"/>
      <c r="FN212"/>
      <c r="FO212"/>
      <c r="FP212"/>
      <c r="FQ212"/>
      <c r="FR212"/>
      <c r="FS212"/>
      <c r="FT212"/>
      <c r="FU212"/>
      <c r="FV212"/>
      <c r="FW212"/>
      <c r="FX212"/>
      <c r="FY212"/>
      <c r="FZ212"/>
      <c r="GA212"/>
      <c r="GB212"/>
      <c r="GC212"/>
      <c r="GD212"/>
      <c r="GE212"/>
      <c r="GF212"/>
      <c r="GG212"/>
      <c r="GH212"/>
      <c r="GI212"/>
      <c r="GJ212"/>
      <c r="GK212"/>
      <c r="GL212"/>
      <c r="GM212"/>
      <c r="GN212"/>
    </row>
    <row r="213" spans="1:196" s="104" customFormat="1" ht="13.8" hidden="1" outlineLevel="1" x14ac:dyDescent="0.25">
      <c r="A213" s="810" t="s">
        <v>1619</v>
      </c>
      <c r="B213" s="810" t="s">
        <v>556</v>
      </c>
      <c r="C213" s="923"/>
      <c r="D213" s="923"/>
      <c r="E213" s="214"/>
      <c r="F213" s="160" t="s">
        <v>197</v>
      </c>
      <c r="G213" s="304">
        <v>5130</v>
      </c>
      <c r="H213" s="304">
        <v>1900</v>
      </c>
      <c r="I213" s="153">
        <f t="shared" si="28"/>
        <v>-3230</v>
      </c>
      <c r="J213" s="878">
        <f t="shared" si="27"/>
        <v>-0.62962962962962965</v>
      </c>
      <c r="K213" s="433"/>
      <c r="L213" s="224"/>
      <c r="M213" s="107"/>
      <c r="N213"/>
      <c r="O213"/>
      <c r="P213"/>
      <c r="Q213"/>
      <c r="R213"/>
      <c r="S213"/>
      <c r="T213"/>
      <c r="U213"/>
      <c r="V213"/>
      <c r="W213"/>
      <c r="X213"/>
      <c r="Y213"/>
      <c r="Z213"/>
      <c r="AA213"/>
      <c r="AB213"/>
      <c r="AC213"/>
      <c r="AD213"/>
      <c r="AE213"/>
      <c r="AF213"/>
      <c r="AG213"/>
      <c r="AH213"/>
      <c r="AI213"/>
      <c r="AJ213"/>
      <c r="AK213"/>
      <c r="AL213"/>
      <c r="AM213"/>
      <c r="AN213"/>
      <c r="AO213"/>
      <c r="AP213"/>
      <c r="AQ213"/>
      <c r="AR213"/>
      <c r="AS213"/>
      <c r="AT213"/>
      <c r="AU213"/>
      <c r="AV213"/>
      <c r="AW213"/>
      <c r="AX213"/>
      <c r="AY213"/>
      <c r="AZ213"/>
      <c r="BA213"/>
      <c r="BB213"/>
      <c r="BC213"/>
      <c r="BD213"/>
      <c r="BE213"/>
      <c r="BF213"/>
      <c r="BG213"/>
      <c r="BH213"/>
      <c r="BI213"/>
      <c r="BJ213"/>
      <c r="BK213"/>
      <c r="BL213"/>
      <c r="BM213"/>
      <c r="BN213"/>
      <c r="BO213"/>
      <c r="BP213"/>
      <c r="BQ213"/>
      <c r="BR213"/>
      <c r="BS213"/>
      <c r="BT213"/>
      <c r="BU213"/>
      <c r="BV213"/>
      <c r="BW213"/>
      <c r="BX213"/>
      <c r="BY213"/>
      <c r="BZ213"/>
      <c r="CA213"/>
      <c r="CB213"/>
      <c r="CC213"/>
      <c r="CD213"/>
      <c r="CE213"/>
      <c r="CF213"/>
      <c r="CG213"/>
      <c r="CH213"/>
      <c r="CI213"/>
      <c r="CJ213"/>
      <c r="CK213"/>
      <c r="CL213"/>
      <c r="CM213"/>
      <c r="CN213"/>
      <c r="CO213"/>
      <c r="CP213"/>
      <c r="CQ213"/>
      <c r="CR213"/>
      <c r="CS213"/>
      <c r="CT213"/>
      <c r="CU213"/>
      <c r="CV213"/>
      <c r="CW213"/>
      <c r="CX213"/>
      <c r="CY213"/>
      <c r="CZ213"/>
      <c r="DA213"/>
      <c r="DB213"/>
      <c r="DC213"/>
      <c r="DD213"/>
      <c r="DE213"/>
      <c r="DF213"/>
      <c r="DG213"/>
      <c r="DH213"/>
      <c r="DI213"/>
      <c r="DJ213"/>
      <c r="DK213"/>
      <c r="DL213"/>
      <c r="DM213"/>
      <c r="DN213"/>
      <c r="DO213"/>
      <c r="DP213"/>
      <c r="DQ213"/>
      <c r="DR213"/>
      <c r="DS213"/>
      <c r="DT213"/>
      <c r="DU213"/>
      <c r="DV213"/>
      <c r="DW213"/>
      <c r="DX213"/>
      <c r="DY213"/>
      <c r="DZ213"/>
      <c r="EA213"/>
      <c r="EB213"/>
      <c r="EC213"/>
      <c r="ED213"/>
      <c r="EE213"/>
      <c r="EF213"/>
      <c r="EG213"/>
      <c r="EH213"/>
      <c r="EI213"/>
      <c r="EJ213"/>
      <c r="EK213"/>
      <c r="EL213"/>
      <c r="EM213"/>
      <c r="EN213"/>
      <c r="EO213"/>
      <c r="EP213"/>
      <c r="EQ213"/>
      <c r="ER213"/>
      <c r="ES213"/>
      <c r="ET213"/>
      <c r="EU213"/>
      <c r="EV213"/>
      <c r="EW213"/>
      <c r="EX213"/>
      <c r="EY213"/>
      <c r="EZ213"/>
      <c r="FA213"/>
      <c r="FB213"/>
      <c r="FC213"/>
      <c r="FD213"/>
      <c r="FE213"/>
      <c r="FF213"/>
      <c r="FG213"/>
      <c r="FH213"/>
      <c r="FI213"/>
      <c r="FJ213"/>
      <c r="FK213"/>
      <c r="FL213"/>
      <c r="FM213"/>
      <c r="FN213"/>
      <c r="FO213"/>
      <c r="FP213"/>
      <c r="FQ213"/>
      <c r="FR213"/>
      <c r="FS213"/>
      <c r="FT213"/>
      <c r="FU213"/>
      <c r="FV213"/>
      <c r="FW213"/>
      <c r="FX213"/>
      <c r="FY213"/>
      <c r="FZ213"/>
      <c r="GA213"/>
      <c r="GB213"/>
      <c r="GC213"/>
      <c r="GD213"/>
      <c r="GE213"/>
      <c r="GF213"/>
      <c r="GG213"/>
      <c r="GH213"/>
      <c r="GI213"/>
      <c r="GJ213"/>
      <c r="GK213"/>
      <c r="GL213"/>
      <c r="GM213"/>
      <c r="GN213"/>
    </row>
    <row r="214" spans="1:196" s="104" customFormat="1" ht="13.8" hidden="1" outlineLevel="1" x14ac:dyDescent="0.25">
      <c r="A214" s="810" t="s">
        <v>1619</v>
      </c>
      <c r="B214" s="810" t="s">
        <v>621</v>
      </c>
      <c r="C214" s="923">
        <v>341910</v>
      </c>
      <c r="D214" s="923">
        <f>C214-G214</f>
        <v>156490</v>
      </c>
      <c r="E214" s="500"/>
      <c r="F214" s="160" t="s">
        <v>186</v>
      </c>
      <c r="G214" s="307">
        <v>185420</v>
      </c>
      <c r="H214" s="307">
        <v>20142.36</v>
      </c>
      <c r="I214" s="153">
        <f t="shared" si="28"/>
        <v>-165277.64000000001</v>
      </c>
      <c r="J214" s="878">
        <f t="shared" si="27"/>
        <v>-0.89136900010786335</v>
      </c>
      <c r="K214" s="998"/>
      <c r="L214" s="224"/>
      <c r="M214" s="107"/>
      <c r="N214"/>
      <c r="O214"/>
      <c r="P214"/>
      <c r="Q214"/>
      <c r="R214"/>
      <c r="S214"/>
      <c r="T214"/>
      <c r="U214"/>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c r="BC214"/>
      <c r="BD214"/>
      <c r="BE214"/>
      <c r="BF214"/>
      <c r="BG214"/>
      <c r="BH214"/>
      <c r="BI214"/>
      <c r="BJ214"/>
      <c r="BK214"/>
      <c r="BL214"/>
      <c r="BM214"/>
      <c r="BN214"/>
      <c r="BO214"/>
      <c r="BP214"/>
      <c r="BQ214"/>
      <c r="BR214"/>
      <c r="BS214"/>
      <c r="BT214"/>
      <c r="BU214"/>
      <c r="BV214"/>
      <c r="BW214"/>
      <c r="BX214"/>
      <c r="BY214"/>
      <c r="BZ214"/>
      <c r="CA214"/>
      <c r="CB214"/>
      <c r="CC214"/>
      <c r="CD214"/>
      <c r="CE214"/>
      <c r="CF214"/>
      <c r="CG214"/>
      <c r="CH214"/>
      <c r="CI214"/>
      <c r="CJ214"/>
      <c r="CK214"/>
      <c r="CL214"/>
      <c r="CM214"/>
      <c r="CN214"/>
      <c r="CO214"/>
      <c r="CP214"/>
      <c r="CQ214"/>
      <c r="CR214"/>
      <c r="CS214"/>
      <c r="CT214"/>
      <c r="CU214"/>
      <c r="CV214"/>
      <c r="CW214"/>
      <c r="CX214"/>
      <c r="CY214"/>
      <c r="CZ214"/>
      <c r="DA214"/>
      <c r="DB214"/>
      <c r="DC214"/>
      <c r="DD214"/>
      <c r="DE214"/>
      <c r="DF214"/>
      <c r="DG214"/>
      <c r="DH214"/>
      <c r="DI214"/>
      <c r="DJ214"/>
      <c r="DK214"/>
      <c r="DL214"/>
      <c r="DM214"/>
      <c r="DN214"/>
      <c r="DO214"/>
      <c r="DP214"/>
      <c r="DQ214"/>
      <c r="DR214"/>
      <c r="DS214"/>
      <c r="DT214"/>
      <c r="DU214"/>
      <c r="DV214"/>
      <c r="DW214"/>
      <c r="DX214"/>
      <c r="DY214"/>
      <c r="DZ214"/>
      <c r="EA214"/>
      <c r="EB214"/>
      <c r="EC214"/>
      <c r="ED214"/>
      <c r="EE214"/>
      <c r="EF214"/>
      <c r="EG214"/>
      <c r="EH214"/>
      <c r="EI214"/>
      <c r="EJ214"/>
      <c r="EK214"/>
      <c r="EL214"/>
      <c r="EM214"/>
      <c r="EN214"/>
      <c r="EO214"/>
      <c r="EP214"/>
      <c r="EQ214"/>
      <c r="ER214"/>
      <c r="ES214"/>
      <c r="ET214"/>
      <c r="EU214"/>
      <c r="EV214"/>
      <c r="EW214"/>
      <c r="EX214"/>
      <c r="EY214"/>
      <c r="EZ214"/>
      <c r="FA214"/>
      <c r="FB214"/>
      <c r="FC214"/>
      <c r="FD214"/>
      <c r="FE214"/>
      <c r="FF214"/>
      <c r="FG214"/>
      <c r="FH214"/>
      <c r="FI214"/>
      <c r="FJ214"/>
      <c r="FK214"/>
      <c r="FL214"/>
      <c r="FM214"/>
      <c r="FN214"/>
      <c r="FO214"/>
      <c r="FP214"/>
      <c r="FQ214"/>
      <c r="FR214"/>
      <c r="FS214"/>
      <c r="FT214"/>
      <c r="FU214"/>
      <c r="FV214"/>
      <c r="FW214"/>
      <c r="FX214"/>
      <c r="FY214"/>
      <c r="FZ214"/>
      <c r="GA214"/>
      <c r="GB214"/>
      <c r="GC214"/>
      <c r="GD214"/>
      <c r="GE214"/>
      <c r="GF214"/>
      <c r="GG214"/>
      <c r="GH214"/>
      <c r="GI214"/>
      <c r="GJ214"/>
      <c r="GK214"/>
      <c r="GL214"/>
      <c r="GM214"/>
      <c r="GN214"/>
    </row>
    <row r="215" spans="1:196" s="525" customFormat="1" ht="16.2" hidden="1" customHeight="1" outlineLevel="1" x14ac:dyDescent="0.25">
      <c r="A215" s="1407" t="s">
        <v>1619</v>
      </c>
      <c r="B215" s="1407" t="s">
        <v>192</v>
      </c>
      <c r="C215" s="1408"/>
      <c r="D215" s="1408"/>
      <c r="E215" s="528"/>
      <c r="F215" s="1097" t="s">
        <v>1620</v>
      </c>
      <c r="G215" s="301">
        <v>175508</v>
      </c>
      <c r="H215" s="505">
        <v>161090</v>
      </c>
      <c r="I215" s="510">
        <f t="shared" si="28"/>
        <v>-14418</v>
      </c>
      <c r="J215" s="876">
        <f t="shared" si="27"/>
        <v>-8.2150101419878302E-2</v>
      </c>
      <c r="K215" s="526">
        <f>G215*$K$103</f>
        <v>0</v>
      </c>
      <c r="L215" s="1409"/>
      <c r="M215" s="1116"/>
      <c r="N215" s="515"/>
      <c r="O215" s="515"/>
      <c r="P215" s="515"/>
      <c r="Q215" s="515"/>
      <c r="R215" s="515"/>
      <c r="S215" s="515"/>
      <c r="T215" s="515"/>
      <c r="U215" s="515"/>
      <c r="V215" s="515"/>
      <c r="W215" s="515"/>
      <c r="X215" s="515"/>
      <c r="Y215" s="515"/>
      <c r="Z215" s="515"/>
      <c r="AA215" s="515"/>
      <c r="AB215" s="515"/>
      <c r="AC215" s="515"/>
      <c r="AD215" s="515"/>
      <c r="AE215" s="515"/>
      <c r="AF215" s="515"/>
      <c r="AG215" s="515"/>
      <c r="AH215" s="515"/>
      <c r="AI215" s="515"/>
      <c r="AJ215" s="515"/>
      <c r="AK215" s="515"/>
      <c r="AL215" s="515"/>
      <c r="AM215" s="515"/>
      <c r="AN215" s="515"/>
      <c r="AO215" s="515"/>
      <c r="AP215" s="515"/>
      <c r="AQ215" s="515"/>
      <c r="AR215" s="515"/>
      <c r="AS215" s="515"/>
      <c r="AT215" s="515"/>
      <c r="AU215" s="515"/>
      <c r="AV215" s="515"/>
      <c r="AW215" s="515"/>
      <c r="AX215" s="515"/>
      <c r="AY215" s="515"/>
      <c r="AZ215" s="515"/>
      <c r="BA215" s="515"/>
      <c r="BB215" s="515"/>
      <c r="BC215" s="515"/>
      <c r="BD215" s="515"/>
      <c r="BE215" s="515"/>
      <c r="BF215" s="515"/>
      <c r="BG215" s="515"/>
      <c r="BH215" s="515"/>
      <c r="BI215" s="515"/>
      <c r="BJ215" s="515"/>
      <c r="BK215" s="515"/>
      <c r="BL215" s="515"/>
      <c r="BM215" s="515"/>
      <c r="BN215" s="515"/>
      <c r="BO215" s="515"/>
      <c r="BP215" s="515"/>
      <c r="BQ215" s="515"/>
      <c r="BR215" s="515"/>
      <c r="BS215" s="515"/>
      <c r="BT215" s="515"/>
      <c r="BU215" s="515"/>
      <c r="BV215" s="515"/>
      <c r="BW215" s="515"/>
      <c r="BX215" s="515"/>
      <c r="BY215" s="515"/>
      <c r="BZ215" s="515"/>
      <c r="CA215" s="515"/>
      <c r="CB215" s="515"/>
      <c r="CC215" s="515"/>
      <c r="CD215" s="515"/>
      <c r="CE215" s="515"/>
      <c r="CF215" s="515"/>
      <c r="CG215" s="515"/>
      <c r="CH215" s="515"/>
      <c r="CI215" s="515"/>
      <c r="CJ215" s="515"/>
      <c r="CK215" s="515"/>
      <c r="CL215" s="515"/>
      <c r="CM215" s="515"/>
      <c r="CN215" s="515"/>
      <c r="CO215" s="515"/>
      <c r="CP215" s="515"/>
      <c r="CQ215" s="515"/>
      <c r="CR215" s="515"/>
      <c r="CS215" s="515"/>
      <c r="CT215" s="515"/>
      <c r="CU215" s="515"/>
      <c r="CV215" s="515"/>
      <c r="CW215" s="515"/>
      <c r="CX215" s="515"/>
      <c r="CY215" s="515"/>
      <c r="CZ215" s="515"/>
      <c r="DA215" s="515"/>
      <c r="DB215" s="515"/>
      <c r="DC215" s="515"/>
      <c r="DD215" s="515"/>
      <c r="DE215" s="515"/>
      <c r="DF215" s="515"/>
      <c r="DG215" s="515"/>
      <c r="DH215" s="515"/>
      <c r="DI215" s="515"/>
      <c r="DJ215" s="515"/>
      <c r="DK215" s="515"/>
      <c r="DL215" s="515"/>
      <c r="DM215" s="515"/>
      <c r="DN215" s="515"/>
      <c r="DO215" s="515"/>
      <c r="DP215" s="515"/>
      <c r="DQ215" s="515"/>
      <c r="DR215" s="515"/>
      <c r="DS215" s="515"/>
      <c r="DT215" s="515"/>
      <c r="DU215" s="515"/>
      <c r="DV215" s="515"/>
      <c r="DW215" s="515"/>
      <c r="DX215" s="515"/>
      <c r="DY215" s="515"/>
      <c r="DZ215" s="515"/>
      <c r="EA215" s="515"/>
      <c r="EB215" s="515"/>
      <c r="EC215" s="515"/>
      <c r="ED215" s="515"/>
      <c r="EE215" s="515"/>
      <c r="EF215" s="515"/>
      <c r="EG215" s="515"/>
      <c r="EH215" s="515"/>
      <c r="EI215" s="515"/>
      <c r="EJ215" s="515"/>
      <c r="EK215" s="515"/>
      <c r="EL215" s="515"/>
      <c r="EM215" s="515"/>
      <c r="EN215" s="515"/>
      <c r="EO215" s="515"/>
      <c r="EP215" s="515"/>
      <c r="EQ215" s="515"/>
      <c r="ER215" s="515"/>
      <c r="ES215" s="515"/>
      <c r="ET215" s="515"/>
      <c r="EU215" s="515"/>
      <c r="EV215" s="515"/>
      <c r="EW215" s="515"/>
      <c r="EX215" s="515"/>
      <c r="EY215" s="515"/>
      <c r="EZ215" s="515"/>
      <c r="FA215" s="515"/>
      <c r="FB215" s="515"/>
      <c r="FC215" s="515"/>
      <c r="FD215" s="515"/>
      <c r="FE215" s="515"/>
      <c r="FF215" s="515"/>
      <c r="FG215" s="515"/>
      <c r="FH215" s="515"/>
      <c r="FI215" s="515"/>
      <c r="FJ215" s="515"/>
      <c r="FK215" s="515"/>
      <c r="FL215" s="515"/>
      <c r="FM215" s="515"/>
      <c r="FN215" s="515"/>
      <c r="FO215" s="515"/>
      <c r="FP215" s="515"/>
      <c r="FQ215" s="515"/>
      <c r="FR215" s="515"/>
      <c r="FS215" s="515"/>
      <c r="FT215" s="515"/>
      <c r="FU215" s="515"/>
      <c r="FV215" s="515"/>
      <c r="FW215" s="515"/>
      <c r="FX215" s="515"/>
      <c r="FY215" s="515"/>
      <c r="FZ215" s="515"/>
      <c r="GA215" s="515"/>
      <c r="GB215" s="515"/>
      <c r="GC215" s="515"/>
      <c r="GD215" s="515"/>
      <c r="GE215" s="515"/>
      <c r="GF215" s="515"/>
      <c r="GG215" s="515"/>
      <c r="GH215" s="515"/>
      <c r="GI215" s="515"/>
      <c r="GJ215" s="515"/>
      <c r="GK215" s="515"/>
      <c r="GL215" s="515"/>
      <c r="GM215" s="515"/>
      <c r="GN215" s="515"/>
    </row>
    <row r="216" spans="1:196" s="525" customFormat="1" ht="28.2" hidden="1" customHeight="1" outlineLevel="1" x14ac:dyDescent="0.25">
      <c r="A216" s="1407" t="s">
        <v>775</v>
      </c>
      <c r="B216" s="1407" t="s">
        <v>192</v>
      </c>
      <c r="C216" s="1408"/>
      <c r="D216" s="1408"/>
      <c r="E216" s="528"/>
      <c r="F216" s="1097" t="s">
        <v>363</v>
      </c>
      <c r="G216" s="1424">
        <v>156490</v>
      </c>
      <c r="H216" s="518">
        <v>330670</v>
      </c>
      <c r="I216" s="510">
        <f>H216-G216</f>
        <v>174180</v>
      </c>
      <c r="J216" s="876">
        <f t="shared" si="27"/>
        <v>1.1130423669244041</v>
      </c>
      <c r="K216" s="1423" t="s">
        <v>1622</v>
      </c>
      <c r="L216" s="1409"/>
      <c r="M216" s="1116"/>
      <c r="N216" s="515"/>
      <c r="O216" s="515"/>
      <c r="P216" s="515"/>
      <c r="Q216" s="515"/>
      <c r="R216" s="515"/>
      <c r="S216" s="515"/>
      <c r="T216" s="515"/>
      <c r="U216" s="515"/>
      <c r="V216" s="515"/>
      <c r="W216" s="515"/>
      <c r="X216" s="515"/>
      <c r="Y216" s="515"/>
      <c r="Z216" s="515"/>
      <c r="AA216" s="515"/>
      <c r="AB216" s="515"/>
      <c r="AC216" s="515"/>
      <c r="AD216" s="515"/>
      <c r="AE216" s="515"/>
      <c r="AF216" s="515"/>
      <c r="AG216" s="515"/>
      <c r="AH216" s="515"/>
      <c r="AI216" s="515"/>
      <c r="AJ216" s="515"/>
      <c r="AK216" s="515"/>
      <c r="AL216" s="515"/>
      <c r="AM216" s="515"/>
      <c r="AN216" s="515"/>
      <c r="AO216" s="515"/>
      <c r="AP216" s="515"/>
      <c r="AQ216" s="515"/>
      <c r="AR216" s="515"/>
      <c r="AS216" s="515"/>
      <c r="AT216" s="515"/>
      <c r="AU216" s="515"/>
      <c r="AV216" s="515"/>
      <c r="AW216" s="515"/>
      <c r="AX216" s="515"/>
      <c r="AY216" s="515"/>
      <c r="AZ216" s="515"/>
      <c r="BA216" s="515"/>
      <c r="BB216" s="515"/>
      <c r="BC216" s="515"/>
      <c r="BD216" s="515"/>
      <c r="BE216" s="515"/>
      <c r="BF216" s="515"/>
      <c r="BG216" s="515"/>
      <c r="BH216" s="515"/>
      <c r="BI216" s="515"/>
      <c r="BJ216" s="515"/>
      <c r="BK216" s="515"/>
      <c r="BL216" s="515"/>
      <c r="BM216" s="515"/>
      <c r="BN216" s="515"/>
      <c r="BO216" s="515"/>
      <c r="BP216" s="515"/>
      <c r="BQ216" s="515"/>
      <c r="BR216" s="515"/>
      <c r="BS216" s="515"/>
      <c r="BT216" s="515"/>
      <c r="BU216" s="515"/>
      <c r="BV216" s="515"/>
      <c r="BW216" s="515"/>
      <c r="BX216" s="515"/>
      <c r="BY216" s="515"/>
      <c r="BZ216" s="515"/>
      <c r="CA216" s="515"/>
      <c r="CB216" s="515"/>
      <c r="CC216" s="515"/>
      <c r="CD216" s="515"/>
      <c r="CE216" s="515"/>
      <c r="CF216" s="515"/>
      <c r="CG216" s="515"/>
      <c r="CH216" s="515"/>
      <c r="CI216" s="515"/>
      <c r="CJ216" s="515"/>
      <c r="CK216" s="515"/>
      <c r="CL216" s="515"/>
      <c r="CM216" s="515"/>
      <c r="CN216" s="515"/>
      <c r="CO216" s="515"/>
      <c r="CP216" s="515"/>
      <c r="CQ216" s="515"/>
      <c r="CR216" s="515"/>
      <c r="CS216" s="515"/>
      <c r="CT216" s="515"/>
      <c r="CU216" s="515"/>
      <c r="CV216" s="515"/>
      <c r="CW216" s="515"/>
      <c r="CX216" s="515"/>
      <c r="CY216" s="515"/>
      <c r="CZ216" s="515"/>
      <c r="DA216" s="515"/>
      <c r="DB216" s="515"/>
      <c r="DC216" s="515"/>
      <c r="DD216" s="515"/>
      <c r="DE216" s="515"/>
      <c r="DF216" s="515"/>
      <c r="DG216" s="515"/>
      <c r="DH216" s="515"/>
      <c r="DI216" s="515"/>
      <c r="DJ216" s="515"/>
      <c r="DK216" s="515"/>
      <c r="DL216" s="515"/>
      <c r="DM216" s="515"/>
      <c r="DN216" s="515"/>
      <c r="DO216" s="515"/>
      <c r="DP216" s="515"/>
      <c r="DQ216" s="515"/>
      <c r="DR216" s="515"/>
      <c r="DS216" s="515"/>
      <c r="DT216" s="515"/>
      <c r="DU216" s="515"/>
      <c r="DV216" s="515"/>
      <c r="DW216" s="515"/>
      <c r="DX216" s="515"/>
      <c r="DY216" s="515"/>
      <c r="DZ216" s="515"/>
      <c r="EA216" s="515"/>
      <c r="EB216" s="515"/>
      <c r="EC216" s="515"/>
      <c r="ED216" s="515"/>
      <c r="EE216" s="515"/>
      <c r="EF216" s="515"/>
      <c r="EG216" s="515"/>
      <c r="EH216" s="515"/>
      <c r="EI216" s="515"/>
      <c r="EJ216" s="515"/>
      <c r="EK216" s="515"/>
      <c r="EL216" s="515"/>
      <c r="EM216" s="515"/>
      <c r="EN216" s="515"/>
      <c r="EO216" s="515"/>
      <c r="EP216" s="515"/>
      <c r="EQ216" s="515"/>
      <c r="ER216" s="515"/>
      <c r="ES216" s="515"/>
      <c r="ET216" s="515"/>
      <c r="EU216" s="515"/>
      <c r="EV216" s="515"/>
      <c r="EW216" s="515"/>
      <c r="EX216" s="515"/>
      <c r="EY216" s="515"/>
      <c r="EZ216" s="515"/>
      <c r="FA216" s="515"/>
      <c r="FB216" s="515"/>
      <c r="FC216" s="515"/>
      <c r="FD216" s="515"/>
      <c r="FE216" s="515"/>
      <c r="FF216" s="515"/>
      <c r="FG216" s="515"/>
      <c r="FH216" s="515"/>
      <c r="FI216" s="515"/>
      <c r="FJ216" s="515"/>
      <c r="FK216" s="515"/>
      <c r="FL216" s="515"/>
      <c r="FM216" s="515"/>
      <c r="FN216" s="515"/>
      <c r="FO216" s="515"/>
      <c r="FP216" s="515"/>
      <c r="FQ216" s="515"/>
      <c r="FR216" s="515"/>
      <c r="FS216" s="515"/>
      <c r="FT216" s="515"/>
      <c r="FU216" s="515"/>
      <c r="FV216" s="515"/>
      <c r="FW216" s="515"/>
      <c r="FX216" s="515"/>
      <c r="FY216" s="515"/>
      <c r="FZ216" s="515"/>
      <c r="GA216" s="515"/>
      <c r="GB216" s="515"/>
      <c r="GC216" s="515"/>
      <c r="GD216" s="515"/>
      <c r="GE216" s="515"/>
      <c r="GF216" s="515"/>
      <c r="GG216" s="515"/>
      <c r="GH216" s="515"/>
      <c r="GI216" s="515"/>
      <c r="GJ216" s="515"/>
      <c r="GK216" s="515"/>
      <c r="GL216" s="515"/>
      <c r="GM216" s="515"/>
      <c r="GN216" s="515"/>
    </row>
    <row r="217" spans="1:196" ht="41.4" collapsed="1" x14ac:dyDescent="0.25">
      <c r="C217" s="923">
        <v>68712</v>
      </c>
      <c r="D217" s="923">
        <f>C217-G217</f>
        <v>66761</v>
      </c>
      <c r="E217" s="141" t="s">
        <v>90</v>
      </c>
      <c r="F217" s="142" t="s">
        <v>550</v>
      </c>
      <c r="G217" s="302">
        <v>1951</v>
      </c>
      <c r="H217" s="302">
        <v>0</v>
      </c>
      <c r="I217" s="132">
        <f>H217-G217</f>
        <v>-1951</v>
      </c>
      <c r="J217" s="867">
        <f t="shared" si="27"/>
        <v>-1</v>
      </c>
      <c r="K217" s="1388"/>
      <c r="L217" s="224"/>
    </row>
    <row r="218" spans="1:196" s="104" customFormat="1" ht="13.95" hidden="1" customHeight="1" outlineLevel="1" x14ac:dyDescent="0.25">
      <c r="A218" s="810" t="s">
        <v>776</v>
      </c>
      <c r="B218" s="810" t="s">
        <v>228</v>
      </c>
      <c r="C218" s="923"/>
      <c r="D218" s="923"/>
      <c r="E218" s="159"/>
      <c r="F218" s="160" t="s">
        <v>228</v>
      </c>
      <c r="G218" s="296">
        <v>0</v>
      </c>
      <c r="H218" s="304">
        <v>0</v>
      </c>
      <c r="I218" s="153">
        <f>H218-G218</f>
        <v>0</v>
      </c>
      <c r="J218" s="878" t="str">
        <f t="shared" si="27"/>
        <v>-</v>
      </c>
      <c r="K218" s="428"/>
      <c r="L218" s="224"/>
      <c r="M218" s="107"/>
      <c r="N218"/>
      <c r="O218"/>
      <c r="P218"/>
      <c r="Q218"/>
      <c r="R218"/>
      <c r="S218"/>
      <c r="T218"/>
      <c r="U218"/>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c r="BB218"/>
      <c r="BC218"/>
      <c r="BD218"/>
      <c r="BE218"/>
      <c r="BF218"/>
      <c r="BG218"/>
      <c r="BH218"/>
      <c r="BI218"/>
      <c r="BJ218"/>
      <c r="BK218"/>
      <c r="BL218"/>
      <c r="BM218"/>
      <c r="BN218"/>
      <c r="BO218"/>
      <c r="BP218"/>
      <c r="BQ218"/>
      <c r="BR218"/>
      <c r="BS218"/>
      <c r="BT218"/>
      <c r="BU218"/>
      <c r="BV218"/>
      <c r="BW218"/>
      <c r="BX218"/>
      <c r="BY218"/>
      <c r="BZ218"/>
      <c r="CA218"/>
      <c r="CB218"/>
      <c r="CC218"/>
      <c r="CD218"/>
      <c r="CE218"/>
      <c r="CF218"/>
      <c r="CG218"/>
      <c r="CH218"/>
      <c r="CI218"/>
      <c r="CJ218"/>
      <c r="CK218"/>
      <c r="CL218"/>
      <c r="CM218"/>
      <c r="CN218"/>
      <c r="CO218"/>
      <c r="CP218"/>
      <c r="CQ218"/>
      <c r="CR218"/>
      <c r="CS218"/>
      <c r="CT218"/>
      <c r="CU218"/>
      <c r="CV218"/>
      <c r="CW218"/>
      <c r="CX218"/>
      <c r="CY218"/>
      <c r="CZ218"/>
      <c r="DA218"/>
      <c r="DB218"/>
      <c r="DC218"/>
      <c r="DD218"/>
      <c r="DE218"/>
      <c r="DF218"/>
      <c r="DG218"/>
      <c r="DH218"/>
      <c r="DI218"/>
      <c r="DJ218"/>
      <c r="DK218"/>
      <c r="DL218"/>
      <c r="DM218"/>
      <c r="DN218"/>
      <c r="DO218"/>
      <c r="DP218"/>
      <c r="DQ218"/>
      <c r="DR218"/>
      <c r="DS218"/>
      <c r="DT218"/>
      <c r="DU218"/>
      <c r="DV218"/>
      <c r="DW218"/>
      <c r="DX218"/>
      <c r="DY218"/>
      <c r="DZ218"/>
      <c r="EA218"/>
      <c r="EB218"/>
      <c r="EC218"/>
      <c r="ED218"/>
      <c r="EE218"/>
      <c r="EF218"/>
      <c r="EG218"/>
      <c r="EH218"/>
      <c r="EI218"/>
      <c r="EJ218"/>
      <c r="EK218"/>
      <c r="EL218"/>
      <c r="EM218"/>
      <c r="EN218"/>
      <c r="EO218"/>
      <c r="EP218"/>
      <c r="EQ218"/>
      <c r="ER218"/>
      <c r="ES218"/>
      <c r="ET218"/>
      <c r="EU218"/>
      <c r="EV218"/>
      <c r="EW218"/>
      <c r="EX218"/>
      <c r="EY218"/>
      <c r="EZ218"/>
      <c r="FA218"/>
      <c r="FB218"/>
      <c r="FC218"/>
      <c r="FD218"/>
      <c r="FE218"/>
      <c r="FF218"/>
      <c r="FG218"/>
      <c r="FH218"/>
      <c r="FI218"/>
      <c r="FJ218"/>
      <c r="FK218"/>
      <c r="FL218"/>
      <c r="FM218"/>
      <c r="FN218"/>
      <c r="FO218"/>
      <c r="FP218"/>
      <c r="FQ218"/>
      <c r="FR218"/>
      <c r="FS218"/>
      <c r="FT218"/>
      <c r="FU218"/>
      <c r="FV218"/>
      <c r="FW218"/>
      <c r="FX218"/>
      <c r="FY218"/>
      <c r="FZ218"/>
      <c r="GA218"/>
      <c r="GB218"/>
      <c r="GC218"/>
      <c r="GD218"/>
      <c r="GE218"/>
      <c r="GF218"/>
      <c r="GG218"/>
      <c r="GH218"/>
      <c r="GI218"/>
      <c r="GJ218"/>
      <c r="GK218"/>
      <c r="GL218"/>
      <c r="GM218"/>
      <c r="GN218"/>
    </row>
    <row r="219" spans="1:196" s="104" customFormat="1" ht="13.8" hidden="1" outlineLevel="1" x14ac:dyDescent="0.25">
      <c r="A219" s="810" t="s">
        <v>776</v>
      </c>
      <c r="B219" s="810" t="s">
        <v>554</v>
      </c>
      <c r="C219" s="923">
        <v>68712</v>
      </c>
      <c r="D219" s="923">
        <f>C219-G219</f>
        <v>68712</v>
      </c>
      <c r="E219" s="214"/>
      <c r="F219" s="215" t="s">
        <v>198</v>
      </c>
      <c r="G219" s="296">
        <v>0</v>
      </c>
      <c r="H219" s="304">
        <v>0</v>
      </c>
      <c r="I219" s="153">
        <f>H219-G219</f>
        <v>0</v>
      </c>
      <c r="J219" s="878" t="str">
        <f t="shared" si="27"/>
        <v>-</v>
      </c>
      <c r="K219" s="428"/>
      <c r="L219" s="224"/>
      <c r="M219" s="107"/>
      <c r="N219"/>
      <c r="O219"/>
      <c r="P219"/>
      <c r="Q219"/>
      <c r="R219"/>
      <c r="S219"/>
      <c r="T219"/>
      <c r="U219"/>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c r="BB219"/>
      <c r="BC219"/>
      <c r="BD219"/>
      <c r="BE219"/>
      <c r="BF219"/>
      <c r="BG219"/>
      <c r="BH219"/>
      <c r="BI219"/>
      <c r="BJ219"/>
      <c r="BK219"/>
      <c r="BL219"/>
      <c r="BM219"/>
      <c r="BN219"/>
      <c r="BO219"/>
      <c r="BP219"/>
      <c r="BQ219"/>
      <c r="BR219"/>
      <c r="BS219"/>
      <c r="BT219"/>
      <c r="BU219"/>
      <c r="BV219"/>
      <c r="BW219"/>
      <c r="BX219"/>
      <c r="BY219"/>
      <c r="BZ219"/>
      <c r="CA219"/>
      <c r="CB219"/>
      <c r="CC219"/>
      <c r="CD219"/>
      <c r="CE219"/>
      <c r="CF219"/>
      <c r="CG219"/>
      <c r="CH219"/>
      <c r="CI219"/>
      <c r="CJ219"/>
      <c r="CK219"/>
      <c r="CL219"/>
      <c r="CM219"/>
      <c r="CN219"/>
      <c r="CO219"/>
      <c r="CP219"/>
      <c r="CQ219"/>
      <c r="CR219"/>
      <c r="CS219"/>
      <c r="CT219"/>
      <c r="CU219"/>
      <c r="CV219"/>
      <c r="CW219"/>
      <c r="CX219"/>
      <c r="CY219"/>
      <c r="CZ219"/>
      <c r="DA219"/>
      <c r="DB219"/>
      <c r="DC219"/>
      <c r="DD219"/>
      <c r="DE219"/>
      <c r="DF219"/>
      <c r="DG219"/>
      <c r="DH219"/>
      <c r="DI219"/>
      <c r="DJ219"/>
      <c r="DK219"/>
      <c r="DL219"/>
      <c r="DM219"/>
      <c r="DN219"/>
      <c r="DO219"/>
      <c r="DP219"/>
      <c r="DQ219"/>
      <c r="DR219"/>
      <c r="DS219"/>
      <c r="DT219"/>
      <c r="DU219"/>
      <c r="DV219"/>
      <c r="DW219"/>
      <c r="DX219"/>
      <c r="DY219"/>
      <c r="DZ219"/>
      <c r="EA219"/>
      <c r="EB219"/>
      <c r="EC219"/>
      <c r="ED219"/>
      <c r="EE219"/>
      <c r="EF219"/>
      <c r="EG219"/>
      <c r="EH219"/>
      <c r="EI219"/>
      <c r="EJ219"/>
      <c r="EK219"/>
      <c r="EL219"/>
      <c r="EM219"/>
      <c r="EN219"/>
      <c r="EO219"/>
      <c r="EP219"/>
      <c r="EQ219"/>
      <c r="ER219"/>
      <c r="ES219"/>
      <c r="ET219"/>
      <c r="EU219"/>
      <c r="EV219"/>
      <c r="EW219"/>
      <c r="EX219"/>
      <c r="EY219"/>
      <c r="EZ219"/>
      <c r="FA219"/>
      <c r="FB219"/>
      <c r="FC219"/>
      <c r="FD219"/>
      <c r="FE219"/>
      <c r="FF219"/>
      <c r="FG219"/>
      <c r="FH219"/>
      <c r="FI219"/>
      <c r="FJ219"/>
      <c r="FK219"/>
      <c r="FL219"/>
      <c r="FM219"/>
      <c r="FN219"/>
      <c r="FO219"/>
      <c r="FP219"/>
      <c r="FQ219"/>
      <c r="FR219"/>
      <c r="FS219"/>
      <c r="FT219"/>
      <c r="FU219"/>
      <c r="FV219"/>
      <c r="FW219"/>
      <c r="FX219"/>
      <c r="FY219"/>
      <c r="FZ219"/>
      <c r="GA219"/>
      <c r="GB219"/>
      <c r="GC219"/>
      <c r="GD219"/>
      <c r="GE219"/>
      <c r="GF219"/>
      <c r="GG219"/>
      <c r="GH219"/>
      <c r="GI219"/>
      <c r="GJ219"/>
      <c r="GK219"/>
      <c r="GL219"/>
      <c r="GM219"/>
      <c r="GN219"/>
    </row>
    <row r="220" spans="1:196" s="104" customFormat="1" ht="13.8" hidden="1" outlineLevel="1" x14ac:dyDescent="0.25">
      <c r="A220" s="810" t="s">
        <v>776</v>
      </c>
      <c r="B220" s="810" t="s">
        <v>621</v>
      </c>
      <c r="C220" s="923">
        <v>1951</v>
      </c>
      <c r="D220" s="923">
        <f>C220-G220</f>
        <v>0</v>
      </c>
      <c r="E220" s="214"/>
      <c r="F220" s="160" t="s">
        <v>186</v>
      </c>
      <c r="G220" s="296">
        <v>1951</v>
      </c>
      <c r="H220" s="304">
        <v>0</v>
      </c>
      <c r="I220" s="303"/>
      <c r="J220" s="890">
        <f t="shared" si="27"/>
        <v>0</v>
      </c>
      <c r="K220" s="433"/>
      <c r="L220" s="224"/>
      <c r="M220" s="107"/>
      <c r="N220"/>
      <c r="O220"/>
      <c r="P220"/>
      <c r="Q220"/>
      <c r="R220"/>
      <c r="S220"/>
      <c r="T220"/>
      <c r="U220"/>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c r="BD220"/>
      <c r="BE220"/>
      <c r="BF220"/>
      <c r="BG220"/>
      <c r="BH220"/>
      <c r="BI220"/>
      <c r="BJ220"/>
      <c r="BK220"/>
      <c r="BL220"/>
      <c r="BM220"/>
      <c r="BN220"/>
      <c r="BO220"/>
      <c r="BP220"/>
      <c r="BQ220"/>
      <c r="BR220"/>
      <c r="BS220"/>
      <c r="BT220"/>
      <c r="BU220"/>
      <c r="BV220"/>
      <c r="BW220"/>
      <c r="BX220"/>
      <c r="BY220"/>
      <c r="BZ220"/>
      <c r="CA220"/>
      <c r="CB220"/>
      <c r="CC220"/>
      <c r="CD220"/>
      <c r="CE220"/>
      <c r="CF220"/>
      <c r="CG220"/>
      <c r="CH220"/>
      <c r="CI220"/>
      <c r="CJ220"/>
      <c r="CK220"/>
      <c r="CL220"/>
      <c r="CM220"/>
      <c r="CN220"/>
      <c r="CO220"/>
      <c r="CP220"/>
      <c r="CQ220"/>
      <c r="CR220"/>
      <c r="CS220"/>
      <c r="CT220"/>
      <c r="CU220"/>
      <c r="CV220"/>
      <c r="CW220"/>
      <c r="CX220"/>
      <c r="CY220"/>
      <c r="CZ220"/>
      <c r="DA220"/>
      <c r="DB220"/>
      <c r="DC220"/>
      <c r="DD220"/>
      <c r="DE220"/>
      <c r="DF220"/>
      <c r="DG220"/>
      <c r="DH220"/>
      <c r="DI220"/>
      <c r="DJ220"/>
      <c r="DK220"/>
      <c r="DL220"/>
      <c r="DM220"/>
      <c r="DN220"/>
      <c r="DO220"/>
      <c r="DP220"/>
      <c r="DQ220"/>
      <c r="DR220"/>
      <c r="DS220"/>
      <c r="DT220"/>
      <c r="DU220"/>
      <c r="DV220"/>
      <c r="DW220"/>
      <c r="DX220"/>
      <c r="DY220"/>
      <c r="DZ220"/>
      <c r="EA220"/>
      <c r="EB220"/>
      <c r="EC220"/>
      <c r="ED220"/>
      <c r="EE220"/>
      <c r="EF220"/>
      <c r="EG220"/>
      <c r="EH220"/>
      <c r="EI220"/>
      <c r="EJ220"/>
      <c r="EK220"/>
      <c r="EL220"/>
      <c r="EM220"/>
      <c r="EN220"/>
      <c r="EO220"/>
      <c r="EP220"/>
      <c r="EQ220"/>
      <c r="ER220"/>
      <c r="ES220"/>
      <c r="ET220"/>
      <c r="EU220"/>
      <c r="EV220"/>
      <c r="EW220"/>
      <c r="EX220"/>
      <c r="EY220"/>
      <c r="EZ220"/>
      <c r="FA220"/>
      <c r="FB220"/>
      <c r="FC220"/>
      <c r="FD220"/>
      <c r="FE220"/>
      <c r="FF220"/>
      <c r="FG220"/>
      <c r="FH220"/>
      <c r="FI220"/>
      <c r="FJ220"/>
      <c r="FK220"/>
      <c r="FL220"/>
      <c r="FM220"/>
      <c r="FN220"/>
      <c r="FO220"/>
      <c r="FP220"/>
      <c r="FQ220"/>
      <c r="FR220"/>
      <c r="FS220"/>
      <c r="FT220"/>
      <c r="FU220"/>
      <c r="FV220"/>
      <c r="FW220"/>
      <c r="FX220"/>
      <c r="FY220"/>
      <c r="FZ220"/>
      <c r="GA220"/>
      <c r="GB220"/>
      <c r="GC220"/>
      <c r="GD220"/>
      <c r="GE220"/>
      <c r="GF220"/>
      <c r="GG220"/>
      <c r="GH220"/>
      <c r="GI220"/>
      <c r="GJ220"/>
      <c r="GK220"/>
      <c r="GL220"/>
      <c r="GM220"/>
      <c r="GN220"/>
    </row>
    <row r="221" spans="1:196" s="1432" customFormat="1" ht="16.2" hidden="1" customHeight="1" outlineLevel="1" x14ac:dyDescent="0.25">
      <c r="A221" s="1433" t="s">
        <v>776</v>
      </c>
      <c r="B221" s="1433" t="s">
        <v>192</v>
      </c>
      <c r="C221" s="1434"/>
      <c r="D221" s="1434"/>
      <c r="E221" s="1425"/>
      <c r="F221" s="1426" t="s">
        <v>362</v>
      </c>
      <c r="G221" s="1435">
        <v>68712</v>
      </c>
      <c r="H221" s="1435">
        <v>0</v>
      </c>
      <c r="I221" s="1427">
        <f t="shared" ref="I221:I226" si="29">H221-G221</f>
        <v>-68712</v>
      </c>
      <c r="J221" s="1428">
        <f t="shared" si="27"/>
        <v>-1</v>
      </c>
      <c r="K221" s="1429"/>
      <c r="L221" s="1436"/>
      <c r="M221" s="1430"/>
      <c r="N221" s="1431"/>
      <c r="O221" s="1431"/>
      <c r="P221" s="1431"/>
      <c r="Q221" s="1431"/>
      <c r="R221" s="1431"/>
      <c r="S221" s="1431"/>
      <c r="T221" s="1431"/>
      <c r="U221" s="1431"/>
      <c r="V221" s="1431"/>
      <c r="W221" s="1431"/>
      <c r="X221" s="1431"/>
      <c r="Y221" s="1431"/>
      <c r="Z221" s="1431"/>
      <c r="AA221" s="1431"/>
      <c r="AB221" s="1431"/>
      <c r="AC221" s="1431"/>
      <c r="AD221" s="1431"/>
      <c r="AE221" s="1431"/>
      <c r="AF221" s="1431"/>
      <c r="AG221" s="1431"/>
      <c r="AH221" s="1431"/>
      <c r="AI221" s="1431"/>
      <c r="AJ221" s="1431"/>
      <c r="AK221" s="1431"/>
      <c r="AL221" s="1431"/>
      <c r="AM221" s="1431"/>
      <c r="AN221" s="1431"/>
      <c r="AO221" s="1431"/>
      <c r="AP221" s="1431"/>
      <c r="AQ221" s="1431"/>
      <c r="AR221" s="1431"/>
      <c r="AS221" s="1431"/>
      <c r="AT221" s="1431"/>
      <c r="AU221" s="1431"/>
      <c r="AV221" s="1431"/>
      <c r="AW221" s="1431"/>
      <c r="AX221" s="1431"/>
      <c r="AY221" s="1431"/>
      <c r="AZ221" s="1431"/>
      <c r="BA221" s="1431"/>
      <c r="BB221" s="1431"/>
      <c r="BC221" s="1431"/>
      <c r="BD221" s="1431"/>
      <c r="BE221" s="1431"/>
      <c r="BF221" s="1431"/>
      <c r="BG221" s="1431"/>
      <c r="BH221" s="1431"/>
      <c r="BI221" s="1431"/>
      <c r="BJ221" s="1431"/>
      <c r="BK221" s="1431"/>
      <c r="BL221" s="1431"/>
      <c r="BM221" s="1431"/>
      <c r="BN221" s="1431"/>
      <c r="BO221" s="1431"/>
      <c r="BP221" s="1431"/>
      <c r="BQ221" s="1431"/>
      <c r="BR221" s="1431"/>
      <c r="BS221" s="1431"/>
      <c r="BT221" s="1431"/>
      <c r="BU221" s="1431"/>
      <c r="BV221" s="1431"/>
      <c r="BW221" s="1431"/>
      <c r="BX221" s="1431"/>
      <c r="BY221" s="1431"/>
      <c r="BZ221" s="1431"/>
      <c r="CA221" s="1431"/>
      <c r="CB221" s="1431"/>
      <c r="CC221" s="1431"/>
      <c r="CD221" s="1431"/>
      <c r="CE221" s="1431"/>
      <c r="CF221" s="1431"/>
      <c r="CG221" s="1431"/>
      <c r="CH221" s="1431"/>
      <c r="CI221" s="1431"/>
      <c r="CJ221" s="1431"/>
      <c r="CK221" s="1431"/>
      <c r="CL221" s="1431"/>
      <c r="CM221" s="1431"/>
      <c r="CN221" s="1431"/>
      <c r="CO221" s="1431"/>
      <c r="CP221" s="1431"/>
      <c r="CQ221" s="1431"/>
      <c r="CR221" s="1431"/>
      <c r="CS221" s="1431"/>
      <c r="CT221" s="1431"/>
      <c r="CU221" s="1431"/>
      <c r="CV221" s="1431"/>
      <c r="CW221" s="1431"/>
      <c r="CX221" s="1431"/>
      <c r="CY221" s="1431"/>
      <c r="CZ221" s="1431"/>
      <c r="DA221" s="1431"/>
      <c r="DB221" s="1431"/>
      <c r="DC221" s="1431"/>
      <c r="DD221" s="1431"/>
      <c r="DE221" s="1431"/>
      <c r="DF221" s="1431"/>
      <c r="DG221" s="1431"/>
      <c r="DH221" s="1431"/>
      <c r="DI221" s="1431"/>
      <c r="DJ221" s="1431"/>
      <c r="DK221" s="1431"/>
      <c r="DL221" s="1431"/>
      <c r="DM221" s="1431"/>
      <c r="DN221" s="1431"/>
      <c r="DO221" s="1431"/>
      <c r="DP221" s="1431"/>
      <c r="DQ221" s="1431"/>
      <c r="DR221" s="1431"/>
      <c r="DS221" s="1431"/>
      <c r="DT221" s="1431"/>
      <c r="DU221" s="1431"/>
      <c r="DV221" s="1431"/>
      <c r="DW221" s="1431"/>
      <c r="DX221" s="1431"/>
      <c r="DY221" s="1431"/>
      <c r="DZ221" s="1431"/>
      <c r="EA221" s="1431"/>
      <c r="EB221" s="1431"/>
      <c r="EC221" s="1431"/>
      <c r="ED221" s="1431"/>
      <c r="EE221" s="1431"/>
      <c r="EF221" s="1431"/>
      <c r="EG221" s="1431"/>
      <c r="EH221" s="1431"/>
      <c r="EI221" s="1431"/>
      <c r="EJ221" s="1431"/>
      <c r="EK221" s="1431"/>
      <c r="EL221" s="1431"/>
      <c r="EM221" s="1431"/>
      <c r="EN221" s="1431"/>
      <c r="EO221" s="1431"/>
      <c r="EP221" s="1431"/>
      <c r="EQ221" s="1431"/>
      <c r="ER221" s="1431"/>
      <c r="ES221" s="1431"/>
      <c r="ET221" s="1431"/>
      <c r="EU221" s="1431"/>
      <c r="EV221" s="1431"/>
      <c r="EW221" s="1431"/>
      <c r="EX221" s="1431"/>
      <c r="EY221" s="1431"/>
      <c r="EZ221" s="1431"/>
      <c r="FA221" s="1431"/>
      <c r="FB221" s="1431"/>
      <c r="FC221" s="1431"/>
      <c r="FD221" s="1431"/>
      <c r="FE221" s="1431"/>
      <c r="FF221" s="1431"/>
      <c r="FG221" s="1431"/>
      <c r="FH221" s="1431"/>
      <c r="FI221" s="1431"/>
      <c r="FJ221" s="1431"/>
      <c r="FK221" s="1431"/>
      <c r="FL221" s="1431"/>
      <c r="FM221" s="1431"/>
      <c r="FN221" s="1431"/>
      <c r="FO221" s="1431"/>
      <c r="FP221" s="1431"/>
      <c r="FQ221" s="1431"/>
      <c r="FR221" s="1431"/>
      <c r="FS221" s="1431"/>
      <c r="FT221" s="1431"/>
      <c r="FU221" s="1431"/>
      <c r="FV221" s="1431"/>
      <c r="FW221" s="1431"/>
      <c r="FX221" s="1431"/>
      <c r="FY221" s="1431"/>
      <c r="FZ221" s="1431"/>
      <c r="GA221" s="1431"/>
      <c r="GB221" s="1431"/>
      <c r="GC221" s="1431"/>
      <c r="GD221" s="1431"/>
      <c r="GE221" s="1431"/>
      <c r="GF221" s="1431"/>
      <c r="GG221" s="1431"/>
      <c r="GH221" s="1431"/>
      <c r="GI221" s="1431"/>
      <c r="GJ221" s="1431"/>
      <c r="GK221" s="1431"/>
      <c r="GL221" s="1431"/>
      <c r="GM221" s="1431"/>
      <c r="GN221" s="1431"/>
    </row>
    <row r="222" spans="1:196" s="1432" customFormat="1" ht="16.2" hidden="1" customHeight="1" outlineLevel="1" x14ac:dyDescent="0.25">
      <c r="A222" s="1433"/>
      <c r="B222" s="1433"/>
      <c r="C222" s="1434"/>
      <c r="D222" s="1434"/>
      <c r="E222" s="1425"/>
      <c r="F222" s="1426" t="s">
        <v>363</v>
      </c>
      <c r="G222" s="1435">
        <v>0</v>
      </c>
      <c r="H222" s="1435">
        <v>0</v>
      </c>
      <c r="I222" s="1427">
        <f t="shared" si="29"/>
        <v>0</v>
      </c>
      <c r="J222" s="1428" t="str">
        <f t="shared" si="27"/>
        <v>-</v>
      </c>
      <c r="K222" s="1429"/>
      <c r="L222" s="1436"/>
      <c r="M222" s="1430"/>
      <c r="N222" s="1431"/>
      <c r="O222" s="1431"/>
      <c r="P222" s="1431"/>
      <c r="Q222" s="1431"/>
      <c r="R222" s="1431"/>
      <c r="S222" s="1431"/>
      <c r="T222" s="1431"/>
      <c r="U222" s="1431"/>
      <c r="V222" s="1431"/>
      <c r="W222" s="1431"/>
      <c r="X222" s="1431"/>
      <c r="Y222" s="1431"/>
      <c r="Z222" s="1431"/>
      <c r="AA222" s="1431"/>
      <c r="AB222" s="1431"/>
      <c r="AC222" s="1431"/>
      <c r="AD222" s="1431"/>
      <c r="AE222" s="1431"/>
      <c r="AF222" s="1431"/>
      <c r="AG222" s="1431"/>
      <c r="AH222" s="1431"/>
      <c r="AI222" s="1431"/>
      <c r="AJ222" s="1431"/>
      <c r="AK222" s="1431"/>
      <c r="AL222" s="1431"/>
      <c r="AM222" s="1431"/>
      <c r="AN222" s="1431"/>
      <c r="AO222" s="1431"/>
      <c r="AP222" s="1431"/>
      <c r="AQ222" s="1431"/>
      <c r="AR222" s="1431"/>
      <c r="AS222" s="1431"/>
      <c r="AT222" s="1431"/>
      <c r="AU222" s="1431"/>
      <c r="AV222" s="1431"/>
      <c r="AW222" s="1431"/>
      <c r="AX222" s="1431"/>
      <c r="AY222" s="1431"/>
      <c r="AZ222" s="1431"/>
      <c r="BA222" s="1431"/>
      <c r="BB222" s="1431"/>
      <c r="BC222" s="1431"/>
      <c r="BD222" s="1431"/>
      <c r="BE222" s="1431"/>
      <c r="BF222" s="1431"/>
      <c r="BG222" s="1431"/>
      <c r="BH222" s="1431"/>
      <c r="BI222" s="1431"/>
      <c r="BJ222" s="1431"/>
      <c r="BK222" s="1431"/>
      <c r="BL222" s="1431"/>
      <c r="BM222" s="1431"/>
      <c r="BN222" s="1431"/>
      <c r="BO222" s="1431"/>
      <c r="BP222" s="1431"/>
      <c r="BQ222" s="1431"/>
      <c r="BR222" s="1431"/>
      <c r="BS222" s="1431"/>
      <c r="BT222" s="1431"/>
      <c r="BU222" s="1431"/>
      <c r="BV222" s="1431"/>
      <c r="BW222" s="1431"/>
      <c r="BX222" s="1431"/>
      <c r="BY222" s="1431"/>
      <c r="BZ222" s="1431"/>
      <c r="CA222" s="1431"/>
      <c r="CB222" s="1431"/>
      <c r="CC222" s="1431"/>
      <c r="CD222" s="1431"/>
      <c r="CE222" s="1431"/>
      <c r="CF222" s="1431"/>
      <c r="CG222" s="1431"/>
      <c r="CH222" s="1431"/>
      <c r="CI222" s="1431"/>
      <c r="CJ222" s="1431"/>
      <c r="CK222" s="1431"/>
      <c r="CL222" s="1431"/>
      <c r="CM222" s="1431"/>
      <c r="CN222" s="1431"/>
      <c r="CO222" s="1431"/>
      <c r="CP222" s="1431"/>
      <c r="CQ222" s="1431"/>
      <c r="CR222" s="1431"/>
      <c r="CS222" s="1431"/>
      <c r="CT222" s="1431"/>
      <c r="CU222" s="1431"/>
      <c r="CV222" s="1431"/>
      <c r="CW222" s="1431"/>
      <c r="CX222" s="1431"/>
      <c r="CY222" s="1431"/>
      <c r="CZ222" s="1431"/>
      <c r="DA222" s="1431"/>
      <c r="DB222" s="1431"/>
      <c r="DC222" s="1431"/>
      <c r="DD222" s="1431"/>
      <c r="DE222" s="1431"/>
      <c r="DF222" s="1431"/>
      <c r="DG222" s="1431"/>
      <c r="DH222" s="1431"/>
      <c r="DI222" s="1431"/>
      <c r="DJ222" s="1431"/>
      <c r="DK222" s="1431"/>
      <c r="DL222" s="1431"/>
      <c r="DM222" s="1431"/>
      <c r="DN222" s="1431"/>
      <c r="DO222" s="1431"/>
      <c r="DP222" s="1431"/>
      <c r="DQ222" s="1431"/>
      <c r="DR222" s="1431"/>
      <c r="DS222" s="1431"/>
      <c r="DT222" s="1431"/>
      <c r="DU222" s="1431"/>
      <c r="DV222" s="1431"/>
      <c r="DW222" s="1431"/>
      <c r="DX222" s="1431"/>
      <c r="DY222" s="1431"/>
      <c r="DZ222" s="1431"/>
      <c r="EA222" s="1431"/>
      <c r="EB222" s="1431"/>
      <c r="EC222" s="1431"/>
      <c r="ED222" s="1431"/>
      <c r="EE222" s="1431"/>
      <c r="EF222" s="1431"/>
      <c r="EG222" s="1431"/>
      <c r="EH222" s="1431"/>
      <c r="EI222" s="1431"/>
      <c r="EJ222" s="1431"/>
      <c r="EK222" s="1431"/>
      <c r="EL222" s="1431"/>
      <c r="EM222" s="1431"/>
      <c r="EN222" s="1431"/>
      <c r="EO222" s="1431"/>
      <c r="EP222" s="1431"/>
      <c r="EQ222" s="1431"/>
      <c r="ER222" s="1431"/>
      <c r="ES222" s="1431"/>
      <c r="ET222" s="1431"/>
      <c r="EU222" s="1431"/>
      <c r="EV222" s="1431"/>
      <c r="EW222" s="1431"/>
      <c r="EX222" s="1431"/>
      <c r="EY222" s="1431"/>
      <c r="EZ222" s="1431"/>
      <c r="FA222" s="1431"/>
      <c r="FB222" s="1431"/>
      <c r="FC222" s="1431"/>
      <c r="FD222" s="1431"/>
      <c r="FE222" s="1431"/>
      <c r="FF222" s="1431"/>
      <c r="FG222" s="1431"/>
      <c r="FH222" s="1431"/>
      <c r="FI222" s="1431"/>
      <c r="FJ222" s="1431"/>
      <c r="FK222" s="1431"/>
      <c r="FL222" s="1431"/>
      <c r="FM222" s="1431"/>
      <c r="FN222" s="1431"/>
      <c r="FO222" s="1431"/>
      <c r="FP222" s="1431"/>
      <c r="FQ222" s="1431"/>
      <c r="FR222" s="1431"/>
      <c r="FS222" s="1431"/>
      <c r="FT222" s="1431"/>
      <c r="FU222" s="1431"/>
      <c r="FV222" s="1431"/>
      <c r="FW222" s="1431"/>
      <c r="FX222" s="1431"/>
      <c r="FY222" s="1431"/>
      <c r="FZ222" s="1431"/>
      <c r="GA222" s="1431"/>
      <c r="GB222" s="1431"/>
      <c r="GC222" s="1431"/>
      <c r="GD222" s="1431"/>
      <c r="GE222" s="1431"/>
      <c r="GF222" s="1431"/>
      <c r="GG222" s="1431"/>
      <c r="GH222" s="1431"/>
      <c r="GI222" s="1431"/>
      <c r="GJ222" s="1431"/>
      <c r="GK222" s="1431"/>
      <c r="GL222" s="1431"/>
      <c r="GM222" s="1431"/>
      <c r="GN222" s="1431"/>
    </row>
    <row r="223" spans="1:196" ht="27.6" collapsed="1" x14ac:dyDescent="0.25">
      <c r="C223" s="923">
        <v>4500</v>
      </c>
      <c r="D223" s="923">
        <f>C223-G223</f>
        <v>0</v>
      </c>
      <c r="E223" s="141" t="s">
        <v>91</v>
      </c>
      <c r="F223" s="142" t="s">
        <v>630</v>
      </c>
      <c r="G223" s="1">
        <v>4500</v>
      </c>
      <c r="H223" s="302">
        <v>5800</v>
      </c>
      <c r="I223" s="132">
        <f t="shared" si="29"/>
        <v>1300</v>
      </c>
      <c r="J223" s="867">
        <f t="shared" si="27"/>
        <v>0.28888888888888886</v>
      </c>
      <c r="K223" s="418"/>
      <c r="L223" s="224"/>
    </row>
    <row r="224" spans="1:196" s="104" customFormat="1" ht="13.8" hidden="1" outlineLevel="1" x14ac:dyDescent="0.25">
      <c r="A224" s="810" t="s">
        <v>777</v>
      </c>
      <c r="B224" s="810" t="s">
        <v>228</v>
      </c>
      <c r="C224" s="923"/>
      <c r="D224" s="923"/>
      <c r="E224" s="159"/>
      <c r="F224" s="160" t="s">
        <v>228</v>
      </c>
      <c r="G224" s="296">
        <v>0</v>
      </c>
      <c r="H224" s="304">
        <v>0</v>
      </c>
      <c r="I224" s="153">
        <f t="shared" si="29"/>
        <v>0</v>
      </c>
      <c r="J224" s="878" t="str">
        <f t="shared" si="27"/>
        <v>-</v>
      </c>
      <c r="K224" s="430"/>
      <c r="L224" s="224"/>
      <c r="M224" s="107"/>
      <c r="N224"/>
      <c r="O224"/>
      <c r="P224"/>
      <c r="Q224"/>
      <c r="R224"/>
      <c r="S224"/>
      <c r="T224"/>
      <c r="U224"/>
      <c r="V224"/>
      <c r="W224"/>
      <c r="X224"/>
      <c r="Y224"/>
      <c r="Z224"/>
      <c r="AA224"/>
      <c r="AB224"/>
      <c r="AC224"/>
      <c r="AD224"/>
      <c r="AE224"/>
      <c r="AF224"/>
      <c r="AG224"/>
      <c r="AH224"/>
      <c r="AI224"/>
      <c r="AJ224"/>
      <c r="AK224"/>
      <c r="AL224"/>
      <c r="AM224"/>
      <c r="AN224"/>
      <c r="AO224"/>
      <c r="AP224"/>
      <c r="AQ224"/>
      <c r="AR224"/>
      <c r="AS224"/>
      <c r="AT224"/>
      <c r="AU224"/>
      <c r="AV224"/>
      <c r="AW224"/>
      <c r="AX224"/>
      <c r="AY224"/>
      <c r="AZ224"/>
      <c r="BA224"/>
      <c r="BB224"/>
      <c r="BC224"/>
      <c r="BD224"/>
      <c r="BE224"/>
      <c r="BF224"/>
      <c r="BG224"/>
      <c r="BH224"/>
      <c r="BI224"/>
      <c r="BJ224"/>
      <c r="BK224"/>
      <c r="BL224"/>
      <c r="BM224"/>
      <c r="BN224"/>
      <c r="BO224"/>
      <c r="BP224"/>
      <c r="BQ224"/>
      <c r="BR224"/>
      <c r="BS224"/>
      <c r="BT224"/>
      <c r="BU224"/>
      <c r="BV224"/>
      <c r="BW224"/>
      <c r="BX224"/>
      <c r="BY224"/>
      <c r="BZ224"/>
      <c r="CA224"/>
      <c r="CB224"/>
      <c r="CC224"/>
      <c r="CD224"/>
      <c r="CE224"/>
      <c r="CF224"/>
      <c r="CG224"/>
      <c r="CH224"/>
      <c r="CI224"/>
      <c r="CJ224"/>
      <c r="CK224"/>
      <c r="CL224"/>
      <c r="CM224"/>
      <c r="CN224"/>
      <c r="CO224"/>
      <c r="CP224"/>
      <c r="CQ224"/>
      <c r="CR224"/>
      <c r="CS224"/>
      <c r="CT224"/>
      <c r="CU224"/>
      <c r="CV224"/>
      <c r="CW224"/>
      <c r="CX224"/>
      <c r="CY224"/>
      <c r="CZ224"/>
      <c r="DA224"/>
      <c r="DB224"/>
      <c r="DC224"/>
      <c r="DD224"/>
      <c r="DE224"/>
      <c r="DF224"/>
      <c r="DG224"/>
      <c r="DH224"/>
      <c r="DI224"/>
      <c r="DJ224"/>
      <c r="DK224"/>
      <c r="DL224"/>
      <c r="DM224"/>
      <c r="DN224"/>
      <c r="DO224"/>
      <c r="DP224"/>
      <c r="DQ224"/>
      <c r="DR224"/>
      <c r="DS224"/>
      <c r="DT224"/>
      <c r="DU224"/>
      <c r="DV224"/>
      <c r="DW224"/>
      <c r="DX224"/>
      <c r="DY224"/>
      <c r="DZ224"/>
      <c r="EA224"/>
      <c r="EB224"/>
      <c r="EC224"/>
      <c r="ED224"/>
      <c r="EE224"/>
      <c r="EF224"/>
      <c r="EG224"/>
      <c r="EH224"/>
      <c r="EI224"/>
      <c r="EJ224"/>
      <c r="EK224"/>
      <c r="EL224"/>
      <c r="EM224"/>
      <c r="EN224"/>
      <c r="EO224"/>
      <c r="EP224"/>
      <c r="EQ224"/>
      <c r="ER224"/>
      <c r="ES224"/>
      <c r="ET224"/>
      <c r="EU224"/>
      <c r="EV224"/>
      <c r="EW224"/>
      <c r="EX224"/>
      <c r="EY224"/>
      <c r="EZ224"/>
      <c r="FA224"/>
      <c r="FB224"/>
      <c r="FC224"/>
      <c r="FD224"/>
      <c r="FE224"/>
      <c r="FF224"/>
      <c r="FG224"/>
      <c r="FH224"/>
      <c r="FI224"/>
      <c r="FJ224"/>
      <c r="FK224"/>
      <c r="FL224"/>
      <c r="FM224"/>
      <c r="FN224"/>
      <c r="FO224"/>
      <c r="FP224"/>
      <c r="FQ224"/>
      <c r="FR224"/>
      <c r="FS224"/>
      <c r="FT224"/>
      <c r="FU224"/>
      <c r="FV224"/>
      <c r="FW224"/>
      <c r="FX224"/>
      <c r="FY224"/>
      <c r="FZ224"/>
      <c r="GA224"/>
      <c r="GB224"/>
      <c r="GC224"/>
      <c r="GD224"/>
      <c r="GE224"/>
      <c r="GF224"/>
      <c r="GG224"/>
      <c r="GH224"/>
      <c r="GI224"/>
      <c r="GJ224"/>
      <c r="GK224"/>
      <c r="GL224"/>
      <c r="GM224"/>
      <c r="GN224"/>
    </row>
    <row r="225" spans="1:196" s="104" customFormat="1" ht="13.8" hidden="1" outlineLevel="1" x14ac:dyDescent="0.25">
      <c r="A225" s="810" t="s">
        <v>777</v>
      </c>
      <c r="B225" s="810" t="s">
        <v>554</v>
      </c>
      <c r="C225" s="923"/>
      <c r="D225" s="923"/>
      <c r="E225" s="214"/>
      <c r="F225" s="215" t="s">
        <v>198</v>
      </c>
      <c r="G225" s="296">
        <v>4500</v>
      </c>
      <c r="H225" s="304">
        <v>5800</v>
      </c>
      <c r="I225" s="153">
        <f t="shared" si="29"/>
        <v>1300</v>
      </c>
      <c r="J225" s="878">
        <f t="shared" si="27"/>
        <v>0.28888888888888886</v>
      </c>
      <c r="K225" s="428"/>
      <c r="L225" s="224"/>
      <c r="M225" s="107"/>
      <c r="N225"/>
      <c r="O225"/>
      <c r="P225"/>
      <c r="Q225"/>
      <c r="R225"/>
      <c r="S225"/>
      <c r="T225"/>
      <c r="U225"/>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c r="BD225"/>
      <c r="BE225"/>
      <c r="BF225"/>
      <c r="BG225"/>
      <c r="BH225"/>
      <c r="BI225"/>
      <c r="BJ225"/>
      <c r="BK225"/>
      <c r="BL225"/>
      <c r="BM225"/>
      <c r="BN225"/>
      <c r="BO225"/>
      <c r="BP225"/>
      <c r="BQ225"/>
      <c r="BR225"/>
      <c r="BS225"/>
      <c r="BT225"/>
      <c r="BU225"/>
      <c r="BV225"/>
      <c r="BW225"/>
      <c r="BX225"/>
      <c r="BY225"/>
      <c r="BZ225"/>
      <c r="CA225"/>
      <c r="CB225"/>
      <c r="CC225"/>
      <c r="CD225"/>
      <c r="CE225"/>
      <c r="CF225"/>
      <c r="CG225"/>
      <c r="CH225"/>
      <c r="CI225"/>
      <c r="CJ225"/>
      <c r="CK225"/>
      <c r="CL225"/>
      <c r="CM225"/>
      <c r="CN225"/>
      <c r="CO225"/>
      <c r="CP225"/>
      <c r="CQ225"/>
      <c r="CR225"/>
      <c r="CS225"/>
      <c r="CT225"/>
      <c r="CU225"/>
      <c r="CV225"/>
      <c r="CW225"/>
      <c r="CX225"/>
      <c r="CY225"/>
      <c r="CZ225"/>
      <c r="DA225"/>
      <c r="DB225"/>
      <c r="DC225"/>
      <c r="DD225"/>
      <c r="DE225"/>
      <c r="DF225"/>
      <c r="DG225"/>
      <c r="DH225"/>
      <c r="DI225"/>
      <c r="DJ225"/>
      <c r="DK225"/>
      <c r="DL225"/>
      <c r="DM225"/>
      <c r="DN225"/>
      <c r="DO225"/>
      <c r="DP225"/>
      <c r="DQ225"/>
      <c r="DR225"/>
      <c r="DS225"/>
      <c r="DT225"/>
      <c r="DU225"/>
      <c r="DV225"/>
      <c r="DW225"/>
      <c r="DX225"/>
      <c r="DY225"/>
      <c r="DZ225"/>
      <c r="EA225"/>
      <c r="EB225"/>
      <c r="EC225"/>
      <c r="ED225"/>
      <c r="EE225"/>
      <c r="EF225"/>
      <c r="EG225"/>
      <c r="EH225"/>
      <c r="EI225"/>
      <c r="EJ225"/>
      <c r="EK225"/>
      <c r="EL225"/>
      <c r="EM225"/>
      <c r="EN225"/>
      <c r="EO225"/>
      <c r="EP225"/>
      <c r="EQ225"/>
      <c r="ER225"/>
      <c r="ES225"/>
      <c r="ET225"/>
      <c r="EU225"/>
      <c r="EV225"/>
      <c r="EW225"/>
      <c r="EX225"/>
      <c r="EY225"/>
      <c r="EZ225"/>
      <c r="FA225"/>
      <c r="FB225"/>
      <c r="FC225"/>
      <c r="FD225"/>
      <c r="FE225"/>
      <c r="FF225"/>
      <c r="FG225"/>
      <c r="FH225"/>
      <c r="FI225"/>
      <c r="FJ225"/>
      <c r="FK225"/>
      <c r="FL225"/>
      <c r="FM225"/>
      <c r="FN225"/>
      <c r="FO225"/>
      <c r="FP225"/>
      <c r="FQ225"/>
      <c r="FR225"/>
      <c r="FS225"/>
      <c r="FT225"/>
      <c r="FU225"/>
      <c r="FV225"/>
      <c r="FW225"/>
      <c r="FX225"/>
      <c r="FY225"/>
      <c r="FZ225"/>
      <c r="GA225"/>
      <c r="GB225"/>
      <c r="GC225"/>
      <c r="GD225"/>
      <c r="GE225"/>
      <c r="GF225"/>
      <c r="GG225"/>
      <c r="GH225"/>
      <c r="GI225"/>
      <c r="GJ225"/>
      <c r="GK225"/>
      <c r="GL225"/>
      <c r="GM225"/>
      <c r="GN225"/>
    </row>
    <row r="226" spans="1:196" s="1432" customFormat="1" ht="13.8" hidden="1" outlineLevel="1" x14ac:dyDescent="0.25">
      <c r="A226" s="1433" t="s">
        <v>777</v>
      </c>
      <c r="B226" s="1433" t="s">
        <v>555</v>
      </c>
      <c r="C226" s="1434"/>
      <c r="D226" s="1434"/>
      <c r="E226" s="1437"/>
      <c r="F226" s="1438" t="s">
        <v>555</v>
      </c>
      <c r="G226" s="1435">
        <v>0</v>
      </c>
      <c r="H226" s="1435">
        <v>0</v>
      </c>
      <c r="I226" s="1427">
        <f t="shared" si="29"/>
        <v>0</v>
      </c>
      <c r="J226" s="1428" t="str">
        <f t="shared" si="27"/>
        <v>-</v>
      </c>
      <c r="K226" s="1429"/>
      <c r="L226" s="1436"/>
      <c r="M226" s="1430"/>
      <c r="N226" s="1431"/>
      <c r="O226" s="1431"/>
      <c r="P226" s="1431"/>
      <c r="Q226" s="1431"/>
      <c r="R226" s="1431"/>
      <c r="S226" s="1431"/>
      <c r="T226" s="1431"/>
      <c r="U226" s="1431"/>
      <c r="V226" s="1431"/>
      <c r="W226" s="1431"/>
      <c r="X226" s="1431"/>
      <c r="Y226" s="1431"/>
      <c r="Z226" s="1431"/>
      <c r="AA226" s="1431"/>
      <c r="AB226" s="1431"/>
      <c r="AC226" s="1431"/>
      <c r="AD226" s="1431"/>
      <c r="AE226" s="1431"/>
      <c r="AF226" s="1431"/>
      <c r="AG226" s="1431"/>
      <c r="AH226" s="1431"/>
      <c r="AI226" s="1431"/>
      <c r="AJ226" s="1431"/>
      <c r="AK226" s="1431"/>
      <c r="AL226" s="1431"/>
      <c r="AM226" s="1431"/>
      <c r="AN226" s="1431"/>
      <c r="AO226" s="1431"/>
      <c r="AP226" s="1431"/>
      <c r="AQ226" s="1431"/>
      <c r="AR226" s="1431"/>
      <c r="AS226" s="1431"/>
      <c r="AT226" s="1431"/>
      <c r="AU226" s="1431"/>
      <c r="AV226" s="1431"/>
      <c r="AW226" s="1431"/>
      <c r="AX226" s="1431"/>
      <c r="AY226" s="1431"/>
      <c r="AZ226" s="1431"/>
      <c r="BA226" s="1431"/>
      <c r="BB226" s="1431"/>
      <c r="BC226" s="1431"/>
      <c r="BD226" s="1431"/>
      <c r="BE226" s="1431"/>
      <c r="BF226" s="1431"/>
      <c r="BG226" s="1431"/>
      <c r="BH226" s="1431"/>
      <c r="BI226" s="1431"/>
      <c r="BJ226" s="1431"/>
      <c r="BK226" s="1431"/>
      <c r="BL226" s="1431"/>
      <c r="BM226" s="1431"/>
      <c r="BN226" s="1431"/>
      <c r="BO226" s="1431"/>
      <c r="BP226" s="1431"/>
      <c r="BQ226" s="1431"/>
      <c r="BR226" s="1431"/>
      <c r="BS226" s="1431"/>
      <c r="BT226" s="1431"/>
      <c r="BU226" s="1431"/>
      <c r="BV226" s="1431"/>
      <c r="BW226" s="1431"/>
      <c r="BX226" s="1431"/>
      <c r="BY226" s="1431"/>
      <c r="BZ226" s="1431"/>
      <c r="CA226" s="1431"/>
      <c r="CB226" s="1431"/>
      <c r="CC226" s="1431"/>
      <c r="CD226" s="1431"/>
      <c r="CE226" s="1431"/>
      <c r="CF226" s="1431"/>
      <c r="CG226" s="1431"/>
      <c r="CH226" s="1431"/>
      <c r="CI226" s="1431"/>
      <c r="CJ226" s="1431"/>
      <c r="CK226" s="1431"/>
      <c r="CL226" s="1431"/>
      <c r="CM226" s="1431"/>
      <c r="CN226" s="1431"/>
      <c r="CO226" s="1431"/>
      <c r="CP226" s="1431"/>
      <c r="CQ226" s="1431"/>
      <c r="CR226" s="1431"/>
      <c r="CS226" s="1431"/>
      <c r="CT226" s="1431"/>
      <c r="CU226" s="1431"/>
      <c r="CV226" s="1431"/>
      <c r="CW226" s="1431"/>
      <c r="CX226" s="1431"/>
      <c r="CY226" s="1431"/>
      <c r="CZ226" s="1431"/>
      <c r="DA226" s="1431"/>
      <c r="DB226" s="1431"/>
      <c r="DC226" s="1431"/>
      <c r="DD226" s="1431"/>
      <c r="DE226" s="1431"/>
      <c r="DF226" s="1431"/>
      <c r="DG226" s="1431"/>
      <c r="DH226" s="1431"/>
      <c r="DI226" s="1431"/>
      <c r="DJ226" s="1431"/>
      <c r="DK226" s="1431"/>
      <c r="DL226" s="1431"/>
      <c r="DM226" s="1431"/>
      <c r="DN226" s="1431"/>
      <c r="DO226" s="1431"/>
      <c r="DP226" s="1431"/>
      <c r="DQ226" s="1431"/>
      <c r="DR226" s="1431"/>
      <c r="DS226" s="1431"/>
      <c r="DT226" s="1431"/>
      <c r="DU226" s="1431"/>
      <c r="DV226" s="1431"/>
      <c r="DW226" s="1431"/>
      <c r="DX226" s="1431"/>
      <c r="DY226" s="1431"/>
      <c r="DZ226" s="1431"/>
      <c r="EA226" s="1431"/>
      <c r="EB226" s="1431"/>
      <c r="EC226" s="1431"/>
      <c r="ED226" s="1431"/>
      <c r="EE226" s="1431"/>
      <c r="EF226" s="1431"/>
      <c r="EG226" s="1431"/>
      <c r="EH226" s="1431"/>
      <c r="EI226" s="1431"/>
      <c r="EJ226" s="1431"/>
      <c r="EK226" s="1431"/>
      <c r="EL226" s="1431"/>
      <c r="EM226" s="1431"/>
      <c r="EN226" s="1431"/>
      <c r="EO226" s="1431"/>
      <c r="EP226" s="1431"/>
      <c r="EQ226" s="1431"/>
      <c r="ER226" s="1431"/>
      <c r="ES226" s="1431"/>
      <c r="ET226" s="1431"/>
      <c r="EU226" s="1431"/>
      <c r="EV226" s="1431"/>
      <c r="EW226" s="1431"/>
      <c r="EX226" s="1431"/>
      <c r="EY226" s="1431"/>
      <c r="EZ226" s="1431"/>
      <c r="FA226" s="1431"/>
      <c r="FB226" s="1431"/>
      <c r="FC226" s="1431"/>
      <c r="FD226" s="1431"/>
      <c r="FE226" s="1431"/>
      <c r="FF226" s="1431"/>
      <c r="FG226" s="1431"/>
      <c r="FH226" s="1431"/>
      <c r="FI226" s="1431"/>
      <c r="FJ226" s="1431"/>
      <c r="FK226" s="1431"/>
      <c r="FL226" s="1431"/>
      <c r="FM226" s="1431"/>
      <c r="FN226" s="1431"/>
      <c r="FO226" s="1431"/>
      <c r="FP226" s="1431"/>
      <c r="FQ226" s="1431"/>
      <c r="FR226" s="1431"/>
      <c r="FS226" s="1431"/>
      <c r="FT226" s="1431"/>
      <c r="FU226" s="1431"/>
      <c r="FV226" s="1431"/>
      <c r="FW226" s="1431"/>
      <c r="FX226" s="1431"/>
      <c r="FY226" s="1431"/>
      <c r="FZ226" s="1431"/>
      <c r="GA226" s="1431"/>
      <c r="GB226" s="1431"/>
      <c r="GC226" s="1431"/>
      <c r="GD226" s="1431"/>
      <c r="GE226" s="1431"/>
      <c r="GF226" s="1431"/>
      <c r="GG226" s="1431"/>
      <c r="GH226" s="1431"/>
      <c r="GI226" s="1431"/>
      <c r="GJ226" s="1431"/>
      <c r="GK226" s="1431"/>
      <c r="GL226" s="1431"/>
      <c r="GM226" s="1431"/>
      <c r="GN226" s="1431"/>
    </row>
    <row r="227" spans="1:196" ht="13.8" collapsed="1" x14ac:dyDescent="0.25">
      <c r="C227" s="923">
        <f>10038-G229</f>
        <v>1407</v>
      </c>
      <c r="D227" s="923">
        <f>C227-G227</f>
        <v>0</v>
      </c>
      <c r="E227" s="141" t="s">
        <v>93</v>
      </c>
      <c r="F227" s="142" t="s">
        <v>631</v>
      </c>
      <c r="G227" s="1">
        <v>1407</v>
      </c>
      <c r="H227" s="302">
        <v>1407</v>
      </c>
      <c r="I227" s="132">
        <f t="shared" si="25"/>
        <v>0</v>
      </c>
      <c r="J227" s="867">
        <f t="shared" si="27"/>
        <v>0</v>
      </c>
      <c r="K227" s="418"/>
      <c r="L227" s="224"/>
    </row>
    <row r="228" spans="1:196" s="104" customFormat="1" ht="13.8" hidden="1" outlineLevel="1" x14ac:dyDescent="0.25">
      <c r="A228" s="810" t="s">
        <v>781</v>
      </c>
      <c r="B228" s="810" t="s">
        <v>554</v>
      </c>
      <c r="C228" s="923"/>
      <c r="D228" s="923"/>
      <c r="E228" s="159"/>
      <c r="F228" s="160" t="s">
        <v>198</v>
      </c>
      <c r="G228" s="296">
        <v>1407</v>
      </c>
      <c r="H228" s="304">
        <v>1407</v>
      </c>
      <c r="I228" s="153">
        <f>H228-G228</f>
        <v>0</v>
      </c>
      <c r="J228" s="878">
        <f t="shared" si="27"/>
        <v>0</v>
      </c>
      <c r="K228" s="428"/>
      <c r="L228" s="224"/>
      <c r="M228" s="107"/>
      <c r="N228"/>
      <c r="O228"/>
      <c r="P228"/>
      <c r="Q228"/>
      <c r="R228"/>
      <c r="S228"/>
      <c r="T228"/>
      <c r="U228"/>
      <c r="V228"/>
      <c r="W228"/>
      <c r="X228"/>
      <c r="Y228"/>
      <c r="Z228"/>
      <c r="AA228"/>
      <c r="AB228"/>
      <c r="AC228"/>
      <c r="AD228"/>
      <c r="AE228"/>
      <c r="AF228"/>
      <c r="AG228"/>
      <c r="AH228"/>
      <c r="AI228"/>
      <c r="AJ228"/>
      <c r="AK228"/>
      <c r="AL228"/>
      <c r="AM228"/>
      <c r="AN228"/>
      <c r="AO228"/>
      <c r="AP228"/>
      <c r="AQ228"/>
      <c r="AR228"/>
      <c r="AS228"/>
      <c r="AT228"/>
      <c r="AU228"/>
      <c r="AV228"/>
      <c r="AW228"/>
      <c r="AX228"/>
      <c r="AY228"/>
      <c r="AZ228"/>
      <c r="BA228"/>
      <c r="BB228"/>
      <c r="BC228"/>
      <c r="BD228"/>
      <c r="BE228"/>
      <c r="BF228"/>
      <c r="BG228"/>
      <c r="BH228"/>
      <c r="BI228"/>
      <c r="BJ228"/>
      <c r="BK228"/>
      <c r="BL228"/>
      <c r="BM228"/>
      <c r="BN228"/>
      <c r="BO228"/>
      <c r="BP228"/>
      <c r="BQ228"/>
      <c r="BR228"/>
      <c r="BS228"/>
      <c r="BT228"/>
      <c r="BU228"/>
      <c r="BV228"/>
      <c r="BW228"/>
      <c r="BX228"/>
      <c r="BY228"/>
      <c r="BZ228"/>
      <c r="CA228"/>
      <c r="CB228"/>
      <c r="CC228"/>
      <c r="CD228"/>
      <c r="CE228"/>
      <c r="CF228"/>
      <c r="CG228"/>
      <c r="CH228"/>
      <c r="CI228"/>
      <c r="CJ228"/>
      <c r="CK228"/>
      <c r="CL228"/>
      <c r="CM228"/>
      <c r="CN228"/>
      <c r="CO228"/>
      <c r="CP228"/>
      <c r="CQ228"/>
      <c r="CR228"/>
      <c r="CS228"/>
      <c r="CT228"/>
      <c r="CU228"/>
      <c r="CV228"/>
      <c r="CW228"/>
      <c r="CX228"/>
      <c r="CY228"/>
      <c r="CZ228"/>
      <c r="DA228"/>
      <c r="DB228"/>
      <c r="DC228"/>
      <c r="DD228"/>
      <c r="DE228"/>
      <c r="DF228"/>
      <c r="DG228"/>
      <c r="DH228"/>
      <c r="DI228"/>
      <c r="DJ228"/>
      <c r="DK228"/>
      <c r="DL228"/>
      <c r="DM228"/>
      <c r="DN228"/>
      <c r="DO228"/>
      <c r="DP228"/>
      <c r="DQ228"/>
      <c r="DR228"/>
      <c r="DS228"/>
      <c r="DT228"/>
      <c r="DU228"/>
      <c r="DV228"/>
      <c r="DW228"/>
      <c r="DX228"/>
      <c r="DY228"/>
      <c r="DZ228"/>
      <c r="EA228"/>
      <c r="EB228"/>
      <c r="EC228"/>
      <c r="ED228"/>
      <c r="EE228"/>
      <c r="EF228"/>
      <c r="EG228"/>
      <c r="EH228"/>
      <c r="EI228"/>
      <c r="EJ228"/>
      <c r="EK228"/>
      <c r="EL228"/>
      <c r="EM228"/>
      <c r="EN228"/>
      <c r="EO228"/>
      <c r="EP228"/>
      <c r="EQ228"/>
      <c r="ER228"/>
      <c r="ES228"/>
      <c r="ET228"/>
      <c r="EU228"/>
      <c r="EV228"/>
      <c r="EW228"/>
      <c r="EX228"/>
      <c r="EY228"/>
      <c r="EZ228"/>
      <c r="FA228"/>
      <c r="FB228"/>
      <c r="FC228"/>
      <c r="FD228"/>
      <c r="FE228"/>
      <c r="FF228"/>
      <c r="FG228"/>
      <c r="FH228"/>
      <c r="FI228"/>
      <c r="FJ228"/>
      <c r="FK228"/>
      <c r="FL228"/>
      <c r="FM228"/>
      <c r="FN228"/>
      <c r="FO228"/>
      <c r="FP228"/>
      <c r="FQ228"/>
      <c r="FR228"/>
      <c r="FS228"/>
      <c r="FT228"/>
      <c r="FU228"/>
      <c r="FV228"/>
      <c r="FW228"/>
      <c r="FX228"/>
      <c r="FY228"/>
      <c r="FZ228"/>
      <c r="GA228"/>
      <c r="GB228"/>
      <c r="GC228"/>
      <c r="GD228"/>
      <c r="GE228"/>
      <c r="GF228"/>
      <c r="GG228"/>
      <c r="GH228"/>
      <c r="GI228"/>
      <c r="GJ228"/>
      <c r="GK228"/>
      <c r="GL228"/>
      <c r="GM228"/>
      <c r="GN228"/>
    </row>
    <row r="229" spans="1:196" s="164" customFormat="1" ht="13.8" hidden="1" outlineLevel="1" x14ac:dyDescent="0.25">
      <c r="A229" s="810" t="s">
        <v>781</v>
      </c>
      <c r="B229" s="810" t="s">
        <v>182</v>
      </c>
      <c r="C229" s="923"/>
      <c r="D229" s="923"/>
      <c r="E229" s="278"/>
      <c r="F229" s="163" t="s">
        <v>167</v>
      </c>
      <c r="G229" s="296">
        <v>8631</v>
      </c>
      <c r="H229" s="304">
        <v>8631</v>
      </c>
      <c r="I229" s="299"/>
      <c r="J229" s="879">
        <f t="shared" si="27"/>
        <v>0</v>
      </c>
      <c r="K229" s="431"/>
      <c r="L229" s="224"/>
      <c r="M229" s="1120"/>
      <c r="N229" s="323"/>
      <c r="O229" s="323"/>
      <c r="P229" s="323"/>
      <c r="Q229" s="323"/>
      <c r="R229" s="323"/>
      <c r="S229" s="323"/>
      <c r="T229" s="323"/>
      <c r="U229" s="323"/>
      <c r="V229" s="323"/>
      <c r="W229" s="323"/>
      <c r="X229" s="323"/>
      <c r="Y229" s="323"/>
      <c r="Z229" s="323"/>
      <c r="AA229" s="323"/>
      <c r="AB229" s="323"/>
      <c r="AC229" s="323"/>
      <c r="AD229" s="323"/>
      <c r="AE229" s="323"/>
      <c r="AF229" s="323"/>
      <c r="AG229" s="323"/>
      <c r="AH229" s="323"/>
      <c r="AI229" s="323"/>
      <c r="AJ229" s="323"/>
      <c r="AK229" s="323"/>
      <c r="AL229" s="323"/>
      <c r="AM229" s="323"/>
      <c r="AN229" s="323"/>
      <c r="AO229" s="323"/>
      <c r="AP229" s="323"/>
      <c r="AQ229" s="323"/>
      <c r="AR229" s="323"/>
      <c r="AS229" s="323"/>
      <c r="AT229" s="323"/>
      <c r="AU229" s="323"/>
      <c r="AV229" s="323"/>
      <c r="AW229" s="323"/>
      <c r="AX229" s="323"/>
      <c r="AY229" s="323"/>
      <c r="AZ229" s="323"/>
      <c r="BA229" s="323"/>
      <c r="BB229" s="323"/>
      <c r="BC229" s="323"/>
      <c r="BD229" s="323"/>
      <c r="BE229" s="323"/>
      <c r="BF229" s="323"/>
      <c r="BG229" s="323"/>
      <c r="BH229" s="323"/>
      <c r="BI229" s="323"/>
      <c r="BJ229" s="323"/>
      <c r="BK229" s="323"/>
      <c r="BL229" s="323"/>
      <c r="BM229" s="323"/>
      <c r="BN229" s="323"/>
      <c r="BO229" s="323"/>
      <c r="BP229" s="323"/>
      <c r="BQ229" s="323"/>
      <c r="BR229" s="323"/>
      <c r="BS229" s="323"/>
      <c r="BT229" s="323"/>
      <c r="BU229" s="323"/>
      <c r="BV229" s="323"/>
      <c r="BW229" s="323"/>
      <c r="BX229" s="323"/>
      <c r="BY229" s="323"/>
      <c r="BZ229" s="323"/>
      <c r="CA229" s="323"/>
      <c r="CB229" s="323"/>
      <c r="CC229" s="323"/>
      <c r="CD229" s="323"/>
      <c r="CE229" s="323"/>
      <c r="CF229" s="323"/>
      <c r="CG229" s="323"/>
      <c r="CH229" s="323"/>
      <c r="CI229" s="323"/>
      <c r="CJ229" s="323"/>
      <c r="CK229" s="323"/>
      <c r="CL229" s="323"/>
      <c r="CM229" s="323"/>
      <c r="CN229" s="323"/>
      <c r="CO229" s="323"/>
      <c r="CP229" s="323"/>
      <c r="CQ229" s="323"/>
      <c r="CR229" s="323"/>
      <c r="CS229" s="323"/>
      <c r="CT229" s="323"/>
      <c r="CU229" s="323"/>
      <c r="CV229" s="323"/>
      <c r="CW229" s="323"/>
      <c r="CX229" s="323"/>
      <c r="CY229" s="323"/>
      <c r="CZ229" s="323"/>
      <c r="DA229" s="323"/>
      <c r="DB229" s="323"/>
      <c r="DC229" s="323"/>
      <c r="DD229" s="323"/>
      <c r="DE229" s="323"/>
      <c r="DF229" s="323"/>
      <c r="DG229" s="323"/>
      <c r="DH229" s="323"/>
      <c r="DI229" s="323"/>
      <c r="DJ229" s="323"/>
      <c r="DK229" s="323"/>
      <c r="DL229" s="323"/>
      <c r="DM229" s="323"/>
      <c r="DN229" s="323"/>
      <c r="DO229" s="323"/>
      <c r="DP229" s="323"/>
      <c r="DQ229" s="323"/>
      <c r="DR229" s="323"/>
      <c r="DS229" s="323"/>
      <c r="DT229" s="323"/>
      <c r="DU229" s="323"/>
      <c r="DV229" s="323"/>
      <c r="DW229" s="323"/>
      <c r="DX229" s="323"/>
      <c r="DY229" s="323"/>
      <c r="DZ229" s="323"/>
      <c r="EA229" s="323"/>
      <c r="EB229" s="323"/>
      <c r="EC229" s="323"/>
      <c r="ED229" s="323"/>
      <c r="EE229" s="323"/>
      <c r="EF229" s="323"/>
      <c r="EG229" s="323"/>
      <c r="EH229" s="323"/>
      <c r="EI229" s="323"/>
      <c r="EJ229" s="323"/>
      <c r="EK229" s="323"/>
      <c r="EL229" s="323"/>
      <c r="EM229" s="323"/>
      <c r="EN229" s="323"/>
      <c r="EO229" s="323"/>
      <c r="EP229" s="323"/>
      <c r="EQ229" s="323"/>
      <c r="ER229" s="323"/>
      <c r="ES229" s="323"/>
      <c r="ET229" s="323"/>
      <c r="EU229" s="323"/>
      <c r="EV229" s="323"/>
      <c r="EW229" s="323"/>
      <c r="EX229" s="323"/>
      <c r="EY229" s="323"/>
      <c r="EZ229" s="323"/>
      <c r="FA229" s="323"/>
      <c r="FB229" s="323"/>
      <c r="FC229" s="323"/>
      <c r="FD229" s="323"/>
      <c r="FE229" s="323"/>
      <c r="FF229" s="323"/>
      <c r="FG229" s="323"/>
      <c r="FH229" s="323"/>
      <c r="FI229" s="323"/>
      <c r="FJ229" s="323"/>
      <c r="FK229" s="323"/>
      <c r="FL229" s="323"/>
      <c r="FM229" s="323"/>
      <c r="FN229" s="323"/>
      <c r="FO229" s="323"/>
      <c r="FP229" s="323"/>
      <c r="FQ229" s="323"/>
      <c r="FR229" s="323"/>
      <c r="FS229" s="323"/>
      <c r="FT229" s="323"/>
      <c r="FU229" s="323"/>
      <c r="FV229" s="323"/>
      <c r="FW229" s="323"/>
      <c r="FX229" s="323"/>
      <c r="FY229" s="323"/>
      <c r="FZ229" s="323"/>
      <c r="GA229" s="323"/>
      <c r="GB229" s="323"/>
      <c r="GC229" s="323"/>
      <c r="GD229" s="323"/>
      <c r="GE229" s="323"/>
      <c r="GF229" s="323"/>
      <c r="GG229" s="323"/>
      <c r="GH229" s="323"/>
      <c r="GI229" s="323"/>
      <c r="GJ229" s="323"/>
      <c r="GK229" s="323"/>
      <c r="GL229" s="323"/>
      <c r="GM229" s="323"/>
      <c r="GN229" s="323"/>
    </row>
    <row r="230" spans="1:196" ht="13.8" collapsed="1" x14ac:dyDescent="0.25">
      <c r="C230" s="923">
        <v>113991</v>
      </c>
      <c r="D230" s="923">
        <f>C230-G230</f>
        <v>2167.2626600000076</v>
      </c>
      <c r="E230" s="141" t="s">
        <v>216</v>
      </c>
      <c r="F230" s="142" t="s">
        <v>97</v>
      </c>
      <c r="G230" s="1">
        <v>111823.73733999999</v>
      </c>
      <c r="H230" s="302">
        <v>132505.09117999999</v>
      </c>
      <c r="I230" s="132">
        <f t="shared" si="25"/>
        <v>20681.353839999996</v>
      </c>
      <c r="J230" s="867">
        <f t="shared" si="27"/>
        <v>0.18494600817282966</v>
      </c>
      <c r="K230" s="418"/>
      <c r="L230" s="224"/>
    </row>
    <row r="231" spans="1:196" s="104" customFormat="1" ht="13.8" hidden="1" outlineLevel="1" x14ac:dyDescent="0.25">
      <c r="A231" s="810" t="s">
        <v>753</v>
      </c>
      <c r="B231" s="810" t="s">
        <v>228</v>
      </c>
      <c r="C231" s="923"/>
      <c r="D231" s="923"/>
      <c r="E231" s="159"/>
      <c r="F231" s="160" t="s">
        <v>228</v>
      </c>
      <c r="G231" s="296">
        <v>103189.41734</v>
      </c>
      <c r="H231" s="304">
        <v>122627.09117999999</v>
      </c>
      <c r="I231" s="161">
        <f t="shared" si="25"/>
        <v>19437.673839999989</v>
      </c>
      <c r="J231" s="884">
        <f t="shared" si="27"/>
        <v>0.18836886902805713</v>
      </c>
      <c r="K231" s="430"/>
      <c r="L231" s="224"/>
      <c r="M231" s="107"/>
      <c r="N231"/>
      <c r="O231"/>
      <c r="P231"/>
      <c r="Q231"/>
      <c r="R231"/>
      <c r="S231"/>
      <c r="T231"/>
      <c r="U231"/>
      <c r="V231"/>
      <c r="W231"/>
      <c r="X231"/>
      <c r="Y231"/>
      <c r="Z231"/>
      <c r="AA231"/>
      <c r="AB231"/>
      <c r="AC231"/>
      <c r="AD231"/>
      <c r="AE231"/>
      <c r="AF231"/>
      <c r="AG231"/>
      <c r="AH231"/>
      <c r="AI231"/>
      <c r="AJ231"/>
      <c r="AK231"/>
      <c r="AL231"/>
      <c r="AM231"/>
      <c r="AN231"/>
      <c r="AO231"/>
      <c r="AP231"/>
      <c r="AQ231"/>
      <c r="AR231"/>
      <c r="AS231"/>
      <c r="AT231"/>
      <c r="AU231"/>
      <c r="AV231"/>
      <c r="AW231"/>
      <c r="AX231"/>
      <c r="AY231"/>
      <c r="AZ231"/>
      <c r="BA231"/>
      <c r="BB231"/>
      <c r="BC231"/>
      <c r="BD231"/>
      <c r="BE231"/>
      <c r="BF231"/>
      <c r="BG231"/>
      <c r="BH231"/>
      <c r="BI231"/>
      <c r="BJ231"/>
      <c r="BK231"/>
      <c r="BL231"/>
      <c r="BM231"/>
      <c r="BN231"/>
      <c r="BO231"/>
      <c r="BP231"/>
      <c r="BQ231"/>
      <c r="BR231"/>
      <c r="BS231"/>
      <c r="BT231"/>
      <c r="BU231"/>
      <c r="BV231"/>
      <c r="BW231"/>
      <c r="BX231"/>
      <c r="BY231"/>
      <c r="BZ231"/>
      <c r="CA231"/>
      <c r="CB231"/>
      <c r="CC231"/>
      <c r="CD231"/>
      <c r="CE231"/>
      <c r="CF231"/>
      <c r="CG231"/>
      <c r="CH231"/>
      <c r="CI231"/>
      <c r="CJ231"/>
      <c r="CK231"/>
      <c r="CL231"/>
      <c r="CM231"/>
      <c r="CN231"/>
      <c r="CO231"/>
      <c r="CP231"/>
      <c r="CQ231"/>
      <c r="CR231"/>
      <c r="CS231"/>
      <c r="CT231"/>
      <c r="CU231"/>
      <c r="CV231"/>
      <c r="CW231"/>
      <c r="CX231"/>
      <c r="CY231"/>
      <c r="CZ231"/>
      <c r="DA231"/>
      <c r="DB231"/>
      <c r="DC231"/>
      <c r="DD231"/>
      <c r="DE231"/>
      <c r="DF231"/>
      <c r="DG231"/>
      <c r="DH231"/>
      <c r="DI231"/>
      <c r="DJ231"/>
      <c r="DK231"/>
      <c r="DL231"/>
      <c r="DM231"/>
      <c r="DN231"/>
      <c r="DO231"/>
      <c r="DP231"/>
      <c r="DQ231"/>
      <c r="DR231"/>
      <c r="DS231"/>
      <c r="DT231"/>
      <c r="DU231"/>
      <c r="DV231"/>
      <c r="DW231"/>
      <c r="DX231"/>
      <c r="DY231"/>
      <c r="DZ231"/>
      <c r="EA231"/>
      <c r="EB231"/>
      <c r="EC231"/>
      <c r="ED231"/>
      <c r="EE231"/>
      <c r="EF231"/>
      <c r="EG231"/>
      <c r="EH231"/>
      <c r="EI231"/>
      <c r="EJ231"/>
      <c r="EK231"/>
      <c r="EL231"/>
      <c r="EM231"/>
      <c r="EN231"/>
      <c r="EO231"/>
      <c r="EP231"/>
      <c r="EQ231"/>
      <c r="ER231"/>
      <c r="ES231"/>
      <c r="ET231"/>
      <c r="EU231"/>
      <c r="EV231"/>
      <c r="EW231"/>
      <c r="EX231"/>
      <c r="EY231"/>
      <c r="EZ231"/>
      <c r="FA231"/>
      <c r="FB231"/>
      <c r="FC231"/>
      <c r="FD231"/>
      <c r="FE231"/>
      <c r="FF231"/>
      <c r="FG231"/>
      <c r="FH231"/>
      <c r="FI231"/>
      <c r="FJ231"/>
      <c r="FK231"/>
      <c r="FL231"/>
      <c r="FM231"/>
      <c r="FN231"/>
      <c r="FO231"/>
      <c r="FP231"/>
      <c r="FQ231"/>
      <c r="FR231"/>
      <c r="FS231"/>
      <c r="FT231"/>
      <c r="FU231"/>
      <c r="FV231"/>
      <c r="FW231"/>
      <c r="FX231"/>
      <c r="FY231"/>
      <c r="FZ231"/>
      <c r="GA231"/>
      <c r="GB231"/>
      <c r="GC231"/>
      <c r="GD231"/>
      <c r="GE231"/>
      <c r="GF231"/>
      <c r="GG231"/>
      <c r="GH231"/>
      <c r="GI231"/>
      <c r="GJ231"/>
      <c r="GK231"/>
      <c r="GL231"/>
      <c r="GM231"/>
      <c r="GN231"/>
    </row>
    <row r="232" spans="1:196" s="104" customFormat="1" ht="13.8" hidden="1" outlineLevel="1" x14ac:dyDescent="0.25">
      <c r="A232" s="810" t="s">
        <v>753</v>
      </c>
      <c r="B232" s="810" t="s">
        <v>554</v>
      </c>
      <c r="C232" s="923"/>
      <c r="D232" s="923"/>
      <c r="E232" s="214"/>
      <c r="F232" s="215" t="s">
        <v>198</v>
      </c>
      <c r="G232" s="296">
        <v>8058.32</v>
      </c>
      <c r="H232" s="304">
        <v>9878</v>
      </c>
      <c r="I232" s="153">
        <f t="shared" si="25"/>
        <v>1819.6800000000003</v>
      </c>
      <c r="J232" s="878">
        <f t="shared" si="27"/>
        <v>0.22581381727208652</v>
      </c>
      <c r="K232" s="419"/>
      <c r="L232" s="224"/>
      <c r="M232" s="107"/>
      <c r="N232"/>
      <c r="O232"/>
      <c r="P232"/>
      <c r="Q232"/>
      <c r="R232"/>
      <c r="S232"/>
      <c r="T232"/>
      <c r="U232"/>
      <c r="V232"/>
      <c r="W232"/>
      <c r="X232"/>
      <c r="Y232"/>
      <c r="Z232"/>
      <c r="AA232"/>
      <c r="AB232"/>
      <c r="AC232"/>
      <c r="AD232"/>
      <c r="AE232"/>
      <c r="AF232"/>
      <c r="AG232"/>
      <c r="AH232"/>
      <c r="AI232"/>
      <c r="AJ232"/>
      <c r="AK232"/>
      <c r="AL232"/>
      <c r="AM232"/>
      <c r="AN232"/>
      <c r="AO232"/>
      <c r="AP232"/>
      <c r="AQ232"/>
      <c r="AR232"/>
      <c r="AS232"/>
      <c r="AT232"/>
      <c r="AU232"/>
      <c r="AV232"/>
      <c r="AW232"/>
      <c r="AX232"/>
      <c r="AY232"/>
      <c r="AZ232"/>
      <c r="BA232"/>
      <c r="BB232"/>
      <c r="BC232"/>
      <c r="BD232"/>
      <c r="BE232"/>
      <c r="BF232"/>
      <c r="BG232"/>
      <c r="BH232"/>
      <c r="BI232"/>
      <c r="BJ232"/>
      <c r="BK232"/>
      <c r="BL232"/>
      <c r="BM232"/>
      <c r="BN232"/>
      <c r="BO232"/>
      <c r="BP232"/>
      <c r="BQ232"/>
      <c r="BR232"/>
      <c r="BS232"/>
      <c r="BT232"/>
      <c r="BU232"/>
      <c r="BV232"/>
      <c r="BW232"/>
      <c r="BX232"/>
      <c r="BY232"/>
      <c r="BZ232"/>
      <c r="CA232"/>
      <c r="CB232"/>
      <c r="CC232"/>
      <c r="CD232"/>
      <c r="CE232"/>
      <c r="CF232"/>
      <c r="CG232"/>
      <c r="CH232"/>
      <c r="CI232"/>
      <c r="CJ232"/>
      <c r="CK232"/>
      <c r="CL232"/>
      <c r="CM232"/>
      <c r="CN232"/>
      <c r="CO232"/>
      <c r="CP232"/>
      <c r="CQ232"/>
      <c r="CR232"/>
      <c r="CS232"/>
      <c r="CT232"/>
      <c r="CU232"/>
      <c r="CV232"/>
      <c r="CW232"/>
      <c r="CX232"/>
      <c r="CY232"/>
      <c r="CZ232"/>
      <c r="DA232"/>
      <c r="DB232"/>
      <c r="DC232"/>
      <c r="DD232"/>
      <c r="DE232"/>
      <c r="DF232"/>
      <c r="DG232"/>
      <c r="DH232"/>
      <c r="DI232"/>
      <c r="DJ232"/>
      <c r="DK232"/>
      <c r="DL232"/>
      <c r="DM232"/>
      <c r="DN232"/>
      <c r="DO232"/>
      <c r="DP232"/>
      <c r="DQ232"/>
      <c r="DR232"/>
      <c r="DS232"/>
      <c r="DT232"/>
      <c r="DU232"/>
      <c r="DV232"/>
      <c r="DW232"/>
      <c r="DX232"/>
      <c r="DY232"/>
      <c r="DZ232"/>
      <c r="EA232"/>
      <c r="EB232"/>
      <c r="EC232"/>
      <c r="ED232"/>
      <c r="EE232"/>
      <c r="EF232"/>
      <c r="EG232"/>
      <c r="EH232"/>
      <c r="EI232"/>
      <c r="EJ232"/>
      <c r="EK232"/>
      <c r="EL232"/>
      <c r="EM232"/>
      <c r="EN232"/>
      <c r="EO232"/>
      <c r="EP232"/>
      <c r="EQ232"/>
      <c r="ER232"/>
      <c r="ES232"/>
      <c r="ET232"/>
      <c r="EU232"/>
      <c r="EV232"/>
      <c r="EW232"/>
      <c r="EX232"/>
      <c r="EY232"/>
      <c r="EZ232"/>
      <c r="FA232"/>
      <c r="FB232"/>
      <c r="FC232"/>
      <c r="FD232"/>
      <c r="FE232"/>
      <c r="FF232"/>
      <c r="FG232"/>
      <c r="FH232"/>
      <c r="FI232"/>
      <c r="FJ232"/>
      <c r="FK232"/>
      <c r="FL232"/>
      <c r="FM232"/>
      <c r="FN232"/>
      <c r="FO232"/>
      <c r="FP232"/>
      <c r="FQ232"/>
      <c r="FR232"/>
      <c r="FS232"/>
      <c r="FT232"/>
      <c r="FU232"/>
      <c r="FV232"/>
      <c r="FW232"/>
      <c r="FX232"/>
      <c r="FY232"/>
      <c r="FZ232"/>
      <c r="GA232"/>
      <c r="GB232"/>
      <c r="GC232"/>
      <c r="GD232"/>
      <c r="GE232"/>
      <c r="GF232"/>
      <c r="GG232"/>
      <c r="GH232"/>
      <c r="GI232"/>
      <c r="GJ232"/>
      <c r="GK232"/>
      <c r="GL232"/>
      <c r="GM232"/>
      <c r="GN232"/>
    </row>
    <row r="233" spans="1:196" s="104" customFormat="1" ht="13.8" hidden="1" outlineLevel="1" x14ac:dyDescent="0.25">
      <c r="A233" s="810" t="s">
        <v>753</v>
      </c>
      <c r="B233" s="810" t="s">
        <v>556</v>
      </c>
      <c r="C233" s="923"/>
      <c r="D233" s="923"/>
      <c r="E233" s="214"/>
      <c r="F233" s="160" t="s">
        <v>197</v>
      </c>
      <c r="G233" s="296">
        <v>576</v>
      </c>
      <c r="H233" s="304">
        <v>0</v>
      </c>
      <c r="I233" s="276"/>
      <c r="J233" s="887">
        <f t="shared" si="27"/>
        <v>0</v>
      </c>
      <c r="K233" s="432"/>
      <c r="L233" s="224"/>
      <c r="M233" s="107"/>
      <c r="N233"/>
      <c r="O233"/>
      <c r="P233"/>
      <c r="Q233"/>
      <c r="R233"/>
      <c r="S233"/>
      <c r="T233"/>
      <c r="U233"/>
      <c r="V233"/>
      <c r="W233"/>
      <c r="X233"/>
      <c r="Y233"/>
      <c r="Z233"/>
      <c r="AA233"/>
      <c r="AB233"/>
      <c r="AC233"/>
      <c r="AD233"/>
      <c r="AE233"/>
      <c r="AF233"/>
      <c r="AG233"/>
      <c r="AH233"/>
      <c r="AI233"/>
      <c r="AJ233"/>
      <c r="AK233"/>
      <c r="AL233"/>
      <c r="AM233"/>
      <c r="AN233"/>
      <c r="AO233"/>
      <c r="AP233"/>
      <c r="AQ233"/>
      <c r="AR233"/>
      <c r="AS233"/>
      <c r="AT233"/>
      <c r="AU233"/>
      <c r="AV233"/>
      <c r="AW233"/>
      <c r="AX233"/>
      <c r="AY233"/>
      <c r="AZ233"/>
      <c r="BA233"/>
      <c r="BB233"/>
      <c r="BC233"/>
      <c r="BD233"/>
      <c r="BE233"/>
      <c r="BF233"/>
      <c r="BG233"/>
      <c r="BH233"/>
      <c r="BI233"/>
      <c r="BJ233"/>
      <c r="BK233"/>
      <c r="BL233"/>
      <c r="BM233"/>
      <c r="BN233"/>
      <c r="BO233"/>
      <c r="BP233"/>
      <c r="BQ233"/>
      <c r="BR233"/>
      <c r="BS233"/>
      <c r="BT233"/>
      <c r="BU233"/>
      <c r="BV233"/>
      <c r="BW233"/>
      <c r="BX233"/>
      <c r="BY233"/>
      <c r="BZ233"/>
      <c r="CA233"/>
      <c r="CB233"/>
      <c r="CC233"/>
      <c r="CD233"/>
      <c r="CE233"/>
      <c r="CF233"/>
      <c r="CG233"/>
      <c r="CH233"/>
      <c r="CI233"/>
      <c r="CJ233"/>
      <c r="CK233"/>
      <c r="CL233"/>
      <c r="CM233"/>
      <c r="CN233"/>
      <c r="CO233"/>
      <c r="CP233"/>
      <c r="CQ233"/>
      <c r="CR233"/>
      <c r="CS233"/>
      <c r="CT233"/>
      <c r="CU233"/>
      <c r="CV233"/>
      <c r="CW233"/>
      <c r="CX233"/>
      <c r="CY233"/>
      <c r="CZ233"/>
      <c r="DA233"/>
      <c r="DB233"/>
      <c r="DC233"/>
      <c r="DD233"/>
      <c r="DE233"/>
      <c r="DF233"/>
      <c r="DG233"/>
      <c r="DH233"/>
      <c r="DI233"/>
      <c r="DJ233"/>
      <c r="DK233"/>
      <c r="DL233"/>
      <c r="DM233"/>
      <c r="DN233"/>
      <c r="DO233"/>
      <c r="DP233"/>
      <c r="DQ233"/>
      <c r="DR233"/>
      <c r="DS233"/>
      <c r="DT233"/>
      <c r="DU233"/>
      <c r="DV233"/>
      <c r="DW233"/>
      <c r="DX233"/>
      <c r="DY233"/>
      <c r="DZ233"/>
      <c r="EA233"/>
      <c r="EB233"/>
      <c r="EC233"/>
      <c r="ED233"/>
      <c r="EE233"/>
      <c r="EF233"/>
      <c r="EG233"/>
      <c r="EH233"/>
      <c r="EI233"/>
      <c r="EJ233"/>
      <c r="EK233"/>
      <c r="EL233"/>
      <c r="EM233"/>
      <c r="EN233"/>
      <c r="EO233"/>
      <c r="EP233"/>
      <c r="EQ233"/>
      <c r="ER233"/>
      <c r="ES233"/>
      <c r="ET233"/>
      <c r="EU233"/>
      <c r="EV233"/>
      <c r="EW233"/>
      <c r="EX233"/>
      <c r="EY233"/>
      <c r="EZ233"/>
      <c r="FA233"/>
      <c r="FB233"/>
      <c r="FC233"/>
      <c r="FD233"/>
      <c r="FE233"/>
      <c r="FF233"/>
      <c r="FG233"/>
      <c r="FH233"/>
      <c r="FI233"/>
      <c r="FJ233"/>
      <c r="FK233"/>
      <c r="FL233"/>
      <c r="FM233"/>
      <c r="FN233"/>
      <c r="FO233"/>
      <c r="FP233"/>
      <c r="FQ233"/>
      <c r="FR233"/>
      <c r="FS233"/>
      <c r="FT233"/>
      <c r="FU233"/>
      <c r="FV233"/>
      <c r="FW233"/>
      <c r="FX233"/>
      <c r="FY233"/>
      <c r="FZ233"/>
      <c r="GA233"/>
      <c r="GB233"/>
      <c r="GC233"/>
      <c r="GD233"/>
      <c r="GE233"/>
      <c r="GF233"/>
      <c r="GG233"/>
      <c r="GH233"/>
      <c r="GI233"/>
      <c r="GJ233"/>
      <c r="GK233"/>
      <c r="GL233"/>
      <c r="GM233"/>
      <c r="GN233"/>
    </row>
    <row r="234" spans="1:196" s="1432" customFormat="1" ht="13.8" hidden="1" outlineLevel="1" x14ac:dyDescent="0.25">
      <c r="A234" s="1433" t="s">
        <v>753</v>
      </c>
      <c r="B234" s="1433" t="s">
        <v>555</v>
      </c>
      <c r="C234" s="1434"/>
      <c r="D234" s="1434"/>
      <c r="E234" s="1437"/>
      <c r="F234" s="1438" t="s">
        <v>555</v>
      </c>
      <c r="G234" s="1435">
        <v>0</v>
      </c>
      <c r="H234" s="1435">
        <v>0</v>
      </c>
      <c r="I234" s="1427">
        <f t="shared" si="25"/>
        <v>0</v>
      </c>
      <c r="J234" s="1428" t="str">
        <f t="shared" si="27"/>
        <v>-</v>
      </c>
      <c r="K234" s="1429"/>
      <c r="L234" s="1436"/>
      <c r="M234" s="1430"/>
      <c r="N234" s="1431"/>
      <c r="O234" s="1431"/>
      <c r="P234" s="1431"/>
      <c r="Q234" s="1431"/>
      <c r="R234" s="1431"/>
      <c r="S234" s="1431"/>
      <c r="T234" s="1431"/>
      <c r="U234" s="1431"/>
      <c r="V234" s="1431"/>
      <c r="W234" s="1431"/>
      <c r="X234" s="1431"/>
      <c r="Y234" s="1431"/>
      <c r="Z234" s="1431"/>
      <c r="AA234" s="1431"/>
      <c r="AB234" s="1431"/>
      <c r="AC234" s="1431"/>
      <c r="AD234" s="1431"/>
      <c r="AE234" s="1431"/>
      <c r="AF234" s="1431"/>
      <c r="AG234" s="1431"/>
      <c r="AH234" s="1431"/>
      <c r="AI234" s="1431"/>
      <c r="AJ234" s="1431"/>
      <c r="AK234" s="1431"/>
      <c r="AL234" s="1431"/>
      <c r="AM234" s="1431"/>
      <c r="AN234" s="1431"/>
      <c r="AO234" s="1431"/>
      <c r="AP234" s="1431"/>
      <c r="AQ234" s="1431"/>
      <c r="AR234" s="1431"/>
      <c r="AS234" s="1431"/>
      <c r="AT234" s="1431"/>
      <c r="AU234" s="1431"/>
      <c r="AV234" s="1431"/>
      <c r="AW234" s="1431"/>
      <c r="AX234" s="1431"/>
      <c r="AY234" s="1431"/>
      <c r="AZ234" s="1431"/>
      <c r="BA234" s="1431"/>
      <c r="BB234" s="1431"/>
      <c r="BC234" s="1431"/>
      <c r="BD234" s="1431"/>
      <c r="BE234" s="1431"/>
      <c r="BF234" s="1431"/>
      <c r="BG234" s="1431"/>
      <c r="BH234" s="1431"/>
      <c r="BI234" s="1431"/>
      <c r="BJ234" s="1431"/>
      <c r="BK234" s="1431"/>
      <c r="BL234" s="1431"/>
      <c r="BM234" s="1431"/>
      <c r="BN234" s="1431"/>
      <c r="BO234" s="1431"/>
      <c r="BP234" s="1431"/>
      <c r="BQ234" s="1431"/>
      <c r="BR234" s="1431"/>
      <c r="BS234" s="1431"/>
      <c r="BT234" s="1431"/>
      <c r="BU234" s="1431"/>
      <c r="BV234" s="1431"/>
      <c r="BW234" s="1431"/>
      <c r="BX234" s="1431"/>
      <c r="BY234" s="1431"/>
      <c r="BZ234" s="1431"/>
      <c r="CA234" s="1431"/>
      <c r="CB234" s="1431"/>
      <c r="CC234" s="1431"/>
      <c r="CD234" s="1431"/>
      <c r="CE234" s="1431"/>
      <c r="CF234" s="1431"/>
      <c r="CG234" s="1431"/>
      <c r="CH234" s="1431"/>
      <c r="CI234" s="1431"/>
      <c r="CJ234" s="1431"/>
      <c r="CK234" s="1431"/>
      <c r="CL234" s="1431"/>
      <c r="CM234" s="1431"/>
      <c r="CN234" s="1431"/>
      <c r="CO234" s="1431"/>
      <c r="CP234" s="1431"/>
      <c r="CQ234" s="1431"/>
      <c r="CR234" s="1431"/>
      <c r="CS234" s="1431"/>
      <c r="CT234" s="1431"/>
      <c r="CU234" s="1431"/>
      <c r="CV234" s="1431"/>
      <c r="CW234" s="1431"/>
      <c r="CX234" s="1431"/>
      <c r="CY234" s="1431"/>
      <c r="CZ234" s="1431"/>
      <c r="DA234" s="1431"/>
      <c r="DB234" s="1431"/>
      <c r="DC234" s="1431"/>
      <c r="DD234" s="1431"/>
      <c r="DE234" s="1431"/>
      <c r="DF234" s="1431"/>
      <c r="DG234" s="1431"/>
      <c r="DH234" s="1431"/>
      <c r="DI234" s="1431"/>
      <c r="DJ234" s="1431"/>
      <c r="DK234" s="1431"/>
      <c r="DL234" s="1431"/>
      <c r="DM234" s="1431"/>
      <c r="DN234" s="1431"/>
      <c r="DO234" s="1431"/>
      <c r="DP234" s="1431"/>
      <c r="DQ234" s="1431"/>
      <c r="DR234" s="1431"/>
      <c r="DS234" s="1431"/>
      <c r="DT234" s="1431"/>
      <c r="DU234" s="1431"/>
      <c r="DV234" s="1431"/>
      <c r="DW234" s="1431"/>
      <c r="DX234" s="1431"/>
      <c r="DY234" s="1431"/>
      <c r="DZ234" s="1431"/>
      <c r="EA234" s="1431"/>
      <c r="EB234" s="1431"/>
      <c r="EC234" s="1431"/>
      <c r="ED234" s="1431"/>
      <c r="EE234" s="1431"/>
      <c r="EF234" s="1431"/>
      <c r="EG234" s="1431"/>
      <c r="EH234" s="1431"/>
      <c r="EI234" s="1431"/>
      <c r="EJ234" s="1431"/>
      <c r="EK234" s="1431"/>
      <c r="EL234" s="1431"/>
      <c r="EM234" s="1431"/>
      <c r="EN234" s="1431"/>
      <c r="EO234" s="1431"/>
      <c r="EP234" s="1431"/>
      <c r="EQ234" s="1431"/>
      <c r="ER234" s="1431"/>
      <c r="ES234" s="1431"/>
      <c r="ET234" s="1431"/>
      <c r="EU234" s="1431"/>
      <c r="EV234" s="1431"/>
      <c r="EW234" s="1431"/>
      <c r="EX234" s="1431"/>
      <c r="EY234" s="1431"/>
      <c r="EZ234" s="1431"/>
      <c r="FA234" s="1431"/>
      <c r="FB234" s="1431"/>
      <c r="FC234" s="1431"/>
      <c r="FD234" s="1431"/>
      <c r="FE234" s="1431"/>
      <c r="FF234" s="1431"/>
      <c r="FG234" s="1431"/>
      <c r="FH234" s="1431"/>
      <c r="FI234" s="1431"/>
      <c r="FJ234" s="1431"/>
      <c r="FK234" s="1431"/>
      <c r="FL234" s="1431"/>
      <c r="FM234" s="1431"/>
      <c r="FN234" s="1431"/>
      <c r="FO234" s="1431"/>
      <c r="FP234" s="1431"/>
      <c r="FQ234" s="1431"/>
      <c r="FR234" s="1431"/>
      <c r="FS234" s="1431"/>
      <c r="FT234" s="1431"/>
      <c r="FU234" s="1431"/>
      <c r="FV234" s="1431"/>
      <c r="FW234" s="1431"/>
      <c r="FX234" s="1431"/>
      <c r="FY234" s="1431"/>
      <c r="FZ234" s="1431"/>
      <c r="GA234" s="1431"/>
      <c r="GB234" s="1431"/>
      <c r="GC234" s="1431"/>
      <c r="GD234" s="1431"/>
      <c r="GE234" s="1431"/>
      <c r="GF234" s="1431"/>
      <c r="GG234" s="1431"/>
      <c r="GH234" s="1431"/>
      <c r="GI234" s="1431"/>
      <c r="GJ234" s="1431"/>
      <c r="GK234" s="1431"/>
      <c r="GL234" s="1431"/>
      <c r="GM234" s="1431"/>
      <c r="GN234" s="1431"/>
    </row>
    <row r="235" spans="1:196" s="925" customFormat="1" ht="13.8" collapsed="1" x14ac:dyDescent="0.25">
      <c r="A235" s="1404"/>
      <c r="B235" s="1403" t="e">
        <f>H235-#REF!</f>
        <v>#REF!</v>
      </c>
      <c r="C235" s="1399"/>
      <c r="D235" s="1399"/>
      <c r="E235" s="1439" t="s">
        <v>28</v>
      </c>
      <c r="F235" s="1440" t="s">
        <v>98</v>
      </c>
      <c r="G235" s="1441">
        <v>11265962.64208425</v>
      </c>
      <c r="H235" s="1441">
        <v>13005734.532097237</v>
      </c>
      <c r="I235" s="355">
        <f>H235-G235</f>
        <v>1739771.890012987</v>
      </c>
      <c r="J235" s="1442">
        <f t="shared" si="27"/>
        <v>0.15442727313101776</v>
      </c>
      <c r="K235" s="1443"/>
      <c r="L235" s="470"/>
      <c r="M235" s="1119"/>
    </row>
    <row r="236" spans="1:196" s="343" customFormat="1" ht="13.8" x14ac:dyDescent="0.25">
      <c r="A236" s="1404"/>
      <c r="B236" s="1404"/>
      <c r="C236" s="1399"/>
      <c r="D236" s="1399"/>
      <c r="E236" s="338"/>
      <c r="F236" s="465" t="s">
        <v>228</v>
      </c>
      <c r="G236" s="466">
        <v>5676395.0281842491</v>
      </c>
      <c r="H236" s="466">
        <v>6566532.7641722355</v>
      </c>
      <c r="I236" s="467">
        <f t="shared" si="25"/>
        <v>890137.73598798644</v>
      </c>
      <c r="J236" s="891">
        <f t="shared" si="27"/>
        <v>0.15681391650304533</v>
      </c>
      <c r="K236" s="342"/>
      <c r="L236" s="470"/>
      <c r="M236" s="1115"/>
      <c r="N236" s="924"/>
      <c r="O236" s="924"/>
      <c r="P236" s="924"/>
      <c r="Q236" s="924"/>
      <c r="R236" s="924"/>
      <c r="S236" s="924"/>
      <c r="T236" s="924"/>
      <c r="U236" s="924"/>
      <c r="V236" s="924"/>
      <c r="W236" s="924"/>
      <c r="X236" s="924"/>
      <c r="Y236" s="924"/>
      <c r="Z236" s="924"/>
      <c r="AA236" s="924"/>
      <c r="AB236" s="924"/>
      <c r="AC236" s="924"/>
      <c r="AD236" s="924"/>
      <c r="AE236" s="924"/>
      <c r="AF236" s="924"/>
      <c r="AG236" s="924"/>
      <c r="AH236" s="924"/>
      <c r="AI236" s="924"/>
      <c r="AJ236" s="924"/>
      <c r="AK236" s="924"/>
      <c r="AL236" s="924"/>
      <c r="AM236" s="924"/>
      <c r="AN236" s="924"/>
      <c r="AO236" s="924"/>
      <c r="AP236" s="924"/>
      <c r="AQ236" s="924"/>
      <c r="AR236" s="924"/>
      <c r="AS236" s="924"/>
      <c r="AT236" s="924"/>
      <c r="AU236" s="924"/>
      <c r="AV236" s="924"/>
      <c r="AW236" s="924"/>
      <c r="AX236" s="924"/>
      <c r="AY236" s="924"/>
      <c r="AZ236" s="924"/>
      <c r="BA236" s="924"/>
      <c r="BB236" s="924"/>
      <c r="BC236" s="924"/>
      <c r="BD236" s="924"/>
      <c r="BE236" s="924"/>
      <c r="BF236" s="924"/>
      <c r="BG236" s="924"/>
      <c r="BH236" s="924"/>
      <c r="BI236" s="924"/>
      <c r="BJ236" s="924"/>
      <c r="BK236" s="924"/>
      <c r="BL236" s="924"/>
      <c r="BM236" s="924"/>
      <c r="BN236" s="924"/>
      <c r="BO236" s="924"/>
      <c r="BP236" s="924"/>
      <c r="BQ236" s="924"/>
      <c r="BR236" s="924"/>
      <c r="BS236" s="924"/>
      <c r="BT236" s="924"/>
      <c r="BU236" s="924"/>
      <c r="BV236" s="924"/>
      <c r="BW236" s="924"/>
      <c r="BX236" s="924"/>
      <c r="BY236" s="924"/>
      <c r="BZ236" s="924"/>
      <c r="CA236" s="924"/>
      <c r="CB236" s="924"/>
      <c r="CC236" s="924"/>
      <c r="CD236" s="924"/>
      <c r="CE236" s="924"/>
      <c r="CF236" s="924"/>
      <c r="CG236" s="924"/>
      <c r="CH236" s="924"/>
      <c r="CI236" s="924"/>
      <c r="CJ236" s="924"/>
      <c r="CK236" s="924"/>
      <c r="CL236" s="924"/>
      <c r="CM236" s="924"/>
      <c r="CN236" s="924"/>
      <c r="CO236" s="924"/>
      <c r="CP236" s="924"/>
      <c r="CQ236" s="924"/>
      <c r="CR236" s="924"/>
      <c r="CS236" s="924"/>
      <c r="CT236" s="924"/>
      <c r="CU236" s="924"/>
      <c r="CV236" s="924"/>
      <c r="CW236" s="924"/>
      <c r="CX236" s="924"/>
      <c r="CY236" s="924"/>
      <c r="CZ236" s="924"/>
      <c r="DA236" s="924"/>
      <c r="DB236" s="924"/>
      <c r="DC236" s="924"/>
      <c r="DD236" s="924"/>
      <c r="DE236" s="924"/>
      <c r="DF236" s="924"/>
      <c r="DG236" s="924"/>
      <c r="DH236" s="924"/>
      <c r="DI236" s="924"/>
      <c r="DJ236" s="924"/>
      <c r="DK236" s="924"/>
      <c r="DL236" s="924"/>
      <c r="DM236" s="924"/>
      <c r="DN236" s="924"/>
      <c r="DO236" s="924"/>
      <c r="DP236" s="924"/>
      <c r="DQ236" s="924"/>
      <c r="DR236" s="924"/>
      <c r="DS236" s="924"/>
      <c r="DT236" s="924"/>
      <c r="DU236" s="924"/>
      <c r="DV236" s="924"/>
      <c r="DW236" s="924"/>
      <c r="DX236" s="924"/>
      <c r="DY236" s="924"/>
      <c r="DZ236" s="924"/>
      <c r="EA236" s="924"/>
      <c r="EB236" s="924"/>
      <c r="EC236" s="924"/>
      <c r="ED236" s="924"/>
      <c r="EE236" s="924"/>
      <c r="EF236" s="924"/>
      <c r="EG236" s="924"/>
      <c r="EH236" s="924"/>
      <c r="EI236" s="924"/>
      <c r="EJ236" s="924"/>
      <c r="EK236" s="924"/>
      <c r="EL236" s="924"/>
      <c r="EM236" s="924"/>
      <c r="EN236" s="924"/>
      <c r="EO236" s="924"/>
      <c r="EP236" s="924"/>
      <c r="EQ236" s="924"/>
      <c r="ER236" s="924"/>
      <c r="ES236" s="924"/>
      <c r="ET236" s="924"/>
      <c r="EU236" s="924"/>
      <c r="EV236" s="924"/>
      <c r="EW236" s="924"/>
      <c r="EX236" s="924"/>
      <c r="EY236" s="924"/>
      <c r="EZ236" s="924"/>
      <c r="FA236" s="924"/>
      <c r="FB236" s="924"/>
      <c r="FC236" s="924"/>
      <c r="FD236" s="924"/>
      <c r="FE236" s="924"/>
      <c r="FF236" s="924"/>
      <c r="FG236" s="924"/>
      <c r="FH236" s="924"/>
      <c r="FI236" s="924"/>
      <c r="FJ236" s="924"/>
      <c r="FK236" s="924"/>
      <c r="FL236" s="924"/>
      <c r="FM236" s="924"/>
      <c r="FN236" s="924"/>
      <c r="FO236" s="924"/>
      <c r="FP236" s="924"/>
      <c r="FQ236" s="924"/>
      <c r="FR236" s="924"/>
      <c r="FS236" s="924"/>
      <c r="FT236" s="924"/>
      <c r="FU236" s="924"/>
      <c r="FV236" s="924"/>
      <c r="FW236" s="924"/>
      <c r="FX236" s="924"/>
      <c r="FY236" s="924"/>
      <c r="FZ236" s="924"/>
      <c r="GA236" s="924"/>
      <c r="GB236" s="924"/>
      <c r="GC236" s="924"/>
      <c r="GD236" s="924"/>
      <c r="GE236" s="924"/>
      <c r="GF236" s="924"/>
      <c r="GG236" s="924"/>
      <c r="GH236" s="924"/>
      <c r="GI236" s="924"/>
      <c r="GJ236" s="924"/>
      <c r="GK236" s="924"/>
      <c r="GL236" s="924"/>
      <c r="GM236" s="924"/>
      <c r="GN236" s="924"/>
    </row>
    <row r="237" spans="1:196" s="343" customFormat="1" ht="13.8" x14ac:dyDescent="0.25">
      <c r="A237" s="1404"/>
      <c r="B237" s="1404"/>
      <c r="C237" s="1399"/>
      <c r="D237" s="1399"/>
      <c r="E237" s="344"/>
      <c r="F237" s="468" t="s">
        <v>198</v>
      </c>
      <c r="G237" s="466">
        <v>5463022.6139000002</v>
      </c>
      <c r="H237" s="349">
        <v>6311070.3939249991</v>
      </c>
      <c r="I237" s="467">
        <f>H237-G237</f>
        <v>848047.78002499882</v>
      </c>
      <c r="J237" s="891">
        <f t="shared" si="27"/>
        <v>0.15523416979223989</v>
      </c>
      <c r="K237" s="348"/>
      <c r="L237" s="470"/>
      <c r="M237" s="1115"/>
      <c r="N237" s="924"/>
      <c r="O237" s="924"/>
      <c r="P237" s="924"/>
      <c r="Q237" s="924"/>
      <c r="R237" s="924"/>
      <c r="S237" s="924"/>
      <c r="T237" s="924"/>
      <c r="U237" s="924"/>
      <c r="V237" s="924"/>
      <c r="W237" s="924"/>
      <c r="X237" s="924"/>
      <c r="Y237" s="924"/>
      <c r="Z237" s="924"/>
      <c r="AA237" s="924"/>
      <c r="AB237" s="924"/>
      <c r="AC237" s="924"/>
      <c r="AD237" s="924"/>
      <c r="AE237" s="924"/>
      <c r="AF237" s="924"/>
      <c r="AG237" s="924"/>
      <c r="AH237" s="924"/>
      <c r="AI237" s="924"/>
      <c r="AJ237" s="924"/>
      <c r="AK237" s="924"/>
      <c r="AL237" s="924"/>
      <c r="AM237" s="924"/>
      <c r="AN237" s="924"/>
      <c r="AO237" s="924"/>
      <c r="AP237" s="924"/>
      <c r="AQ237" s="924"/>
      <c r="AR237" s="924"/>
      <c r="AS237" s="924"/>
      <c r="AT237" s="924"/>
      <c r="AU237" s="924"/>
      <c r="AV237" s="924"/>
      <c r="AW237" s="924"/>
      <c r="AX237" s="924"/>
      <c r="AY237" s="924"/>
      <c r="AZ237" s="924"/>
      <c r="BA237" s="924"/>
      <c r="BB237" s="924"/>
      <c r="BC237" s="924"/>
      <c r="BD237" s="924"/>
      <c r="BE237" s="924"/>
      <c r="BF237" s="924"/>
      <c r="BG237" s="924"/>
      <c r="BH237" s="924"/>
      <c r="BI237" s="924"/>
      <c r="BJ237" s="924"/>
      <c r="BK237" s="924"/>
      <c r="BL237" s="924"/>
      <c r="BM237" s="924"/>
      <c r="BN237" s="924"/>
      <c r="BO237" s="924"/>
      <c r="BP237" s="924"/>
      <c r="BQ237" s="924"/>
      <c r="BR237" s="924"/>
      <c r="BS237" s="924"/>
      <c r="BT237" s="924"/>
      <c r="BU237" s="924"/>
      <c r="BV237" s="924"/>
      <c r="BW237" s="924"/>
      <c r="BX237" s="924"/>
      <c r="BY237" s="924"/>
      <c r="BZ237" s="924"/>
      <c r="CA237" s="924"/>
      <c r="CB237" s="924"/>
      <c r="CC237" s="924"/>
      <c r="CD237" s="924"/>
      <c r="CE237" s="924"/>
      <c r="CF237" s="924"/>
      <c r="CG237" s="924"/>
      <c r="CH237" s="924"/>
      <c r="CI237" s="924"/>
      <c r="CJ237" s="924"/>
      <c r="CK237" s="924"/>
      <c r="CL237" s="924"/>
      <c r="CM237" s="924"/>
      <c r="CN237" s="924"/>
      <c r="CO237" s="924"/>
      <c r="CP237" s="924"/>
      <c r="CQ237" s="924"/>
      <c r="CR237" s="924"/>
      <c r="CS237" s="924"/>
      <c r="CT237" s="924"/>
      <c r="CU237" s="924"/>
      <c r="CV237" s="924"/>
      <c r="CW237" s="924"/>
      <c r="CX237" s="924"/>
      <c r="CY237" s="924"/>
      <c r="CZ237" s="924"/>
      <c r="DA237" s="924"/>
      <c r="DB237" s="924"/>
      <c r="DC237" s="924"/>
      <c r="DD237" s="924"/>
      <c r="DE237" s="924"/>
      <c r="DF237" s="924"/>
      <c r="DG237" s="924"/>
      <c r="DH237" s="924"/>
      <c r="DI237" s="924"/>
      <c r="DJ237" s="924"/>
      <c r="DK237" s="924"/>
      <c r="DL237" s="924"/>
      <c r="DM237" s="924"/>
      <c r="DN237" s="924"/>
      <c r="DO237" s="924"/>
      <c r="DP237" s="924"/>
      <c r="DQ237" s="924"/>
      <c r="DR237" s="924"/>
      <c r="DS237" s="924"/>
      <c r="DT237" s="924"/>
      <c r="DU237" s="924"/>
      <c r="DV237" s="924"/>
      <c r="DW237" s="924"/>
      <c r="DX237" s="924"/>
      <c r="DY237" s="924"/>
      <c r="DZ237" s="924"/>
      <c r="EA237" s="924"/>
      <c r="EB237" s="924"/>
      <c r="EC237" s="924"/>
      <c r="ED237" s="924"/>
      <c r="EE237" s="924"/>
      <c r="EF237" s="924"/>
      <c r="EG237" s="924"/>
      <c r="EH237" s="924"/>
      <c r="EI237" s="924"/>
      <c r="EJ237" s="924"/>
      <c r="EK237" s="924"/>
      <c r="EL237" s="924"/>
      <c r="EM237" s="924"/>
      <c r="EN237" s="924"/>
      <c r="EO237" s="924"/>
      <c r="EP237" s="924"/>
      <c r="EQ237" s="924"/>
      <c r="ER237" s="924"/>
      <c r="ES237" s="924"/>
      <c r="ET237" s="924"/>
      <c r="EU237" s="924"/>
      <c r="EV237" s="924"/>
      <c r="EW237" s="924"/>
      <c r="EX237" s="924"/>
      <c r="EY237" s="924"/>
      <c r="EZ237" s="924"/>
      <c r="FA237" s="924"/>
      <c r="FB237" s="924"/>
      <c r="FC237" s="924"/>
      <c r="FD237" s="924"/>
      <c r="FE237" s="924"/>
      <c r="FF237" s="924"/>
      <c r="FG237" s="924"/>
      <c r="FH237" s="924"/>
      <c r="FI237" s="924"/>
      <c r="FJ237" s="924"/>
      <c r="FK237" s="924"/>
      <c r="FL237" s="924"/>
      <c r="FM237" s="924"/>
      <c r="FN237" s="924"/>
      <c r="FO237" s="924"/>
      <c r="FP237" s="924"/>
      <c r="FQ237" s="924"/>
      <c r="FR237" s="924"/>
      <c r="FS237" s="924"/>
      <c r="FT237" s="924"/>
      <c r="FU237" s="924"/>
      <c r="FV237" s="924"/>
      <c r="FW237" s="924"/>
      <c r="FX237" s="924"/>
      <c r="FY237" s="924"/>
      <c r="FZ237" s="924"/>
      <c r="GA237" s="924"/>
      <c r="GB237" s="924"/>
      <c r="GC237" s="924"/>
      <c r="GD237" s="924"/>
      <c r="GE237" s="924"/>
      <c r="GF237" s="924"/>
      <c r="GG237" s="924"/>
      <c r="GH237" s="924"/>
      <c r="GI237" s="924"/>
      <c r="GJ237" s="924"/>
      <c r="GK237" s="924"/>
      <c r="GL237" s="924"/>
      <c r="GM237" s="924"/>
      <c r="GN237" s="924"/>
    </row>
    <row r="238" spans="1:196" s="343" customFormat="1" ht="14.4" x14ac:dyDescent="0.3">
      <c r="A238" s="1404"/>
      <c r="B238" s="1404"/>
      <c r="C238" s="1399"/>
      <c r="D238" s="1399"/>
      <c r="E238" s="344"/>
      <c r="F238" s="469" t="s">
        <v>197</v>
      </c>
      <c r="G238" s="349">
        <v>126545</v>
      </c>
      <c r="H238" s="349">
        <v>128131.374</v>
      </c>
      <c r="I238" s="467">
        <f>H238-G238</f>
        <v>1586.3739999999962</v>
      </c>
      <c r="J238" s="891">
        <f t="shared" si="27"/>
        <v>1.2536046465684113E-2</v>
      </c>
      <c r="K238" s="348"/>
      <c r="L238" s="470"/>
      <c r="M238" s="1115"/>
      <c r="N238" s="924"/>
      <c r="O238" s="924"/>
      <c r="P238" s="924"/>
      <c r="Q238" s="924"/>
      <c r="R238" s="924"/>
      <c r="S238" s="924"/>
      <c r="T238" s="924"/>
      <c r="U238" s="924"/>
      <c r="V238" s="924"/>
      <c r="W238" s="924"/>
      <c r="X238" s="924"/>
      <c r="Y238" s="924"/>
      <c r="Z238" s="924"/>
      <c r="AA238" s="924"/>
      <c r="AB238" s="924"/>
      <c r="AC238" s="924"/>
      <c r="AD238" s="924"/>
      <c r="AE238" s="924"/>
      <c r="AF238" s="924"/>
      <c r="AG238" s="924"/>
      <c r="AH238" s="924"/>
      <c r="AI238" s="924"/>
      <c r="AJ238" s="924"/>
      <c r="AK238" s="924"/>
      <c r="AL238" s="924"/>
      <c r="AM238" s="924"/>
      <c r="AN238" s="924"/>
      <c r="AO238" s="924"/>
      <c r="AP238" s="924"/>
      <c r="AQ238" s="924"/>
      <c r="AR238" s="924"/>
      <c r="AS238" s="924"/>
      <c r="AT238" s="924"/>
      <c r="AU238" s="924"/>
      <c r="AV238" s="924"/>
      <c r="AW238" s="924"/>
      <c r="AX238" s="924"/>
      <c r="AY238" s="924"/>
      <c r="AZ238" s="924"/>
      <c r="BA238" s="924"/>
      <c r="BB238" s="924"/>
      <c r="BC238" s="924"/>
      <c r="BD238" s="924"/>
      <c r="BE238" s="924"/>
      <c r="BF238" s="924"/>
      <c r="BG238" s="924"/>
      <c r="BH238" s="924"/>
      <c r="BI238" s="924"/>
      <c r="BJ238" s="924"/>
      <c r="BK238" s="924"/>
      <c r="BL238" s="924"/>
      <c r="BM238" s="924"/>
      <c r="BN238" s="924"/>
      <c r="BO238" s="924"/>
      <c r="BP238" s="924"/>
      <c r="BQ238" s="924"/>
      <c r="BR238" s="924"/>
      <c r="BS238" s="924"/>
      <c r="BT238" s="924"/>
      <c r="BU238" s="924"/>
      <c r="BV238" s="924"/>
      <c r="BW238" s="924"/>
      <c r="BX238" s="924"/>
      <c r="BY238" s="924"/>
      <c r="BZ238" s="924"/>
      <c r="CA238" s="924"/>
      <c r="CB238" s="924"/>
      <c r="CC238" s="924"/>
      <c r="CD238" s="924"/>
      <c r="CE238" s="924"/>
      <c r="CF238" s="924"/>
      <c r="CG238" s="924"/>
      <c r="CH238" s="924"/>
      <c r="CI238" s="924"/>
      <c r="CJ238" s="924"/>
      <c r="CK238" s="924"/>
      <c r="CL238" s="924"/>
      <c r="CM238" s="924"/>
      <c r="CN238" s="924"/>
      <c r="CO238" s="924"/>
      <c r="CP238" s="924"/>
      <c r="CQ238" s="924"/>
      <c r="CR238" s="924"/>
      <c r="CS238" s="924"/>
      <c r="CT238" s="924"/>
      <c r="CU238" s="924"/>
      <c r="CV238" s="924"/>
      <c r="CW238" s="924"/>
      <c r="CX238" s="924"/>
      <c r="CY238" s="924"/>
      <c r="CZ238" s="924"/>
      <c r="DA238" s="924"/>
      <c r="DB238" s="924"/>
      <c r="DC238" s="924"/>
      <c r="DD238" s="924"/>
      <c r="DE238" s="924"/>
      <c r="DF238" s="924"/>
      <c r="DG238" s="924"/>
      <c r="DH238" s="924"/>
      <c r="DI238" s="924"/>
      <c r="DJ238" s="924"/>
      <c r="DK238" s="924"/>
      <c r="DL238" s="924"/>
      <c r="DM238" s="924"/>
      <c r="DN238" s="924"/>
      <c r="DO238" s="924"/>
      <c r="DP238" s="924"/>
      <c r="DQ238" s="924"/>
      <c r="DR238" s="924"/>
      <c r="DS238" s="924"/>
      <c r="DT238" s="924"/>
      <c r="DU238" s="924"/>
      <c r="DV238" s="924"/>
      <c r="DW238" s="924"/>
      <c r="DX238" s="924"/>
      <c r="DY238" s="924"/>
      <c r="DZ238" s="924"/>
      <c r="EA238" s="924"/>
      <c r="EB238" s="924"/>
      <c r="EC238" s="924"/>
      <c r="ED238" s="924"/>
      <c r="EE238" s="924"/>
      <c r="EF238" s="924"/>
      <c r="EG238" s="924"/>
      <c r="EH238" s="924"/>
      <c r="EI238" s="924"/>
      <c r="EJ238" s="924"/>
      <c r="EK238" s="924"/>
      <c r="EL238" s="924"/>
      <c r="EM238" s="924"/>
      <c r="EN238" s="924"/>
      <c r="EO238" s="924"/>
      <c r="EP238" s="924"/>
      <c r="EQ238" s="924"/>
      <c r="ER238" s="924"/>
      <c r="ES238" s="924"/>
      <c r="ET238" s="924"/>
      <c r="EU238" s="924"/>
      <c r="EV238" s="924"/>
      <c r="EW238" s="924"/>
      <c r="EX238" s="924"/>
      <c r="EY238" s="924"/>
      <c r="EZ238" s="924"/>
      <c r="FA238" s="924"/>
      <c r="FB238" s="924"/>
      <c r="FC238" s="924"/>
      <c r="FD238" s="924"/>
      <c r="FE238" s="924"/>
      <c r="FF238" s="924"/>
      <c r="FG238" s="924"/>
      <c r="FH238" s="924"/>
      <c r="FI238" s="924"/>
      <c r="FJ238" s="924"/>
      <c r="FK238" s="924"/>
      <c r="FL238" s="924"/>
      <c r="FM238" s="924"/>
      <c r="FN238" s="924"/>
      <c r="FO238" s="924"/>
      <c r="FP238" s="924"/>
      <c r="FQ238" s="924"/>
      <c r="FR238" s="924"/>
      <c r="FS238" s="924"/>
      <c r="FT238" s="924"/>
      <c r="FU238" s="924"/>
      <c r="FV238" s="924"/>
      <c r="FW238" s="924"/>
      <c r="FX238" s="924"/>
      <c r="FY238" s="924"/>
      <c r="FZ238" s="924"/>
      <c r="GA238" s="924"/>
      <c r="GB238" s="924"/>
      <c r="GC238" s="924"/>
      <c r="GD238" s="924"/>
      <c r="GE238" s="924"/>
      <c r="GF238" s="924"/>
      <c r="GG238" s="924"/>
      <c r="GH238" s="924"/>
      <c r="GI238" s="924"/>
      <c r="GJ238" s="924"/>
      <c r="GK238" s="924"/>
      <c r="GL238" s="924"/>
      <c r="GM238" s="924"/>
      <c r="GN238" s="924"/>
    </row>
    <row r="239" spans="1:196" s="537" customFormat="1" ht="14.4" x14ac:dyDescent="0.3">
      <c r="A239" s="1405"/>
      <c r="B239" s="1405"/>
      <c r="C239" s="1406"/>
      <c r="D239" s="1406"/>
      <c r="E239" s="1444"/>
      <c r="F239" s="1445" t="s">
        <v>167</v>
      </c>
      <c r="G239" s="1446">
        <v>5520350.4989839997</v>
      </c>
      <c r="H239" s="1446">
        <v>6626668.4209480006</v>
      </c>
      <c r="I239" s="1447">
        <f t="shared" ref="I239:I276" si="30">H239-G239</f>
        <v>1106317.9219640009</v>
      </c>
      <c r="J239" s="1448">
        <f t="shared" si="27"/>
        <v>0.20040718830581766</v>
      </c>
      <c r="K239" s="1449"/>
      <c r="L239" s="1409"/>
      <c r="M239" s="1117"/>
      <c r="N239" s="926"/>
      <c r="O239" s="926"/>
      <c r="P239" s="926"/>
      <c r="Q239" s="926"/>
      <c r="R239" s="926"/>
      <c r="S239" s="926"/>
      <c r="T239" s="926"/>
      <c r="U239" s="926"/>
      <c r="V239" s="926"/>
      <c r="W239" s="926"/>
      <c r="X239" s="926"/>
      <c r="Y239" s="926"/>
      <c r="Z239" s="926"/>
      <c r="AA239" s="926"/>
      <c r="AB239" s="926"/>
      <c r="AC239" s="926"/>
      <c r="AD239" s="926"/>
      <c r="AE239" s="926"/>
      <c r="AF239" s="926"/>
      <c r="AG239" s="926"/>
      <c r="AH239" s="926"/>
      <c r="AI239" s="926"/>
      <c r="AJ239" s="926"/>
      <c r="AK239" s="926"/>
      <c r="AL239" s="926"/>
      <c r="AM239" s="926"/>
      <c r="AN239" s="926"/>
      <c r="AO239" s="926"/>
      <c r="AP239" s="926"/>
      <c r="AQ239" s="926"/>
      <c r="AR239" s="926"/>
      <c r="AS239" s="926"/>
      <c r="AT239" s="926"/>
      <c r="AU239" s="926"/>
      <c r="AV239" s="926"/>
      <c r="AW239" s="926"/>
      <c r="AX239" s="926"/>
      <c r="AY239" s="926"/>
      <c r="AZ239" s="926"/>
      <c r="BA239" s="926"/>
      <c r="BB239" s="926"/>
      <c r="BC239" s="926"/>
      <c r="BD239" s="926"/>
      <c r="BE239" s="926"/>
      <c r="BF239" s="926"/>
      <c r="BG239" s="926"/>
      <c r="BH239" s="926"/>
      <c r="BI239" s="926"/>
      <c r="BJ239" s="926"/>
      <c r="BK239" s="926"/>
      <c r="BL239" s="926"/>
      <c r="BM239" s="926"/>
      <c r="BN239" s="926"/>
      <c r="BO239" s="926"/>
      <c r="BP239" s="926"/>
      <c r="BQ239" s="926"/>
      <c r="BR239" s="926"/>
      <c r="BS239" s="926"/>
      <c r="BT239" s="926"/>
      <c r="BU239" s="926"/>
      <c r="BV239" s="926"/>
      <c r="BW239" s="926"/>
      <c r="BX239" s="926"/>
      <c r="BY239" s="926"/>
      <c r="BZ239" s="926"/>
      <c r="CA239" s="926"/>
      <c r="CB239" s="926"/>
      <c r="CC239" s="926"/>
      <c r="CD239" s="926"/>
      <c r="CE239" s="926"/>
      <c r="CF239" s="926"/>
      <c r="CG239" s="926"/>
      <c r="CH239" s="926"/>
      <c r="CI239" s="926"/>
      <c r="CJ239" s="926"/>
      <c r="CK239" s="926"/>
      <c r="CL239" s="926"/>
      <c r="CM239" s="926"/>
      <c r="CN239" s="926"/>
      <c r="CO239" s="926"/>
      <c r="CP239" s="926"/>
      <c r="CQ239" s="926"/>
      <c r="CR239" s="926"/>
      <c r="CS239" s="926"/>
      <c r="CT239" s="926"/>
      <c r="CU239" s="926"/>
      <c r="CV239" s="926"/>
      <c r="CW239" s="926"/>
      <c r="CX239" s="926"/>
      <c r="CY239" s="926"/>
      <c r="CZ239" s="926"/>
      <c r="DA239" s="926"/>
      <c r="DB239" s="926"/>
      <c r="DC239" s="926"/>
      <c r="DD239" s="926"/>
      <c r="DE239" s="926"/>
      <c r="DF239" s="926"/>
      <c r="DG239" s="926"/>
      <c r="DH239" s="926"/>
      <c r="DI239" s="926"/>
      <c r="DJ239" s="926"/>
      <c r="DK239" s="926"/>
      <c r="DL239" s="926"/>
      <c r="DM239" s="926"/>
      <c r="DN239" s="926"/>
      <c r="DO239" s="926"/>
      <c r="DP239" s="926"/>
      <c r="DQ239" s="926"/>
      <c r="DR239" s="926"/>
      <c r="DS239" s="926"/>
      <c r="DT239" s="926"/>
      <c r="DU239" s="926"/>
      <c r="DV239" s="926"/>
      <c r="DW239" s="926"/>
      <c r="DX239" s="926"/>
      <c r="DY239" s="926"/>
      <c r="DZ239" s="926"/>
      <c r="EA239" s="926"/>
      <c r="EB239" s="926"/>
      <c r="EC239" s="926"/>
      <c r="ED239" s="926"/>
      <c r="EE239" s="926"/>
      <c r="EF239" s="926"/>
      <c r="EG239" s="926"/>
      <c r="EH239" s="926"/>
      <c r="EI239" s="926"/>
      <c r="EJ239" s="926"/>
      <c r="EK239" s="926"/>
      <c r="EL239" s="926"/>
      <c r="EM239" s="926"/>
      <c r="EN239" s="926"/>
      <c r="EO239" s="926"/>
      <c r="EP239" s="926"/>
      <c r="EQ239" s="926"/>
      <c r="ER239" s="926"/>
      <c r="ES239" s="926"/>
      <c r="ET239" s="926"/>
      <c r="EU239" s="926"/>
      <c r="EV239" s="926"/>
      <c r="EW239" s="926"/>
      <c r="EX239" s="926"/>
      <c r="EY239" s="926"/>
      <c r="EZ239" s="926"/>
      <c r="FA239" s="926"/>
      <c r="FB239" s="926"/>
      <c r="FC239" s="926"/>
      <c r="FD239" s="926"/>
      <c r="FE239" s="926"/>
      <c r="FF239" s="926"/>
      <c r="FG239" s="926"/>
      <c r="FH239" s="926"/>
      <c r="FI239" s="926"/>
      <c r="FJ239" s="926"/>
      <c r="FK239" s="926"/>
      <c r="FL239" s="926"/>
      <c r="FM239" s="926"/>
      <c r="FN239" s="926"/>
      <c r="FO239" s="926"/>
      <c r="FP239" s="926"/>
      <c r="FQ239" s="926"/>
      <c r="FR239" s="926"/>
      <c r="FS239" s="926"/>
      <c r="FT239" s="926"/>
      <c r="FU239" s="926"/>
      <c r="FV239" s="926"/>
      <c r="FW239" s="926"/>
      <c r="FX239" s="926"/>
      <c r="FY239" s="926"/>
      <c r="FZ239" s="926"/>
      <c r="GA239" s="926"/>
      <c r="GB239" s="926"/>
      <c r="GC239" s="926"/>
      <c r="GD239" s="926"/>
      <c r="GE239" s="926"/>
      <c r="GF239" s="926"/>
      <c r="GG239" s="926"/>
      <c r="GH239" s="926"/>
      <c r="GI239" s="926"/>
      <c r="GJ239" s="926"/>
      <c r="GK239" s="926"/>
      <c r="GL239" s="926"/>
      <c r="GM239" s="926"/>
      <c r="GN239" s="926"/>
    </row>
    <row r="240" spans="1:196" s="525" customFormat="1" ht="13.8" x14ac:dyDescent="0.25">
      <c r="A240" s="1405"/>
      <c r="B240" s="1405"/>
      <c r="C240" s="1406"/>
      <c r="D240" s="1406"/>
      <c r="E240" s="523"/>
      <c r="F240" s="860" t="s">
        <v>555</v>
      </c>
      <c r="G240" s="518">
        <v>987167.34</v>
      </c>
      <c r="H240" s="518">
        <v>776028.8</v>
      </c>
      <c r="I240" s="513">
        <f t="shared" si="30"/>
        <v>-211138.53999999992</v>
      </c>
      <c r="J240" s="892">
        <f t="shared" si="27"/>
        <v>-0.21388323078030511</v>
      </c>
      <c r="K240" s="1450"/>
      <c r="L240" s="1409"/>
      <c r="M240" s="1116"/>
      <c r="N240" s="515"/>
      <c r="O240" s="515"/>
      <c r="P240" s="515"/>
      <c r="Q240" s="515"/>
      <c r="R240" s="515"/>
      <c r="S240" s="515"/>
      <c r="T240" s="515"/>
      <c r="U240" s="515"/>
      <c r="V240" s="515"/>
      <c r="W240" s="515"/>
      <c r="X240" s="515"/>
      <c r="Y240" s="515"/>
      <c r="Z240" s="515"/>
      <c r="AA240" s="515"/>
      <c r="AB240" s="515"/>
      <c r="AC240" s="515"/>
      <c r="AD240" s="515"/>
      <c r="AE240" s="515"/>
      <c r="AF240" s="515"/>
      <c r="AG240" s="515"/>
      <c r="AH240" s="515"/>
      <c r="AI240" s="515"/>
      <c r="AJ240" s="515"/>
      <c r="AK240" s="515"/>
      <c r="AL240" s="515"/>
      <c r="AM240" s="515"/>
      <c r="AN240" s="515"/>
      <c r="AO240" s="515"/>
      <c r="AP240" s="515"/>
      <c r="AQ240" s="515"/>
      <c r="AR240" s="515"/>
      <c r="AS240" s="515"/>
      <c r="AT240" s="515"/>
      <c r="AU240" s="515"/>
      <c r="AV240" s="515"/>
      <c r="AW240" s="515"/>
      <c r="AX240" s="515"/>
      <c r="AY240" s="515"/>
      <c r="AZ240" s="515"/>
      <c r="BA240" s="515"/>
      <c r="BB240" s="515"/>
      <c r="BC240" s="515"/>
      <c r="BD240" s="515"/>
      <c r="BE240" s="515"/>
      <c r="BF240" s="515"/>
      <c r="BG240" s="515"/>
      <c r="BH240" s="515"/>
      <c r="BI240" s="515"/>
      <c r="BJ240" s="515"/>
      <c r="BK240" s="515"/>
      <c r="BL240" s="515"/>
      <c r="BM240" s="515"/>
      <c r="BN240" s="515"/>
      <c r="BO240" s="515"/>
      <c r="BP240" s="515"/>
      <c r="BQ240" s="515"/>
      <c r="BR240" s="515"/>
      <c r="BS240" s="515"/>
      <c r="BT240" s="515"/>
      <c r="BU240" s="515"/>
      <c r="BV240" s="515"/>
      <c r="BW240" s="515"/>
      <c r="BX240" s="515"/>
      <c r="BY240" s="515"/>
      <c r="BZ240" s="515"/>
      <c r="CA240" s="515"/>
      <c r="CB240" s="515"/>
      <c r="CC240" s="515"/>
      <c r="CD240" s="515"/>
      <c r="CE240" s="515"/>
      <c r="CF240" s="515"/>
      <c r="CG240" s="515"/>
      <c r="CH240" s="515"/>
      <c r="CI240" s="515"/>
      <c r="CJ240" s="515"/>
      <c r="CK240" s="515"/>
      <c r="CL240" s="515"/>
      <c r="CM240" s="515"/>
      <c r="CN240" s="515"/>
      <c r="CO240" s="515"/>
      <c r="CP240" s="515"/>
      <c r="CQ240" s="515"/>
      <c r="CR240" s="515"/>
      <c r="CS240" s="515"/>
      <c r="CT240" s="515"/>
      <c r="CU240" s="515"/>
      <c r="CV240" s="515"/>
      <c r="CW240" s="515"/>
      <c r="CX240" s="515"/>
      <c r="CY240" s="515"/>
      <c r="CZ240" s="515"/>
      <c r="DA240" s="515"/>
      <c r="DB240" s="515"/>
      <c r="DC240" s="515"/>
      <c r="DD240" s="515"/>
      <c r="DE240" s="515"/>
      <c r="DF240" s="515"/>
      <c r="DG240" s="515"/>
      <c r="DH240" s="515"/>
      <c r="DI240" s="515"/>
      <c r="DJ240" s="515"/>
      <c r="DK240" s="515"/>
      <c r="DL240" s="515"/>
      <c r="DM240" s="515"/>
      <c r="DN240" s="515"/>
      <c r="DO240" s="515"/>
      <c r="DP240" s="515"/>
      <c r="DQ240" s="515"/>
      <c r="DR240" s="515"/>
      <c r="DS240" s="515"/>
      <c r="DT240" s="515"/>
      <c r="DU240" s="515"/>
      <c r="DV240" s="515"/>
      <c r="DW240" s="515"/>
      <c r="DX240" s="515"/>
      <c r="DY240" s="515"/>
      <c r="DZ240" s="515"/>
      <c r="EA240" s="515"/>
      <c r="EB240" s="515"/>
      <c r="EC240" s="515"/>
      <c r="ED240" s="515"/>
      <c r="EE240" s="515"/>
      <c r="EF240" s="515"/>
      <c r="EG240" s="515"/>
      <c r="EH240" s="515"/>
      <c r="EI240" s="515"/>
      <c r="EJ240" s="515"/>
      <c r="EK240" s="515"/>
      <c r="EL240" s="515"/>
      <c r="EM240" s="515"/>
      <c r="EN240" s="515"/>
      <c r="EO240" s="515"/>
      <c r="EP240" s="515"/>
      <c r="EQ240" s="515"/>
      <c r="ER240" s="515"/>
      <c r="ES240" s="515"/>
      <c r="ET240" s="515"/>
      <c r="EU240" s="515"/>
      <c r="EV240" s="515"/>
      <c r="EW240" s="515"/>
      <c r="EX240" s="515"/>
      <c r="EY240" s="515"/>
      <c r="EZ240" s="515"/>
      <c r="FA240" s="515"/>
      <c r="FB240" s="515"/>
      <c r="FC240" s="515"/>
      <c r="FD240" s="515"/>
      <c r="FE240" s="515"/>
      <c r="FF240" s="515"/>
      <c r="FG240" s="515"/>
      <c r="FH240" s="515"/>
      <c r="FI240" s="515"/>
      <c r="FJ240" s="515"/>
      <c r="FK240" s="515"/>
      <c r="FL240" s="515"/>
      <c r="FM240" s="515"/>
      <c r="FN240" s="515"/>
      <c r="FO240" s="515"/>
      <c r="FP240" s="515"/>
      <c r="FQ240" s="515"/>
      <c r="FR240" s="515"/>
      <c r="FS240" s="515"/>
      <c r="FT240" s="515"/>
      <c r="FU240" s="515"/>
      <c r="FV240" s="515"/>
      <c r="FW240" s="515"/>
      <c r="FX240" s="515"/>
      <c r="FY240" s="515"/>
      <c r="FZ240" s="515"/>
      <c r="GA240" s="515"/>
      <c r="GB240" s="515"/>
      <c r="GC240" s="515"/>
      <c r="GD240" s="515"/>
      <c r="GE240" s="515"/>
      <c r="GF240" s="515"/>
      <c r="GG240" s="515"/>
      <c r="GH240" s="515"/>
      <c r="GI240" s="515"/>
      <c r="GJ240" s="515"/>
      <c r="GK240" s="515"/>
      <c r="GL240" s="515"/>
      <c r="GM240" s="515"/>
      <c r="GN240" s="515"/>
    </row>
    <row r="241" spans="1:196" ht="27.6" x14ac:dyDescent="0.25">
      <c r="A241" s="810" t="s">
        <v>1167</v>
      </c>
      <c r="B241" s="810" t="s">
        <v>554</v>
      </c>
      <c r="C241" s="923">
        <v>792600</v>
      </c>
      <c r="D241" s="923">
        <f>C241-G241</f>
        <v>32000</v>
      </c>
      <c r="E241" s="151" t="s">
        <v>30</v>
      </c>
      <c r="F241" s="145" t="s">
        <v>99</v>
      </c>
      <c r="G241" s="302">
        <v>760600</v>
      </c>
      <c r="H241" s="302">
        <v>1009440</v>
      </c>
      <c r="I241" s="302">
        <f t="shared" si="30"/>
        <v>248840</v>
      </c>
      <c r="J241" s="867">
        <f t="shared" si="27"/>
        <v>0.32716276623718116</v>
      </c>
      <c r="K241" s="437" t="s">
        <v>1644</v>
      </c>
      <c r="L241" s="224"/>
    </row>
    <row r="242" spans="1:196" ht="27" customHeight="1" x14ac:dyDescent="0.25">
      <c r="C242" s="923">
        <f>1360501-G247</f>
        <v>1289428</v>
      </c>
      <c r="D242" s="923">
        <f>C242-G242</f>
        <v>-25000</v>
      </c>
      <c r="E242" s="151" t="s">
        <v>1178</v>
      </c>
      <c r="F242" s="145" t="s">
        <v>200</v>
      </c>
      <c r="G242" s="302">
        <v>1314428</v>
      </c>
      <c r="H242" s="302">
        <v>1597136.3519472245</v>
      </c>
      <c r="I242" s="132">
        <f t="shared" si="30"/>
        <v>282708.35194722447</v>
      </c>
      <c r="J242" s="867">
        <f t="shared" si="27"/>
        <v>0.21508089598458377</v>
      </c>
      <c r="K242" s="221"/>
      <c r="L242" s="224"/>
    </row>
    <row r="243" spans="1:196" s="104" customFormat="1" ht="27" hidden="1" customHeight="1" outlineLevel="1" x14ac:dyDescent="0.25">
      <c r="A243" s="810" t="s">
        <v>745</v>
      </c>
      <c r="B243" s="810" t="s">
        <v>228</v>
      </c>
      <c r="C243" s="923"/>
      <c r="D243" s="923"/>
      <c r="E243" s="159"/>
      <c r="F243" s="215" t="s">
        <v>228</v>
      </c>
      <c r="G243" s="304">
        <v>1002503</v>
      </c>
      <c r="H243" s="304">
        <v>1206031.8679472245</v>
      </c>
      <c r="I243" s="122">
        <f t="shared" si="30"/>
        <v>203528.86794722453</v>
      </c>
      <c r="J243" s="865">
        <f>IFERROR(I243/G243,"-")</f>
        <v>0.20302070711730991</v>
      </c>
      <c r="K243" s="438" t="s">
        <v>1274</v>
      </c>
      <c r="L243" s="224"/>
      <c r="M243" s="107"/>
      <c r="N243"/>
      <c r="O243"/>
      <c r="P243"/>
      <c r="Q243"/>
      <c r="R243"/>
      <c r="S243"/>
      <c r="T243"/>
      <c r="U243"/>
      <c r="V243"/>
      <c r="W243"/>
      <c r="X243"/>
      <c r="Y243"/>
      <c r="Z243"/>
      <c r="AA243"/>
      <c r="AB243"/>
      <c r="AC243"/>
      <c r="AD243"/>
      <c r="AE243"/>
      <c r="AF243"/>
      <c r="AG243"/>
      <c r="AH243"/>
      <c r="AI243"/>
      <c r="AJ243"/>
      <c r="AK243"/>
      <c r="AL243"/>
      <c r="AM243"/>
      <c r="AN243"/>
      <c r="AO243"/>
      <c r="AP243"/>
      <c r="AQ243"/>
      <c r="AR243"/>
      <c r="AS243"/>
      <c r="AT243"/>
      <c r="AU243"/>
      <c r="AV243"/>
      <c r="AW243"/>
      <c r="AX243"/>
      <c r="AY243"/>
      <c r="AZ243"/>
      <c r="BA243"/>
      <c r="BB243"/>
      <c r="BC243"/>
      <c r="BD243"/>
      <c r="BE243"/>
      <c r="BF243"/>
      <c r="BG243"/>
      <c r="BH243"/>
      <c r="BI243"/>
      <c r="BJ243"/>
      <c r="BK243"/>
      <c r="BL243"/>
      <c r="BM243"/>
      <c r="BN243"/>
      <c r="BO243"/>
      <c r="BP243"/>
      <c r="BQ243"/>
      <c r="BR243"/>
      <c r="BS243"/>
      <c r="BT243"/>
      <c r="BU243"/>
      <c r="BV243"/>
      <c r="BW243"/>
      <c r="BX243"/>
      <c r="BY243"/>
      <c r="BZ243"/>
      <c r="CA243"/>
      <c r="CB243"/>
      <c r="CC243"/>
      <c r="CD243"/>
      <c r="CE243"/>
      <c r="CF243"/>
      <c r="CG243"/>
      <c r="CH243"/>
      <c r="CI243"/>
      <c r="CJ243"/>
      <c r="CK243"/>
      <c r="CL243"/>
      <c r="CM243"/>
      <c r="CN243"/>
      <c r="CO243"/>
      <c r="CP243"/>
      <c r="CQ243"/>
      <c r="CR243"/>
      <c r="CS243"/>
      <c r="CT243"/>
      <c r="CU243"/>
      <c r="CV243"/>
      <c r="CW243"/>
      <c r="CX243"/>
      <c r="CY243"/>
      <c r="CZ243"/>
      <c r="DA243"/>
      <c r="DB243"/>
      <c r="DC243"/>
      <c r="DD243"/>
      <c r="DE243"/>
      <c r="DF243"/>
      <c r="DG243"/>
      <c r="DH243"/>
      <c r="DI243"/>
      <c r="DJ243"/>
      <c r="DK243"/>
      <c r="DL243"/>
      <c r="DM243"/>
      <c r="DN243"/>
      <c r="DO243"/>
      <c r="DP243"/>
      <c r="DQ243"/>
      <c r="DR243"/>
      <c r="DS243"/>
      <c r="DT243"/>
      <c r="DU243"/>
      <c r="DV243"/>
      <c r="DW243"/>
      <c r="DX243"/>
      <c r="DY243"/>
      <c r="DZ243"/>
      <c r="EA243"/>
      <c r="EB243"/>
      <c r="EC243"/>
      <c r="ED243"/>
      <c r="EE243"/>
      <c r="EF243"/>
      <c r="EG243"/>
      <c r="EH243"/>
      <c r="EI243"/>
      <c r="EJ243"/>
      <c r="EK243"/>
      <c r="EL243"/>
      <c r="EM243"/>
      <c r="EN243"/>
      <c r="EO243"/>
      <c r="EP243"/>
      <c r="EQ243"/>
      <c r="ER243"/>
      <c r="ES243"/>
      <c r="ET243"/>
      <c r="EU243"/>
      <c r="EV243"/>
      <c r="EW243"/>
      <c r="EX243"/>
      <c r="EY243"/>
      <c r="EZ243"/>
      <c r="FA243"/>
      <c r="FB243"/>
      <c r="FC243"/>
      <c r="FD243"/>
      <c r="FE243"/>
      <c r="FF243"/>
      <c r="FG243"/>
      <c r="FH243"/>
      <c r="FI243"/>
      <c r="FJ243"/>
      <c r="FK243"/>
      <c r="FL243"/>
      <c r="FM243"/>
      <c r="FN243"/>
      <c r="FO243"/>
      <c r="FP243"/>
      <c r="FQ243"/>
      <c r="FR243"/>
      <c r="FS243"/>
      <c r="FT243"/>
      <c r="FU243"/>
      <c r="FV243"/>
      <c r="FW243"/>
      <c r="FX243"/>
      <c r="FY243"/>
      <c r="FZ243"/>
      <c r="GA243"/>
      <c r="GB243"/>
      <c r="GC243"/>
      <c r="GD243"/>
      <c r="GE243"/>
      <c r="GF243"/>
      <c r="GG243"/>
      <c r="GH243"/>
      <c r="GI243"/>
      <c r="GJ243"/>
      <c r="GK243"/>
      <c r="GL243"/>
      <c r="GM243"/>
      <c r="GN243"/>
    </row>
    <row r="244" spans="1:196" s="104" customFormat="1" ht="87.6" hidden="1" customHeight="1" outlineLevel="1" x14ac:dyDescent="0.25">
      <c r="A244" s="810" t="s">
        <v>745</v>
      </c>
      <c r="B244" s="810" t="s">
        <v>554</v>
      </c>
      <c r="C244" s="923"/>
      <c r="D244" s="923"/>
      <c r="E244" s="214"/>
      <c r="F244" s="160" t="s">
        <v>198</v>
      </c>
      <c r="G244" s="304">
        <v>294182</v>
      </c>
      <c r="H244" s="304">
        <v>358808.44</v>
      </c>
      <c r="I244" s="122">
        <f t="shared" si="30"/>
        <v>64626.44</v>
      </c>
      <c r="J244" s="865">
        <f t="shared" si="27"/>
        <v>0.21968182961568009</v>
      </c>
      <c r="K244" s="455" t="s">
        <v>1645</v>
      </c>
      <c r="L244" s="224"/>
      <c r="M244" s="107"/>
      <c r="N244"/>
      <c r="O244"/>
      <c r="P244"/>
      <c r="Q244"/>
      <c r="R244"/>
      <c r="S244"/>
      <c r="T244"/>
      <c r="U244"/>
      <c r="V244"/>
      <c r="W244"/>
      <c r="X244"/>
      <c r="Y244"/>
      <c r="Z244"/>
      <c r="AA244"/>
      <c r="AB244"/>
      <c r="AC244"/>
      <c r="AD244"/>
      <c r="AE244"/>
      <c r="AF244"/>
      <c r="AG244"/>
      <c r="AH244"/>
      <c r="AI244"/>
      <c r="AJ244"/>
      <c r="AK244"/>
      <c r="AL244"/>
      <c r="AM244"/>
      <c r="AN244"/>
      <c r="AO244"/>
      <c r="AP244"/>
      <c r="AQ244"/>
      <c r="AR244"/>
      <c r="AS244"/>
      <c r="AT244"/>
      <c r="AU244"/>
      <c r="AV244"/>
      <c r="AW244"/>
      <c r="AX244"/>
      <c r="AY244"/>
      <c r="AZ244"/>
      <c r="BA244"/>
      <c r="BB244"/>
      <c r="BC244"/>
      <c r="BD244"/>
      <c r="BE244"/>
      <c r="BF244"/>
      <c r="BG244"/>
      <c r="BH244"/>
      <c r="BI244"/>
      <c r="BJ244"/>
      <c r="BK244"/>
      <c r="BL244"/>
      <c r="BM244"/>
      <c r="BN244"/>
      <c r="BO244"/>
      <c r="BP244"/>
      <c r="BQ244"/>
      <c r="BR244"/>
      <c r="BS244"/>
      <c r="BT244"/>
      <c r="BU244"/>
      <c r="BV244"/>
      <c r="BW244"/>
      <c r="BX244"/>
      <c r="BY244"/>
      <c r="BZ244"/>
      <c r="CA244"/>
      <c r="CB244"/>
      <c r="CC244"/>
      <c r="CD244"/>
      <c r="CE244"/>
      <c r="CF244"/>
      <c r="CG244"/>
      <c r="CH244"/>
      <c r="CI244"/>
      <c r="CJ244"/>
      <c r="CK244"/>
      <c r="CL244"/>
      <c r="CM244"/>
      <c r="CN244"/>
      <c r="CO244"/>
      <c r="CP244"/>
      <c r="CQ244"/>
      <c r="CR244"/>
      <c r="CS244"/>
      <c r="CT244"/>
      <c r="CU244"/>
      <c r="CV244"/>
      <c r="CW244"/>
      <c r="CX244"/>
      <c r="CY244"/>
      <c r="CZ244"/>
      <c r="DA244"/>
      <c r="DB244"/>
      <c r="DC244"/>
      <c r="DD244"/>
      <c r="DE244"/>
      <c r="DF244"/>
      <c r="DG244"/>
      <c r="DH244"/>
      <c r="DI244"/>
      <c r="DJ244"/>
      <c r="DK244"/>
      <c r="DL244"/>
      <c r="DM244"/>
      <c r="DN244"/>
      <c r="DO244"/>
      <c r="DP244"/>
      <c r="DQ244"/>
      <c r="DR244"/>
      <c r="DS244"/>
      <c r="DT244"/>
      <c r="DU244"/>
      <c r="DV244"/>
      <c r="DW244"/>
      <c r="DX244"/>
      <c r="DY244"/>
      <c r="DZ244"/>
      <c r="EA244"/>
      <c r="EB244"/>
      <c r="EC244"/>
      <c r="ED244"/>
      <c r="EE244"/>
      <c r="EF244"/>
      <c r="EG244"/>
      <c r="EH244"/>
      <c r="EI244"/>
      <c r="EJ244"/>
      <c r="EK244"/>
      <c r="EL244"/>
      <c r="EM244"/>
      <c r="EN244"/>
      <c r="EO244"/>
      <c r="EP244"/>
      <c r="EQ244"/>
      <c r="ER244"/>
      <c r="ES244"/>
      <c r="ET244"/>
      <c r="EU244"/>
      <c r="EV244"/>
      <c r="EW244"/>
      <c r="EX244"/>
      <c r="EY244"/>
      <c r="EZ244"/>
      <c r="FA244"/>
      <c r="FB244"/>
      <c r="FC244"/>
      <c r="FD244"/>
      <c r="FE244"/>
      <c r="FF244"/>
      <c r="FG244"/>
      <c r="FH244"/>
      <c r="FI244"/>
      <c r="FJ244"/>
      <c r="FK244"/>
      <c r="FL244"/>
      <c r="FM244"/>
      <c r="FN244"/>
      <c r="FO244"/>
      <c r="FP244"/>
      <c r="FQ244"/>
      <c r="FR244"/>
      <c r="FS244"/>
      <c r="FT244"/>
      <c r="FU244"/>
      <c r="FV244"/>
      <c r="FW244"/>
      <c r="FX244"/>
      <c r="FY244"/>
      <c r="FZ244"/>
      <c r="GA244"/>
      <c r="GB244"/>
      <c r="GC244"/>
      <c r="GD244"/>
      <c r="GE244"/>
      <c r="GF244"/>
      <c r="GG244"/>
      <c r="GH244"/>
      <c r="GI244"/>
      <c r="GJ244"/>
      <c r="GK244"/>
      <c r="GL244"/>
      <c r="GM244"/>
      <c r="GN244"/>
    </row>
    <row r="245" spans="1:196" s="104" customFormat="1" ht="27.6" hidden="1" outlineLevel="1" x14ac:dyDescent="0.25">
      <c r="A245" s="810" t="s">
        <v>745</v>
      </c>
      <c r="B245" s="810" t="s">
        <v>556</v>
      </c>
      <c r="C245" s="923"/>
      <c r="D245" s="923"/>
      <c r="E245" s="159"/>
      <c r="F245" s="160" t="s">
        <v>197</v>
      </c>
      <c r="G245" s="304">
        <v>17743</v>
      </c>
      <c r="H245" s="304">
        <v>32296.044000000002</v>
      </c>
      <c r="I245" s="122">
        <f t="shared" si="30"/>
        <v>14553.044000000002</v>
      </c>
      <c r="J245" s="865">
        <f t="shared" si="27"/>
        <v>0.82021326720396781</v>
      </c>
      <c r="K245" s="455" t="s">
        <v>1275</v>
      </c>
      <c r="L245" s="224"/>
      <c r="M245" s="107"/>
      <c r="N245"/>
      <c r="O245"/>
      <c r="P245"/>
      <c r="Q245"/>
      <c r="R245"/>
      <c r="S245"/>
      <c r="T245"/>
      <c r="U245"/>
      <c r="V245"/>
      <c r="W245"/>
      <c r="X245"/>
      <c r="Y245"/>
      <c r="Z245"/>
      <c r="AA245"/>
      <c r="AB245"/>
      <c r="AC245"/>
      <c r="AD245"/>
      <c r="AE245"/>
      <c r="AF245"/>
      <c r="AG245"/>
      <c r="AH245"/>
      <c r="AI245"/>
      <c r="AJ245"/>
      <c r="AK245"/>
      <c r="AL245"/>
      <c r="AM245"/>
      <c r="AN245"/>
      <c r="AO245"/>
      <c r="AP245"/>
      <c r="AQ245"/>
      <c r="AR245"/>
      <c r="AS245"/>
      <c r="AT245"/>
      <c r="AU245"/>
      <c r="AV245"/>
      <c r="AW245"/>
      <c r="AX245"/>
      <c r="AY245"/>
      <c r="AZ245"/>
      <c r="BA245"/>
      <c r="BB245"/>
      <c r="BC245"/>
      <c r="BD245"/>
      <c r="BE245"/>
      <c r="BF245"/>
      <c r="BG245"/>
      <c r="BH245"/>
      <c r="BI245"/>
      <c r="BJ245"/>
      <c r="BK245"/>
      <c r="BL245"/>
      <c r="BM245"/>
      <c r="BN245"/>
      <c r="BO245"/>
      <c r="BP245"/>
      <c r="BQ245"/>
      <c r="BR245"/>
      <c r="BS245"/>
      <c r="BT245"/>
      <c r="BU245"/>
      <c r="BV245"/>
      <c r="BW245"/>
      <c r="BX245"/>
      <c r="BY245"/>
      <c r="BZ245"/>
      <c r="CA245"/>
      <c r="CB245"/>
      <c r="CC245"/>
      <c r="CD245"/>
      <c r="CE245"/>
      <c r="CF245"/>
      <c r="CG245"/>
      <c r="CH245"/>
      <c r="CI245"/>
      <c r="CJ245"/>
      <c r="CK245"/>
      <c r="CL245"/>
      <c r="CM245"/>
      <c r="CN245"/>
      <c r="CO245"/>
      <c r="CP245"/>
      <c r="CQ245"/>
      <c r="CR245"/>
      <c r="CS245"/>
      <c r="CT245"/>
      <c r="CU245"/>
      <c r="CV245"/>
      <c r="CW245"/>
      <c r="CX245"/>
      <c r="CY245"/>
      <c r="CZ245"/>
      <c r="DA245"/>
      <c r="DB245"/>
      <c r="DC245"/>
      <c r="DD245"/>
      <c r="DE245"/>
      <c r="DF245"/>
      <c r="DG245"/>
      <c r="DH245"/>
      <c r="DI245"/>
      <c r="DJ245"/>
      <c r="DK245"/>
      <c r="DL245"/>
      <c r="DM245"/>
      <c r="DN245"/>
      <c r="DO245"/>
      <c r="DP245"/>
      <c r="DQ245"/>
      <c r="DR245"/>
      <c r="DS245"/>
      <c r="DT245"/>
      <c r="DU245"/>
      <c r="DV245"/>
      <c r="DW245"/>
      <c r="DX245"/>
      <c r="DY245"/>
      <c r="DZ245"/>
      <c r="EA245"/>
      <c r="EB245"/>
      <c r="EC245"/>
      <c r="ED245"/>
      <c r="EE245"/>
      <c r="EF245"/>
      <c r="EG245"/>
      <c r="EH245"/>
      <c r="EI245"/>
      <c r="EJ245"/>
      <c r="EK245"/>
      <c r="EL245"/>
      <c r="EM245"/>
      <c r="EN245"/>
      <c r="EO245"/>
      <c r="EP245"/>
      <c r="EQ245"/>
      <c r="ER245"/>
      <c r="ES245"/>
      <c r="ET245"/>
      <c r="EU245"/>
      <c r="EV245"/>
      <c r="EW245"/>
      <c r="EX245"/>
      <c r="EY245"/>
      <c r="EZ245"/>
      <c r="FA245"/>
      <c r="FB245"/>
      <c r="FC245"/>
      <c r="FD245"/>
      <c r="FE245"/>
      <c r="FF245"/>
      <c r="FG245"/>
      <c r="FH245"/>
      <c r="FI245"/>
      <c r="FJ245"/>
      <c r="FK245"/>
      <c r="FL245"/>
      <c r="FM245"/>
      <c r="FN245"/>
      <c r="FO245"/>
      <c r="FP245"/>
      <c r="FQ245"/>
      <c r="FR245"/>
      <c r="FS245"/>
      <c r="FT245"/>
      <c r="FU245"/>
      <c r="FV245"/>
      <c r="FW245"/>
      <c r="FX245"/>
      <c r="FY245"/>
      <c r="FZ245"/>
      <c r="GA245"/>
      <c r="GB245"/>
      <c r="GC245"/>
      <c r="GD245"/>
      <c r="GE245"/>
      <c r="GF245"/>
      <c r="GG245"/>
      <c r="GH245"/>
      <c r="GI245"/>
      <c r="GJ245"/>
      <c r="GK245"/>
      <c r="GL245"/>
      <c r="GM245"/>
      <c r="GN245"/>
    </row>
    <row r="246" spans="1:196" s="525" customFormat="1" ht="13.8" hidden="1" outlineLevel="1" x14ac:dyDescent="0.25">
      <c r="A246" s="1407" t="s">
        <v>746</v>
      </c>
      <c r="B246" s="1407" t="s">
        <v>182</v>
      </c>
      <c r="C246" s="1408">
        <v>244057</v>
      </c>
      <c r="D246" s="1408">
        <f>C246-G246</f>
        <v>0</v>
      </c>
      <c r="E246" s="523"/>
      <c r="F246" s="520" t="s">
        <v>167</v>
      </c>
      <c r="G246" s="301">
        <v>244057</v>
      </c>
      <c r="H246" s="505">
        <v>273760.68942400004</v>
      </c>
      <c r="I246" s="513">
        <f>H246-G246</f>
        <v>29703.68942400004</v>
      </c>
      <c r="J246" s="892">
        <f t="shared" si="27"/>
        <v>0.12170800027862361</v>
      </c>
      <c r="K246" s="1450"/>
      <c r="L246" s="1409"/>
      <c r="M246" s="1116"/>
      <c r="N246" s="515"/>
      <c r="O246" s="515"/>
      <c r="P246" s="515"/>
      <c r="Q246" s="515"/>
      <c r="R246" s="515"/>
      <c r="S246" s="515"/>
      <c r="T246" s="515"/>
      <c r="U246" s="515"/>
      <c r="V246" s="515"/>
      <c r="W246" s="515"/>
      <c r="X246" s="515"/>
      <c r="Y246" s="515"/>
      <c r="Z246" s="515"/>
      <c r="AA246" s="515"/>
      <c r="AB246" s="515"/>
      <c r="AC246" s="515"/>
      <c r="AD246" s="515"/>
      <c r="AE246" s="515"/>
      <c r="AF246" s="515"/>
      <c r="AG246" s="515"/>
      <c r="AH246" s="515"/>
      <c r="AI246" s="515"/>
      <c r="AJ246" s="515"/>
      <c r="AK246" s="515"/>
      <c r="AL246" s="515"/>
      <c r="AM246" s="515"/>
      <c r="AN246" s="515"/>
      <c r="AO246" s="515"/>
      <c r="AP246" s="515"/>
      <c r="AQ246" s="515"/>
      <c r="AR246" s="515"/>
      <c r="AS246" s="515"/>
      <c r="AT246" s="515"/>
      <c r="AU246" s="515"/>
      <c r="AV246" s="515"/>
      <c r="AW246" s="515"/>
      <c r="AX246" s="515"/>
      <c r="AY246" s="515"/>
      <c r="AZ246" s="515"/>
      <c r="BA246" s="515"/>
      <c r="BB246" s="515"/>
      <c r="BC246" s="515"/>
      <c r="BD246" s="515"/>
      <c r="BE246" s="515"/>
      <c r="BF246" s="515"/>
      <c r="BG246" s="515"/>
      <c r="BH246" s="515"/>
      <c r="BI246" s="515"/>
      <c r="BJ246" s="515"/>
      <c r="BK246" s="515"/>
      <c r="BL246" s="515"/>
      <c r="BM246" s="515"/>
      <c r="BN246" s="515"/>
      <c r="BO246" s="515"/>
      <c r="BP246" s="515"/>
      <c r="BQ246" s="515"/>
      <c r="BR246" s="515"/>
      <c r="BS246" s="515"/>
      <c r="BT246" s="515"/>
      <c r="BU246" s="515"/>
      <c r="BV246" s="515"/>
      <c r="BW246" s="515"/>
      <c r="BX246" s="515"/>
      <c r="BY246" s="515"/>
      <c r="BZ246" s="515"/>
      <c r="CA246" s="515"/>
      <c r="CB246" s="515"/>
      <c r="CC246" s="515"/>
      <c r="CD246" s="515"/>
      <c r="CE246" s="515"/>
      <c r="CF246" s="515"/>
      <c r="CG246" s="515"/>
      <c r="CH246" s="515"/>
      <c r="CI246" s="515"/>
      <c r="CJ246" s="515"/>
      <c r="CK246" s="515"/>
      <c r="CL246" s="515"/>
      <c r="CM246" s="515"/>
      <c r="CN246" s="515"/>
      <c r="CO246" s="515"/>
      <c r="CP246" s="515"/>
      <c r="CQ246" s="515"/>
      <c r="CR246" s="515"/>
      <c r="CS246" s="515"/>
      <c r="CT246" s="515"/>
      <c r="CU246" s="515"/>
      <c r="CV246" s="515"/>
      <c r="CW246" s="515"/>
      <c r="CX246" s="515"/>
      <c r="CY246" s="515"/>
      <c r="CZ246" s="515"/>
      <c r="DA246" s="515"/>
      <c r="DB246" s="515"/>
      <c r="DC246" s="515"/>
      <c r="DD246" s="515"/>
      <c r="DE246" s="515"/>
      <c r="DF246" s="515"/>
      <c r="DG246" s="515"/>
      <c r="DH246" s="515"/>
      <c r="DI246" s="515"/>
      <c r="DJ246" s="515"/>
      <c r="DK246" s="515"/>
      <c r="DL246" s="515"/>
      <c r="DM246" s="515"/>
      <c r="DN246" s="515"/>
      <c r="DO246" s="515"/>
      <c r="DP246" s="515"/>
      <c r="DQ246" s="515"/>
      <c r="DR246" s="515"/>
      <c r="DS246" s="515"/>
      <c r="DT246" s="515"/>
      <c r="DU246" s="515"/>
      <c r="DV246" s="515"/>
      <c r="DW246" s="515"/>
      <c r="DX246" s="515"/>
      <c r="DY246" s="515"/>
      <c r="DZ246" s="515"/>
      <c r="EA246" s="515"/>
      <c r="EB246" s="515"/>
      <c r="EC246" s="515"/>
      <c r="ED246" s="515"/>
      <c r="EE246" s="515"/>
      <c r="EF246" s="515"/>
      <c r="EG246" s="515"/>
      <c r="EH246" s="515"/>
      <c r="EI246" s="515"/>
      <c r="EJ246" s="515"/>
      <c r="EK246" s="515"/>
      <c r="EL246" s="515"/>
      <c r="EM246" s="515"/>
      <c r="EN246" s="515"/>
      <c r="EO246" s="515"/>
      <c r="EP246" s="515"/>
      <c r="EQ246" s="515"/>
      <c r="ER246" s="515"/>
      <c r="ES246" s="515"/>
      <c r="ET246" s="515"/>
      <c r="EU246" s="515"/>
      <c r="EV246" s="515"/>
      <c r="EW246" s="515"/>
      <c r="EX246" s="515"/>
      <c r="EY246" s="515"/>
      <c r="EZ246" s="515"/>
      <c r="FA246" s="515"/>
      <c r="FB246" s="515"/>
      <c r="FC246" s="515"/>
      <c r="FD246" s="515"/>
      <c r="FE246" s="515"/>
      <c r="FF246" s="515"/>
      <c r="FG246" s="515"/>
      <c r="FH246" s="515"/>
      <c r="FI246" s="515"/>
      <c r="FJ246" s="515"/>
      <c r="FK246" s="515"/>
      <c r="FL246" s="515"/>
      <c r="FM246" s="515"/>
      <c r="FN246" s="515"/>
      <c r="FO246" s="515"/>
      <c r="FP246" s="515"/>
      <c r="FQ246" s="515"/>
      <c r="FR246" s="515"/>
      <c r="FS246" s="515"/>
      <c r="FT246" s="515"/>
      <c r="FU246" s="515"/>
      <c r="FV246" s="515"/>
      <c r="FW246" s="515"/>
      <c r="FX246" s="515"/>
      <c r="FY246" s="515"/>
      <c r="FZ246" s="515"/>
      <c r="GA246" s="515"/>
      <c r="GB246" s="515"/>
      <c r="GC246" s="515"/>
      <c r="GD246" s="515"/>
      <c r="GE246" s="515"/>
      <c r="GF246" s="515"/>
      <c r="GG246" s="515"/>
      <c r="GH246" s="515"/>
      <c r="GI246" s="515"/>
      <c r="GJ246" s="515"/>
      <c r="GK246" s="515"/>
      <c r="GL246" s="515"/>
      <c r="GM246" s="515"/>
      <c r="GN246" s="515"/>
    </row>
    <row r="247" spans="1:196" s="525" customFormat="1" ht="13.8" hidden="1" outlineLevel="1" x14ac:dyDescent="0.25">
      <c r="A247" s="1407" t="s">
        <v>745</v>
      </c>
      <c r="B247" s="1407" t="s">
        <v>555</v>
      </c>
      <c r="C247" s="1408"/>
      <c r="D247" s="1408"/>
      <c r="E247" s="523"/>
      <c r="F247" s="520" t="s">
        <v>555</v>
      </c>
      <c r="G247" s="301">
        <v>71073</v>
      </c>
      <c r="H247" s="505">
        <v>143022</v>
      </c>
      <c r="I247" s="513">
        <f t="shared" si="30"/>
        <v>71949</v>
      </c>
      <c r="J247" s="892">
        <f t="shared" si="27"/>
        <v>1.0123253556202778</v>
      </c>
      <c r="K247" s="1450"/>
      <c r="L247" s="1409"/>
      <c r="M247" s="1116"/>
      <c r="N247" s="515"/>
      <c r="O247" s="515"/>
      <c r="P247" s="515"/>
      <c r="Q247" s="515"/>
      <c r="R247" s="515"/>
      <c r="S247" s="515"/>
      <c r="T247" s="515"/>
      <c r="U247" s="515"/>
      <c r="V247" s="515"/>
      <c r="W247" s="515"/>
      <c r="X247" s="515"/>
      <c r="Y247" s="515"/>
      <c r="Z247" s="515"/>
      <c r="AA247" s="515"/>
      <c r="AB247" s="515"/>
      <c r="AC247" s="515"/>
      <c r="AD247" s="515"/>
      <c r="AE247" s="515"/>
      <c r="AF247" s="515"/>
      <c r="AG247" s="515"/>
      <c r="AH247" s="515"/>
      <c r="AI247" s="515"/>
      <c r="AJ247" s="515"/>
      <c r="AK247" s="515"/>
      <c r="AL247" s="515"/>
      <c r="AM247" s="515"/>
      <c r="AN247" s="515"/>
      <c r="AO247" s="515"/>
      <c r="AP247" s="515"/>
      <c r="AQ247" s="515"/>
      <c r="AR247" s="515"/>
      <c r="AS247" s="515"/>
      <c r="AT247" s="515"/>
      <c r="AU247" s="515"/>
      <c r="AV247" s="515"/>
      <c r="AW247" s="515"/>
      <c r="AX247" s="515"/>
      <c r="AY247" s="515"/>
      <c r="AZ247" s="515"/>
      <c r="BA247" s="515"/>
      <c r="BB247" s="515"/>
      <c r="BC247" s="515"/>
      <c r="BD247" s="515"/>
      <c r="BE247" s="515"/>
      <c r="BF247" s="515"/>
      <c r="BG247" s="515"/>
      <c r="BH247" s="515"/>
      <c r="BI247" s="515"/>
      <c r="BJ247" s="515"/>
      <c r="BK247" s="515"/>
      <c r="BL247" s="515"/>
      <c r="BM247" s="515"/>
      <c r="BN247" s="515"/>
      <c r="BO247" s="515"/>
      <c r="BP247" s="515"/>
      <c r="BQ247" s="515"/>
      <c r="BR247" s="515"/>
      <c r="BS247" s="515"/>
      <c r="BT247" s="515"/>
      <c r="BU247" s="515"/>
      <c r="BV247" s="515"/>
      <c r="BW247" s="515"/>
      <c r="BX247" s="515"/>
      <c r="BY247" s="515"/>
      <c r="BZ247" s="515"/>
      <c r="CA247" s="515"/>
      <c r="CB247" s="515"/>
      <c r="CC247" s="515"/>
      <c r="CD247" s="515"/>
      <c r="CE247" s="515"/>
      <c r="CF247" s="515"/>
      <c r="CG247" s="515"/>
      <c r="CH247" s="515"/>
      <c r="CI247" s="515"/>
      <c r="CJ247" s="515"/>
      <c r="CK247" s="515"/>
      <c r="CL247" s="515"/>
      <c r="CM247" s="515"/>
      <c r="CN247" s="515"/>
      <c r="CO247" s="515"/>
      <c r="CP247" s="515"/>
      <c r="CQ247" s="515"/>
      <c r="CR247" s="515"/>
      <c r="CS247" s="515"/>
      <c r="CT247" s="515"/>
      <c r="CU247" s="515"/>
      <c r="CV247" s="515"/>
      <c r="CW247" s="515"/>
      <c r="CX247" s="515"/>
      <c r="CY247" s="515"/>
      <c r="CZ247" s="515"/>
      <c r="DA247" s="515"/>
      <c r="DB247" s="515"/>
      <c r="DC247" s="515"/>
      <c r="DD247" s="515"/>
      <c r="DE247" s="515"/>
      <c r="DF247" s="515"/>
      <c r="DG247" s="515"/>
      <c r="DH247" s="515"/>
      <c r="DI247" s="515"/>
      <c r="DJ247" s="515"/>
      <c r="DK247" s="515"/>
      <c r="DL247" s="515"/>
      <c r="DM247" s="515"/>
      <c r="DN247" s="515"/>
      <c r="DO247" s="515"/>
      <c r="DP247" s="515"/>
      <c r="DQ247" s="515"/>
      <c r="DR247" s="515"/>
      <c r="DS247" s="515"/>
      <c r="DT247" s="515"/>
      <c r="DU247" s="515"/>
      <c r="DV247" s="515"/>
      <c r="DW247" s="515"/>
      <c r="DX247" s="515"/>
      <c r="DY247" s="515"/>
      <c r="DZ247" s="515"/>
      <c r="EA247" s="515"/>
      <c r="EB247" s="515"/>
      <c r="EC247" s="515"/>
      <c r="ED247" s="515"/>
      <c r="EE247" s="515"/>
      <c r="EF247" s="515"/>
      <c r="EG247" s="515"/>
      <c r="EH247" s="515"/>
      <c r="EI247" s="515"/>
      <c r="EJ247" s="515"/>
      <c r="EK247" s="515"/>
      <c r="EL247" s="515"/>
      <c r="EM247" s="515"/>
      <c r="EN247" s="515"/>
      <c r="EO247" s="515"/>
      <c r="EP247" s="515"/>
      <c r="EQ247" s="515"/>
      <c r="ER247" s="515"/>
      <c r="ES247" s="515"/>
      <c r="ET247" s="515"/>
      <c r="EU247" s="515"/>
      <c r="EV247" s="515"/>
      <c r="EW247" s="515"/>
      <c r="EX247" s="515"/>
      <c r="EY247" s="515"/>
      <c r="EZ247" s="515"/>
      <c r="FA247" s="515"/>
      <c r="FB247" s="515"/>
      <c r="FC247" s="515"/>
      <c r="FD247" s="515"/>
      <c r="FE247" s="515"/>
      <c r="FF247" s="515"/>
      <c r="FG247" s="515"/>
      <c r="FH247" s="515"/>
      <c r="FI247" s="515"/>
      <c r="FJ247" s="515"/>
      <c r="FK247" s="515"/>
      <c r="FL247" s="515"/>
      <c r="FM247" s="515"/>
      <c r="FN247" s="515"/>
      <c r="FO247" s="515"/>
      <c r="FP247" s="515"/>
      <c r="FQ247" s="515"/>
      <c r="FR247" s="515"/>
      <c r="FS247" s="515"/>
      <c r="FT247" s="515"/>
      <c r="FU247" s="515"/>
      <c r="FV247" s="515"/>
      <c r="FW247" s="515"/>
      <c r="FX247" s="515"/>
      <c r="FY247" s="515"/>
      <c r="FZ247" s="515"/>
      <c r="GA247" s="515"/>
      <c r="GB247" s="515"/>
      <c r="GC247" s="515"/>
      <c r="GD247" s="515"/>
      <c r="GE247" s="515"/>
      <c r="GF247" s="515"/>
      <c r="GG247" s="515"/>
      <c r="GH247" s="515"/>
      <c r="GI247" s="515"/>
      <c r="GJ247" s="515"/>
      <c r="GK247" s="515"/>
      <c r="GL247" s="515"/>
      <c r="GM247" s="515"/>
      <c r="GN247" s="515"/>
    </row>
    <row r="248" spans="1:196" s="216" customFormat="1" ht="14.4" hidden="1" outlineLevel="1" x14ac:dyDescent="0.3">
      <c r="A248" s="810" t="s">
        <v>737</v>
      </c>
      <c r="B248" s="810" t="s">
        <v>192</v>
      </c>
      <c r="C248" s="923">
        <v>1557</v>
      </c>
      <c r="D248" s="923">
        <f>C248-G248</f>
        <v>0</v>
      </c>
      <c r="E248" s="277"/>
      <c r="F248" s="306" t="s">
        <v>229</v>
      </c>
      <c r="G248" s="302">
        <v>1557</v>
      </c>
      <c r="H248" s="927">
        <v>0</v>
      </c>
      <c r="I248" s="322">
        <f t="shared" si="30"/>
        <v>-1557</v>
      </c>
      <c r="J248" s="893">
        <f t="shared" si="27"/>
        <v>-1</v>
      </c>
      <c r="K248" s="217"/>
      <c r="L248" s="224"/>
      <c r="M248" s="1114"/>
      <c r="N248" s="223"/>
      <c r="O248" s="223"/>
      <c r="P248" s="223"/>
      <c r="Q248" s="223"/>
      <c r="R248" s="223"/>
      <c r="S248" s="223"/>
      <c r="T248" s="223"/>
      <c r="U248" s="223"/>
      <c r="V248" s="223"/>
      <c r="W248" s="223"/>
      <c r="X248" s="223"/>
      <c r="Y248" s="223"/>
      <c r="Z248" s="223"/>
      <c r="AA248" s="223"/>
      <c r="AB248" s="223"/>
      <c r="AC248" s="223"/>
      <c r="AD248" s="223"/>
      <c r="AE248" s="223"/>
      <c r="AF248" s="223"/>
      <c r="AG248" s="223"/>
      <c r="AH248" s="223"/>
      <c r="AI248" s="223"/>
      <c r="AJ248" s="223"/>
      <c r="AK248" s="223"/>
      <c r="AL248" s="223"/>
      <c r="AM248" s="223"/>
      <c r="AN248" s="223"/>
      <c r="AO248" s="223"/>
      <c r="AP248" s="223"/>
      <c r="AQ248" s="223"/>
      <c r="AR248" s="223"/>
      <c r="AS248" s="223"/>
      <c r="AT248" s="223"/>
      <c r="AU248" s="223"/>
      <c r="AV248" s="223"/>
      <c r="AW248" s="223"/>
      <c r="AX248" s="223"/>
      <c r="AY248" s="223"/>
      <c r="AZ248" s="223"/>
      <c r="BA248" s="223"/>
      <c r="BB248" s="223"/>
      <c r="BC248" s="223"/>
      <c r="BD248" s="223"/>
      <c r="BE248" s="223"/>
      <c r="BF248" s="223"/>
      <c r="BG248" s="223"/>
      <c r="BH248" s="223"/>
      <c r="BI248" s="223"/>
      <c r="BJ248" s="223"/>
      <c r="BK248" s="223"/>
      <c r="BL248" s="223"/>
      <c r="BM248" s="223"/>
      <c r="BN248" s="223"/>
      <c r="BO248" s="223"/>
      <c r="BP248" s="223"/>
      <c r="BQ248" s="223"/>
      <c r="BR248" s="223"/>
      <c r="BS248" s="223"/>
      <c r="BT248" s="223"/>
      <c r="BU248" s="223"/>
      <c r="BV248" s="223"/>
      <c r="BW248" s="223"/>
      <c r="BX248" s="223"/>
      <c r="BY248" s="223"/>
      <c r="BZ248" s="223"/>
      <c r="CA248" s="223"/>
      <c r="CB248" s="223"/>
      <c r="CC248" s="223"/>
      <c r="CD248" s="223"/>
      <c r="CE248" s="223"/>
      <c r="CF248" s="223"/>
      <c r="CG248" s="223"/>
      <c r="CH248" s="223"/>
      <c r="CI248" s="223"/>
      <c r="CJ248" s="223"/>
      <c r="CK248" s="223"/>
      <c r="CL248" s="223"/>
      <c r="CM248" s="223"/>
      <c r="CN248" s="223"/>
      <c r="CO248" s="223"/>
      <c r="CP248" s="223"/>
      <c r="CQ248" s="223"/>
      <c r="CR248" s="223"/>
      <c r="CS248" s="223"/>
      <c r="CT248" s="223"/>
      <c r="CU248" s="223"/>
      <c r="CV248" s="223"/>
      <c r="CW248" s="223"/>
      <c r="CX248" s="223"/>
      <c r="CY248" s="223"/>
      <c r="CZ248" s="223"/>
      <c r="DA248" s="223"/>
      <c r="DB248" s="223"/>
      <c r="DC248" s="223"/>
      <c r="DD248" s="223"/>
      <c r="DE248" s="223"/>
      <c r="DF248" s="223"/>
      <c r="DG248" s="223"/>
      <c r="DH248" s="223"/>
      <c r="DI248" s="223"/>
      <c r="DJ248" s="223"/>
      <c r="DK248" s="223"/>
      <c r="DL248" s="223"/>
      <c r="DM248" s="223"/>
      <c r="DN248" s="223"/>
      <c r="DO248" s="223"/>
      <c r="DP248" s="223"/>
      <c r="DQ248" s="223"/>
      <c r="DR248" s="223"/>
      <c r="DS248" s="223"/>
      <c r="DT248" s="223"/>
      <c r="DU248" s="223"/>
      <c r="DV248" s="223"/>
      <c r="DW248" s="223"/>
      <c r="DX248" s="223"/>
      <c r="DY248" s="223"/>
      <c r="DZ248" s="223"/>
      <c r="EA248" s="223"/>
      <c r="EB248" s="223"/>
      <c r="EC248" s="223"/>
      <c r="ED248" s="223"/>
      <c r="EE248" s="223"/>
      <c r="EF248" s="223"/>
      <c r="EG248" s="223"/>
      <c r="EH248" s="223"/>
      <c r="EI248" s="223"/>
      <c r="EJ248" s="223"/>
      <c r="EK248" s="223"/>
      <c r="EL248" s="223"/>
      <c r="EM248" s="223"/>
      <c r="EN248" s="223"/>
      <c r="EO248" s="223"/>
      <c r="EP248" s="223"/>
      <c r="EQ248" s="223"/>
      <c r="ER248" s="223"/>
      <c r="ES248" s="223"/>
      <c r="ET248" s="223"/>
      <c r="EU248" s="223"/>
      <c r="EV248" s="223"/>
      <c r="EW248" s="223"/>
      <c r="EX248" s="223"/>
      <c r="EY248" s="223"/>
      <c r="EZ248" s="223"/>
      <c r="FA248" s="223"/>
      <c r="FB248" s="223"/>
      <c r="FC248" s="223"/>
      <c r="FD248" s="223"/>
      <c r="FE248" s="223"/>
      <c r="FF248" s="223"/>
      <c r="FG248" s="223"/>
      <c r="FH248" s="223"/>
      <c r="FI248" s="223"/>
      <c r="FJ248" s="223"/>
      <c r="FK248" s="223"/>
      <c r="FL248" s="223"/>
      <c r="FM248" s="223"/>
      <c r="FN248" s="223"/>
      <c r="FO248" s="223"/>
      <c r="FP248" s="223"/>
      <c r="FQ248" s="223"/>
      <c r="FR248" s="223"/>
      <c r="FS248" s="223"/>
      <c r="FT248" s="223"/>
      <c r="FU248" s="223"/>
      <c r="FV248" s="223"/>
      <c r="FW248" s="223"/>
      <c r="FX248" s="223"/>
      <c r="FY248" s="223"/>
      <c r="FZ248" s="223"/>
      <c r="GA248" s="223"/>
      <c r="GB248" s="223"/>
      <c r="GC248" s="223"/>
      <c r="GD248" s="223"/>
      <c r="GE248" s="223"/>
      <c r="GF248" s="223"/>
      <c r="GG248" s="223"/>
      <c r="GH248" s="223"/>
      <c r="GI248" s="223"/>
      <c r="GJ248" s="223"/>
      <c r="GK248" s="223"/>
      <c r="GL248" s="223"/>
      <c r="GM248" s="223"/>
      <c r="GN248" s="223"/>
    </row>
    <row r="249" spans="1:196" ht="13.8" collapsed="1" x14ac:dyDescent="0.25">
      <c r="E249" s="151" t="s">
        <v>1179</v>
      </c>
      <c r="F249" s="145" t="s">
        <v>223</v>
      </c>
      <c r="G249" s="302">
        <v>19228.173900000002</v>
      </c>
      <c r="H249" s="302">
        <v>19228.173900000002</v>
      </c>
      <c r="I249" s="132">
        <f>H249-G249</f>
        <v>0</v>
      </c>
      <c r="J249" s="867">
        <f t="shared" si="27"/>
        <v>0</v>
      </c>
      <c r="K249" s="217"/>
      <c r="L249" s="224"/>
    </row>
    <row r="250" spans="1:196" s="104" customFormat="1" ht="13.8" hidden="1" outlineLevel="1" x14ac:dyDescent="0.25">
      <c r="A250" s="810" t="s">
        <v>747</v>
      </c>
      <c r="B250" s="810" t="s">
        <v>554</v>
      </c>
      <c r="C250" s="923"/>
      <c r="D250" s="923"/>
      <c r="E250" s="159"/>
      <c r="F250" s="160" t="s">
        <v>198</v>
      </c>
      <c r="G250" s="304">
        <v>18748.173900000002</v>
      </c>
      <c r="H250" s="304">
        <v>18748.173900000002</v>
      </c>
      <c r="I250" s="153">
        <f>H250-G250</f>
        <v>0</v>
      </c>
      <c r="J250" s="878">
        <f t="shared" si="27"/>
        <v>0</v>
      </c>
      <c r="K250" s="218"/>
      <c r="L250" s="224"/>
      <c r="M250" s="107"/>
      <c r="N250"/>
      <c r="O250"/>
      <c r="P250"/>
      <c r="Q250"/>
      <c r="R250"/>
      <c r="S250"/>
      <c r="T250"/>
      <c r="U250"/>
      <c r="V250"/>
      <c r="W250"/>
      <c r="X250"/>
      <c r="Y250"/>
      <c r="Z250"/>
      <c r="AA250"/>
      <c r="AB250"/>
      <c r="AC250"/>
      <c r="AD250"/>
      <c r="AE250"/>
      <c r="AF250"/>
      <c r="AG250"/>
      <c r="AH250"/>
      <c r="AI250"/>
      <c r="AJ250"/>
      <c r="AK250"/>
      <c r="AL250"/>
      <c r="AM250"/>
      <c r="AN250"/>
      <c r="AO250"/>
      <c r="AP250"/>
      <c r="AQ250"/>
      <c r="AR250"/>
      <c r="AS250"/>
      <c r="AT250"/>
      <c r="AU250"/>
      <c r="AV250"/>
      <c r="AW250"/>
      <c r="AX250"/>
      <c r="AY250"/>
      <c r="AZ250"/>
      <c r="BA250"/>
      <c r="BB250"/>
      <c r="BC250"/>
      <c r="BD250"/>
      <c r="BE250"/>
      <c r="BF250"/>
      <c r="BG250"/>
      <c r="BH250"/>
      <c r="BI250"/>
      <c r="BJ250"/>
      <c r="BK250"/>
      <c r="BL250"/>
      <c r="BM250"/>
      <c r="BN250"/>
      <c r="BO250"/>
      <c r="BP250"/>
      <c r="BQ250"/>
      <c r="BR250"/>
      <c r="BS250"/>
      <c r="BT250"/>
      <c r="BU250"/>
      <c r="BV250"/>
      <c r="BW250"/>
      <c r="BX250"/>
      <c r="BY250"/>
      <c r="BZ250"/>
      <c r="CA250"/>
      <c r="CB250"/>
      <c r="CC250"/>
      <c r="CD250"/>
      <c r="CE250"/>
      <c r="CF250"/>
      <c r="CG250"/>
      <c r="CH250"/>
      <c r="CI250"/>
      <c r="CJ250"/>
      <c r="CK250"/>
      <c r="CL250"/>
      <c r="CM250"/>
      <c r="CN250"/>
      <c r="CO250"/>
      <c r="CP250"/>
      <c r="CQ250"/>
      <c r="CR250"/>
      <c r="CS250"/>
      <c r="CT250"/>
      <c r="CU250"/>
      <c r="CV250"/>
      <c r="CW250"/>
      <c r="CX250"/>
      <c r="CY250"/>
      <c r="CZ250"/>
      <c r="DA250"/>
      <c r="DB250"/>
      <c r="DC250"/>
      <c r="DD250"/>
      <c r="DE250"/>
      <c r="DF250"/>
      <c r="DG250"/>
      <c r="DH250"/>
      <c r="DI250"/>
      <c r="DJ250"/>
      <c r="DK250"/>
      <c r="DL250"/>
      <c r="DM250"/>
      <c r="DN250"/>
      <c r="DO250"/>
      <c r="DP250"/>
      <c r="DQ250"/>
      <c r="DR250"/>
      <c r="DS250"/>
      <c r="DT250"/>
      <c r="DU250"/>
      <c r="DV250"/>
      <c r="DW250"/>
      <c r="DX250"/>
      <c r="DY250"/>
      <c r="DZ250"/>
      <c r="EA250"/>
      <c r="EB250"/>
      <c r="EC250"/>
      <c r="ED250"/>
      <c r="EE250"/>
      <c r="EF250"/>
      <c r="EG250"/>
      <c r="EH250"/>
      <c r="EI250"/>
      <c r="EJ250"/>
      <c r="EK250"/>
      <c r="EL250"/>
      <c r="EM250"/>
      <c r="EN250"/>
      <c r="EO250"/>
      <c r="EP250"/>
      <c r="EQ250"/>
      <c r="ER250"/>
      <c r="ES250"/>
      <c r="ET250"/>
      <c r="EU250"/>
      <c r="EV250"/>
      <c r="EW250"/>
      <c r="EX250"/>
      <c r="EY250"/>
      <c r="EZ250"/>
      <c r="FA250"/>
      <c r="FB250"/>
      <c r="FC250"/>
      <c r="FD250"/>
      <c r="FE250"/>
      <c r="FF250"/>
      <c r="FG250"/>
      <c r="FH250"/>
      <c r="FI250"/>
      <c r="FJ250"/>
      <c r="FK250"/>
      <c r="FL250"/>
      <c r="FM250"/>
      <c r="FN250"/>
      <c r="FO250"/>
      <c r="FP250"/>
      <c r="FQ250"/>
      <c r="FR250"/>
      <c r="FS250"/>
      <c r="FT250"/>
      <c r="FU250"/>
      <c r="FV250"/>
      <c r="FW250"/>
      <c r="FX250"/>
      <c r="FY250"/>
      <c r="FZ250"/>
      <c r="GA250"/>
      <c r="GB250"/>
      <c r="GC250"/>
      <c r="GD250"/>
      <c r="GE250"/>
      <c r="GF250"/>
      <c r="GG250"/>
      <c r="GH250"/>
      <c r="GI250"/>
      <c r="GJ250"/>
      <c r="GK250"/>
      <c r="GL250"/>
      <c r="GM250"/>
      <c r="GN250"/>
    </row>
    <row r="251" spans="1:196" s="104" customFormat="1" ht="13.8" hidden="1" outlineLevel="1" x14ac:dyDescent="0.25">
      <c r="A251" s="810" t="s">
        <v>747</v>
      </c>
      <c r="B251" s="810" t="s">
        <v>556</v>
      </c>
      <c r="C251" s="923"/>
      <c r="D251" s="923"/>
      <c r="E251" s="159"/>
      <c r="F251" s="160" t="s">
        <v>197</v>
      </c>
      <c r="G251" s="304">
        <v>480</v>
      </c>
      <c r="H251" s="304">
        <v>480</v>
      </c>
      <c r="I251" s="153">
        <f>H251-G251</f>
        <v>0</v>
      </c>
      <c r="J251" s="878">
        <f t="shared" si="27"/>
        <v>0</v>
      </c>
      <c r="K251" s="218"/>
      <c r="L251" s="224"/>
      <c r="M251" s="107"/>
      <c r="N251"/>
      <c r="O251"/>
      <c r="P251"/>
      <c r="Q251"/>
      <c r="R251"/>
      <c r="S251"/>
      <c r="T251"/>
      <c r="U251"/>
      <c r="V251"/>
      <c r="W251"/>
      <c r="X251"/>
      <c r="Y251"/>
      <c r="Z251"/>
      <c r="AA251"/>
      <c r="AB251"/>
      <c r="AC251"/>
      <c r="AD251"/>
      <c r="AE251"/>
      <c r="AF251"/>
      <c r="AG251"/>
      <c r="AH251"/>
      <c r="AI251"/>
      <c r="AJ251"/>
      <c r="AK251"/>
      <c r="AL251"/>
      <c r="AM251"/>
      <c r="AN251"/>
      <c r="AO251"/>
      <c r="AP251"/>
      <c r="AQ251"/>
      <c r="AR251"/>
      <c r="AS251"/>
      <c r="AT251"/>
      <c r="AU251"/>
      <c r="AV251"/>
      <c r="AW251"/>
      <c r="AX251"/>
      <c r="AY251"/>
      <c r="AZ251"/>
      <c r="BA251"/>
      <c r="BB251"/>
      <c r="BC251"/>
      <c r="BD251"/>
      <c r="BE251"/>
      <c r="BF251"/>
      <c r="BG251"/>
      <c r="BH251"/>
      <c r="BI251"/>
      <c r="BJ251"/>
      <c r="BK251"/>
      <c r="BL251"/>
      <c r="BM251"/>
      <c r="BN251"/>
      <c r="BO251"/>
      <c r="BP251"/>
      <c r="BQ251"/>
      <c r="BR251"/>
      <c r="BS251"/>
      <c r="BT251"/>
      <c r="BU251"/>
      <c r="BV251"/>
      <c r="BW251"/>
      <c r="BX251"/>
      <c r="BY251"/>
      <c r="BZ251"/>
      <c r="CA251"/>
      <c r="CB251"/>
      <c r="CC251"/>
      <c r="CD251"/>
      <c r="CE251"/>
      <c r="CF251"/>
      <c r="CG251"/>
      <c r="CH251"/>
      <c r="CI251"/>
      <c r="CJ251"/>
      <c r="CK251"/>
      <c r="CL251"/>
      <c r="CM251"/>
      <c r="CN251"/>
      <c r="CO251"/>
      <c r="CP251"/>
      <c r="CQ251"/>
      <c r="CR251"/>
      <c r="CS251"/>
      <c r="CT251"/>
      <c r="CU251"/>
      <c r="CV251"/>
      <c r="CW251"/>
      <c r="CX251"/>
      <c r="CY251"/>
      <c r="CZ251"/>
      <c r="DA251"/>
      <c r="DB251"/>
      <c r="DC251"/>
      <c r="DD251"/>
      <c r="DE251"/>
      <c r="DF251"/>
      <c r="DG251"/>
      <c r="DH251"/>
      <c r="DI251"/>
      <c r="DJ251"/>
      <c r="DK251"/>
      <c r="DL251"/>
      <c r="DM251"/>
      <c r="DN251"/>
      <c r="DO251"/>
      <c r="DP251"/>
      <c r="DQ251"/>
      <c r="DR251"/>
      <c r="DS251"/>
      <c r="DT251"/>
      <c r="DU251"/>
      <c r="DV251"/>
      <c r="DW251"/>
      <c r="DX251"/>
      <c r="DY251"/>
      <c r="DZ251"/>
      <c r="EA251"/>
      <c r="EB251"/>
      <c r="EC251"/>
      <c r="ED251"/>
      <c r="EE251"/>
      <c r="EF251"/>
      <c r="EG251"/>
      <c r="EH251"/>
      <c r="EI251"/>
      <c r="EJ251"/>
      <c r="EK251"/>
      <c r="EL251"/>
      <c r="EM251"/>
      <c r="EN251"/>
      <c r="EO251"/>
      <c r="EP251"/>
      <c r="EQ251"/>
      <c r="ER251"/>
      <c r="ES251"/>
      <c r="ET251"/>
      <c r="EU251"/>
      <c r="EV251"/>
      <c r="EW251"/>
      <c r="EX251"/>
      <c r="EY251"/>
      <c r="EZ251"/>
      <c r="FA251"/>
      <c r="FB251"/>
      <c r="FC251"/>
      <c r="FD251"/>
      <c r="FE251"/>
      <c r="FF251"/>
      <c r="FG251"/>
      <c r="FH251"/>
      <c r="FI251"/>
      <c r="FJ251"/>
      <c r="FK251"/>
      <c r="FL251"/>
      <c r="FM251"/>
      <c r="FN251"/>
      <c r="FO251"/>
      <c r="FP251"/>
      <c r="FQ251"/>
      <c r="FR251"/>
      <c r="FS251"/>
      <c r="FT251"/>
      <c r="FU251"/>
      <c r="FV251"/>
      <c r="FW251"/>
      <c r="FX251"/>
      <c r="FY251"/>
      <c r="FZ251"/>
      <c r="GA251"/>
      <c r="GB251"/>
      <c r="GC251"/>
      <c r="GD251"/>
      <c r="GE251"/>
      <c r="GF251"/>
      <c r="GG251"/>
      <c r="GH251"/>
      <c r="GI251"/>
      <c r="GJ251"/>
      <c r="GK251"/>
      <c r="GL251"/>
      <c r="GM251"/>
      <c r="GN251"/>
    </row>
    <row r="252" spans="1:196" s="216" customFormat="1" ht="13.8" hidden="1" outlineLevel="1" x14ac:dyDescent="0.25">
      <c r="A252" s="810" t="s">
        <v>747</v>
      </c>
      <c r="B252" s="810" t="s">
        <v>555</v>
      </c>
      <c r="C252" s="923"/>
      <c r="D252" s="923"/>
      <c r="E252" s="162"/>
      <c r="F252" s="163" t="s">
        <v>555</v>
      </c>
      <c r="G252" s="304">
        <v>0</v>
      </c>
      <c r="H252" s="304">
        <v>0</v>
      </c>
      <c r="I252" s="299">
        <f>H252-G252</f>
        <v>0</v>
      </c>
      <c r="J252" s="879" t="str">
        <f t="shared" si="27"/>
        <v>-</v>
      </c>
      <c r="K252" s="218"/>
      <c r="L252" s="224"/>
      <c r="M252" s="1114"/>
      <c r="N252" s="223"/>
      <c r="O252" s="223"/>
      <c r="P252" s="223"/>
      <c r="Q252" s="223"/>
      <c r="R252" s="223"/>
      <c r="S252" s="223"/>
      <c r="T252" s="223"/>
      <c r="U252" s="223"/>
      <c r="V252" s="223"/>
      <c r="W252" s="223"/>
      <c r="X252" s="223"/>
      <c r="Y252" s="223"/>
      <c r="Z252" s="223"/>
      <c r="AA252" s="223"/>
      <c r="AB252" s="223"/>
      <c r="AC252" s="223"/>
      <c r="AD252" s="223"/>
      <c r="AE252" s="223"/>
      <c r="AF252" s="223"/>
      <c r="AG252" s="223"/>
      <c r="AH252" s="223"/>
      <c r="AI252" s="223"/>
      <c r="AJ252" s="223"/>
      <c r="AK252" s="223"/>
      <c r="AL252" s="223"/>
      <c r="AM252" s="223"/>
      <c r="AN252" s="223"/>
      <c r="AO252" s="223"/>
      <c r="AP252" s="223"/>
      <c r="AQ252" s="223"/>
      <c r="AR252" s="223"/>
      <c r="AS252" s="223"/>
      <c r="AT252" s="223"/>
      <c r="AU252" s="223"/>
      <c r="AV252" s="223"/>
      <c r="AW252" s="223"/>
      <c r="AX252" s="223"/>
      <c r="AY252" s="223"/>
      <c r="AZ252" s="223"/>
      <c r="BA252" s="223"/>
      <c r="BB252" s="223"/>
      <c r="BC252" s="223"/>
      <c r="BD252" s="223"/>
      <c r="BE252" s="223"/>
      <c r="BF252" s="223"/>
      <c r="BG252" s="223"/>
      <c r="BH252" s="223"/>
      <c r="BI252" s="223"/>
      <c r="BJ252" s="223"/>
      <c r="BK252" s="223"/>
      <c r="BL252" s="223"/>
      <c r="BM252" s="223"/>
      <c r="BN252" s="223"/>
      <c r="BO252" s="223"/>
      <c r="BP252" s="223"/>
      <c r="BQ252" s="223"/>
      <c r="BR252" s="223"/>
      <c r="BS252" s="223"/>
      <c r="BT252" s="223"/>
      <c r="BU252" s="223"/>
      <c r="BV252" s="223"/>
      <c r="BW252" s="223"/>
      <c r="BX252" s="223"/>
      <c r="BY252" s="223"/>
      <c r="BZ252" s="223"/>
      <c r="CA252" s="223"/>
      <c r="CB252" s="223"/>
      <c r="CC252" s="223"/>
      <c r="CD252" s="223"/>
      <c r="CE252" s="223"/>
      <c r="CF252" s="223"/>
      <c r="CG252" s="223"/>
      <c r="CH252" s="223"/>
      <c r="CI252" s="223"/>
      <c r="CJ252" s="223"/>
      <c r="CK252" s="223"/>
      <c r="CL252" s="223"/>
      <c r="CM252" s="223"/>
      <c r="CN252" s="223"/>
      <c r="CO252" s="223"/>
      <c r="CP252" s="223"/>
      <c r="CQ252" s="223"/>
      <c r="CR252" s="223"/>
      <c r="CS252" s="223"/>
      <c r="CT252" s="223"/>
      <c r="CU252" s="223"/>
      <c r="CV252" s="223"/>
      <c r="CW252" s="223"/>
      <c r="CX252" s="223"/>
      <c r="CY252" s="223"/>
      <c r="CZ252" s="223"/>
      <c r="DA252" s="223"/>
      <c r="DB252" s="223"/>
      <c r="DC252" s="223"/>
      <c r="DD252" s="223"/>
      <c r="DE252" s="223"/>
      <c r="DF252" s="223"/>
      <c r="DG252" s="223"/>
      <c r="DH252" s="223"/>
      <c r="DI252" s="223"/>
      <c r="DJ252" s="223"/>
      <c r="DK252" s="223"/>
      <c r="DL252" s="223"/>
      <c r="DM252" s="223"/>
      <c r="DN252" s="223"/>
      <c r="DO252" s="223"/>
      <c r="DP252" s="223"/>
      <c r="DQ252" s="223"/>
      <c r="DR252" s="223"/>
      <c r="DS252" s="223"/>
      <c r="DT252" s="223"/>
      <c r="DU252" s="223"/>
      <c r="DV252" s="223"/>
      <c r="DW252" s="223"/>
      <c r="DX252" s="223"/>
      <c r="DY252" s="223"/>
      <c r="DZ252" s="223"/>
      <c r="EA252" s="223"/>
      <c r="EB252" s="223"/>
      <c r="EC252" s="223"/>
      <c r="ED252" s="223"/>
      <c r="EE252" s="223"/>
      <c r="EF252" s="223"/>
      <c r="EG252" s="223"/>
      <c r="EH252" s="223"/>
      <c r="EI252" s="223"/>
      <c r="EJ252" s="223"/>
      <c r="EK252" s="223"/>
      <c r="EL252" s="223"/>
      <c r="EM252" s="223"/>
      <c r="EN252" s="223"/>
      <c r="EO252" s="223"/>
      <c r="EP252" s="223"/>
      <c r="EQ252" s="223"/>
      <c r="ER252" s="223"/>
      <c r="ES252" s="223"/>
      <c r="ET252" s="223"/>
      <c r="EU252" s="223"/>
      <c r="EV252" s="223"/>
      <c r="EW252" s="223"/>
      <c r="EX252" s="223"/>
      <c r="EY252" s="223"/>
      <c r="EZ252" s="223"/>
      <c r="FA252" s="223"/>
      <c r="FB252" s="223"/>
      <c r="FC252" s="223"/>
      <c r="FD252" s="223"/>
      <c r="FE252" s="223"/>
      <c r="FF252" s="223"/>
      <c r="FG252" s="223"/>
      <c r="FH252" s="223"/>
      <c r="FI252" s="223"/>
      <c r="FJ252" s="223"/>
      <c r="FK252" s="223"/>
      <c r="FL252" s="223"/>
      <c r="FM252" s="223"/>
      <c r="FN252" s="223"/>
      <c r="FO252" s="223"/>
      <c r="FP252" s="223"/>
      <c r="FQ252" s="223"/>
      <c r="FR252" s="223"/>
      <c r="FS252" s="223"/>
      <c r="FT252" s="223"/>
      <c r="FU252" s="223"/>
      <c r="FV252" s="223"/>
      <c r="FW252" s="223"/>
      <c r="FX252" s="223"/>
      <c r="FY252" s="223"/>
      <c r="FZ252" s="223"/>
      <c r="GA252" s="223"/>
      <c r="GB252" s="223"/>
      <c r="GC252" s="223"/>
      <c r="GD252" s="223"/>
      <c r="GE252" s="223"/>
      <c r="GF252" s="223"/>
      <c r="GG252" s="223"/>
      <c r="GH252" s="223"/>
      <c r="GI252" s="223"/>
      <c r="GJ252" s="223"/>
      <c r="GK252" s="223"/>
      <c r="GL252" s="223"/>
      <c r="GM252" s="223"/>
      <c r="GN252" s="223"/>
    </row>
    <row r="253" spans="1:196" ht="13.8" collapsed="1" x14ac:dyDescent="0.25">
      <c r="C253" s="923">
        <v>959583</v>
      </c>
      <c r="D253" s="923">
        <f>A253</f>
        <v>0</v>
      </c>
      <c r="E253" s="151" t="s">
        <v>96</v>
      </c>
      <c r="F253" s="145" t="s">
        <v>202</v>
      </c>
      <c r="G253" s="302">
        <v>959583</v>
      </c>
      <c r="H253" s="302">
        <v>1139990.1394368</v>
      </c>
      <c r="I253" s="132">
        <f t="shared" si="30"/>
        <v>180407.13943680003</v>
      </c>
      <c r="J253" s="867">
        <f t="shared" si="27"/>
        <v>0.18800576858572945</v>
      </c>
      <c r="K253" s="221"/>
      <c r="L253" s="224"/>
    </row>
    <row r="254" spans="1:196" s="104" customFormat="1" ht="13.8" hidden="1" outlineLevel="1" x14ac:dyDescent="0.25">
      <c r="A254" s="810" t="s">
        <v>756</v>
      </c>
      <c r="B254" s="810" t="s">
        <v>228</v>
      </c>
      <c r="C254" s="923"/>
      <c r="D254" s="923"/>
      <c r="E254" s="159"/>
      <c r="F254" s="215" t="s">
        <v>228</v>
      </c>
      <c r="G254" s="304">
        <v>720005</v>
      </c>
      <c r="H254" s="304">
        <v>858807.33403679996</v>
      </c>
      <c r="I254" s="153">
        <f t="shared" si="30"/>
        <v>138802.33403679996</v>
      </c>
      <c r="J254" s="878">
        <f t="shared" si="27"/>
        <v>0.19277968074777252</v>
      </c>
      <c r="K254" s="438" t="s">
        <v>1274</v>
      </c>
      <c r="L254" s="224"/>
      <c r="M254" s="107"/>
      <c r="N254"/>
      <c r="O254"/>
      <c r="P254"/>
      <c r="Q254"/>
      <c r="R254"/>
      <c r="S254"/>
      <c r="T254"/>
      <c r="U254"/>
      <c r="V254"/>
      <c r="W254"/>
      <c r="X254"/>
      <c r="Y254"/>
      <c r="Z254"/>
      <c r="AA254"/>
      <c r="AB254"/>
      <c r="AC254"/>
      <c r="AD254"/>
      <c r="AE254"/>
      <c r="AF254"/>
      <c r="AG254"/>
      <c r="AH254"/>
      <c r="AI254"/>
      <c r="AJ254"/>
      <c r="AK254"/>
      <c r="AL254"/>
      <c r="AM254"/>
      <c r="AN254"/>
      <c r="AO254"/>
      <c r="AP254"/>
      <c r="AQ254"/>
      <c r="AR254"/>
      <c r="AS254"/>
      <c r="AT254"/>
      <c r="AU254"/>
      <c r="AV254"/>
      <c r="AW254"/>
      <c r="AX254"/>
      <c r="AY254"/>
      <c r="AZ254"/>
      <c r="BA254"/>
      <c r="BB254"/>
      <c r="BC254"/>
      <c r="BD254"/>
      <c r="BE254"/>
      <c r="BF254"/>
      <c r="BG254"/>
      <c r="BH254"/>
      <c r="BI254"/>
      <c r="BJ254"/>
      <c r="BK254"/>
      <c r="BL254"/>
      <c r="BM254"/>
      <c r="BN254"/>
      <c r="BO254"/>
      <c r="BP254"/>
      <c r="BQ254"/>
      <c r="BR254"/>
      <c r="BS254"/>
      <c r="BT254"/>
      <c r="BU254"/>
      <c r="BV254"/>
      <c r="BW254"/>
      <c r="BX254"/>
      <c r="BY254"/>
      <c r="BZ254"/>
      <c r="CA254"/>
      <c r="CB254"/>
      <c r="CC254"/>
      <c r="CD254"/>
      <c r="CE254"/>
      <c r="CF254"/>
      <c r="CG254"/>
      <c r="CH254"/>
      <c r="CI254"/>
      <c r="CJ254"/>
      <c r="CK254"/>
      <c r="CL254"/>
      <c r="CM254"/>
      <c r="CN254"/>
      <c r="CO254"/>
      <c r="CP254"/>
      <c r="CQ254"/>
      <c r="CR254"/>
      <c r="CS254"/>
      <c r="CT254"/>
      <c r="CU254"/>
      <c r="CV254"/>
      <c r="CW254"/>
      <c r="CX254"/>
      <c r="CY254"/>
      <c r="CZ254"/>
      <c r="DA254"/>
      <c r="DB254"/>
      <c r="DC254"/>
      <c r="DD254"/>
      <c r="DE254"/>
      <c r="DF254"/>
      <c r="DG254"/>
      <c r="DH254"/>
      <c r="DI254"/>
      <c r="DJ254"/>
      <c r="DK254"/>
      <c r="DL254"/>
      <c r="DM254"/>
      <c r="DN254"/>
      <c r="DO254"/>
      <c r="DP254"/>
      <c r="DQ254"/>
      <c r="DR254"/>
      <c r="DS254"/>
      <c r="DT254"/>
      <c r="DU254"/>
      <c r="DV254"/>
      <c r="DW254"/>
      <c r="DX254"/>
      <c r="DY254"/>
      <c r="DZ254"/>
      <c r="EA254"/>
      <c r="EB254"/>
      <c r="EC254"/>
      <c r="ED254"/>
      <c r="EE254"/>
      <c r="EF254"/>
      <c r="EG254"/>
      <c r="EH254"/>
      <c r="EI254"/>
      <c r="EJ254"/>
      <c r="EK254"/>
      <c r="EL254"/>
      <c r="EM254"/>
      <c r="EN254"/>
      <c r="EO254"/>
      <c r="EP254"/>
      <c r="EQ254"/>
      <c r="ER254"/>
      <c r="ES254"/>
      <c r="ET254"/>
      <c r="EU254"/>
      <c r="EV254"/>
      <c r="EW254"/>
      <c r="EX254"/>
      <c r="EY254"/>
      <c r="EZ254"/>
      <c r="FA254"/>
      <c r="FB254"/>
      <c r="FC254"/>
      <c r="FD254"/>
      <c r="FE254"/>
      <c r="FF254"/>
      <c r="FG254"/>
      <c r="FH254"/>
      <c r="FI254"/>
      <c r="FJ254"/>
      <c r="FK254"/>
      <c r="FL254"/>
      <c r="FM254"/>
      <c r="FN254"/>
      <c r="FO254"/>
      <c r="FP254"/>
      <c r="FQ254"/>
      <c r="FR254"/>
      <c r="FS254"/>
      <c r="FT254"/>
      <c r="FU254"/>
      <c r="FV254"/>
      <c r="FW254"/>
      <c r="FX254"/>
      <c r="FY254"/>
      <c r="FZ254"/>
      <c r="GA254"/>
      <c r="GB254"/>
      <c r="GC254"/>
      <c r="GD254"/>
      <c r="GE254"/>
      <c r="GF254"/>
      <c r="GG254"/>
      <c r="GH254"/>
      <c r="GI254"/>
      <c r="GJ254"/>
      <c r="GK254"/>
      <c r="GL254"/>
      <c r="GM254"/>
      <c r="GN254"/>
    </row>
    <row r="255" spans="1:196" s="104" customFormat="1" ht="41.4" hidden="1" outlineLevel="1" x14ac:dyDescent="0.25">
      <c r="A255" s="810" t="s">
        <v>756</v>
      </c>
      <c r="B255" s="810" t="s">
        <v>554</v>
      </c>
      <c r="C255" s="923"/>
      <c r="D255" s="923"/>
      <c r="E255" s="214"/>
      <c r="F255" s="160" t="s">
        <v>198</v>
      </c>
      <c r="G255" s="304">
        <v>227993</v>
      </c>
      <c r="H255" s="304">
        <v>273748.80540000001</v>
      </c>
      <c r="I255" s="153">
        <f t="shared" si="30"/>
        <v>45755.805400000012</v>
      </c>
      <c r="J255" s="878">
        <f t="shared" si="27"/>
        <v>0.20068951853784989</v>
      </c>
      <c r="K255" s="455" t="s">
        <v>1646</v>
      </c>
      <c r="L255" s="224"/>
      <c r="M255" s="107"/>
      <c r="N255"/>
      <c r="O255"/>
      <c r="P255"/>
      <c r="Q255"/>
      <c r="R255"/>
      <c r="S255"/>
      <c r="T255"/>
      <c r="U255"/>
      <c r="V255"/>
      <c r="W255"/>
      <c r="X255"/>
      <c r="Y255"/>
      <c r="Z255"/>
      <c r="AA255"/>
      <c r="AB255"/>
      <c r="AC255"/>
      <c r="AD255"/>
      <c r="AE255"/>
      <c r="AF255"/>
      <c r="AG255"/>
      <c r="AH255"/>
      <c r="AI255"/>
      <c r="AJ255"/>
      <c r="AK255"/>
      <c r="AL255"/>
      <c r="AM255"/>
      <c r="AN255"/>
      <c r="AO255"/>
      <c r="AP255"/>
      <c r="AQ255"/>
      <c r="AR255"/>
      <c r="AS255"/>
      <c r="AT255"/>
      <c r="AU255"/>
      <c r="AV255"/>
      <c r="AW255"/>
      <c r="AX255"/>
      <c r="AY255"/>
      <c r="AZ255"/>
      <c r="BA255"/>
      <c r="BB255"/>
      <c r="BC255"/>
      <c r="BD255"/>
      <c r="BE255"/>
      <c r="BF255"/>
      <c r="BG255"/>
      <c r="BH255"/>
      <c r="BI255"/>
      <c r="BJ255"/>
      <c r="BK255"/>
      <c r="BL255"/>
      <c r="BM255"/>
      <c r="BN255"/>
      <c r="BO255"/>
      <c r="BP255"/>
      <c r="BQ255"/>
      <c r="BR255"/>
      <c r="BS255"/>
      <c r="BT255"/>
      <c r="BU255"/>
      <c r="BV255"/>
      <c r="BW255"/>
      <c r="BX255"/>
      <c r="BY255"/>
      <c r="BZ255"/>
      <c r="CA255"/>
      <c r="CB255"/>
      <c r="CC255"/>
      <c r="CD255"/>
      <c r="CE255"/>
      <c r="CF255"/>
      <c r="CG255"/>
      <c r="CH255"/>
      <c r="CI255"/>
      <c r="CJ255"/>
      <c r="CK255"/>
      <c r="CL255"/>
      <c r="CM255"/>
      <c r="CN255"/>
      <c r="CO255"/>
      <c r="CP255"/>
      <c r="CQ255"/>
      <c r="CR255"/>
      <c r="CS255"/>
      <c r="CT255"/>
      <c r="CU255"/>
      <c r="CV255"/>
      <c r="CW255"/>
      <c r="CX255"/>
      <c r="CY255"/>
      <c r="CZ255"/>
      <c r="DA255"/>
      <c r="DB255"/>
      <c r="DC255"/>
      <c r="DD255"/>
      <c r="DE255"/>
      <c r="DF255"/>
      <c r="DG255"/>
      <c r="DH255"/>
      <c r="DI255"/>
      <c r="DJ255"/>
      <c r="DK255"/>
      <c r="DL255"/>
      <c r="DM255"/>
      <c r="DN255"/>
      <c r="DO255"/>
      <c r="DP255"/>
      <c r="DQ255"/>
      <c r="DR255"/>
      <c r="DS255"/>
      <c r="DT255"/>
      <c r="DU255"/>
      <c r="DV255"/>
      <c r="DW255"/>
      <c r="DX255"/>
      <c r="DY255"/>
      <c r="DZ255"/>
      <c r="EA255"/>
      <c r="EB255"/>
      <c r="EC255"/>
      <c r="ED255"/>
      <c r="EE255"/>
      <c r="EF255"/>
      <c r="EG255"/>
      <c r="EH255"/>
      <c r="EI255"/>
      <c r="EJ255"/>
      <c r="EK255"/>
      <c r="EL255"/>
      <c r="EM255"/>
      <c r="EN255"/>
      <c r="EO255"/>
      <c r="EP255"/>
      <c r="EQ255"/>
      <c r="ER255"/>
      <c r="ES255"/>
      <c r="ET255"/>
      <c r="EU255"/>
      <c r="EV255"/>
      <c r="EW255"/>
      <c r="EX255"/>
      <c r="EY255"/>
      <c r="EZ255"/>
      <c r="FA255"/>
      <c r="FB255"/>
      <c r="FC255"/>
      <c r="FD255"/>
      <c r="FE255"/>
      <c r="FF255"/>
      <c r="FG255"/>
      <c r="FH255"/>
      <c r="FI255"/>
      <c r="FJ255"/>
      <c r="FK255"/>
      <c r="FL255"/>
      <c r="FM255"/>
      <c r="FN255"/>
      <c r="FO255"/>
      <c r="FP255"/>
      <c r="FQ255"/>
      <c r="FR255"/>
      <c r="FS255"/>
      <c r="FT255"/>
      <c r="FU255"/>
      <c r="FV255"/>
      <c r="FW255"/>
      <c r="FX255"/>
      <c r="FY255"/>
      <c r="FZ255"/>
      <c r="GA255"/>
      <c r="GB255"/>
      <c r="GC255"/>
      <c r="GD255"/>
      <c r="GE255"/>
      <c r="GF255"/>
      <c r="GG255"/>
      <c r="GH255"/>
      <c r="GI255"/>
      <c r="GJ255"/>
      <c r="GK255"/>
      <c r="GL255"/>
      <c r="GM255"/>
      <c r="GN255"/>
    </row>
    <row r="256" spans="1:196" s="104" customFormat="1" ht="13.8" hidden="1" outlineLevel="1" x14ac:dyDescent="0.25">
      <c r="A256" s="810" t="s">
        <v>756</v>
      </c>
      <c r="B256" s="810" t="s">
        <v>556</v>
      </c>
      <c r="C256" s="923"/>
      <c r="D256" s="923"/>
      <c r="E256" s="159"/>
      <c r="F256" s="160" t="s">
        <v>197</v>
      </c>
      <c r="G256" s="304">
        <v>11585</v>
      </c>
      <c r="H256" s="304">
        <v>7434</v>
      </c>
      <c r="I256" s="153">
        <f t="shared" si="30"/>
        <v>-4151</v>
      </c>
      <c r="J256" s="878">
        <f t="shared" si="27"/>
        <v>-0.35830815709969788</v>
      </c>
      <c r="K256" s="218"/>
      <c r="L256" s="224"/>
      <c r="M256" s="107"/>
      <c r="N256"/>
      <c r="O256"/>
      <c r="P256"/>
      <c r="Q256"/>
      <c r="R256"/>
      <c r="S256"/>
      <c r="T256"/>
      <c r="U256"/>
      <c r="V256"/>
      <c r="W256"/>
      <c r="X256"/>
      <c r="Y256"/>
      <c r="Z256"/>
      <c r="AA256"/>
      <c r="AB256"/>
      <c r="AC256"/>
      <c r="AD256"/>
      <c r="AE256"/>
      <c r="AF256"/>
      <c r="AG256"/>
      <c r="AH256"/>
      <c r="AI256"/>
      <c r="AJ256"/>
      <c r="AK256"/>
      <c r="AL256"/>
      <c r="AM256"/>
      <c r="AN256"/>
      <c r="AO256"/>
      <c r="AP256"/>
      <c r="AQ256"/>
      <c r="AR256"/>
      <c r="AS256"/>
      <c r="AT256"/>
      <c r="AU256"/>
      <c r="AV256"/>
      <c r="AW256"/>
      <c r="AX256"/>
      <c r="AY256"/>
      <c r="AZ256"/>
      <c r="BA256"/>
      <c r="BB256"/>
      <c r="BC256"/>
      <c r="BD256"/>
      <c r="BE256"/>
      <c r="BF256"/>
      <c r="BG256"/>
      <c r="BH256"/>
      <c r="BI256"/>
      <c r="BJ256"/>
      <c r="BK256"/>
      <c r="BL256"/>
      <c r="BM256"/>
      <c r="BN256"/>
      <c r="BO256"/>
      <c r="BP256"/>
      <c r="BQ256"/>
      <c r="BR256"/>
      <c r="BS256"/>
      <c r="BT256"/>
      <c r="BU256"/>
      <c r="BV256"/>
      <c r="BW256"/>
      <c r="BX256"/>
      <c r="BY256"/>
      <c r="BZ256"/>
      <c r="CA256"/>
      <c r="CB256"/>
      <c r="CC256"/>
      <c r="CD256"/>
      <c r="CE256"/>
      <c r="CF256"/>
      <c r="CG256"/>
      <c r="CH256"/>
      <c r="CI256"/>
      <c r="CJ256"/>
      <c r="CK256"/>
      <c r="CL256"/>
      <c r="CM256"/>
      <c r="CN256"/>
      <c r="CO256"/>
      <c r="CP256"/>
      <c r="CQ256"/>
      <c r="CR256"/>
      <c r="CS256"/>
      <c r="CT256"/>
      <c r="CU256"/>
      <c r="CV256"/>
      <c r="CW256"/>
      <c r="CX256"/>
      <c r="CY256"/>
      <c r="CZ256"/>
      <c r="DA256"/>
      <c r="DB256"/>
      <c r="DC256"/>
      <c r="DD256"/>
      <c r="DE256"/>
      <c r="DF256"/>
      <c r="DG256"/>
      <c r="DH256"/>
      <c r="DI256"/>
      <c r="DJ256"/>
      <c r="DK256"/>
      <c r="DL256"/>
      <c r="DM256"/>
      <c r="DN256"/>
      <c r="DO256"/>
      <c r="DP256"/>
      <c r="DQ256"/>
      <c r="DR256"/>
      <c r="DS256"/>
      <c r="DT256"/>
      <c r="DU256"/>
      <c r="DV256"/>
      <c r="DW256"/>
      <c r="DX256"/>
      <c r="DY256"/>
      <c r="DZ256"/>
      <c r="EA256"/>
      <c r="EB256"/>
      <c r="EC256"/>
      <c r="ED256"/>
      <c r="EE256"/>
      <c r="EF256"/>
      <c r="EG256"/>
      <c r="EH256"/>
      <c r="EI256"/>
      <c r="EJ256"/>
      <c r="EK256"/>
      <c r="EL256"/>
      <c r="EM256"/>
      <c r="EN256"/>
      <c r="EO256"/>
      <c r="EP256"/>
      <c r="EQ256"/>
      <c r="ER256"/>
      <c r="ES256"/>
      <c r="ET256"/>
      <c r="EU256"/>
      <c r="EV256"/>
      <c r="EW256"/>
      <c r="EX256"/>
      <c r="EY256"/>
      <c r="EZ256"/>
      <c r="FA256"/>
      <c r="FB256"/>
      <c r="FC256"/>
      <c r="FD256"/>
      <c r="FE256"/>
      <c r="FF256"/>
      <c r="FG256"/>
      <c r="FH256"/>
      <c r="FI256"/>
      <c r="FJ256"/>
      <c r="FK256"/>
      <c r="FL256"/>
      <c r="FM256"/>
      <c r="FN256"/>
      <c r="FO256"/>
      <c r="FP256"/>
      <c r="FQ256"/>
      <c r="FR256"/>
      <c r="FS256"/>
      <c r="FT256"/>
      <c r="FU256"/>
      <c r="FV256"/>
      <c r="FW256"/>
      <c r="FX256"/>
      <c r="FY256"/>
      <c r="FZ256"/>
      <c r="GA256"/>
      <c r="GB256"/>
      <c r="GC256"/>
      <c r="GD256"/>
      <c r="GE256"/>
      <c r="GF256"/>
      <c r="GG256"/>
      <c r="GH256"/>
      <c r="GI256"/>
      <c r="GJ256"/>
      <c r="GK256"/>
      <c r="GL256"/>
      <c r="GM256"/>
      <c r="GN256"/>
    </row>
    <row r="257" spans="1:196" s="525" customFormat="1" ht="13.8" hidden="1" outlineLevel="1" x14ac:dyDescent="0.25">
      <c r="A257" s="1407" t="s">
        <v>755</v>
      </c>
      <c r="B257" s="1407" t="s">
        <v>182</v>
      </c>
      <c r="C257" s="1408">
        <v>112516</v>
      </c>
      <c r="D257" s="1408">
        <f>C257-G257</f>
        <v>0</v>
      </c>
      <c r="E257" s="523"/>
      <c r="F257" s="520" t="s">
        <v>167</v>
      </c>
      <c r="G257" s="301">
        <v>112516</v>
      </c>
      <c r="H257" s="505">
        <v>113943.23944</v>
      </c>
      <c r="I257" s="510">
        <f t="shared" si="30"/>
        <v>1427.2394400000048</v>
      </c>
      <c r="J257" s="876">
        <f t="shared" si="27"/>
        <v>1.2684768744000896E-2</v>
      </c>
      <c r="K257" s="1450"/>
      <c r="L257" s="1409"/>
      <c r="M257" s="1116"/>
      <c r="N257" s="515"/>
      <c r="O257" s="515"/>
      <c r="P257" s="515"/>
      <c r="Q257" s="515"/>
      <c r="R257" s="515"/>
      <c r="S257" s="515"/>
      <c r="T257" s="515"/>
      <c r="U257" s="515"/>
      <c r="V257" s="515"/>
      <c r="W257" s="515"/>
      <c r="X257" s="515"/>
      <c r="Y257" s="515"/>
      <c r="Z257" s="515"/>
      <c r="AA257" s="515"/>
      <c r="AB257" s="515"/>
      <c r="AC257" s="515"/>
      <c r="AD257" s="515"/>
      <c r="AE257" s="515"/>
      <c r="AF257" s="515"/>
      <c r="AG257" s="515"/>
      <c r="AH257" s="515"/>
      <c r="AI257" s="515"/>
      <c r="AJ257" s="515"/>
      <c r="AK257" s="515"/>
      <c r="AL257" s="515"/>
      <c r="AM257" s="515"/>
      <c r="AN257" s="515"/>
      <c r="AO257" s="515"/>
      <c r="AP257" s="515"/>
      <c r="AQ257" s="515"/>
      <c r="AR257" s="515"/>
      <c r="AS257" s="515"/>
      <c r="AT257" s="515"/>
      <c r="AU257" s="515"/>
      <c r="AV257" s="515"/>
      <c r="AW257" s="515"/>
      <c r="AX257" s="515"/>
      <c r="AY257" s="515"/>
      <c r="AZ257" s="515"/>
      <c r="BA257" s="515"/>
      <c r="BB257" s="515"/>
      <c r="BC257" s="515"/>
      <c r="BD257" s="515"/>
      <c r="BE257" s="515"/>
      <c r="BF257" s="515"/>
      <c r="BG257" s="515"/>
      <c r="BH257" s="515"/>
      <c r="BI257" s="515"/>
      <c r="BJ257" s="515"/>
      <c r="BK257" s="515"/>
      <c r="BL257" s="515"/>
      <c r="BM257" s="515"/>
      <c r="BN257" s="515"/>
      <c r="BO257" s="515"/>
      <c r="BP257" s="515"/>
      <c r="BQ257" s="515"/>
      <c r="BR257" s="515"/>
      <c r="BS257" s="515"/>
      <c r="BT257" s="515"/>
      <c r="BU257" s="515"/>
      <c r="BV257" s="515"/>
      <c r="BW257" s="515"/>
      <c r="BX257" s="515"/>
      <c r="BY257" s="515"/>
      <c r="BZ257" s="515"/>
      <c r="CA257" s="515"/>
      <c r="CB257" s="515"/>
      <c r="CC257" s="515"/>
      <c r="CD257" s="515"/>
      <c r="CE257" s="515"/>
      <c r="CF257" s="515"/>
      <c r="CG257" s="515"/>
      <c r="CH257" s="515"/>
      <c r="CI257" s="515"/>
      <c r="CJ257" s="515"/>
      <c r="CK257" s="515"/>
      <c r="CL257" s="515"/>
      <c r="CM257" s="515"/>
      <c r="CN257" s="515"/>
      <c r="CO257" s="515"/>
      <c r="CP257" s="515"/>
      <c r="CQ257" s="515"/>
      <c r="CR257" s="515"/>
      <c r="CS257" s="515"/>
      <c r="CT257" s="515"/>
      <c r="CU257" s="515"/>
      <c r="CV257" s="515"/>
      <c r="CW257" s="515"/>
      <c r="CX257" s="515"/>
      <c r="CY257" s="515"/>
      <c r="CZ257" s="515"/>
      <c r="DA257" s="515"/>
      <c r="DB257" s="515"/>
      <c r="DC257" s="515"/>
      <c r="DD257" s="515"/>
      <c r="DE257" s="515"/>
      <c r="DF257" s="515"/>
      <c r="DG257" s="515"/>
      <c r="DH257" s="515"/>
      <c r="DI257" s="515"/>
      <c r="DJ257" s="515"/>
      <c r="DK257" s="515"/>
      <c r="DL257" s="515"/>
      <c r="DM257" s="515"/>
      <c r="DN257" s="515"/>
      <c r="DO257" s="515"/>
      <c r="DP257" s="515"/>
      <c r="DQ257" s="515"/>
      <c r="DR257" s="515"/>
      <c r="DS257" s="515"/>
      <c r="DT257" s="515"/>
      <c r="DU257" s="515"/>
      <c r="DV257" s="515"/>
      <c r="DW257" s="515"/>
      <c r="DX257" s="515"/>
      <c r="DY257" s="515"/>
      <c r="DZ257" s="515"/>
      <c r="EA257" s="515"/>
      <c r="EB257" s="515"/>
      <c r="EC257" s="515"/>
      <c r="ED257" s="515"/>
      <c r="EE257" s="515"/>
      <c r="EF257" s="515"/>
      <c r="EG257" s="515"/>
      <c r="EH257" s="515"/>
      <c r="EI257" s="515"/>
      <c r="EJ257" s="515"/>
      <c r="EK257" s="515"/>
      <c r="EL257" s="515"/>
      <c r="EM257" s="515"/>
      <c r="EN257" s="515"/>
      <c r="EO257" s="515"/>
      <c r="EP257" s="515"/>
      <c r="EQ257" s="515"/>
      <c r="ER257" s="515"/>
      <c r="ES257" s="515"/>
      <c r="ET257" s="515"/>
      <c r="EU257" s="515"/>
      <c r="EV257" s="515"/>
      <c r="EW257" s="515"/>
      <c r="EX257" s="515"/>
      <c r="EY257" s="515"/>
      <c r="EZ257" s="515"/>
      <c r="FA257" s="515"/>
      <c r="FB257" s="515"/>
      <c r="FC257" s="515"/>
      <c r="FD257" s="515"/>
      <c r="FE257" s="515"/>
      <c r="FF257" s="515"/>
      <c r="FG257" s="515"/>
      <c r="FH257" s="515"/>
      <c r="FI257" s="515"/>
      <c r="FJ257" s="515"/>
      <c r="FK257" s="515"/>
      <c r="FL257" s="515"/>
      <c r="FM257" s="515"/>
      <c r="FN257" s="515"/>
      <c r="FO257" s="515"/>
      <c r="FP257" s="515"/>
      <c r="FQ257" s="515"/>
      <c r="FR257" s="515"/>
      <c r="FS257" s="515"/>
      <c r="FT257" s="515"/>
      <c r="FU257" s="515"/>
      <c r="FV257" s="515"/>
      <c r="FW257" s="515"/>
      <c r="FX257" s="515"/>
      <c r="FY257" s="515"/>
      <c r="FZ257" s="515"/>
      <c r="GA257" s="515"/>
      <c r="GB257" s="515"/>
      <c r="GC257" s="515"/>
      <c r="GD257" s="515"/>
      <c r="GE257" s="515"/>
      <c r="GF257" s="515"/>
      <c r="GG257" s="515"/>
      <c r="GH257" s="515"/>
      <c r="GI257" s="515"/>
      <c r="GJ257" s="515"/>
      <c r="GK257" s="515"/>
      <c r="GL257" s="515"/>
      <c r="GM257" s="515"/>
      <c r="GN257" s="515"/>
    </row>
    <row r="258" spans="1:196" s="525" customFormat="1" ht="13.8" hidden="1" outlineLevel="1" x14ac:dyDescent="0.25">
      <c r="A258" s="1407" t="s">
        <v>756</v>
      </c>
      <c r="B258" s="1407" t="s">
        <v>555</v>
      </c>
      <c r="C258" s="1408"/>
      <c r="D258" s="1408"/>
      <c r="E258" s="523"/>
      <c r="F258" s="520" t="s">
        <v>555</v>
      </c>
      <c r="G258" s="301">
        <v>0</v>
      </c>
      <c r="H258" s="505">
        <v>0</v>
      </c>
      <c r="I258" s="510">
        <f t="shared" si="30"/>
        <v>0</v>
      </c>
      <c r="J258" s="876" t="str">
        <f t="shared" ref="J258:J282" si="31">IFERROR(I258/G258,"-")</f>
        <v>-</v>
      </c>
      <c r="K258" s="1450"/>
      <c r="L258" s="1409"/>
      <c r="M258" s="1116"/>
      <c r="N258" s="515"/>
      <c r="O258" s="515"/>
      <c r="P258" s="515"/>
      <c r="Q258" s="515"/>
      <c r="R258" s="515"/>
      <c r="S258" s="515"/>
      <c r="T258" s="515"/>
      <c r="U258" s="515"/>
      <c r="V258" s="515"/>
      <c r="W258" s="515"/>
      <c r="X258" s="515"/>
      <c r="Y258" s="515"/>
      <c r="Z258" s="515"/>
      <c r="AA258" s="515"/>
      <c r="AB258" s="515"/>
      <c r="AC258" s="515"/>
      <c r="AD258" s="515"/>
      <c r="AE258" s="515"/>
      <c r="AF258" s="515"/>
      <c r="AG258" s="515"/>
      <c r="AH258" s="515"/>
      <c r="AI258" s="515"/>
      <c r="AJ258" s="515"/>
      <c r="AK258" s="515"/>
      <c r="AL258" s="515"/>
      <c r="AM258" s="515"/>
      <c r="AN258" s="515"/>
      <c r="AO258" s="515"/>
      <c r="AP258" s="515"/>
      <c r="AQ258" s="515"/>
      <c r="AR258" s="515"/>
      <c r="AS258" s="515"/>
      <c r="AT258" s="515"/>
      <c r="AU258" s="515"/>
      <c r="AV258" s="515"/>
      <c r="AW258" s="515"/>
      <c r="AX258" s="515"/>
      <c r="AY258" s="515"/>
      <c r="AZ258" s="515"/>
      <c r="BA258" s="515"/>
      <c r="BB258" s="515"/>
      <c r="BC258" s="515"/>
      <c r="BD258" s="515"/>
      <c r="BE258" s="515"/>
      <c r="BF258" s="515"/>
      <c r="BG258" s="515"/>
      <c r="BH258" s="515"/>
      <c r="BI258" s="515"/>
      <c r="BJ258" s="515"/>
      <c r="BK258" s="515"/>
      <c r="BL258" s="515"/>
      <c r="BM258" s="515"/>
      <c r="BN258" s="515"/>
      <c r="BO258" s="515"/>
      <c r="BP258" s="515"/>
      <c r="BQ258" s="515"/>
      <c r="BR258" s="515"/>
      <c r="BS258" s="515"/>
      <c r="BT258" s="515"/>
      <c r="BU258" s="515"/>
      <c r="BV258" s="515"/>
      <c r="BW258" s="515"/>
      <c r="BX258" s="515"/>
      <c r="BY258" s="515"/>
      <c r="BZ258" s="515"/>
      <c r="CA258" s="515"/>
      <c r="CB258" s="515"/>
      <c r="CC258" s="515"/>
      <c r="CD258" s="515"/>
      <c r="CE258" s="515"/>
      <c r="CF258" s="515"/>
      <c r="CG258" s="515"/>
      <c r="CH258" s="515"/>
      <c r="CI258" s="515"/>
      <c r="CJ258" s="515"/>
      <c r="CK258" s="515"/>
      <c r="CL258" s="515"/>
      <c r="CM258" s="515"/>
      <c r="CN258" s="515"/>
      <c r="CO258" s="515"/>
      <c r="CP258" s="515"/>
      <c r="CQ258" s="515"/>
      <c r="CR258" s="515"/>
      <c r="CS258" s="515"/>
      <c r="CT258" s="515"/>
      <c r="CU258" s="515"/>
      <c r="CV258" s="515"/>
      <c r="CW258" s="515"/>
      <c r="CX258" s="515"/>
      <c r="CY258" s="515"/>
      <c r="CZ258" s="515"/>
      <c r="DA258" s="515"/>
      <c r="DB258" s="515"/>
      <c r="DC258" s="515"/>
      <c r="DD258" s="515"/>
      <c r="DE258" s="515"/>
      <c r="DF258" s="515"/>
      <c r="DG258" s="515"/>
      <c r="DH258" s="515"/>
      <c r="DI258" s="515"/>
      <c r="DJ258" s="515"/>
      <c r="DK258" s="515"/>
      <c r="DL258" s="515"/>
      <c r="DM258" s="515"/>
      <c r="DN258" s="515"/>
      <c r="DO258" s="515"/>
      <c r="DP258" s="515"/>
      <c r="DQ258" s="515"/>
      <c r="DR258" s="515"/>
      <c r="DS258" s="515"/>
      <c r="DT258" s="515"/>
      <c r="DU258" s="515"/>
      <c r="DV258" s="515"/>
      <c r="DW258" s="515"/>
      <c r="DX258" s="515"/>
      <c r="DY258" s="515"/>
      <c r="DZ258" s="515"/>
      <c r="EA258" s="515"/>
      <c r="EB258" s="515"/>
      <c r="EC258" s="515"/>
      <c r="ED258" s="515"/>
      <c r="EE258" s="515"/>
      <c r="EF258" s="515"/>
      <c r="EG258" s="515"/>
      <c r="EH258" s="515"/>
      <c r="EI258" s="515"/>
      <c r="EJ258" s="515"/>
      <c r="EK258" s="515"/>
      <c r="EL258" s="515"/>
      <c r="EM258" s="515"/>
      <c r="EN258" s="515"/>
      <c r="EO258" s="515"/>
      <c r="EP258" s="515"/>
      <c r="EQ258" s="515"/>
      <c r="ER258" s="515"/>
      <c r="ES258" s="515"/>
      <c r="ET258" s="515"/>
      <c r="EU258" s="515"/>
      <c r="EV258" s="515"/>
      <c r="EW258" s="515"/>
      <c r="EX258" s="515"/>
      <c r="EY258" s="515"/>
      <c r="EZ258" s="515"/>
      <c r="FA258" s="515"/>
      <c r="FB258" s="515"/>
      <c r="FC258" s="515"/>
      <c r="FD258" s="515"/>
      <c r="FE258" s="515"/>
      <c r="FF258" s="515"/>
      <c r="FG258" s="515"/>
      <c r="FH258" s="515"/>
      <c r="FI258" s="515"/>
      <c r="FJ258" s="515"/>
      <c r="FK258" s="515"/>
      <c r="FL258" s="515"/>
      <c r="FM258" s="515"/>
      <c r="FN258" s="515"/>
      <c r="FO258" s="515"/>
      <c r="FP258" s="515"/>
      <c r="FQ258" s="515"/>
      <c r="FR258" s="515"/>
      <c r="FS258" s="515"/>
      <c r="FT258" s="515"/>
      <c r="FU258" s="515"/>
      <c r="FV258" s="515"/>
      <c r="FW258" s="515"/>
      <c r="FX258" s="515"/>
      <c r="FY258" s="515"/>
      <c r="FZ258" s="515"/>
      <c r="GA258" s="515"/>
      <c r="GB258" s="515"/>
      <c r="GC258" s="515"/>
      <c r="GD258" s="515"/>
      <c r="GE258" s="515"/>
      <c r="GF258" s="515"/>
      <c r="GG258" s="515"/>
      <c r="GH258" s="515"/>
      <c r="GI258" s="515"/>
      <c r="GJ258" s="515"/>
      <c r="GK258" s="515"/>
      <c r="GL258" s="515"/>
      <c r="GM258" s="515"/>
      <c r="GN258" s="515"/>
    </row>
    <row r="259" spans="1:196" ht="27.6" collapsed="1" x14ac:dyDescent="0.25">
      <c r="C259" s="923">
        <f>959478-G265</f>
        <v>942578</v>
      </c>
      <c r="D259" s="923">
        <f>C259-G259</f>
        <v>-32000</v>
      </c>
      <c r="E259" s="151" t="s">
        <v>288</v>
      </c>
      <c r="F259" s="145" t="s">
        <v>632</v>
      </c>
      <c r="G259" s="302">
        <v>974578</v>
      </c>
      <c r="H259" s="302">
        <v>1127885.3067867202</v>
      </c>
      <c r="I259" s="132">
        <f t="shared" si="30"/>
        <v>153307.30678672018</v>
      </c>
      <c r="J259" s="867">
        <f t="shared" si="31"/>
        <v>0.15730634878554633</v>
      </c>
      <c r="K259" s="221"/>
      <c r="L259" s="224"/>
    </row>
    <row r="260" spans="1:196" s="104" customFormat="1" ht="13.8" hidden="1" outlineLevel="1" x14ac:dyDescent="0.25">
      <c r="A260" s="810" t="s">
        <v>765</v>
      </c>
      <c r="B260" s="810" t="s">
        <v>228</v>
      </c>
      <c r="C260" s="923"/>
      <c r="D260" s="923"/>
      <c r="E260" s="159"/>
      <c r="F260" s="215" t="s">
        <v>228</v>
      </c>
      <c r="G260" s="304">
        <v>746103</v>
      </c>
      <c r="H260" s="304">
        <v>821903.30678672029</v>
      </c>
      <c r="I260" s="153">
        <f t="shared" si="30"/>
        <v>75800.306786720292</v>
      </c>
      <c r="J260" s="878">
        <f t="shared" si="31"/>
        <v>0.10159496314412392</v>
      </c>
      <c r="K260" s="455"/>
      <c r="L260" s="224"/>
      <c r="M260" s="107"/>
      <c r="N260"/>
      <c r="O260"/>
      <c r="P260"/>
      <c r="Q260"/>
      <c r="R260"/>
      <c r="S260"/>
      <c r="T260"/>
      <c r="U260"/>
      <c r="V260"/>
      <c r="W260"/>
      <c r="X260"/>
      <c r="Y260"/>
      <c r="Z260"/>
      <c r="AA260"/>
      <c r="AB260"/>
      <c r="AC260"/>
      <c r="AD260"/>
      <c r="AE260"/>
      <c r="AF260"/>
      <c r="AG260"/>
      <c r="AH260"/>
      <c r="AI260"/>
      <c r="AJ260"/>
      <c r="AK260"/>
      <c r="AL260"/>
      <c r="AM260"/>
      <c r="AN260"/>
      <c r="AO260"/>
      <c r="AP260"/>
      <c r="AQ260"/>
      <c r="AR260"/>
      <c r="AS260"/>
      <c r="AT260"/>
      <c r="AU260"/>
      <c r="AV260"/>
      <c r="AW260"/>
      <c r="AX260"/>
      <c r="AY260"/>
      <c r="AZ260"/>
      <c r="BA260"/>
      <c r="BB260"/>
      <c r="BC260"/>
      <c r="BD260"/>
      <c r="BE260"/>
      <c r="BF260"/>
      <c r="BG260"/>
      <c r="BH260"/>
      <c r="BI260"/>
      <c r="BJ260"/>
      <c r="BK260"/>
      <c r="BL260"/>
      <c r="BM260"/>
      <c r="BN260"/>
      <c r="BO260"/>
      <c r="BP260"/>
      <c r="BQ260"/>
      <c r="BR260"/>
      <c r="BS260"/>
      <c r="BT260"/>
      <c r="BU260"/>
      <c r="BV260"/>
      <c r="BW260"/>
      <c r="BX260"/>
      <c r="BY260"/>
      <c r="BZ260"/>
      <c r="CA260"/>
      <c r="CB260"/>
      <c r="CC260"/>
      <c r="CD260"/>
      <c r="CE260"/>
      <c r="CF260"/>
      <c r="CG260"/>
      <c r="CH260"/>
      <c r="CI260"/>
      <c r="CJ260"/>
      <c r="CK260"/>
      <c r="CL260"/>
      <c r="CM260"/>
      <c r="CN260"/>
      <c r="CO260"/>
      <c r="CP260"/>
      <c r="CQ260"/>
      <c r="CR260"/>
      <c r="CS260"/>
      <c r="CT260"/>
      <c r="CU260"/>
      <c r="CV260"/>
      <c r="CW260"/>
      <c r="CX260"/>
      <c r="CY260"/>
      <c r="CZ260"/>
      <c r="DA260"/>
      <c r="DB260"/>
      <c r="DC260"/>
      <c r="DD260"/>
      <c r="DE260"/>
      <c r="DF260"/>
      <c r="DG260"/>
      <c r="DH260"/>
      <c r="DI260"/>
      <c r="DJ260"/>
      <c r="DK260"/>
      <c r="DL260"/>
      <c r="DM260"/>
      <c r="DN260"/>
      <c r="DO260"/>
      <c r="DP260"/>
      <c r="DQ260"/>
      <c r="DR260"/>
      <c r="DS260"/>
      <c r="DT260"/>
      <c r="DU260"/>
      <c r="DV260"/>
      <c r="DW260"/>
      <c r="DX260"/>
      <c r="DY260"/>
      <c r="DZ260"/>
      <c r="EA260"/>
      <c r="EB260"/>
      <c r="EC260"/>
      <c r="ED260"/>
      <c r="EE260"/>
      <c r="EF260"/>
      <c r="EG260"/>
      <c r="EH260"/>
      <c r="EI260"/>
      <c r="EJ260"/>
      <c r="EK260"/>
      <c r="EL260"/>
      <c r="EM260"/>
      <c r="EN260"/>
      <c r="EO260"/>
      <c r="EP260"/>
      <c r="EQ260"/>
      <c r="ER260"/>
      <c r="ES260"/>
      <c r="ET260"/>
      <c r="EU260"/>
      <c r="EV260"/>
      <c r="EW260"/>
      <c r="EX260"/>
      <c r="EY260"/>
      <c r="EZ260"/>
      <c r="FA260"/>
      <c r="FB260"/>
      <c r="FC260"/>
      <c r="FD260"/>
      <c r="FE260"/>
      <c r="FF260"/>
      <c r="FG260"/>
      <c r="FH260"/>
      <c r="FI260"/>
      <c r="FJ260"/>
      <c r="FK260"/>
      <c r="FL260"/>
      <c r="FM260"/>
      <c r="FN260"/>
      <c r="FO260"/>
      <c r="FP260"/>
      <c r="FQ260"/>
      <c r="FR260"/>
      <c r="FS260"/>
      <c r="FT260"/>
      <c r="FU260"/>
      <c r="FV260"/>
      <c r="FW260"/>
      <c r="FX260"/>
      <c r="FY260"/>
      <c r="FZ260"/>
      <c r="GA260"/>
      <c r="GB260"/>
      <c r="GC260"/>
      <c r="GD260"/>
      <c r="GE260"/>
      <c r="GF260"/>
      <c r="GG260"/>
      <c r="GH260"/>
      <c r="GI260"/>
      <c r="GJ260"/>
      <c r="GK260"/>
      <c r="GL260"/>
      <c r="GM260"/>
      <c r="GN260"/>
    </row>
    <row r="261" spans="1:196" s="104" customFormat="1" ht="57" hidden="1" customHeight="1" outlineLevel="1" x14ac:dyDescent="0.25">
      <c r="A261" s="810" t="s">
        <v>765</v>
      </c>
      <c r="B261" s="810" t="s">
        <v>554</v>
      </c>
      <c r="C261" s="923"/>
      <c r="D261" s="923"/>
      <c r="E261" s="214"/>
      <c r="F261" s="160" t="s">
        <v>198</v>
      </c>
      <c r="G261" s="307">
        <v>112366</v>
      </c>
      <c r="H261" s="307">
        <v>137133</v>
      </c>
      <c r="I261" s="153">
        <f t="shared" si="30"/>
        <v>24767</v>
      </c>
      <c r="J261" s="878">
        <f t="shared" si="31"/>
        <v>0.22041364825659007</v>
      </c>
      <c r="K261" s="455" t="s">
        <v>1616</v>
      </c>
      <c r="L261" s="224"/>
      <c r="M261" s="107"/>
      <c r="N261"/>
      <c r="O261"/>
      <c r="P261"/>
      <c r="Q261"/>
      <c r="R261"/>
      <c r="S261"/>
      <c r="T261"/>
      <c r="U261"/>
      <c r="V261"/>
      <c r="W261"/>
      <c r="X261"/>
      <c r="Y261"/>
      <c r="Z261"/>
      <c r="AA261"/>
      <c r="AB261"/>
      <c r="AC261"/>
      <c r="AD261"/>
      <c r="AE261"/>
      <c r="AF261"/>
      <c r="AG261"/>
      <c r="AH261"/>
      <c r="AI261"/>
      <c r="AJ261"/>
      <c r="AK261"/>
      <c r="AL261"/>
      <c r="AM261"/>
      <c r="AN261"/>
      <c r="AO261"/>
      <c r="AP261"/>
      <c r="AQ261"/>
      <c r="AR261"/>
      <c r="AS261"/>
      <c r="AT261"/>
      <c r="AU261"/>
      <c r="AV261"/>
      <c r="AW261"/>
      <c r="AX261"/>
      <c r="AY261"/>
      <c r="AZ261"/>
      <c r="BA261"/>
      <c r="BB261"/>
      <c r="BC261"/>
      <c r="BD261"/>
      <c r="BE261"/>
      <c r="BF261"/>
      <c r="BG261"/>
      <c r="BH261"/>
      <c r="BI261"/>
      <c r="BJ261"/>
      <c r="BK261"/>
      <c r="BL261"/>
      <c r="BM261"/>
      <c r="BN261"/>
      <c r="BO261"/>
      <c r="BP261"/>
      <c r="BQ261"/>
      <c r="BR261"/>
      <c r="BS261"/>
      <c r="BT261"/>
      <c r="BU261"/>
      <c r="BV261"/>
      <c r="BW261"/>
      <c r="BX261"/>
      <c r="BY261"/>
      <c r="BZ261"/>
      <c r="CA261"/>
      <c r="CB261"/>
      <c r="CC261"/>
      <c r="CD261"/>
      <c r="CE261"/>
      <c r="CF261"/>
      <c r="CG261"/>
      <c r="CH261"/>
      <c r="CI261"/>
      <c r="CJ261"/>
      <c r="CK261"/>
      <c r="CL261"/>
      <c r="CM261"/>
      <c r="CN261"/>
      <c r="CO261"/>
      <c r="CP261"/>
      <c r="CQ261"/>
      <c r="CR261"/>
      <c r="CS261"/>
      <c r="CT261"/>
      <c r="CU261"/>
      <c r="CV261"/>
      <c r="CW261"/>
      <c r="CX261"/>
      <c r="CY261"/>
      <c r="CZ261"/>
      <c r="DA261"/>
      <c r="DB261"/>
      <c r="DC261"/>
      <c r="DD261"/>
      <c r="DE261"/>
      <c r="DF261"/>
      <c r="DG261"/>
      <c r="DH261"/>
      <c r="DI261"/>
      <c r="DJ261"/>
      <c r="DK261"/>
      <c r="DL261"/>
      <c r="DM261"/>
      <c r="DN261"/>
      <c r="DO261"/>
      <c r="DP261"/>
      <c r="DQ261"/>
      <c r="DR261"/>
      <c r="DS261"/>
      <c r="DT261"/>
      <c r="DU261"/>
      <c r="DV261"/>
      <c r="DW261"/>
      <c r="DX261"/>
      <c r="DY261"/>
      <c r="DZ261"/>
      <c r="EA261"/>
      <c r="EB261"/>
      <c r="EC261"/>
      <c r="ED261"/>
      <c r="EE261"/>
      <c r="EF261"/>
      <c r="EG261"/>
      <c r="EH261"/>
      <c r="EI261"/>
      <c r="EJ261"/>
      <c r="EK261"/>
      <c r="EL261"/>
      <c r="EM261"/>
      <c r="EN261"/>
      <c r="EO261"/>
      <c r="EP261"/>
      <c r="EQ261"/>
      <c r="ER261"/>
      <c r="ES261"/>
      <c r="ET261"/>
      <c r="EU261"/>
      <c r="EV261"/>
      <c r="EW261"/>
      <c r="EX261"/>
      <c r="EY261"/>
      <c r="EZ261"/>
      <c r="FA261"/>
      <c r="FB261"/>
      <c r="FC261"/>
      <c r="FD261"/>
      <c r="FE261"/>
      <c r="FF261"/>
      <c r="FG261"/>
      <c r="FH261"/>
      <c r="FI261"/>
      <c r="FJ261"/>
      <c r="FK261"/>
      <c r="FL261"/>
      <c r="FM261"/>
      <c r="FN261"/>
      <c r="FO261"/>
      <c r="FP261"/>
      <c r="FQ261"/>
      <c r="FR261"/>
      <c r="FS261"/>
      <c r="FT261"/>
      <c r="FU261"/>
      <c r="FV261"/>
      <c r="FW261"/>
      <c r="FX261"/>
      <c r="FY261"/>
      <c r="FZ261"/>
      <c r="GA261"/>
      <c r="GB261"/>
      <c r="GC261"/>
      <c r="GD261"/>
      <c r="GE261"/>
      <c r="GF261"/>
      <c r="GG261"/>
      <c r="GH261"/>
      <c r="GI261"/>
      <c r="GJ261"/>
      <c r="GK261"/>
      <c r="GL261"/>
      <c r="GM261"/>
      <c r="GN261"/>
    </row>
    <row r="262" spans="1:196" s="104" customFormat="1" ht="60" hidden="1" customHeight="1" outlineLevel="1" x14ac:dyDescent="0.25">
      <c r="A262" s="810" t="s">
        <v>765</v>
      </c>
      <c r="B262" s="810" t="s">
        <v>1269</v>
      </c>
      <c r="C262" s="923"/>
      <c r="D262" s="923"/>
      <c r="E262" s="500"/>
      <c r="F262" s="160" t="s">
        <v>1268</v>
      </c>
      <c r="G262" s="307">
        <v>110918</v>
      </c>
      <c r="H262" s="307">
        <v>160349</v>
      </c>
      <c r="I262" s="153">
        <f t="shared" ref="I262" si="32">H262-G262</f>
        <v>49431</v>
      </c>
      <c r="J262" s="878">
        <f t="shared" ref="J262" si="33">IFERROR(I262/G262,"-")</f>
        <v>0.44565354586270939</v>
      </c>
      <c r="K262" s="996" t="s">
        <v>1272</v>
      </c>
      <c r="L262" s="224"/>
      <c r="M262" s="107"/>
      <c r="N262"/>
      <c r="O262"/>
      <c r="P262"/>
      <c r="Q262"/>
      <c r="R262"/>
      <c r="S262"/>
      <c r="T262"/>
      <c r="U262"/>
      <c r="V262"/>
      <c r="W262"/>
      <c r="X262"/>
      <c r="Y262"/>
      <c r="Z262"/>
      <c r="AA262"/>
      <c r="AB262"/>
      <c r="AC262"/>
      <c r="AD262"/>
      <c r="AE262"/>
      <c r="AF262"/>
      <c r="AG262"/>
      <c r="AH262"/>
      <c r="AI262"/>
      <c r="AJ262"/>
      <c r="AK262"/>
      <c r="AL262"/>
      <c r="AM262"/>
      <c r="AN262"/>
      <c r="AO262"/>
      <c r="AP262"/>
      <c r="AQ262"/>
      <c r="AR262"/>
      <c r="AS262"/>
      <c r="AT262"/>
      <c r="AU262"/>
      <c r="AV262"/>
      <c r="AW262"/>
      <c r="AX262"/>
      <c r="AY262"/>
      <c r="AZ262"/>
      <c r="BA262"/>
      <c r="BB262"/>
      <c r="BC262"/>
      <c r="BD262"/>
      <c r="BE262"/>
      <c r="BF262"/>
      <c r="BG262"/>
      <c r="BH262"/>
      <c r="BI262"/>
      <c r="BJ262"/>
      <c r="BK262"/>
      <c r="BL262"/>
      <c r="BM262"/>
      <c r="BN262"/>
      <c r="BO262"/>
      <c r="BP262"/>
      <c r="BQ262"/>
      <c r="BR262"/>
      <c r="BS262"/>
      <c r="BT262"/>
      <c r="BU262"/>
      <c r="BV262"/>
      <c r="BW262"/>
      <c r="BX262"/>
      <c r="BY262"/>
      <c r="BZ262"/>
      <c r="CA262"/>
      <c r="CB262"/>
      <c r="CC262"/>
      <c r="CD262"/>
      <c r="CE262"/>
      <c r="CF262"/>
      <c r="CG262"/>
      <c r="CH262"/>
      <c r="CI262"/>
      <c r="CJ262"/>
      <c r="CK262"/>
      <c r="CL262"/>
      <c r="CM262"/>
      <c r="CN262"/>
      <c r="CO262"/>
      <c r="CP262"/>
      <c r="CQ262"/>
      <c r="CR262"/>
      <c r="CS262"/>
      <c r="CT262"/>
      <c r="CU262"/>
      <c r="CV262"/>
      <c r="CW262"/>
      <c r="CX262"/>
      <c r="CY262"/>
      <c r="CZ262"/>
      <c r="DA262"/>
      <c r="DB262"/>
      <c r="DC262"/>
      <c r="DD262"/>
      <c r="DE262"/>
      <c r="DF262"/>
      <c r="DG262"/>
      <c r="DH262"/>
      <c r="DI262"/>
      <c r="DJ262"/>
      <c r="DK262"/>
      <c r="DL262"/>
      <c r="DM262"/>
      <c r="DN262"/>
      <c r="DO262"/>
      <c r="DP262"/>
      <c r="DQ262"/>
      <c r="DR262"/>
      <c r="DS262"/>
      <c r="DT262"/>
      <c r="DU262"/>
      <c r="DV262"/>
      <c r="DW262"/>
      <c r="DX262"/>
      <c r="DY262"/>
      <c r="DZ262"/>
      <c r="EA262"/>
      <c r="EB262"/>
      <c r="EC262"/>
      <c r="ED262"/>
      <c r="EE262"/>
      <c r="EF262"/>
      <c r="EG262"/>
      <c r="EH262"/>
      <c r="EI262"/>
      <c r="EJ262"/>
      <c r="EK262"/>
      <c r="EL262"/>
      <c r="EM262"/>
      <c r="EN262"/>
      <c r="EO262"/>
      <c r="EP262"/>
      <c r="EQ262"/>
      <c r="ER262"/>
      <c r="ES262"/>
      <c r="ET262"/>
      <c r="EU262"/>
      <c r="EV262"/>
      <c r="EW262"/>
      <c r="EX262"/>
      <c r="EY262"/>
      <c r="EZ262"/>
      <c r="FA262"/>
      <c r="FB262"/>
      <c r="FC262"/>
      <c r="FD262"/>
      <c r="FE262"/>
      <c r="FF262"/>
      <c r="FG262"/>
      <c r="FH262"/>
      <c r="FI262"/>
      <c r="FJ262"/>
      <c r="FK262"/>
      <c r="FL262"/>
      <c r="FM262"/>
      <c r="FN262"/>
      <c r="FO262"/>
      <c r="FP262"/>
      <c r="FQ262"/>
      <c r="FR262"/>
      <c r="FS262"/>
      <c r="FT262"/>
      <c r="FU262"/>
      <c r="FV262"/>
      <c r="FW262"/>
      <c r="FX262"/>
      <c r="FY262"/>
      <c r="FZ262"/>
      <c r="GA262"/>
      <c r="GB262"/>
      <c r="GC262"/>
      <c r="GD262"/>
      <c r="GE262"/>
      <c r="GF262"/>
      <c r="GG262"/>
      <c r="GH262"/>
      <c r="GI262"/>
      <c r="GJ262"/>
      <c r="GK262"/>
      <c r="GL262"/>
      <c r="GM262"/>
      <c r="GN262"/>
    </row>
    <row r="263" spans="1:196" s="104" customFormat="1" ht="13.8" hidden="1" outlineLevel="1" x14ac:dyDescent="0.25">
      <c r="A263" s="810" t="s">
        <v>765</v>
      </c>
      <c r="B263" s="810" t="s">
        <v>556</v>
      </c>
      <c r="C263" s="923"/>
      <c r="D263" s="923"/>
      <c r="E263" s="159"/>
      <c r="F263" s="160" t="s">
        <v>197</v>
      </c>
      <c r="G263" s="304">
        <v>5191</v>
      </c>
      <c r="H263" s="304">
        <v>8500</v>
      </c>
      <c r="I263" s="153">
        <f t="shared" si="30"/>
        <v>3309</v>
      </c>
      <c r="J263" s="878">
        <f t="shared" si="31"/>
        <v>0.63744943170872659</v>
      </c>
      <c r="K263" s="218"/>
      <c r="L263" s="224"/>
      <c r="M263" s="107"/>
      <c r="N263"/>
      <c r="O263"/>
      <c r="P263"/>
      <c r="Q263"/>
      <c r="R263"/>
      <c r="S263"/>
      <c r="T263"/>
      <c r="U263"/>
      <c r="V263"/>
      <c r="W263"/>
      <c r="X263"/>
      <c r="Y263"/>
      <c r="Z263"/>
      <c r="AA263"/>
      <c r="AB263"/>
      <c r="AC263"/>
      <c r="AD263"/>
      <c r="AE263"/>
      <c r="AF263"/>
      <c r="AG263"/>
      <c r="AH263"/>
      <c r="AI263"/>
      <c r="AJ263"/>
      <c r="AK263"/>
      <c r="AL263"/>
      <c r="AM263"/>
      <c r="AN263"/>
      <c r="AO263"/>
      <c r="AP263"/>
      <c r="AQ263"/>
      <c r="AR263"/>
      <c r="AS263"/>
      <c r="AT263"/>
      <c r="AU263"/>
      <c r="AV263"/>
      <c r="AW263"/>
      <c r="AX263"/>
      <c r="AY263"/>
      <c r="AZ263"/>
      <c r="BA263"/>
      <c r="BB263"/>
      <c r="BC263"/>
      <c r="BD263"/>
      <c r="BE263"/>
      <c r="BF263"/>
      <c r="BG263"/>
      <c r="BH263"/>
      <c r="BI263"/>
      <c r="BJ263"/>
      <c r="BK263"/>
      <c r="BL263"/>
      <c r="BM263"/>
      <c r="BN263"/>
      <c r="BO263"/>
      <c r="BP263"/>
      <c r="BQ263"/>
      <c r="BR263"/>
      <c r="BS263"/>
      <c r="BT263"/>
      <c r="BU263"/>
      <c r="BV263"/>
      <c r="BW263"/>
      <c r="BX263"/>
      <c r="BY263"/>
      <c r="BZ263"/>
      <c r="CA263"/>
      <c r="CB263"/>
      <c r="CC263"/>
      <c r="CD263"/>
      <c r="CE263"/>
      <c r="CF263"/>
      <c r="CG263"/>
      <c r="CH263"/>
      <c r="CI263"/>
      <c r="CJ263"/>
      <c r="CK263"/>
      <c r="CL263"/>
      <c r="CM263"/>
      <c r="CN263"/>
      <c r="CO263"/>
      <c r="CP263"/>
      <c r="CQ263"/>
      <c r="CR263"/>
      <c r="CS263"/>
      <c r="CT263"/>
      <c r="CU263"/>
      <c r="CV263"/>
      <c r="CW263"/>
      <c r="CX263"/>
      <c r="CY263"/>
      <c r="CZ263"/>
      <c r="DA263"/>
      <c r="DB263"/>
      <c r="DC263"/>
      <c r="DD263"/>
      <c r="DE263"/>
      <c r="DF263"/>
      <c r="DG263"/>
      <c r="DH263"/>
      <c r="DI263"/>
      <c r="DJ263"/>
      <c r="DK263"/>
      <c r="DL263"/>
      <c r="DM263"/>
      <c r="DN263"/>
      <c r="DO263"/>
      <c r="DP263"/>
      <c r="DQ263"/>
      <c r="DR263"/>
      <c r="DS263"/>
      <c r="DT263"/>
      <c r="DU263"/>
      <c r="DV263"/>
      <c r="DW263"/>
      <c r="DX263"/>
      <c r="DY263"/>
      <c r="DZ263"/>
      <c r="EA263"/>
      <c r="EB263"/>
      <c r="EC263"/>
      <c r="ED263"/>
      <c r="EE263"/>
      <c r="EF263"/>
      <c r="EG263"/>
      <c r="EH263"/>
      <c r="EI263"/>
      <c r="EJ263"/>
      <c r="EK263"/>
      <c r="EL263"/>
      <c r="EM263"/>
      <c r="EN263"/>
      <c r="EO263"/>
      <c r="EP263"/>
      <c r="EQ263"/>
      <c r="ER263"/>
      <c r="ES263"/>
      <c r="ET263"/>
      <c r="EU263"/>
      <c r="EV263"/>
      <c r="EW263"/>
      <c r="EX263"/>
      <c r="EY263"/>
      <c r="EZ263"/>
      <c r="FA263"/>
      <c r="FB263"/>
      <c r="FC263"/>
      <c r="FD263"/>
      <c r="FE263"/>
      <c r="FF263"/>
      <c r="FG263"/>
      <c r="FH263"/>
      <c r="FI263"/>
      <c r="FJ263"/>
      <c r="FK263"/>
      <c r="FL263"/>
      <c r="FM263"/>
      <c r="FN263"/>
      <c r="FO263"/>
      <c r="FP263"/>
      <c r="FQ263"/>
      <c r="FR263"/>
      <c r="FS263"/>
      <c r="FT263"/>
      <c r="FU263"/>
      <c r="FV263"/>
      <c r="FW263"/>
      <c r="FX263"/>
      <c r="FY263"/>
      <c r="FZ263"/>
      <c r="GA263"/>
      <c r="GB263"/>
      <c r="GC263"/>
      <c r="GD263"/>
      <c r="GE263"/>
      <c r="GF263"/>
      <c r="GG263"/>
      <c r="GH263"/>
      <c r="GI263"/>
      <c r="GJ263"/>
      <c r="GK263"/>
      <c r="GL263"/>
      <c r="GM263"/>
      <c r="GN263"/>
    </row>
    <row r="264" spans="1:196" s="525" customFormat="1" ht="13.8" hidden="1" outlineLevel="1" x14ac:dyDescent="0.25">
      <c r="A264" s="1095" t="s">
        <v>766</v>
      </c>
      <c r="B264" s="1095" t="s">
        <v>182</v>
      </c>
      <c r="C264" s="1096">
        <v>158625</v>
      </c>
      <c r="D264" s="1096">
        <f>C264-G264</f>
        <v>-8.5599999991245568E-2</v>
      </c>
      <c r="E264" s="523"/>
      <c r="F264" s="520" t="s">
        <v>167</v>
      </c>
      <c r="G264" s="304">
        <v>158625.08559999999</v>
      </c>
      <c r="H264" s="504">
        <v>192011.22961600003</v>
      </c>
      <c r="I264" s="510">
        <f t="shared" si="30"/>
        <v>33386.144016000035</v>
      </c>
      <c r="J264" s="876">
        <f t="shared" si="31"/>
        <v>0.21047203151832397</v>
      </c>
      <c r="K264" s="1450"/>
      <c r="L264" s="507"/>
      <c r="M264" s="1116"/>
      <c r="N264" s="515"/>
      <c r="O264" s="515"/>
      <c r="P264" s="515"/>
      <c r="Q264" s="515"/>
      <c r="R264" s="515"/>
      <c r="S264" s="515"/>
      <c r="T264" s="515"/>
      <c r="U264" s="515"/>
      <c r="V264" s="515"/>
      <c r="W264" s="515"/>
      <c r="X264" s="515"/>
      <c r="Y264" s="515"/>
      <c r="Z264" s="515"/>
      <c r="AA264" s="515"/>
      <c r="AB264" s="515"/>
      <c r="AC264" s="515"/>
      <c r="AD264" s="515"/>
      <c r="AE264" s="515"/>
      <c r="AF264" s="515"/>
      <c r="AG264" s="515"/>
      <c r="AH264" s="515"/>
      <c r="AI264" s="515"/>
      <c r="AJ264" s="515"/>
      <c r="AK264" s="515"/>
      <c r="AL264" s="515"/>
      <c r="AM264" s="515"/>
      <c r="AN264" s="515"/>
      <c r="AO264" s="515"/>
      <c r="AP264" s="515"/>
      <c r="AQ264" s="515"/>
      <c r="AR264" s="515"/>
      <c r="AS264" s="515"/>
      <c r="AT264" s="515"/>
      <c r="AU264" s="515"/>
      <c r="AV264" s="515"/>
      <c r="AW264" s="515"/>
      <c r="AX264" s="515"/>
      <c r="AY264" s="515"/>
      <c r="AZ264" s="515"/>
      <c r="BA264" s="515"/>
      <c r="BB264" s="515"/>
      <c r="BC264" s="515"/>
      <c r="BD264" s="515"/>
      <c r="BE264" s="515"/>
      <c r="BF264" s="515"/>
      <c r="BG264" s="515"/>
      <c r="BH264" s="515"/>
      <c r="BI264" s="515"/>
      <c r="BJ264" s="515"/>
      <c r="BK264" s="515"/>
      <c r="BL264" s="515"/>
      <c r="BM264" s="515"/>
      <c r="BN264" s="515"/>
      <c r="BO264" s="515"/>
      <c r="BP264" s="515"/>
      <c r="BQ264" s="515"/>
      <c r="BR264" s="515"/>
      <c r="BS264" s="515"/>
      <c r="BT264" s="515"/>
      <c r="BU264" s="515"/>
      <c r="BV264" s="515"/>
      <c r="BW264" s="515"/>
      <c r="BX264" s="515"/>
      <c r="BY264" s="515"/>
      <c r="BZ264" s="515"/>
      <c r="CA264" s="515"/>
      <c r="CB264" s="515"/>
      <c r="CC264" s="515"/>
      <c r="CD264" s="515"/>
      <c r="CE264" s="515"/>
      <c r="CF264" s="515"/>
      <c r="CG264" s="515"/>
      <c r="CH264" s="515"/>
      <c r="CI264" s="515"/>
      <c r="CJ264" s="515"/>
      <c r="CK264" s="515"/>
      <c r="CL264" s="515"/>
      <c r="CM264" s="515"/>
      <c r="CN264" s="515"/>
      <c r="CO264" s="515"/>
      <c r="CP264" s="515"/>
      <c r="CQ264" s="515"/>
      <c r="CR264" s="515"/>
      <c r="CS264" s="515"/>
      <c r="CT264" s="515"/>
      <c r="CU264" s="515"/>
      <c r="CV264" s="515"/>
      <c r="CW264" s="515"/>
      <c r="CX264" s="515"/>
      <c r="CY264" s="515"/>
      <c r="CZ264" s="515"/>
      <c r="DA264" s="515"/>
      <c r="DB264" s="515"/>
      <c r="DC264" s="515"/>
      <c r="DD264" s="515"/>
      <c r="DE264" s="515"/>
      <c r="DF264" s="515"/>
      <c r="DG264" s="515"/>
      <c r="DH264" s="515"/>
      <c r="DI264" s="515"/>
      <c r="DJ264" s="515"/>
      <c r="DK264" s="515"/>
      <c r="DL264" s="515"/>
      <c r="DM264" s="515"/>
      <c r="DN264" s="515"/>
      <c r="DO264" s="515"/>
      <c r="DP264" s="515"/>
      <c r="DQ264" s="515"/>
      <c r="DR264" s="515"/>
      <c r="DS264" s="515"/>
      <c r="DT264" s="515"/>
      <c r="DU264" s="515"/>
      <c r="DV264" s="515"/>
      <c r="DW264" s="515"/>
      <c r="DX264" s="515"/>
      <c r="DY264" s="515"/>
      <c r="DZ264" s="515"/>
      <c r="EA264" s="515"/>
      <c r="EB264" s="515"/>
      <c r="EC264" s="515"/>
      <c r="ED264" s="515"/>
      <c r="EE264" s="515"/>
      <c r="EF264" s="515"/>
      <c r="EG264" s="515"/>
      <c r="EH264" s="515"/>
      <c r="EI264" s="515"/>
      <c r="EJ264" s="515"/>
      <c r="EK264" s="515"/>
      <c r="EL264" s="515"/>
      <c r="EM264" s="515"/>
      <c r="EN264" s="515"/>
      <c r="EO264" s="515"/>
      <c r="EP264" s="515"/>
      <c r="EQ264" s="515"/>
      <c r="ER264" s="515"/>
      <c r="ES264" s="515"/>
      <c r="ET264" s="515"/>
      <c r="EU264" s="515"/>
      <c r="EV264" s="515"/>
      <c r="EW264" s="515"/>
      <c r="EX264" s="515"/>
      <c r="EY264" s="515"/>
      <c r="EZ264" s="515"/>
      <c r="FA264" s="515"/>
      <c r="FB264" s="515"/>
      <c r="FC264" s="515"/>
      <c r="FD264" s="515"/>
      <c r="FE264" s="515"/>
      <c r="FF264" s="515"/>
      <c r="FG264" s="515"/>
      <c r="FH264" s="515"/>
      <c r="FI264" s="515"/>
      <c r="FJ264" s="515"/>
      <c r="FK264" s="515"/>
      <c r="FL264" s="515"/>
      <c r="FM264" s="515"/>
      <c r="FN264" s="515"/>
      <c r="FO264" s="515"/>
      <c r="FP264" s="515"/>
      <c r="FQ264" s="515"/>
      <c r="FR264" s="515"/>
      <c r="FS264" s="515"/>
      <c r="FT264" s="515"/>
      <c r="FU264" s="515"/>
      <c r="FV264" s="515"/>
      <c r="FW264" s="515"/>
      <c r="FX264" s="515"/>
      <c r="FY264" s="515"/>
      <c r="FZ264" s="515"/>
      <c r="GA264" s="515"/>
      <c r="GB264" s="515"/>
      <c r="GC264" s="515"/>
      <c r="GD264" s="515"/>
      <c r="GE264" s="515"/>
      <c r="GF264" s="515"/>
      <c r="GG264" s="515"/>
      <c r="GH264" s="515"/>
      <c r="GI264" s="515"/>
      <c r="GJ264" s="515"/>
      <c r="GK264" s="515"/>
      <c r="GL264" s="515"/>
      <c r="GM264" s="515"/>
      <c r="GN264" s="515"/>
    </row>
    <row r="265" spans="1:196" s="525" customFormat="1" ht="13.8" hidden="1" outlineLevel="1" x14ac:dyDescent="0.25">
      <c r="A265" s="1095" t="s">
        <v>765</v>
      </c>
      <c r="B265" s="1095" t="s">
        <v>555</v>
      </c>
      <c r="C265" s="1096"/>
      <c r="D265" s="1096"/>
      <c r="E265" s="523"/>
      <c r="F265" s="520" t="s">
        <v>555</v>
      </c>
      <c r="G265" s="304">
        <v>16900</v>
      </c>
      <c r="H265" s="504">
        <v>20128</v>
      </c>
      <c r="I265" s="510">
        <f t="shared" si="30"/>
        <v>3228</v>
      </c>
      <c r="J265" s="876">
        <f t="shared" si="31"/>
        <v>0.19100591715976331</v>
      </c>
      <c r="K265" s="516"/>
      <c r="L265" s="507"/>
      <c r="M265" s="1116"/>
      <c r="N265" s="515"/>
      <c r="O265" s="515"/>
      <c r="P265" s="515"/>
      <c r="Q265" s="515"/>
      <c r="R265" s="515"/>
      <c r="S265" s="515"/>
      <c r="T265" s="515"/>
      <c r="U265" s="515"/>
      <c r="V265" s="515"/>
      <c r="W265" s="515"/>
      <c r="X265" s="515"/>
      <c r="Y265" s="515"/>
      <c r="Z265" s="515"/>
      <c r="AA265" s="515"/>
      <c r="AB265" s="515"/>
      <c r="AC265" s="515"/>
      <c r="AD265" s="515"/>
      <c r="AE265" s="515"/>
      <c r="AF265" s="515"/>
      <c r="AG265" s="515"/>
      <c r="AH265" s="515"/>
      <c r="AI265" s="515"/>
      <c r="AJ265" s="515"/>
      <c r="AK265" s="515"/>
      <c r="AL265" s="515"/>
      <c r="AM265" s="515"/>
      <c r="AN265" s="515"/>
      <c r="AO265" s="515"/>
      <c r="AP265" s="515"/>
      <c r="AQ265" s="515"/>
      <c r="AR265" s="515"/>
      <c r="AS265" s="515"/>
      <c r="AT265" s="515"/>
      <c r="AU265" s="515"/>
      <c r="AV265" s="515"/>
      <c r="AW265" s="515"/>
      <c r="AX265" s="515"/>
      <c r="AY265" s="515"/>
      <c r="AZ265" s="515"/>
      <c r="BA265" s="515"/>
      <c r="BB265" s="515"/>
      <c r="BC265" s="515"/>
      <c r="BD265" s="515"/>
      <c r="BE265" s="515"/>
      <c r="BF265" s="515"/>
      <c r="BG265" s="515"/>
      <c r="BH265" s="515"/>
      <c r="BI265" s="515"/>
      <c r="BJ265" s="515"/>
      <c r="BK265" s="515"/>
      <c r="BL265" s="515"/>
      <c r="BM265" s="515"/>
      <c r="BN265" s="515"/>
      <c r="BO265" s="515"/>
      <c r="BP265" s="515"/>
      <c r="BQ265" s="515"/>
      <c r="BR265" s="515"/>
      <c r="BS265" s="515"/>
      <c r="BT265" s="515"/>
      <c r="BU265" s="515"/>
      <c r="BV265" s="515"/>
      <c r="BW265" s="515"/>
      <c r="BX265" s="515"/>
      <c r="BY265" s="515"/>
      <c r="BZ265" s="515"/>
      <c r="CA265" s="515"/>
      <c r="CB265" s="515"/>
      <c r="CC265" s="515"/>
      <c r="CD265" s="515"/>
      <c r="CE265" s="515"/>
      <c r="CF265" s="515"/>
      <c r="CG265" s="515"/>
      <c r="CH265" s="515"/>
      <c r="CI265" s="515"/>
      <c r="CJ265" s="515"/>
      <c r="CK265" s="515"/>
      <c r="CL265" s="515"/>
      <c r="CM265" s="515"/>
      <c r="CN265" s="515"/>
      <c r="CO265" s="515"/>
      <c r="CP265" s="515"/>
      <c r="CQ265" s="515"/>
      <c r="CR265" s="515"/>
      <c r="CS265" s="515"/>
      <c r="CT265" s="515"/>
      <c r="CU265" s="515"/>
      <c r="CV265" s="515"/>
      <c r="CW265" s="515"/>
      <c r="CX265" s="515"/>
      <c r="CY265" s="515"/>
      <c r="CZ265" s="515"/>
      <c r="DA265" s="515"/>
      <c r="DB265" s="515"/>
      <c r="DC265" s="515"/>
      <c r="DD265" s="515"/>
      <c r="DE265" s="515"/>
      <c r="DF265" s="515"/>
      <c r="DG265" s="515"/>
      <c r="DH265" s="515"/>
      <c r="DI265" s="515"/>
      <c r="DJ265" s="515"/>
      <c r="DK265" s="515"/>
      <c r="DL265" s="515"/>
      <c r="DM265" s="515"/>
      <c r="DN265" s="515"/>
      <c r="DO265" s="515"/>
      <c r="DP265" s="515"/>
      <c r="DQ265" s="515"/>
      <c r="DR265" s="515"/>
      <c r="DS265" s="515"/>
      <c r="DT265" s="515"/>
      <c r="DU265" s="515"/>
      <c r="DV265" s="515"/>
      <c r="DW265" s="515"/>
      <c r="DX265" s="515"/>
      <c r="DY265" s="515"/>
      <c r="DZ265" s="515"/>
      <c r="EA265" s="515"/>
      <c r="EB265" s="515"/>
      <c r="EC265" s="515"/>
      <c r="ED265" s="515"/>
      <c r="EE265" s="515"/>
      <c r="EF265" s="515"/>
      <c r="EG265" s="515"/>
      <c r="EH265" s="515"/>
      <c r="EI265" s="515"/>
      <c r="EJ265" s="515"/>
      <c r="EK265" s="515"/>
      <c r="EL265" s="515"/>
      <c r="EM265" s="515"/>
      <c r="EN265" s="515"/>
      <c r="EO265" s="515"/>
      <c r="EP265" s="515"/>
      <c r="EQ265" s="515"/>
      <c r="ER265" s="515"/>
      <c r="ES265" s="515"/>
      <c r="ET265" s="515"/>
      <c r="EU265" s="515"/>
      <c r="EV265" s="515"/>
      <c r="EW265" s="515"/>
      <c r="EX265" s="515"/>
      <c r="EY265" s="515"/>
      <c r="EZ265" s="515"/>
      <c r="FA265" s="515"/>
      <c r="FB265" s="515"/>
      <c r="FC265" s="515"/>
      <c r="FD265" s="515"/>
      <c r="FE265" s="515"/>
      <c r="FF265" s="515"/>
      <c r="FG265" s="515"/>
      <c r="FH265" s="515"/>
      <c r="FI265" s="515"/>
      <c r="FJ265" s="515"/>
      <c r="FK265" s="515"/>
      <c r="FL265" s="515"/>
      <c r="FM265" s="515"/>
      <c r="FN265" s="515"/>
      <c r="FO265" s="515"/>
      <c r="FP265" s="515"/>
      <c r="FQ265" s="515"/>
      <c r="FR265" s="515"/>
      <c r="FS265" s="515"/>
      <c r="FT265" s="515"/>
      <c r="FU265" s="515"/>
      <c r="FV265" s="515"/>
      <c r="FW265" s="515"/>
      <c r="FX265" s="515"/>
      <c r="FY265" s="515"/>
      <c r="FZ265" s="515"/>
      <c r="GA265" s="515"/>
      <c r="GB265" s="515"/>
      <c r="GC265" s="515"/>
      <c r="GD265" s="515"/>
      <c r="GE265" s="515"/>
      <c r="GF265" s="515"/>
      <c r="GG265" s="515"/>
      <c r="GH265" s="515"/>
      <c r="GI265" s="515"/>
      <c r="GJ265" s="515"/>
      <c r="GK265" s="515"/>
      <c r="GL265" s="515"/>
      <c r="GM265" s="515"/>
      <c r="GN265" s="515"/>
    </row>
    <row r="266" spans="1:196" ht="28.95" customHeight="1" collapsed="1" x14ac:dyDescent="0.25">
      <c r="C266" s="923">
        <f>1002535-G272</f>
        <v>994984</v>
      </c>
      <c r="D266" s="923">
        <f>C266-G266</f>
        <v>0</v>
      </c>
      <c r="E266" s="151" t="s">
        <v>629</v>
      </c>
      <c r="F266" s="145" t="s">
        <v>633</v>
      </c>
      <c r="G266" s="302">
        <v>994984</v>
      </c>
      <c r="H266" s="302">
        <v>1147015.2936508402</v>
      </c>
      <c r="I266" s="132">
        <f t="shared" si="30"/>
        <v>152031.29365084018</v>
      </c>
      <c r="J266" s="867">
        <f t="shared" si="31"/>
        <v>0.15279772704972158</v>
      </c>
      <c r="K266" s="217"/>
      <c r="L266" s="224"/>
    </row>
    <row r="267" spans="1:196" s="104" customFormat="1" ht="13.8" hidden="1" outlineLevel="1" x14ac:dyDescent="0.25">
      <c r="A267" s="810" t="s">
        <v>795</v>
      </c>
      <c r="B267" s="810" t="s">
        <v>228</v>
      </c>
      <c r="C267" s="923"/>
      <c r="D267" s="923"/>
      <c r="E267" s="159"/>
      <c r="F267" s="215" t="s">
        <v>228</v>
      </c>
      <c r="G267" s="304">
        <v>789993</v>
      </c>
      <c r="H267" s="304">
        <v>887162.04152584018</v>
      </c>
      <c r="I267" s="153">
        <f t="shared" si="30"/>
        <v>97169.041525840177</v>
      </c>
      <c r="J267" s="878">
        <f t="shared" si="31"/>
        <v>0.12299987661389428</v>
      </c>
      <c r="K267" s="438" t="s">
        <v>1274</v>
      </c>
      <c r="L267" s="224"/>
      <c r="M267" s="107"/>
      <c r="N267"/>
      <c r="O267"/>
      <c r="P267"/>
      <c r="Q267"/>
      <c r="R267"/>
      <c r="S267"/>
      <c r="T267"/>
      <c r="U267"/>
      <c r="V267"/>
      <c r="W267"/>
      <c r="X267"/>
      <c r="Y267"/>
      <c r="Z267"/>
      <c r="AA267"/>
      <c r="AB267"/>
      <c r="AC267"/>
      <c r="AD267"/>
      <c r="AE267"/>
      <c r="AF267"/>
      <c r="AG267"/>
      <c r="AH267"/>
      <c r="AI267"/>
      <c r="AJ267"/>
      <c r="AK267"/>
      <c r="AL267"/>
      <c r="AM267"/>
      <c r="AN267"/>
      <c r="AO267"/>
      <c r="AP267"/>
      <c r="AQ267"/>
      <c r="AR267"/>
      <c r="AS267"/>
      <c r="AT267"/>
      <c r="AU267"/>
      <c r="AV267"/>
      <c r="AW267"/>
      <c r="AX267"/>
      <c r="AY267"/>
      <c r="AZ267"/>
      <c r="BA267"/>
      <c r="BB267"/>
      <c r="BC267"/>
      <c r="BD267"/>
      <c r="BE267"/>
      <c r="BF267"/>
      <c r="BG267"/>
      <c r="BH267"/>
      <c r="BI267"/>
      <c r="BJ267"/>
      <c r="BK267"/>
      <c r="BL267"/>
      <c r="BM267"/>
      <c r="BN267"/>
      <c r="BO267"/>
      <c r="BP267"/>
      <c r="BQ267"/>
      <c r="BR267"/>
      <c r="BS267"/>
      <c r="BT267"/>
      <c r="BU267"/>
      <c r="BV267"/>
      <c r="BW267"/>
      <c r="BX267"/>
      <c r="BY267"/>
      <c r="BZ267"/>
      <c r="CA267"/>
      <c r="CB267"/>
      <c r="CC267"/>
      <c r="CD267"/>
      <c r="CE267"/>
      <c r="CF267"/>
      <c r="CG267"/>
      <c r="CH267"/>
      <c r="CI267"/>
      <c r="CJ267"/>
      <c r="CK267"/>
      <c r="CL267"/>
      <c r="CM267"/>
      <c r="CN267"/>
      <c r="CO267"/>
      <c r="CP267"/>
      <c r="CQ267"/>
      <c r="CR267"/>
      <c r="CS267"/>
      <c r="CT267"/>
      <c r="CU267"/>
      <c r="CV267"/>
      <c r="CW267"/>
      <c r="CX267"/>
      <c r="CY267"/>
      <c r="CZ267"/>
      <c r="DA267"/>
      <c r="DB267"/>
      <c r="DC267"/>
      <c r="DD267"/>
      <c r="DE267"/>
      <c r="DF267"/>
      <c r="DG267"/>
      <c r="DH267"/>
      <c r="DI267"/>
      <c r="DJ267"/>
      <c r="DK267"/>
      <c r="DL267"/>
      <c r="DM267"/>
      <c r="DN267"/>
      <c r="DO267"/>
      <c r="DP267"/>
      <c r="DQ267"/>
      <c r="DR267"/>
      <c r="DS267"/>
      <c r="DT267"/>
      <c r="DU267"/>
      <c r="DV267"/>
      <c r="DW267"/>
      <c r="DX267"/>
      <c r="DY267"/>
      <c r="DZ267"/>
      <c r="EA267"/>
      <c r="EB267"/>
      <c r="EC267"/>
      <c r="ED267"/>
      <c r="EE267"/>
      <c r="EF267"/>
      <c r="EG267"/>
      <c r="EH267"/>
      <c r="EI267"/>
      <c r="EJ267"/>
      <c r="EK267"/>
      <c r="EL267"/>
      <c r="EM267"/>
      <c r="EN267"/>
      <c r="EO267"/>
      <c r="EP267"/>
      <c r="EQ267"/>
      <c r="ER267"/>
      <c r="ES267"/>
      <c r="ET267"/>
      <c r="EU267"/>
      <c r="EV267"/>
      <c r="EW267"/>
      <c r="EX267"/>
      <c r="EY267"/>
      <c r="EZ267"/>
      <c r="FA267"/>
      <c r="FB267"/>
      <c r="FC267"/>
      <c r="FD267"/>
      <c r="FE267"/>
      <c r="FF267"/>
      <c r="FG267"/>
      <c r="FH267"/>
      <c r="FI267"/>
      <c r="FJ267"/>
      <c r="FK267"/>
      <c r="FL267"/>
      <c r="FM267"/>
      <c r="FN267"/>
      <c r="FO267"/>
      <c r="FP267"/>
      <c r="FQ267"/>
      <c r="FR267"/>
      <c r="FS267"/>
      <c r="FT267"/>
      <c r="FU267"/>
      <c r="FV267"/>
      <c r="FW267"/>
      <c r="FX267"/>
      <c r="FY267"/>
      <c r="FZ267"/>
      <c r="GA267"/>
      <c r="GB267"/>
      <c r="GC267"/>
      <c r="GD267"/>
      <c r="GE267"/>
      <c r="GF267"/>
      <c r="GG267"/>
      <c r="GH267"/>
      <c r="GI267"/>
      <c r="GJ267"/>
      <c r="GK267"/>
      <c r="GL267"/>
      <c r="GM267"/>
      <c r="GN267"/>
    </row>
    <row r="268" spans="1:196" s="104" customFormat="1" ht="41.4" hidden="1" outlineLevel="1" x14ac:dyDescent="0.25">
      <c r="A268" s="810" t="s">
        <v>795</v>
      </c>
      <c r="B268" s="810" t="s">
        <v>554</v>
      </c>
      <c r="C268" s="923"/>
      <c r="D268" s="923"/>
      <c r="E268" s="214"/>
      <c r="F268" s="160" t="s">
        <v>198</v>
      </c>
      <c r="G268" s="307">
        <v>82437</v>
      </c>
      <c r="H268" s="307">
        <v>99401.252124999999</v>
      </c>
      <c r="I268" s="153">
        <f t="shared" si="30"/>
        <v>16964.252124999999</v>
      </c>
      <c r="J268" s="878">
        <f t="shared" si="31"/>
        <v>0.20578444296856993</v>
      </c>
      <c r="K268" s="455" t="s">
        <v>1617</v>
      </c>
      <c r="L268" s="224"/>
      <c r="M268" s="107"/>
      <c r="N268"/>
      <c r="O268"/>
      <c r="P268"/>
      <c r="Q268"/>
      <c r="R268"/>
      <c r="S268"/>
      <c r="T268"/>
      <c r="U268"/>
      <c r="V268"/>
      <c r="W268"/>
      <c r="X268"/>
      <c r="Y268"/>
      <c r="Z268"/>
      <c r="AA268"/>
      <c r="AB268"/>
      <c r="AC268"/>
      <c r="AD268"/>
      <c r="AE268"/>
      <c r="AF268"/>
      <c r="AG268"/>
      <c r="AH268"/>
      <c r="AI268"/>
      <c r="AJ268"/>
      <c r="AK268"/>
      <c r="AL268"/>
      <c r="AM268"/>
      <c r="AN268"/>
      <c r="AO268"/>
      <c r="AP268"/>
      <c r="AQ268"/>
      <c r="AR268"/>
      <c r="AS268"/>
      <c r="AT268"/>
      <c r="AU268"/>
      <c r="AV268"/>
      <c r="AW268"/>
      <c r="AX268"/>
      <c r="AY268"/>
      <c r="AZ268"/>
      <c r="BA268"/>
      <c r="BB268"/>
      <c r="BC268"/>
      <c r="BD268"/>
      <c r="BE268"/>
      <c r="BF268"/>
      <c r="BG268"/>
      <c r="BH268"/>
      <c r="BI268"/>
      <c r="BJ268"/>
      <c r="BK268"/>
      <c r="BL268"/>
      <c r="BM268"/>
      <c r="BN268"/>
      <c r="BO268"/>
      <c r="BP268"/>
      <c r="BQ268"/>
      <c r="BR268"/>
      <c r="BS268"/>
      <c r="BT268"/>
      <c r="BU268"/>
      <c r="BV268"/>
      <c r="BW268"/>
      <c r="BX268"/>
      <c r="BY268"/>
      <c r="BZ268"/>
      <c r="CA268"/>
      <c r="CB268"/>
      <c r="CC268"/>
      <c r="CD268"/>
      <c r="CE268"/>
      <c r="CF268"/>
      <c r="CG268"/>
      <c r="CH268"/>
      <c r="CI268"/>
      <c r="CJ268"/>
      <c r="CK268"/>
      <c r="CL268"/>
      <c r="CM268"/>
      <c r="CN268"/>
      <c r="CO268"/>
      <c r="CP268"/>
      <c r="CQ268"/>
      <c r="CR268"/>
      <c r="CS268"/>
      <c r="CT268"/>
      <c r="CU268"/>
      <c r="CV268"/>
      <c r="CW268"/>
      <c r="CX268"/>
      <c r="CY268"/>
      <c r="CZ268"/>
      <c r="DA268"/>
      <c r="DB268"/>
      <c r="DC268"/>
      <c r="DD268"/>
      <c r="DE268"/>
      <c r="DF268"/>
      <c r="DG268"/>
      <c r="DH268"/>
      <c r="DI268"/>
      <c r="DJ268"/>
      <c r="DK268"/>
      <c r="DL268"/>
      <c r="DM268"/>
      <c r="DN268"/>
      <c r="DO268"/>
      <c r="DP268"/>
      <c r="DQ268"/>
      <c r="DR268"/>
      <c r="DS268"/>
      <c r="DT268"/>
      <c r="DU268"/>
      <c r="DV268"/>
      <c r="DW268"/>
      <c r="DX268"/>
      <c r="DY268"/>
      <c r="DZ268"/>
      <c r="EA268"/>
      <c r="EB268"/>
      <c r="EC268"/>
      <c r="ED268"/>
      <c r="EE268"/>
      <c r="EF268"/>
      <c r="EG268"/>
      <c r="EH268"/>
      <c r="EI268"/>
      <c r="EJ268"/>
      <c r="EK268"/>
      <c r="EL268"/>
      <c r="EM268"/>
      <c r="EN268"/>
      <c r="EO268"/>
      <c r="EP268"/>
      <c r="EQ268"/>
      <c r="ER268"/>
      <c r="ES268"/>
      <c r="ET268"/>
      <c r="EU268"/>
      <c r="EV268"/>
      <c r="EW268"/>
      <c r="EX268"/>
      <c r="EY268"/>
      <c r="EZ268"/>
      <c r="FA268"/>
      <c r="FB268"/>
      <c r="FC268"/>
      <c r="FD268"/>
      <c r="FE268"/>
      <c r="FF268"/>
      <c r="FG268"/>
      <c r="FH268"/>
      <c r="FI268"/>
      <c r="FJ268"/>
      <c r="FK268"/>
      <c r="FL268"/>
      <c r="FM268"/>
      <c r="FN268"/>
      <c r="FO268"/>
      <c r="FP268"/>
      <c r="FQ268"/>
      <c r="FR268"/>
      <c r="FS268"/>
      <c r="FT268"/>
      <c r="FU268"/>
      <c r="FV268"/>
      <c r="FW268"/>
      <c r="FX268"/>
      <c r="FY268"/>
      <c r="FZ268"/>
      <c r="GA268"/>
      <c r="GB268"/>
      <c r="GC268"/>
      <c r="GD268"/>
      <c r="GE268"/>
      <c r="GF268"/>
      <c r="GG268"/>
      <c r="GH268"/>
      <c r="GI268"/>
      <c r="GJ268"/>
      <c r="GK268"/>
      <c r="GL268"/>
      <c r="GM268"/>
      <c r="GN268"/>
    </row>
    <row r="269" spans="1:196" s="104" customFormat="1" ht="55.2" hidden="1" outlineLevel="1" x14ac:dyDescent="0.25">
      <c r="A269" s="810" t="s">
        <v>795</v>
      </c>
      <c r="B269" s="810" t="s">
        <v>1269</v>
      </c>
      <c r="C269" s="923"/>
      <c r="D269" s="923"/>
      <c r="E269" s="500"/>
      <c r="F269" s="160" t="s">
        <v>1268</v>
      </c>
      <c r="G269" s="304">
        <v>121654</v>
      </c>
      <c r="H269" s="304">
        <v>158747</v>
      </c>
      <c r="I269" s="153">
        <f t="shared" ref="I269" si="34">H269-G269</f>
        <v>37093</v>
      </c>
      <c r="J269" s="878">
        <f t="shared" ref="J269" si="35">IFERROR(I269/G269,"-")</f>
        <v>0.30490571621155077</v>
      </c>
      <c r="K269" s="996" t="s">
        <v>1273</v>
      </c>
      <c r="L269" s="224"/>
      <c r="M269" s="107"/>
      <c r="N269"/>
      <c r="O269"/>
      <c r="P269"/>
      <c r="Q269"/>
      <c r="R269"/>
      <c r="S269"/>
      <c r="T269"/>
      <c r="U269"/>
      <c r="V269"/>
      <c r="W269"/>
      <c r="X269"/>
      <c r="Y269"/>
      <c r="Z269"/>
      <c r="AA269"/>
      <c r="AB269"/>
      <c r="AC269"/>
      <c r="AD269"/>
      <c r="AE269"/>
      <c r="AF269"/>
      <c r="AG269"/>
      <c r="AH269"/>
      <c r="AI269"/>
      <c r="AJ269"/>
      <c r="AK269"/>
      <c r="AL269"/>
      <c r="AM269"/>
      <c r="AN269"/>
      <c r="AO269"/>
      <c r="AP269"/>
      <c r="AQ269"/>
      <c r="AR269"/>
      <c r="AS269"/>
      <c r="AT269"/>
      <c r="AU269"/>
      <c r="AV269"/>
      <c r="AW269"/>
      <c r="AX269"/>
      <c r="AY269"/>
      <c r="AZ269"/>
      <c r="BA269"/>
      <c r="BB269"/>
      <c r="BC269"/>
      <c r="BD269"/>
      <c r="BE269"/>
      <c r="BF269"/>
      <c r="BG269"/>
      <c r="BH269"/>
      <c r="BI269"/>
      <c r="BJ269"/>
      <c r="BK269"/>
      <c r="BL269"/>
      <c r="BM269"/>
      <c r="BN269"/>
      <c r="BO269"/>
      <c r="BP269"/>
      <c r="BQ269"/>
      <c r="BR269"/>
      <c r="BS269"/>
      <c r="BT269"/>
      <c r="BU269"/>
      <c r="BV269"/>
      <c r="BW269"/>
      <c r="BX269"/>
      <c r="BY269"/>
      <c r="BZ269"/>
      <c r="CA269"/>
      <c r="CB269"/>
      <c r="CC269"/>
      <c r="CD269"/>
      <c r="CE269"/>
      <c r="CF269"/>
      <c r="CG269"/>
      <c r="CH269"/>
      <c r="CI269"/>
      <c r="CJ269"/>
      <c r="CK269"/>
      <c r="CL269"/>
      <c r="CM269"/>
      <c r="CN269"/>
      <c r="CO269"/>
      <c r="CP269"/>
      <c r="CQ269"/>
      <c r="CR269"/>
      <c r="CS269"/>
      <c r="CT269"/>
      <c r="CU269"/>
      <c r="CV269"/>
      <c r="CW269"/>
      <c r="CX269"/>
      <c r="CY269"/>
      <c r="CZ269"/>
      <c r="DA269"/>
      <c r="DB269"/>
      <c r="DC269"/>
      <c r="DD269"/>
      <c r="DE269"/>
      <c r="DF269"/>
      <c r="DG269"/>
      <c r="DH269"/>
      <c r="DI269"/>
      <c r="DJ269"/>
      <c r="DK269"/>
      <c r="DL269"/>
      <c r="DM269"/>
      <c r="DN269"/>
      <c r="DO269"/>
      <c r="DP269"/>
      <c r="DQ269"/>
      <c r="DR269"/>
      <c r="DS269"/>
      <c r="DT269"/>
      <c r="DU269"/>
      <c r="DV269"/>
      <c r="DW269"/>
      <c r="DX269"/>
      <c r="DY269"/>
      <c r="DZ269"/>
      <c r="EA269"/>
      <c r="EB269"/>
      <c r="EC269"/>
      <c r="ED269"/>
      <c r="EE269"/>
      <c r="EF269"/>
      <c r="EG269"/>
      <c r="EH269"/>
      <c r="EI269"/>
      <c r="EJ269"/>
      <c r="EK269"/>
      <c r="EL269"/>
      <c r="EM269"/>
      <c r="EN269"/>
      <c r="EO269"/>
      <c r="EP269"/>
      <c r="EQ269"/>
      <c r="ER269"/>
      <c r="ES269"/>
      <c r="ET269"/>
      <c r="EU269"/>
      <c r="EV269"/>
      <c r="EW269"/>
      <c r="EX269"/>
      <c r="EY269"/>
      <c r="EZ269"/>
      <c r="FA269"/>
      <c r="FB269"/>
      <c r="FC269"/>
      <c r="FD269"/>
      <c r="FE269"/>
      <c r="FF269"/>
      <c r="FG269"/>
      <c r="FH269"/>
      <c r="FI269"/>
      <c r="FJ269"/>
      <c r="FK269"/>
      <c r="FL269"/>
      <c r="FM269"/>
      <c r="FN269"/>
      <c r="FO269"/>
      <c r="FP269"/>
      <c r="FQ269"/>
      <c r="FR269"/>
      <c r="FS269"/>
      <c r="FT269"/>
      <c r="FU269"/>
      <c r="FV269"/>
      <c r="FW269"/>
      <c r="FX269"/>
      <c r="FY269"/>
      <c r="FZ269"/>
      <c r="GA269"/>
      <c r="GB269"/>
      <c r="GC269"/>
      <c r="GD269"/>
      <c r="GE269"/>
      <c r="GF269"/>
      <c r="GG269"/>
      <c r="GH269"/>
      <c r="GI269"/>
      <c r="GJ269"/>
      <c r="GK269"/>
      <c r="GL269"/>
      <c r="GM269"/>
      <c r="GN269"/>
    </row>
    <row r="270" spans="1:196" s="104" customFormat="1" ht="13.8" hidden="1" outlineLevel="1" x14ac:dyDescent="0.25">
      <c r="A270" s="810" t="s">
        <v>795</v>
      </c>
      <c r="B270" s="810" t="s">
        <v>556</v>
      </c>
      <c r="C270" s="923"/>
      <c r="D270" s="923"/>
      <c r="E270" s="159"/>
      <c r="F270" s="160" t="s">
        <v>197</v>
      </c>
      <c r="G270" s="304">
        <v>900</v>
      </c>
      <c r="H270" s="304">
        <v>1705</v>
      </c>
      <c r="I270" s="153">
        <f t="shared" si="30"/>
        <v>805</v>
      </c>
      <c r="J270" s="878">
        <f t="shared" si="31"/>
        <v>0.89444444444444449</v>
      </c>
      <c r="K270" s="438"/>
      <c r="L270" s="224"/>
      <c r="M270" s="107"/>
      <c r="N270"/>
      <c r="O270"/>
      <c r="P270"/>
      <c r="Q270"/>
      <c r="R270"/>
      <c r="S270"/>
      <c r="T270"/>
      <c r="U270"/>
      <c r="V270"/>
      <c r="W270"/>
      <c r="X270"/>
      <c r="Y270"/>
      <c r="Z270"/>
      <c r="AA270"/>
      <c r="AB270"/>
      <c r="AC270"/>
      <c r="AD270"/>
      <c r="AE270"/>
      <c r="AF270"/>
      <c r="AG270"/>
      <c r="AH270"/>
      <c r="AI270"/>
      <c r="AJ270"/>
      <c r="AK270"/>
      <c r="AL270"/>
      <c r="AM270"/>
      <c r="AN270"/>
      <c r="AO270"/>
      <c r="AP270"/>
      <c r="AQ270"/>
      <c r="AR270"/>
      <c r="AS270"/>
      <c r="AT270"/>
      <c r="AU270"/>
      <c r="AV270"/>
      <c r="AW270"/>
      <c r="AX270"/>
      <c r="AY270"/>
      <c r="AZ270"/>
      <c r="BA270"/>
      <c r="BB270"/>
      <c r="BC270"/>
      <c r="BD270"/>
      <c r="BE270"/>
      <c r="BF270"/>
      <c r="BG270"/>
      <c r="BH270"/>
      <c r="BI270"/>
      <c r="BJ270"/>
      <c r="BK270"/>
      <c r="BL270"/>
      <c r="BM270"/>
      <c r="BN270"/>
      <c r="BO270"/>
      <c r="BP270"/>
      <c r="BQ270"/>
      <c r="BR270"/>
      <c r="BS270"/>
      <c r="BT270"/>
      <c r="BU270"/>
      <c r="BV270"/>
      <c r="BW270"/>
      <c r="BX270"/>
      <c r="BY270"/>
      <c r="BZ270"/>
      <c r="CA270"/>
      <c r="CB270"/>
      <c r="CC270"/>
      <c r="CD270"/>
      <c r="CE270"/>
      <c r="CF270"/>
      <c r="CG270"/>
      <c r="CH270"/>
      <c r="CI270"/>
      <c r="CJ270"/>
      <c r="CK270"/>
      <c r="CL270"/>
      <c r="CM270"/>
      <c r="CN270"/>
      <c r="CO270"/>
      <c r="CP270"/>
      <c r="CQ270"/>
      <c r="CR270"/>
      <c r="CS270"/>
      <c r="CT270"/>
      <c r="CU270"/>
      <c r="CV270"/>
      <c r="CW270"/>
      <c r="CX270"/>
      <c r="CY270"/>
      <c r="CZ270"/>
      <c r="DA270"/>
      <c r="DB270"/>
      <c r="DC270"/>
      <c r="DD270"/>
      <c r="DE270"/>
      <c r="DF270"/>
      <c r="DG270"/>
      <c r="DH270"/>
      <c r="DI270"/>
      <c r="DJ270"/>
      <c r="DK270"/>
      <c r="DL270"/>
      <c r="DM270"/>
      <c r="DN270"/>
      <c r="DO270"/>
      <c r="DP270"/>
      <c r="DQ270"/>
      <c r="DR270"/>
      <c r="DS270"/>
      <c r="DT270"/>
      <c r="DU270"/>
      <c r="DV270"/>
      <c r="DW270"/>
      <c r="DX270"/>
      <c r="DY270"/>
      <c r="DZ270"/>
      <c r="EA270"/>
      <c r="EB270"/>
      <c r="EC270"/>
      <c r="ED270"/>
      <c r="EE270"/>
      <c r="EF270"/>
      <c r="EG270"/>
      <c r="EH270"/>
      <c r="EI270"/>
      <c r="EJ270"/>
      <c r="EK270"/>
      <c r="EL270"/>
      <c r="EM270"/>
      <c r="EN270"/>
      <c r="EO270"/>
      <c r="EP270"/>
      <c r="EQ270"/>
      <c r="ER270"/>
      <c r="ES270"/>
      <c r="ET270"/>
      <c r="EU270"/>
      <c r="EV270"/>
      <c r="EW270"/>
      <c r="EX270"/>
      <c r="EY270"/>
      <c r="EZ270"/>
      <c r="FA270"/>
      <c r="FB270"/>
      <c r="FC270"/>
      <c r="FD270"/>
      <c r="FE270"/>
      <c r="FF270"/>
      <c r="FG270"/>
      <c r="FH270"/>
      <c r="FI270"/>
      <c r="FJ270"/>
      <c r="FK270"/>
      <c r="FL270"/>
      <c r="FM270"/>
      <c r="FN270"/>
      <c r="FO270"/>
      <c r="FP270"/>
      <c r="FQ270"/>
      <c r="FR270"/>
      <c r="FS270"/>
      <c r="FT270"/>
      <c r="FU270"/>
      <c r="FV270"/>
      <c r="FW270"/>
      <c r="FX270"/>
      <c r="FY270"/>
      <c r="FZ270"/>
      <c r="GA270"/>
      <c r="GB270"/>
      <c r="GC270"/>
      <c r="GD270"/>
      <c r="GE270"/>
      <c r="GF270"/>
      <c r="GG270"/>
      <c r="GH270"/>
      <c r="GI270"/>
      <c r="GJ270"/>
      <c r="GK270"/>
      <c r="GL270"/>
      <c r="GM270"/>
      <c r="GN270"/>
    </row>
    <row r="271" spans="1:196" s="525" customFormat="1" ht="13.8" hidden="1" outlineLevel="1" x14ac:dyDescent="0.25">
      <c r="A271" s="1407" t="s">
        <v>796</v>
      </c>
      <c r="B271" s="1407" t="s">
        <v>182</v>
      </c>
      <c r="C271" s="1408">
        <v>56618</v>
      </c>
      <c r="D271" s="1408">
        <f>C271-G271</f>
        <v>-0.12000000000261934</v>
      </c>
      <c r="E271" s="523"/>
      <c r="F271" s="520" t="s">
        <v>167</v>
      </c>
      <c r="G271" s="301">
        <v>56618.12</v>
      </c>
      <c r="H271" s="505">
        <v>71134.014768000008</v>
      </c>
      <c r="I271" s="510">
        <f t="shared" si="30"/>
        <v>14515.894768000006</v>
      </c>
      <c r="J271" s="876">
        <f t="shared" si="31"/>
        <v>0.25638249323714751</v>
      </c>
      <c r="K271" s="1450"/>
      <c r="L271" s="1409"/>
      <c r="M271" s="1116"/>
      <c r="N271" s="515"/>
      <c r="O271" s="515"/>
      <c r="P271" s="515"/>
      <c r="Q271" s="515"/>
      <c r="R271" s="515"/>
      <c r="S271" s="515"/>
      <c r="T271" s="515"/>
      <c r="U271" s="515"/>
      <c r="V271" s="515"/>
      <c r="W271" s="515"/>
      <c r="X271" s="515"/>
      <c r="Y271" s="515"/>
      <c r="Z271" s="515"/>
      <c r="AA271" s="515"/>
      <c r="AB271" s="515"/>
      <c r="AC271" s="515"/>
      <c r="AD271" s="515"/>
      <c r="AE271" s="515"/>
      <c r="AF271" s="515"/>
      <c r="AG271" s="515"/>
      <c r="AH271" s="515"/>
      <c r="AI271" s="515"/>
      <c r="AJ271" s="515"/>
      <c r="AK271" s="515"/>
      <c r="AL271" s="515"/>
      <c r="AM271" s="515"/>
      <c r="AN271" s="515"/>
      <c r="AO271" s="515"/>
      <c r="AP271" s="515"/>
      <c r="AQ271" s="515"/>
      <c r="AR271" s="515"/>
      <c r="AS271" s="515"/>
      <c r="AT271" s="515"/>
      <c r="AU271" s="515"/>
      <c r="AV271" s="515"/>
      <c r="AW271" s="515"/>
      <c r="AX271" s="515"/>
      <c r="AY271" s="515"/>
      <c r="AZ271" s="515"/>
      <c r="BA271" s="515"/>
      <c r="BB271" s="515"/>
      <c r="BC271" s="515"/>
      <c r="BD271" s="515"/>
      <c r="BE271" s="515"/>
      <c r="BF271" s="515"/>
      <c r="BG271" s="515"/>
      <c r="BH271" s="515"/>
      <c r="BI271" s="515"/>
      <c r="BJ271" s="515"/>
      <c r="BK271" s="515"/>
      <c r="BL271" s="515"/>
      <c r="BM271" s="515"/>
      <c r="BN271" s="515"/>
      <c r="BO271" s="515"/>
      <c r="BP271" s="515"/>
      <c r="BQ271" s="515"/>
      <c r="BR271" s="515"/>
      <c r="BS271" s="515"/>
      <c r="BT271" s="515"/>
      <c r="BU271" s="515"/>
      <c r="BV271" s="515"/>
      <c r="BW271" s="515"/>
      <c r="BX271" s="515"/>
      <c r="BY271" s="515"/>
      <c r="BZ271" s="515"/>
      <c r="CA271" s="515"/>
      <c r="CB271" s="515"/>
      <c r="CC271" s="515"/>
      <c r="CD271" s="515"/>
      <c r="CE271" s="515"/>
      <c r="CF271" s="515"/>
      <c r="CG271" s="515"/>
      <c r="CH271" s="515"/>
      <c r="CI271" s="515"/>
      <c r="CJ271" s="515"/>
      <c r="CK271" s="515"/>
      <c r="CL271" s="515"/>
      <c r="CM271" s="515"/>
      <c r="CN271" s="515"/>
      <c r="CO271" s="515"/>
      <c r="CP271" s="515"/>
      <c r="CQ271" s="515"/>
      <c r="CR271" s="515"/>
      <c r="CS271" s="515"/>
      <c r="CT271" s="515"/>
      <c r="CU271" s="515"/>
      <c r="CV271" s="515"/>
      <c r="CW271" s="515"/>
      <c r="CX271" s="515"/>
      <c r="CY271" s="515"/>
      <c r="CZ271" s="515"/>
      <c r="DA271" s="515"/>
      <c r="DB271" s="515"/>
      <c r="DC271" s="515"/>
      <c r="DD271" s="515"/>
      <c r="DE271" s="515"/>
      <c r="DF271" s="515"/>
      <c r="DG271" s="515"/>
      <c r="DH271" s="515"/>
      <c r="DI271" s="515"/>
      <c r="DJ271" s="515"/>
      <c r="DK271" s="515"/>
      <c r="DL271" s="515"/>
      <c r="DM271" s="515"/>
      <c r="DN271" s="515"/>
      <c r="DO271" s="515"/>
      <c r="DP271" s="515"/>
      <c r="DQ271" s="515"/>
      <c r="DR271" s="515"/>
      <c r="DS271" s="515"/>
      <c r="DT271" s="515"/>
      <c r="DU271" s="515"/>
      <c r="DV271" s="515"/>
      <c r="DW271" s="515"/>
      <c r="DX271" s="515"/>
      <c r="DY271" s="515"/>
      <c r="DZ271" s="515"/>
      <c r="EA271" s="515"/>
      <c r="EB271" s="515"/>
      <c r="EC271" s="515"/>
      <c r="ED271" s="515"/>
      <c r="EE271" s="515"/>
      <c r="EF271" s="515"/>
      <c r="EG271" s="515"/>
      <c r="EH271" s="515"/>
      <c r="EI271" s="515"/>
      <c r="EJ271" s="515"/>
      <c r="EK271" s="515"/>
      <c r="EL271" s="515"/>
      <c r="EM271" s="515"/>
      <c r="EN271" s="515"/>
      <c r="EO271" s="515"/>
      <c r="EP271" s="515"/>
      <c r="EQ271" s="515"/>
      <c r="ER271" s="515"/>
      <c r="ES271" s="515"/>
      <c r="ET271" s="515"/>
      <c r="EU271" s="515"/>
      <c r="EV271" s="515"/>
      <c r="EW271" s="515"/>
      <c r="EX271" s="515"/>
      <c r="EY271" s="515"/>
      <c r="EZ271" s="515"/>
      <c r="FA271" s="515"/>
      <c r="FB271" s="515"/>
      <c r="FC271" s="515"/>
      <c r="FD271" s="515"/>
      <c r="FE271" s="515"/>
      <c r="FF271" s="515"/>
      <c r="FG271" s="515"/>
      <c r="FH271" s="515"/>
      <c r="FI271" s="515"/>
      <c r="FJ271" s="515"/>
      <c r="FK271" s="515"/>
      <c r="FL271" s="515"/>
      <c r="FM271" s="515"/>
      <c r="FN271" s="515"/>
      <c r="FO271" s="515"/>
      <c r="FP271" s="515"/>
      <c r="FQ271" s="515"/>
      <c r="FR271" s="515"/>
      <c r="FS271" s="515"/>
      <c r="FT271" s="515"/>
      <c r="FU271" s="515"/>
      <c r="FV271" s="515"/>
      <c r="FW271" s="515"/>
      <c r="FX271" s="515"/>
      <c r="FY271" s="515"/>
      <c r="FZ271" s="515"/>
      <c r="GA271" s="515"/>
      <c r="GB271" s="515"/>
      <c r="GC271" s="515"/>
      <c r="GD271" s="515"/>
      <c r="GE271" s="515"/>
      <c r="GF271" s="515"/>
      <c r="GG271" s="515"/>
      <c r="GH271" s="515"/>
      <c r="GI271" s="515"/>
      <c r="GJ271" s="515"/>
      <c r="GK271" s="515"/>
      <c r="GL271" s="515"/>
      <c r="GM271" s="515"/>
      <c r="GN271" s="515"/>
    </row>
    <row r="272" spans="1:196" s="525" customFormat="1" ht="13.8" hidden="1" outlineLevel="1" x14ac:dyDescent="0.25">
      <c r="A272" s="1407" t="s">
        <v>795</v>
      </c>
      <c r="B272" s="1407" t="s">
        <v>555</v>
      </c>
      <c r="C272" s="1408"/>
      <c r="D272" s="1408"/>
      <c r="E272" s="523"/>
      <c r="F272" s="520" t="s">
        <v>555</v>
      </c>
      <c r="G272" s="301">
        <v>7551</v>
      </c>
      <c r="H272" s="505">
        <v>17894</v>
      </c>
      <c r="I272" s="510">
        <f t="shared" si="30"/>
        <v>10343</v>
      </c>
      <c r="J272" s="876">
        <f t="shared" si="31"/>
        <v>1.3697523506820288</v>
      </c>
      <c r="K272" s="1450"/>
      <c r="L272" s="1409"/>
      <c r="M272" s="1116"/>
      <c r="N272" s="515"/>
      <c r="O272" s="515"/>
      <c r="P272" s="515"/>
      <c r="Q272" s="515"/>
      <c r="R272" s="515"/>
      <c r="S272" s="515"/>
      <c r="T272" s="515"/>
      <c r="U272" s="515"/>
      <c r="V272" s="515"/>
      <c r="W272" s="515"/>
      <c r="X272" s="515"/>
      <c r="Y272" s="515"/>
      <c r="Z272" s="515"/>
      <c r="AA272" s="515"/>
      <c r="AB272" s="515"/>
      <c r="AC272" s="515"/>
      <c r="AD272" s="515"/>
      <c r="AE272" s="515"/>
      <c r="AF272" s="515"/>
      <c r="AG272" s="515"/>
      <c r="AH272" s="515"/>
      <c r="AI272" s="515"/>
      <c r="AJ272" s="515"/>
      <c r="AK272" s="515"/>
      <c r="AL272" s="515"/>
      <c r="AM272" s="515"/>
      <c r="AN272" s="515"/>
      <c r="AO272" s="515"/>
      <c r="AP272" s="515"/>
      <c r="AQ272" s="515"/>
      <c r="AR272" s="515"/>
      <c r="AS272" s="515"/>
      <c r="AT272" s="515"/>
      <c r="AU272" s="515"/>
      <c r="AV272" s="515"/>
      <c r="AW272" s="515"/>
      <c r="AX272" s="515"/>
      <c r="AY272" s="515"/>
      <c r="AZ272" s="515"/>
      <c r="BA272" s="515"/>
      <c r="BB272" s="515"/>
      <c r="BC272" s="515"/>
      <c r="BD272" s="515"/>
      <c r="BE272" s="515"/>
      <c r="BF272" s="515"/>
      <c r="BG272" s="515"/>
      <c r="BH272" s="515"/>
      <c r="BI272" s="515"/>
      <c r="BJ272" s="515"/>
      <c r="BK272" s="515"/>
      <c r="BL272" s="515"/>
      <c r="BM272" s="515"/>
      <c r="BN272" s="515"/>
      <c r="BO272" s="515"/>
      <c r="BP272" s="515"/>
      <c r="BQ272" s="515"/>
      <c r="BR272" s="515"/>
      <c r="BS272" s="515"/>
      <c r="BT272" s="515"/>
      <c r="BU272" s="515"/>
      <c r="BV272" s="515"/>
      <c r="BW272" s="515"/>
      <c r="BX272" s="515"/>
      <c r="BY272" s="515"/>
      <c r="BZ272" s="515"/>
      <c r="CA272" s="515"/>
      <c r="CB272" s="515"/>
      <c r="CC272" s="515"/>
      <c r="CD272" s="515"/>
      <c r="CE272" s="515"/>
      <c r="CF272" s="515"/>
      <c r="CG272" s="515"/>
      <c r="CH272" s="515"/>
      <c r="CI272" s="515"/>
      <c r="CJ272" s="515"/>
      <c r="CK272" s="515"/>
      <c r="CL272" s="515"/>
      <c r="CM272" s="515"/>
      <c r="CN272" s="515"/>
      <c r="CO272" s="515"/>
      <c r="CP272" s="515"/>
      <c r="CQ272" s="515"/>
      <c r="CR272" s="515"/>
      <c r="CS272" s="515"/>
      <c r="CT272" s="515"/>
      <c r="CU272" s="515"/>
      <c r="CV272" s="515"/>
      <c r="CW272" s="515"/>
      <c r="CX272" s="515"/>
      <c r="CY272" s="515"/>
      <c r="CZ272" s="515"/>
      <c r="DA272" s="515"/>
      <c r="DB272" s="515"/>
      <c r="DC272" s="515"/>
      <c r="DD272" s="515"/>
      <c r="DE272" s="515"/>
      <c r="DF272" s="515"/>
      <c r="DG272" s="515"/>
      <c r="DH272" s="515"/>
      <c r="DI272" s="515"/>
      <c r="DJ272" s="515"/>
      <c r="DK272" s="515"/>
      <c r="DL272" s="515"/>
      <c r="DM272" s="515"/>
      <c r="DN272" s="515"/>
      <c r="DO272" s="515"/>
      <c r="DP272" s="515"/>
      <c r="DQ272" s="515"/>
      <c r="DR272" s="515"/>
      <c r="DS272" s="515"/>
      <c r="DT272" s="515"/>
      <c r="DU272" s="515"/>
      <c r="DV272" s="515"/>
      <c r="DW272" s="515"/>
      <c r="DX272" s="515"/>
      <c r="DY272" s="515"/>
      <c r="DZ272" s="515"/>
      <c r="EA272" s="515"/>
      <c r="EB272" s="515"/>
      <c r="EC272" s="515"/>
      <c r="ED272" s="515"/>
      <c r="EE272" s="515"/>
      <c r="EF272" s="515"/>
      <c r="EG272" s="515"/>
      <c r="EH272" s="515"/>
      <c r="EI272" s="515"/>
      <c r="EJ272" s="515"/>
      <c r="EK272" s="515"/>
      <c r="EL272" s="515"/>
      <c r="EM272" s="515"/>
      <c r="EN272" s="515"/>
      <c r="EO272" s="515"/>
      <c r="EP272" s="515"/>
      <c r="EQ272" s="515"/>
      <c r="ER272" s="515"/>
      <c r="ES272" s="515"/>
      <c r="ET272" s="515"/>
      <c r="EU272" s="515"/>
      <c r="EV272" s="515"/>
      <c r="EW272" s="515"/>
      <c r="EX272" s="515"/>
      <c r="EY272" s="515"/>
      <c r="EZ272" s="515"/>
      <c r="FA272" s="515"/>
      <c r="FB272" s="515"/>
      <c r="FC272" s="515"/>
      <c r="FD272" s="515"/>
      <c r="FE272" s="515"/>
      <c r="FF272" s="515"/>
      <c r="FG272" s="515"/>
      <c r="FH272" s="515"/>
      <c r="FI272" s="515"/>
      <c r="FJ272" s="515"/>
      <c r="FK272" s="515"/>
      <c r="FL272" s="515"/>
      <c r="FM272" s="515"/>
      <c r="FN272" s="515"/>
      <c r="FO272" s="515"/>
      <c r="FP272" s="515"/>
      <c r="FQ272" s="515"/>
      <c r="FR272" s="515"/>
      <c r="FS272" s="515"/>
      <c r="FT272" s="515"/>
      <c r="FU272" s="515"/>
      <c r="FV272" s="515"/>
      <c r="FW272" s="515"/>
      <c r="FX272" s="515"/>
      <c r="FY272" s="515"/>
      <c r="FZ272" s="515"/>
      <c r="GA272" s="515"/>
      <c r="GB272" s="515"/>
      <c r="GC272" s="515"/>
      <c r="GD272" s="515"/>
      <c r="GE272" s="515"/>
      <c r="GF272" s="515"/>
      <c r="GG272" s="515"/>
      <c r="GH272" s="515"/>
      <c r="GI272" s="515"/>
      <c r="GJ272" s="515"/>
      <c r="GK272" s="515"/>
      <c r="GL272" s="515"/>
      <c r="GM272" s="515"/>
      <c r="GN272" s="515"/>
    </row>
    <row r="273" spans="1:196" ht="30" customHeight="1" collapsed="1" x14ac:dyDescent="0.25">
      <c r="C273" s="923">
        <v>303133</v>
      </c>
      <c r="D273" s="923">
        <f>C273-G273</f>
        <v>-0.17075000004842877</v>
      </c>
      <c r="E273" s="151" t="s">
        <v>689</v>
      </c>
      <c r="F273" s="145" t="s">
        <v>634</v>
      </c>
      <c r="G273" s="302">
        <v>303133.17075000005</v>
      </c>
      <c r="H273" s="302">
        <v>320340.88834260002</v>
      </c>
      <c r="I273" s="132">
        <f t="shared" si="30"/>
        <v>17207.717592599976</v>
      </c>
      <c r="J273" s="867">
        <f t="shared" si="31"/>
        <v>5.6766198004742682E-2</v>
      </c>
      <c r="K273" s="437"/>
      <c r="L273" s="224"/>
    </row>
    <row r="274" spans="1:196" s="104" customFormat="1" ht="13.8" hidden="1" outlineLevel="1" x14ac:dyDescent="0.25">
      <c r="A274" s="810" t="s">
        <v>767</v>
      </c>
      <c r="B274" s="810" t="s">
        <v>228</v>
      </c>
      <c r="C274" s="923"/>
      <c r="D274" s="923"/>
      <c r="E274" s="159"/>
      <c r="F274" s="215" t="s">
        <v>228</v>
      </c>
      <c r="G274" s="304">
        <v>276633.17075000005</v>
      </c>
      <c r="H274" s="304">
        <v>297240.88834260002</v>
      </c>
      <c r="I274" s="153">
        <f t="shared" si="30"/>
        <v>20607.717592599976</v>
      </c>
      <c r="J274" s="878">
        <f t="shared" si="31"/>
        <v>7.4494745285711456E-2</v>
      </c>
      <c r="K274" s="218"/>
      <c r="L274" s="224"/>
      <c r="M274" s="107"/>
      <c r="N274"/>
      <c r="O274"/>
      <c r="P274"/>
      <c r="Q274"/>
      <c r="R274"/>
      <c r="S274"/>
      <c r="T274"/>
      <c r="U274"/>
      <c r="V274"/>
      <c r="W274"/>
      <c r="X274"/>
      <c r="Y274"/>
      <c r="Z274"/>
      <c r="AA274"/>
      <c r="AB274"/>
      <c r="AC274"/>
      <c r="AD274"/>
      <c r="AE274"/>
      <c r="AF274"/>
      <c r="AG274"/>
      <c r="AH274"/>
      <c r="AI274"/>
      <c r="AJ274"/>
      <c r="AK274"/>
      <c r="AL274"/>
      <c r="AM274"/>
      <c r="AN274"/>
      <c r="AO274"/>
      <c r="AP274"/>
      <c r="AQ274"/>
      <c r="AR274"/>
      <c r="AS274"/>
      <c r="AT274"/>
      <c r="AU274"/>
      <c r="AV274"/>
      <c r="AW274"/>
      <c r="AX274"/>
      <c r="AY274"/>
      <c r="AZ274"/>
      <c r="BA274"/>
      <c r="BB274"/>
      <c r="BC274"/>
      <c r="BD274"/>
      <c r="BE274"/>
      <c r="BF274"/>
      <c r="BG274"/>
      <c r="BH274"/>
      <c r="BI274"/>
      <c r="BJ274"/>
      <c r="BK274"/>
      <c r="BL274"/>
      <c r="BM274"/>
      <c r="BN274"/>
      <c r="BO274"/>
      <c r="BP274"/>
      <c r="BQ274"/>
      <c r="BR274"/>
      <c r="BS274"/>
      <c r="BT274"/>
      <c r="BU274"/>
      <c r="BV274"/>
      <c r="BW274"/>
      <c r="BX274"/>
      <c r="BY274"/>
      <c r="BZ274"/>
      <c r="CA274"/>
      <c r="CB274"/>
      <c r="CC274"/>
      <c r="CD274"/>
      <c r="CE274"/>
      <c r="CF274"/>
      <c r="CG274"/>
      <c r="CH274"/>
      <c r="CI274"/>
      <c r="CJ274"/>
      <c r="CK274"/>
      <c r="CL274"/>
      <c r="CM274"/>
      <c r="CN274"/>
      <c r="CO274"/>
      <c r="CP274"/>
      <c r="CQ274"/>
      <c r="CR274"/>
      <c r="CS274"/>
      <c r="CT274"/>
      <c r="CU274"/>
      <c r="CV274"/>
      <c r="CW274"/>
      <c r="CX274"/>
      <c r="CY274"/>
      <c r="CZ274"/>
      <c r="DA274"/>
      <c r="DB274"/>
      <c r="DC274"/>
      <c r="DD274"/>
      <c r="DE274"/>
      <c r="DF274"/>
      <c r="DG274"/>
      <c r="DH274"/>
      <c r="DI274"/>
      <c r="DJ274"/>
      <c r="DK274"/>
      <c r="DL274"/>
      <c r="DM274"/>
      <c r="DN274"/>
      <c r="DO274"/>
      <c r="DP274"/>
      <c r="DQ274"/>
      <c r="DR274"/>
      <c r="DS274"/>
      <c r="DT274"/>
      <c r="DU274"/>
      <c r="DV274"/>
      <c r="DW274"/>
      <c r="DX274"/>
      <c r="DY274"/>
      <c r="DZ274"/>
      <c r="EA274"/>
      <c r="EB274"/>
      <c r="EC274"/>
      <c r="ED274"/>
      <c r="EE274"/>
      <c r="EF274"/>
      <c r="EG274"/>
      <c r="EH274"/>
      <c r="EI274"/>
      <c r="EJ274"/>
      <c r="EK274"/>
      <c r="EL274"/>
      <c r="EM274"/>
      <c r="EN274"/>
      <c r="EO274"/>
      <c r="EP274"/>
      <c r="EQ274"/>
      <c r="ER274"/>
      <c r="ES274"/>
      <c r="ET274"/>
      <c r="EU274"/>
      <c r="EV274"/>
      <c r="EW274"/>
      <c r="EX274"/>
      <c r="EY274"/>
      <c r="EZ274"/>
      <c r="FA274"/>
      <c r="FB274"/>
      <c r="FC274"/>
      <c r="FD274"/>
      <c r="FE274"/>
      <c r="FF274"/>
      <c r="FG274"/>
      <c r="FH274"/>
      <c r="FI274"/>
      <c r="FJ274"/>
      <c r="FK274"/>
      <c r="FL274"/>
      <c r="FM274"/>
      <c r="FN274"/>
      <c r="FO274"/>
      <c r="FP274"/>
      <c r="FQ274"/>
      <c r="FR274"/>
      <c r="FS274"/>
      <c r="FT274"/>
      <c r="FU274"/>
      <c r="FV274"/>
      <c r="FW274"/>
      <c r="FX274"/>
      <c r="FY274"/>
      <c r="FZ274"/>
      <c r="GA274"/>
      <c r="GB274"/>
      <c r="GC274"/>
      <c r="GD274"/>
      <c r="GE274"/>
      <c r="GF274"/>
      <c r="GG274"/>
      <c r="GH274"/>
      <c r="GI274"/>
      <c r="GJ274"/>
      <c r="GK274"/>
      <c r="GL274"/>
      <c r="GM274"/>
      <c r="GN274"/>
    </row>
    <row r="275" spans="1:196" s="104" customFormat="1" ht="13.8" hidden="1" outlineLevel="1" x14ac:dyDescent="0.25">
      <c r="A275" s="810" t="s">
        <v>767</v>
      </c>
      <c r="B275" s="810" t="s">
        <v>554</v>
      </c>
      <c r="C275" s="923"/>
      <c r="D275" s="923"/>
      <c r="E275" s="214"/>
      <c r="F275" s="160" t="s">
        <v>198</v>
      </c>
      <c r="G275" s="304">
        <v>19748</v>
      </c>
      <c r="H275" s="304">
        <v>22600</v>
      </c>
      <c r="I275" s="153">
        <f t="shared" si="30"/>
        <v>2852</v>
      </c>
      <c r="J275" s="878">
        <f t="shared" si="31"/>
        <v>0.14441968806967795</v>
      </c>
      <c r="K275" s="218"/>
      <c r="L275" s="224"/>
      <c r="M275" s="107"/>
      <c r="N275"/>
      <c r="O275"/>
      <c r="P275"/>
      <c r="Q275"/>
      <c r="R275"/>
      <c r="S275"/>
      <c r="T275"/>
      <c r="U275"/>
      <c r="V275"/>
      <c r="W275"/>
      <c r="X275"/>
      <c r="Y275"/>
      <c r="Z275"/>
      <c r="AA275"/>
      <c r="AB275"/>
      <c r="AC275"/>
      <c r="AD275"/>
      <c r="AE275"/>
      <c r="AF275"/>
      <c r="AG275"/>
      <c r="AH275"/>
      <c r="AI275"/>
      <c r="AJ275"/>
      <c r="AK275"/>
      <c r="AL275"/>
      <c r="AM275"/>
      <c r="AN275"/>
      <c r="AO275"/>
      <c r="AP275"/>
      <c r="AQ275"/>
      <c r="AR275"/>
      <c r="AS275"/>
      <c r="AT275"/>
      <c r="AU275"/>
      <c r="AV275"/>
      <c r="AW275"/>
      <c r="AX275"/>
      <c r="AY275"/>
      <c r="AZ275"/>
      <c r="BA275"/>
      <c r="BB275"/>
      <c r="BC275"/>
      <c r="BD275"/>
      <c r="BE275"/>
      <c r="BF275"/>
      <c r="BG275"/>
      <c r="BH275"/>
      <c r="BI275"/>
      <c r="BJ275"/>
      <c r="BK275"/>
      <c r="BL275"/>
      <c r="BM275"/>
      <c r="BN275"/>
      <c r="BO275"/>
      <c r="BP275"/>
      <c r="BQ275"/>
      <c r="BR275"/>
      <c r="BS275"/>
      <c r="BT275"/>
      <c r="BU275"/>
      <c r="BV275"/>
      <c r="BW275"/>
      <c r="BX275"/>
      <c r="BY275"/>
      <c r="BZ275"/>
      <c r="CA275"/>
      <c r="CB275"/>
      <c r="CC275"/>
      <c r="CD275"/>
      <c r="CE275"/>
      <c r="CF275"/>
      <c r="CG275"/>
      <c r="CH275"/>
      <c r="CI275"/>
      <c r="CJ275"/>
      <c r="CK275"/>
      <c r="CL275"/>
      <c r="CM275"/>
      <c r="CN275"/>
      <c r="CO275"/>
      <c r="CP275"/>
      <c r="CQ275"/>
      <c r="CR275"/>
      <c r="CS275"/>
      <c r="CT275"/>
      <c r="CU275"/>
      <c r="CV275"/>
      <c r="CW275"/>
      <c r="CX275"/>
      <c r="CY275"/>
      <c r="CZ275"/>
      <c r="DA275"/>
      <c r="DB275"/>
      <c r="DC275"/>
      <c r="DD275"/>
      <c r="DE275"/>
      <c r="DF275"/>
      <c r="DG275"/>
      <c r="DH275"/>
      <c r="DI275"/>
      <c r="DJ275"/>
      <c r="DK275"/>
      <c r="DL275"/>
      <c r="DM275"/>
      <c r="DN275"/>
      <c r="DO275"/>
      <c r="DP275"/>
      <c r="DQ275"/>
      <c r="DR275"/>
      <c r="DS275"/>
      <c r="DT275"/>
      <c r="DU275"/>
      <c r="DV275"/>
      <c r="DW275"/>
      <c r="DX275"/>
      <c r="DY275"/>
      <c r="DZ275"/>
      <c r="EA275"/>
      <c r="EB275"/>
      <c r="EC275"/>
      <c r="ED275"/>
      <c r="EE275"/>
      <c r="EF275"/>
      <c r="EG275"/>
      <c r="EH275"/>
      <c r="EI275"/>
      <c r="EJ275"/>
      <c r="EK275"/>
      <c r="EL275"/>
      <c r="EM275"/>
      <c r="EN275"/>
      <c r="EO275"/>
      <c r="EP275"/>
      <c r="EQ275"/>
      <c r="ER275"/>
      <c r="ES275"/>
      <c r="ET275"/>
      <c r="EU275"/>
      <c r="EV275"/>
      <c r="EW275"/>
      <c r="EX275"/>
      <c r="EY275"/>
      <c r="EZ275"/>
      <c r="FA275"/>
      <c r="FB275"/>
      <c r="FC275"/>
      <c r="FD275"/>
      <c r="FE275"/>
      <c r="FF275"/>
      <c r="FG275"/>
      <c r="FH275"/>
      <c r="FI275"/>
      <c r="FJ275"/>
      <c r="FK275"/>
      <c r="FL275"/>
      <c r="FM275"/>
      <c r="FN275"/>
      <c r="FO275"/>
      <c r="FP275"/>
      <c r="FQ275"/>
      <c r="FR275"/>
      <c r="FS275"/>
      <c r="FT275"/>
      <c r="FU275"/>
      <c r="FV275"/>
      <c r="FW275"/>
      <c r="FX275"/>
      <c r="FY275"/>
      <c r="FZ275"/>
      <c r="GA275"/>
      <c r="GB275"/>
      <c r="GC275"/>
      <c r="GD275"/>
      <c r="GE275"/>
      <c r="GF275"/>
      <c r="GG275"/>
      <c r="GH275"/>
      <c r="GI275"/>
      <c r="GJ275"/>
      <c r="GK275"/>
      <c r="GL275"/>
      <c r="GM275"/>
      <c r="GN275"/>
    </row>
    <row r="276" spans="1:196" s="104" customFormat="1" ht="13.8" hidden="1" outlineLevel="1" x14ac:dyDescent="0.25">
      <c r="A276" s="810" t="s">
        <v>767</v>
      </c>
      <c r="B276" s="810" t="s">
        <v>556</v>
      </c>
      <c r="C276" s="923"/>
      <c r="D276" s="923"/>
      <c r="E276" s="159"/>
      <c r="F276" s="160" t="s">
        <v>197</v>
      </c>
      <c r="G276" s="304">
        <v>6752</v>
      </c>
      <c r="H276" s="304">
        <v>500</v>
      </c>
      <c r="I276" s="153">
        <f t="shared" si="30"/>
        <v>-6252</v>
      </c>
      <c r="J276" s="878">
        <f t="shared" si="31"/>
        <v>-0.92594786729857825</v>
      </c>
      <c r="K276" s="218"/>
      <c r="L276" s="224"/>
      <c r="M276" s="107"/>
      <c r="N276"/>
      <c r="O276"/>
      <c r="P276"/>
      <c r="Q276"/>
      <c r="R276"/>
      <c r="S276"/>
      <c r="T276"/>
      <c r="U276"/>
      <c r="V276"/>
      <c r="W276"/>
      <c r="X276"/>
      <c r="Y276"/>
      <c r="Z276"/>
      <c r="AA276"/>
      <c r="AB276"/>
      <c r="AC276"/>
      <c r="AD276"/>
      <c r="AE276"/>
      <c r="AF276"/>
      <c r="AG276"/>
      <c r="AH276"/>
      <c r="AI276"/>
      <c r="AJ276"/>
      <c r="AK276"/>
      <c r="AL276"/>
      <c r="AM276"/>
      <c r="AN276"/>
      <c r="AO276"/>
      <c r="AP276"/>
      <c r="AQ276"/>
      <c r="AR276"/>
      <c r="AS276"/>
      <c r="AT276"/>
      <c r="AU276"/>
      <c r="AV276"/>
      <c r="AW276"/>
      <c r="AX276"/>
      <c r="AY276"/>
      <c r="AZ276"/>
      <c r="BA276"/>
      <c r="BB276"/>
      <c r="BC276"/>
      <c r="BD276"/>
      <c r="BE276"/>
      <c r="BF276"/>
      <c r="BG276"/>
      <c r="BH276"/>
      <c r="BI276"/>
      <c r="BJ276"/>
      <c r="BK276"/>
      <c r="BL276"/>
      <c r="BM276"/>
      <c r="BN276"/>
      <c r="BO276"/>
      <c r="BP276"/>
      <c r="BQ276"/>
      <c r="BR276"/>
      <c r="BS276"/>
      <c r="BT276"/>
      <c r="BU276"/>
      <c r="BV276"/>
      <c r="BW276"/>
      <c r="BX276"/>
      <c r="BY276"/>
      <c r="BZ276"/>
      <c r="CA276"/>
      <c r="CB276"/>
      <c r="CC276"/>
      <c r="CD276"/>
      <c r="CE276"/>
      <c r="CF276"/>
      <c r="CG276"/>
      <c r="CH276"/>
      <c r="CI276"/>
      <c r="CJ276"/>
      <c r="CK276"/>
      <c r="CL276"/>
      <c r="CM276"/>
      <c r="CN276"/>
      <c r="CO276"/>
      <c r="CP276"/>
      <c r="CQ276"/>
      <c r="CR276"/>
      <c r="CS276"/>
      <c r="CT276"/>
      <c r="CU276"/>
      <c r="CV276"/>
      <c r="CW276"/>
      <c r="CX276"/>
      <c r="CY276"/>
      <c r="CZ276"/>
      <c r="DA276"/>
      <c r="DB276"/>
      <c r="DC276"/>
      <c r="DD276"/>
      <c r="DE276"/>
      <c r="DF276"/>
      <c r="DG276"/>
      <c r="DH276"/>
      <c r="DI276"/>
      <c r="DJ276"/>
      <c r="DK276"/>
      <c r="DL276"/>
      <c r="DM276"/>
      <c r="DN276"/>
      <c r="DO276"/>
      <c r="DP276"/>
      <c r="DQ276"/>
      <c r="DR276"/>
      <c r="DS276"/>
      <c r="DT276"/>
      <c r="DU276"/>
      <c r="DV276"/>
      <c r="DW276"/>
      <c r="DX276"/>
      <c r="DY276"/>
      <c r="DZ276"/>
      <c r="EA276"/>
      <c r="EB276"/>
      <c r="EC276"/>
      <c r="ED276"/>
      <c r="EE276"/>
      <c r="EF276"/>
      <c r="EG276"/>
      <c r="EH276"/>
      <c r="EI276"/>
      <c r="EJ276"/>
      <c r="EK276"/>
      <c r="EL276"/>
      <c r="EM276"/>
      <c r="EN276"/>
      <c r="EO276"/>
      <c r="EP276"/>
      <c r="EQ276"/>
      <c r="ER276"/>
      <c r="ES276"/>
      <c r="ET276"/>
      <c r="EU276"/>
      <c r="EV276"/>
      <c r="EW276"/>
      <c r="EX276"/>
      <c r="EY276"/>
      <c r="EZ276"/>
      <c r="FA276"/>
      <c r="FB276"/>
      <c r="FC276"/>
      <c r="FD276"/>
      <c r="FE276"/>
      <c r="FF276"/>
      <c r="FG276"/>
      <c r="FH276"/>
      <c r="FI276"/>
      <c r="FJ276"/>
      <c r="FK276"/>
      <c r="FL276"/>
      <c r="FM276"/>
      <c r="FN276"/>
      <c r="FO276"/>
      <c r="FP276"/>
      <c r="FQ276"/>
      <c r="FR276"/>
      <c r="FS276"/>
      <c r="FT276"/>
      <c r="FU276"/>
      <c r="FV276"/>
      <c r="FW276"/>
      <c r="FX276"/>
      <c r="FY276"/>
      <c r="FZ276"/>
      <c r="GA276"/>
      <c r="GB276"/>
      <c r="GC276"/>
      <c r="GD276"/>
      <c r="GE276"/>
      <c r="GF276"/>
      <c r="GG276"/>
      <c r="GH276"/>
      <c r="GI276"/>
      <c r="GJ276"/>
      <c r="GK276"/>
      <c r="GL276"/>
      <c r="GM276"/>
      <c r="GN276"/>
    </row>
    <row r="277" spans="1:196" s="525" customFormat="1" ht="13.8" hidden="1" outlineLevel="1" x14ac:dyDescent="0.25">
      <c r="A277" s="1407" t="s">
        <v>768</v>
      </c>
      <c r="B277" s="1407" t="s">
        <v>182</v>
      </c>
      <c r="C277" s="1408">
        <v>46998</v>
      </c>
      <c r="D277" s="1408">
        <f>C277-G277</f>
        <v>0</v>
      </c>
      <c r="E277" s="523"/>
      <c r="F277" s="520" t="s">
        <v>167</v>
      </c>
      <c r="G277" s="301">
        <v>46998</v>
      </c>
      <c r="H277" s="505">
        <v>75547.298240000004</v>
      </c>
      <c r="I277" s="510">
        <f>H277-G277</f>
        <v>28549.298240000004</v>
      </c>
      <c r="J277" s="876">
        <f t="shared" si="31"/>
        <v>0.607457726711775</v>
      </c>
      <c r="K277" s="1450"/>
      <c r="L277" s="1409"/>
      <c r="M277" s="1116"/>
      <c r="N277" s="515"/>
      <c r="O277" s="515"/>
      <c r="P277" s="515"/>
      <c r="Q277" s="515"/>
      <c r="R277" s="515"/>
      <c r="S277" s="515"/>
      <c r="T277" s="515"/>
      <c r="U277" s="515"/>
      <c r="V277" s="515"/>
      <c r="W277" s="515"/>
      <c r="X277" s="515"/>
      <c r="Y277" s="515"/>
      <c r="Z277" s="515"/>
      <c r="AA277" s="515"/>
      <c r="AB277" s="515"/>
      <c r="AC277" s="515"/>
      <c r="AD277" s="515"/>
      <c r="AE277" s="515"/>
      <c r="AF277" s="515"/>
      <c r="AG277" s="515"/>
      <c r="AH277" s="515"/>
      <c r="AI277" s="515"/>
      <c r="AJ277" s="515"/>
      <c r="AK277" s="515"/>
      <c r="AL277" s="515"/>
      <c r="AM277" s="515"/>
      <c r="AN277" s="515"/>
      <c r="AO277" s="515"/>
      <c r="AP277" s="515"/>
      <c r="AQ277" s="515"/>
      <c r="AR277" s="515"/>
      <c r="AS277" s="515"/>
      <c r="AT277" s="515"/>
      <c r="AU277" s="515"/>
      <c r="AV277" s="515"/>
      <c r="AW277" s="515"/>
      <c r="AX277" s="515"/>
      <c r="AY277" s="515"/>
      <c r="AZ277" s="515"/>
      <c r="BA277" s="515"/>
      <c r="BB277" s="515"/>
      <c r="BC277" s="515"/>
      <c r="BD277" s="515"/>
      <c r="BE277" s="515"/>
      <c r="BF277" s="515"/>
      <c r="BG277" s="515"/>
      <c r="BH277" s="515"/>
      <c r="BI277" s="515"/>
      <c r="BJ277" s="515"/>
      <c r="BK277" s="515"/>
      <c r="BL277" s="515"/>
      <c r="BM277" s="515"/>
      <c r="BN277" s="515"/>
      <c r="BO277" s="515"/>
      <c r="BP277" s="515"/>
      <c r="BQ277" s="515"/>
      <c r="BR277" s="515"/>
      <c r="BS277" s="515"/>
      <c r="BT277" s="515"/>
      <c r="BU277" s="515"/>
      <c r="BV277" s="515"/>
      <c r="BW277" s="515"/>
      <c r="BX277" s="515"/>
      <c r="BY277" s="515"/>
      <c r="BZ277" s="515"/>
      <c r="CA277" s="515"/>
      <c r="CB277" s="515"/>
      <c r="CC277" s="515"/>
      <c r="CD277" s="515"/>
      <c r="CE277" s="515"/>
      <c r="CF277" s="515"/>
      <c r="CG277" s="515"/>
      <c r="CH277" s="515"/>
      <c r="CI277" s="515"/>
      <c r="CJ277" s="515"/>
      <c r="CK277" s="515"/>
      <c r="CL277" s="515"/>
      <c r="CM277" s="515"/>
      <c r="CN277" s="515"/>
      <c r="CO277" s="515"/>
      <c r="CP277" s="515"/>
      <c r="CQ277" s="515"/>
      <c r="CR277" s="515"/>
      <c r="CS277" s="515"/>
      <c r="CT277" s="515"/>
      <c r="CU277" s="515"/>
      <c r="CV277" s="515"/>
      <c r="CW277" s="515"/>
      <c r="CX277" s="515"/>
      <c r="CY277" s="515"/>
      <c r="CZ277" s="515"/>
      <c r="DA277" s="515"/>
      <c r="DB277" s="515"/>
      <c r="DC277" s="515"/>
      <c r="DD277" s="515"/>
      <c r="DE277" s="515"/>
      <c r="DF277" s="515"/>
      <c r="DG277" s="515"/>
      <c r="DH277" s="515"/>
      <c r="DI277" s="515"/>
      <c r="DJ277" s="515"/>
      <c r="DK277" s="515"/>
      <c r="DL277" s="515"/>
      <c r="DM277" s="515"/>
      <c r="DN277" s="515"/>
      <c r="DO277" s="515"/>
      <c r="DP277" s="515"/>
      <c r="DQ277" s="515"/>
      <c r="DR277" s="515"/>
      <c r="DS277" s="515"/>
      <c r="DT277" s="515"/>
      <c r="DU277" s="515"/>
      <c r="DV277" s="515"/>
      <c r="DW277" s="515"/>
      <c r="DX277" s="515"/>
      <c r="DY277" s="515"/>
      <c r="DZ277" s="515"/>
      <c r="EA277" s="515"/>
      <c r="EB277" s="515"/>
      <c r="EC277" s="515"/>
      <c r="ED277" s="515"/>
      <c r="EE277" s="515"/>
      <c r="EF277" s="515"/>
      <c r="EG277" s="515"/>
      <c r="EH277" s="515"/>
      <c r="EI277" s="515"/>
      <c r="EJ277" s="515"/>
      <c r="EK277" s="515"/>
      <c r="EL277" s="515"/>
      <c r="EM277" s="515"/>
      <c r="EN277" s="515"/>
      <c r="EO277" s="515"/>
      <c r="EP277" s="515"/>
      <c r="EQ277" s="515"/>
      <c r="ER277" s="515"/>
      <c r="ES277" s="515"/>
      <c r="ET277" s="515"/>
      <c r="EU277" s="515"/>
      <c r="EV277" s="515"/>
      <c r="EW277" s="515"/>
      <c r="EX277" s="515"/>
      <c r="EY277" s="515"/>
      <c r="EZ277" s="515"/>
      <c r="FA277" s="515"/>
      <c r="FB277" s="515"/>
      <c r="FC277" s="515"/>
      <c r="FD277" s="515"/>
      <c r="FE277" s="515"/>
      <c r="FF277" s="515"/>
      <c r="FG277" s="515"/>
      <c r="FH277" s="515"/>
      <c r="FI277" s="515"/>
      <c r="FJ277" s="515"/>
      <c r="FK277" s="515"/>
      <c r="FL277" s="515"/>
      <c r="FM277" s="515"/>
      <c r="FN277" s="515"/>
      <c r="FO277" s="515"/>
      <c r="FP277" s="515"/>
      <c r="FQ277" s="515"/>
      <c r="FR277" s="515"/>
      <c r="FS277" s="515"/>
      <c r="FT277" s="515"/>
      <c r="FU277" s="515"/>
      <c r="FV277" s="515"/>
      <c r="FW277" s="515"/>
      <c r="FX277" s="515"/>
      <c r="FY277" s="515"/>
      <c r="FZ277" s="515"/>
      <c r="GA277" s="515"/>
      <c r="GB277" s="515"/>
      <c r="GC277" s="515"/>
      <c r="GD277" s="515"/>
      <c r="GE277" s="515"/>
      <c r="GF277" s="515"/>
      <c r="GG277" s="515"/>
      <c r="GH277" s="515"/>
      <c r="GI277" s="515"/>
      <c r="GJ277" s="515"/>
      <c r="GK277" s="515"/>
      <c r="GL277" s="515"/>
      <c r="GM277" s="515"/>
      <c r="GN277" s="515"/>
    </row>
    <row r="278" spans="1:196" s="525" customFormat="1" ht="13.8" hidden="1" outlineLevel="1" x14ac:dyDescent="0.25">
      <c r="A278" s="1407" t="s">
        <v>767</v>
      </c>
      <c r="B278" s="1407" t="s">
        <v>555</v>
      </c>
      <c r="C278" s="1408"/>
      <c r="D278" s="1408"/>
      <c r="E278" s="523"/>
      <c r="F278" s="520" t="s">
        <v>555</v>
      </c>
      <c r="G278" s="301">
        <v>0</v>
      </c>
      <c r="H278" s="505">
        <v>0</v>
      </c>
      <c r="I278" s="510">
        <f>H278-G278</f>
        <v>0</v>
      </c>
      <c r="J278" s="876" t="str">
        <f t="shared" si="31"/>
        <v>-</v>
      </c>
      <c r="K278" s="1450"/>
      <c r="L278" s="1409"/>
      <c r="M278" s="1116"/>
      <c r="N278" s="515"/>
      <c r="O278" s="515"/>
      <c r="P278" s="515"/>
      <c r="Q278" s="515"/>
      <c r="R278" s="515"/>
      <c r="S278" s="515"/>
      <c r="T278" s="515"/>
      <c r="U278" s="515"/>
      <c r="V278" s="515"/>
      <c r="W278" s="515"/>
      <c r="X278" s="515"/>
      <c r="Y278" s="515"/>
      <c r="Z278" s="515"/>
      <c r="AA278" s="515"/>
      <c r="AB278" s="515"/>
      <c r="AC278" s="515"/>
      <c r="AD278" s="515"/>
      <c r="AE278" s="515"/>
      <c r="AF278" s="515"/>
      <c r="AG278" s="515"/>
      <c r="AH278" s="515"/>
      <c r="AI278" s="515"/>
      <c r="AJ278" s="515"/>
      <c r="AK278" s="515"/>
      <c r="AL278" s="515"/>
      <c r="AM278" s="515"/>
      <c r="AN278" s="515"/>
      <c r="AO278" s="515"/>
      <c r="AP278" s="515"/>
      <c r="AQ278" s="515"/>
      <c r="AR278" s="515"/>
      <c r="AS278" s="515"/>
      <c r="AT278" s="515"/>
      <c r="AU278" s="515"/>
      <c r="AV278" s="515"/>
      <c r="AW278" s="515"/>
      <c r="AX278" s="515"/>
      <c r="AY278" s="515"/>
      <c r="AZ278" s="515"/>
      <c r="BA278" s="515"/>
      <c r="BB278" s="515"/>
      <c r="BC278" s="515"/>
      <c r="BD278" s="515"/>
      <c r="BE278" s="515"/>
      <c r="BF278" s="515"/>
      <c r="BG278" s="515"/>
      <c r="BH278" s="515"/>
      <c r="BI278" s="515"/>
      <c r="BJ278" s="515"/>
      <c r="BK278" s="515"/>
      <c r="BL278" s="515"/>
      <c r="BM278" s="515"/>
      <c r="BN278" s="515"/>
      <c r="BO278" s="515"/>
      <c r="BP278" s="515"/>
      <c r="BQ278" s="515"/>
      <c r="BR278" s="515"/>
      <c r="BS278" s="515"/>
      <c r="BT278" s="515"/>
      <c r="BU278" s="515"/>
      <c r="BV278" s="515"/>
      <c r="BW278" s="515"/>
      <c r="BX278" s="515"/>
      <c r="BY278" s="515"/>
      <c r="BZ278" s="515"/>
      <c r="CA278" s="515"/>
      <c r="CB278" s="515"/>
      <c r="CC278" s="515"/>
      <c r="CD278" s="515"/>
      <c r="CE278" s="515"/>
      <c r="CF278" s="515"/>
      <c r="CG278" s="515"/>
      <c r="CH278" s="515"/>
      <c r="CI278" s="515"/>
      <c r="CJ278" s="515"/>
      <c r="CK278" s="515"/>
      <c r="CL278" s="515"/>
      <c r="CM278" s="515"/>
      <c r="CN278" s="515"/>
      <c r="CO278" s="515"/>
      <c r="CP278" s="515"/>
      <c r="CQ278" s="515"/>
      <c r="CR278" s="515"/>
      <c r="CS278" s="515"/>
      <c r="CT278" s="515"/>
      <c r="CU278" s="515"/>
      <c r="CV278" s="515"/>
      <c r="CW278" s="515"/>
      <c r="CX278" s="515"/>
      <c r="CY278" s="515"/>
      <c r="CZ278" s="515"/>
      <c r="DA278" s="515"/>
      <c r="DB278" s="515"/>
      <c r="DC278" s="515"/>
      <c r="DD278" s="515"/>
      <c r="DE278" s="515"/>
      <c r="DF278" s="515"/>
      <c r="DG278" s="515"/>
      <c r="DH278" s="515"/>
      <c r="DI278" s="515"/>
      <c r="DJ278" s="515"/>
      <c r="DK278" s="515"/>
      <c r="DL278" s="515"/>
      <c r="DM278" s="515"/>
      <c r="DN278" s="515"/>
      <c r="DO278" s="515"/>
      <c r="DP278" s="515"/>
      <c r="DQ278" s="515"/>
      <c r="DR278" s="515"/>
      <c r="DS278" s="515"/>
      <c r="DT278" s="515"/>
      <c r="DU278" s="515"/>
      <c r="DV278" s="515"/>
      <c r="DW278" s="515"/>
      <c r="DX278" s="515"/>
      <c r="DY278" s="515"/>
      <c r="DZ278" s="515"/>
      <c r="EA278" s="515"/>
      <c r="EB278" s="515"/>
      <c r="EC278" s="515"/>
      <c r="ED278" s="515"/>
      <c r="EE278" s="515"/>
      <c r="EF278" s="515"/>
      <c r="EG278" s="515"/>
      <c r="EH278" s="515"/>
      <c r="EI278" s="515"/>
      <c r="EJ278" s="515"/>
      <c r="EK278" s="515"/>
      <c r="EL278" s="515"/>
      <c r="EM278" s="515"/>
      <c r="EN278" s="515"/>
      <c r="EO278" s="515"/>
      <c r="EP278" s="515"/>
      <c r="EQ278" s="515"/>
      <c r="ER278" s="515"/>
      <c r="ES278" s="515"/>
      <c r="ET278" s="515"/>
      <c r="EU278" s="515"/>
      <c r="EV278" s="515"/>
      <c r="EW278" s="515"/>
      <c r="EX278" s="515"/>
      <c r="EY278" s="515"/>
      <c r="EZ278" s="515"/>
      <c r="FA278" s="515"/>
      <c r="FB278" s="515"/>
      <c r="FC278" s="515"/>
      <c r="FD278" s="515"/>
      <c r="FE278" s="515"/>
      <c r="FF278" s="515"/>
      <c r="FG278" s="515"/>
      <c r="FH278" s="515"/>
      <c r="FI278" s="515"/>
      <c r="FJ278" s="515"/>
      <c r="FK278" s="515"/>
      <c r="FL278" s="515"/>
      <c r="FM278" s="515"/>
      <c r="FN278" s="515"/>
      <c r="FO278" s="515"/>
      <c r="FP278" s="515"/>
      <c r="FQ278" s="515"/>
      <c r="FR278" s="515"/>
      <c r="FS278" s="515"/>
      <c r="FT278" s="515"/>
      <c r="FU278" s="515"/>
      <c r="FV278" s="515"/>
      <c r="FW278" s="515"/>
      <c r="FX278" s="515"/>
      <c r="FY278" s="515"/>
      <c r="FZ278" s="515"/>
      <c r="GA278" s="515"/>
      <c r="GB278" s="515"/>
      <c r="GC278" s="515"/>
      <c r="GD278" s="515"/>
      <c r="GE278" s="515"/>
      <c r="GF278" s="515"/>
      <c r="GG278" s="515"/>
      <c r="GH278" s="515"/>
      <c r="GI278" s="515"/>
      <c r="GJ278" s="515"/>
      <c r="GK278" s="515"/>
      <c r="GL278" s="515"/>
      <c r="GM278" s="515"/>
      <c r="GN278" s="515"/>
    </row>
    <row r="279" spans="1:196" ht="13.8" collapsed="1" x14ac:dyDescent="0.25">
      <c r="E279" s="151" t="s">
        <v>690</v>
      </c>
      <c r="F279" s="145" t="s">
        <v>100</v>
      </c>
      <c r="G279" s="302">
        <v>2131972</v>
      </c>
      <c r="H279" s="302">
        <v>2056111</v>
      </c>
      <c r="I279" s="132">
        <f>H279-G279</f>
        <v>-75861</v>
      </c>
      <c r="J279" s="867">
        <f t="shared" si="31"/>
        <v>-3.5582549864632371E-2</v>
      </c>
      <c r="K279" s="220"/>
      <c r="L279" s="224"/>
    </row>
    <row r="280" spans="1:196" ht="13.8" hidden="1" outlineLevel="1" x14ac:dyDescent="0.25">
      <c r="A280" s="810" t="s">
        <v>784</v>
      </c>
      <c r="B280" s="810" t="s">
        <v>554</v>
      </c>
      <c r="C280" s="923">
        <f>541899-G281</f>
        <v>515572</v>
      </c>
      <c r="D280" s="923">
        <f>C280-G280</f>
        <v>0</v>
      </c>
      <c r="E280" s="149" t="s">
        <v>30</v>
      </c>
      <c r="F280" s="150" t="s">
        <v>101</v>
      </c>
      <c r="G280" s="304">
        <v>515572</v>
      </c>
      <c r="H280" s="304">
        <v>543319</v>
      </c>
      <c r="I280" s="122">
        <f>H280-G280</f>
        <v>27747</v>
      </c>
      <c r="J280" s="865">
        <f t="shared" si="31"/>
        <v>5.3817895463679176E-2</v>
      </c>
      <c r="K280" s="463"/>
      <c r="L280" s="224"/>
    </row>
    <row r="281" spans="1:196" s="525" customFormat="1" ht="13.8" hidden="1" outlineLevel="1" x14ac:dyDescent="0.25">
      <c r="A281" s="1407" t="s">
        <v>784</v>
      </c>
      <c r="B281" s="1407" t="s">
        <v>182</v>
      </c>
      <c r="C281" s="1408"/>
      <c r="D281" s="1408"/>
      <c r="E281" s="523"/>
      <c r="F281" s="520" t="s">
        <v>167</v>
      </c>
      <c r="G281" s="301">
        <v>26327</v>
      </c>
      <c r="H281" s="505">
        <v>81887.5</v>
      </c>
      <c r="I281" s="513">
        <f>H281-G281</f>
        <v>55560.5</v>
      </c>
      <c r="J281" s="892">
        <f t="shared" si="31"/>
        <v>2.1103999696129447</v>
      </c>
      <c r="K281" s="1450"/>
      <c r="L281" s="1409"/>
      <c r="M281" s="1116"/>
      <c r="N281" s="515"/>
      <c r="O281" s="515"/>
      <c r="P281" s="515"/>
      <c r="Q281" s="515"/>
      <c r="R281" s="515"/>
      <c r="S281" s="515"/>
      <c r="T281" s="515"/>
      <c r="U281" s="515"/>
      <c r="V281" s="515"/>
      <c r="W281" s="515"/>
      <c r="X281" s="515"/>
      <c r="Y281" s="515"/>
      <c r="Z281" s="515"/>
      <c r="AA281" s="515"/>
      <c r="AB281" s="515"/>
      <c r="AC281" s="515"/>
      <c r="AD281" s="515"/>
      <c r="AE281" s="515"/>
      <c r="AF281" s="515"/>
      <c r="AG281" s="515"/>
      <c r="AH281" s="515"/>
      <c r="AI281" s="515"/>
      <c r="AJ281" s="515"/>
      <c r="AK281" s="515"/>
      <c r="AL281" s="515"/>
      <c r="AM281" s="515"/>
      <c r="AN281" s="515"/>
      <c r="AO281" s="515"/>
      <c r="AP281" s="515"/>
      <c r="AQ281" s="515"/>
      <c r="AR281" s="515"/>
      <c r="AS281" s="515"/>
      <c r="AT281" s="515"/>
      <c r="AU281" s="515"/>
      <c r="AV281" s="515"/>
      <c r="AW281" s="515"/>
      <c r="AX281" s="515"/>
      <c r="AY281" s="515"/>
      <c r="AZ281" s="515"/>
      <c r="BA281" s="515"/>
      <c r="BB281" s="515"/>
      <c r="BC281" s="515"/>
      <c r="BD281" s="515"/>
      <c r="BE281" s="515"/>
      <c r="BF281" s="515"/>
      <c r="BG281" s="515"/>
      <c r="BH281" s="515"/>
      <c r="BI281" s="515"/>
      <c r="BJ281" s="515"/>
      <c r="BK281" s="515"/>
      <c r="BL281" s="515"/>
      <c r="BM281" s="515"/>
      <c r="BN281" s="515"/>
      <c r="BO281" s="515"/>
      <c r="BP281" s="515"/>
      <c r="BQ281" s="515"/>
      <c r="BR281" s="515"/>
      <c r="BS281" s="515"/>
      <c r="BT281" s="515"/>
      <c r="BU281" s="515"/>
      <c r="BV281" s="515"/>
      <c r="BW281" s="515"/>
      <c r="BX281" s="515"/>
      <c r="BY281" s="515"/>
      <c r="BZ281" s="515"/>
      <c r="CA281" s="515"/>
      <c r="CB281" s="515"/>
      <c r="CC281" s="515"/>
      <c r="CD281" s="515"/>
      <c r="CE281" s="515"/>
      <c r="CF281" s="515"/>
      <c r="CG281" s="515"/>
      <c r="CH281" s="515"/>
      <c r="CI281" s="515"/>
      <c r="CJ281" s="515"/>
      <c r="CK281" s="515"/>
      <c r="CL281" s="515"/>
      <c r="CM281" s="515"/>
      <c r="CN281" s="515"/>
      <c r="CO281" s="515"/>
      <c r="CP281" s="515"/>
      <c r="CQ281" s="515"/>
      <c r="CR281" s="515"/>
      <c r="CS281" s="515"/>
      <c r="CT281" s="515"/>
      <c r="CU281" s="515"/>
      <c r="CV281" s="515"/>
      <c r="CW281" s="515"/>
      <c r="CX281" s="515"/>
      <c r="CY281" s="515"/>
      <c r="CZ281" s="515"/>
      <c r="DA281" s="515"/>
      <c r="DB281" s="515"/>
      <c r="DC281" s="515"/>
      <c r="DD281" s="515"/>
      <c r="DE281" s="515"/>
      <c r="DF281" s="515"/>
      <c r="DG281" s="515"/>
      <c r="DH281" s="515"/>
      <c r="DI281" s="515"/>
      <c r="DJ281" s="515"/>
      <c r="DK281" s="515"/>
      <c r="DL281" s="515"/>
      <c r="DM281" s="515"/>
      <c r="DN281" s="515"/>
      <c r="DO281" s="515"/>
      <c r="DP281" s="515"/>
      <c r="DQ281" s="515"/>
      <c r="DR281" s="515"/>
      <c r="DS281" s="515"/>
      <c r="DT281" s="515"/>
      <c r="DU281" s="515"/>
      <c r="DV281" s="515"/>
      <c r="DW281" s="515"/>
      <c r="DX281" s="515"/>
      <c r="DY281" s="515"/>
      <c r="DZ281" s="515"/>
      <c r="EA281" s="515"/>
      <c r="EB281" s="515"/>
      <c r="EC281" s="515"/>
      <c r="ED281" s="515"/>
      <c r="EE281" s="515"/>
      <c r="EF281" s="515"/>
      <c r="EG281" s="515"/>
      <c r="EH281" s="515"/>
      <c r="EI281" s="515"/>
      <c r="EJ281" s="515"/>
      <c r="EK281" s="515"/>
      <c r="EL281" s="515"/>
      <c r="EM281" s="515"/>
      <c r="EN281" s="515"/>
      <c r="EO281" s="515"/>
      <c r="EP281" s="515"/>
      <c r="EQ281" s="515"/>
      <c r="ER281" s="515"/>
      <c r="ES281" s="515"/>
      <c r="ET281" s="515"/>
      <c r="EU281" s="515"/>
      <c r="EV281" s="515"/>
      <c r="EW281" s="515"/>
      <c r="EX281" s="515"/>
      <c r="EY281" s="515"/>
      <c r="EZ281" s="515"/>
      <c r="FA281" s="515"/>
      <c r="FB281" s="515"/>
      <c r="FC281" s="515"/>
      <c r="FD281" s="515"/>
      <c r="FE281" s="515"/>
      <c r="FF281" s="515"/>
      <c r="FG281" s="515"/>
      <c r="FH281" s="515"/>
      <c r="FI281" s="515"/>
      <c r="FJ281" s="515"/>
      <c r="FK281" s="515"/>
      <c r="FL281" s="515"/>
      <c r="FM281" s="515"/>
      <c r="FN281" s="515"/>
      <c r="FO281" s="515"/>
      <c r="FP281" s="515"/>
      <c r="FQ281" s="515"/>
      <c r="FR281" s="515"/>
      <c r="FS281" s="515"/>
      <c r="FT281" s="515"/>
      <c r="FU281" s="515"/>
      <c r="FV281" s="515"/>
      <c r="FW281" s="515"/>
      <c r="FX281" s="515"/>
      <c r="FY281" s="515"/>
      <c r="FZ281" s="515"/>
      <c r="GA281" s="515"/>
      <c r="GB281" s="515"/>
      <c r="GC281" s="515"/>
      <c r="GD281" s="515"/>
      <c r="GE281" s="515"/>
      <c r="GF281" s="515"/>
      <c r="GG281" s="515"/>
      <c r="GH281" s="515"/>
      <c r="GI281" s="515"/>
      <c r="GJ281" s="515"/>
      <c r="GK281" s="515"/>
      <c r="GL281" s="515"/>
      <c r="GM281" s="515"/>
      <c r="GN281" s="515"/>
    </row>
    <row r="282" spans="1:196" s="525" customFormat="1" ht="13.8" hidden="1" outlineLevel="1" x14ac:dyDescent="0.25">
      <c r="A282" s="1407" t="s">
        <v>784</v>
      </c>
      <c r="B282" s="1407" t="s">
        <v>555</v>
      </c>
      <c r="C282" s="1408"/>
      <c r="D282" s="1408"/>
      <c r="E282" s="1451"/>
      <c r="F282" s="520" t="s">
        <v>555</v>
      </c>
      <c r="G282" s="301">
        <v>0</v>
      </c>
      <c r="H282" s="505">
        <v>0</v>
      </c>
      <c r="I282" s="514"/>
      <c r="J282" s="1452" t="str">
        <f t="shared" si="31"/>
        <v>-</v>
      </c>
      <c r="K282" s="1453"/>
      <c r="L282" s="1409"/>
      <c r="M282" s="1116"/>
      <c r="N282" s="515"/>
      <c r="O282" s="515"/>
      <c r="P282" s="515"/>
      <c r="Q282" s="515"/>
      <c r="R282" s="515"/>
      <c r="S282" s="515"/>
      <c r="T282" s="515"/>
      <c r="U282" s="515"/>
      <c r="V282" s="515"/>
      <c r="W282" s="515"/>
      <c r="X282" s="515"/>
      <c r="Y282" s="515"/>
      <c r="Z282" s="515"/>
      <c r="AA282" s="515"/>
      <c r="AB282" s="515"/>
      <c r="AC282" s="515"/>
      <c r="AD282" s="515"/>
      <c r="AE282" s="515"/>
      <c r="AF282" s="515"/>
      <c r="AG282" s="515"/>
      <c r="AH282" s="515"/>
      <c r="AI282" s="515"/>
      <c r="AJ282" s="515"/>
      <c r="AK282" s="515"/>
      <c r="AL282" s="515"/>
      <c r="AM282" s="515"/>
      <c r="AN282" s="515"/>
      <c r="AO282" s="515"/>
      <c r="AP282" s="515"/>
      <c r="AQ282" s="515"/>
      <c r="AR282" s="515"/>
      <c r="AS282" s="515"/>
      <c r="AT282" s="515"/>
      <c r="AU282" s="515"/>
      <c r="AV282" s="515"/>
      <c r="AW282" s="515"/>
      <c r="AX282" s="515"/>
      <c r="AY282" s="515"/>
      <c r="AZ282" s="515"/>
      <c r="BA282" s="515"/>
      <c r="BB282" s="515"/>
      <c r="BC282" s="515"/>
      <c r="BD282" s="515"/>
      <c r="BE282" s="515"/>
      <c r="BF282" s="515"/>
      <c r="BG282" s="515"/>
      <c r="BH282" s="515"/>
      <c r="BI282" s="515"/>
      <c r="BJ282" s="515"/>
      <c r="BK282" s="515"/>
      <c r="BL282" s="515"/>
      <c r="BM282" s="515"/>
      <c r="BN282" s="515"/>
      <c r="BO282" s="515"/>
      <c r="BP282" s="515"/>
      <c r="BQ282" s="515"/>
      <c r="BR282" s="515"/>
      <c r="BS282" s="515"/>
      <c r="BT282" s="515"/>
      <c r="BU282" s="515"/>
      <c r="BV282" s="515"/>
      <c r="BW282" s="515"/>
      <c r="BX282" s="515"/>
      <c r="BY282" s="515"/>
      <c r="BZ282" s="515"/>
      <c r="CA282" s="515"/>
      <c r="CB282" s="515"/>
      <c r="CC282" s="515"/>
      <c r="CD282" s="515"/>
      <c r="CE282" s="515"/>
      <c r="CF282" s="515"/>
      <c r="CG282" s="515"/>
      <c r="CH282" s="515"/>
      <c r="CI282" s="515"/>
      <c r="CJ282" s="515"/>
      <c r="CK282" s="515"/>
      <c r="CL282" s="515"/>
      <c r="CM282" s="515"/>
      <c r="CN282" s="515"/>
      <c r="CO282" s="515"/>
      <c r="CP282" s="515"/>
      <c r="CQ282" s="515"/>
      <c r="CR282" s="515"/>
      <c r="CS282" s="515"/>
      <c r="CT282" s="515"/>
      <c r="CU282" s="515"/>
      <c r="CV282" s="515"/>
      <c r="CW282" s="515"/>
      <c r="CX282" s="515"/>
      <c r="CY282" s="515"/>
      <c r="CZ282" s="515"/>
      <c r="DA282" s="515"/>
      <c r="DB282" s="515"/>
      <c r="DC282" s="515"/>
      <c r="DD282" s="515"/>
      <c r="DE282" s="515"/>
      <c r="DF282" s="515"/>
      <c r="DG282" s="515"/>
      <c r="DH282" s="515"/>
      <c r="DI282" s="515"/>
      <c r="DJ282" s="515"/>
      <c r="DK282" s="515"/>
      <c r="DL282" s="515"/>
      <c r="DM282" s="515"/>
      <c r="DN282" s="515"/>
      <c r="DO282" s="515"/>
      <c r="DP282" s="515"/>
      <c r="DQ282" s="515"/>
      <c r="DR282" s="515"/>
      <c r="DS282" s="515"/>
      <c r="DT282" s="515"/>
      <c r="DU282" s="515"/>
      <c r="DV282" s="515"/>
      <c r="DW282" s="515"/>
      <c r="DX282" s="515"/>
      <c r="DY282" s="515"/>
      <c r="DZ282" s="515"/>
      <c r="EA282" s="515"/>
      <c r="EB282" s="515"/>
      <c r="EC282" s="515"/>
      <c r="ED282" s="515"/>
      <c r="EE282" s="515"/>
      <c r="EF282" s="515"/>
      <c r="EG282" s="515"/>
      <c r="EH282" s="515"/>
      <c r="EI282" s="515"/>
      <c r="EJ282" s="515"/>
      <c r="EK282" s="515"/>
      <c r="EL282" s="515"/>
      <c r="EM282" s="515"/>
      <c r="EN282" s="515"/>
      <c r="EO282" s="515"/>
      <c r="EP282" s="515"/>
      <c r="EQ282" s="515"/>
      <c r="ER282" s="515"/>
      <c r="ES282" s="515"/>
      <c r="ET282" s="515"/>
      <c r="EU282" s="515"/>
      <c r="EV282" s="515"/>
      <c r="EW282" s="515"/>
      <c r="EX282" s="515"/>
      <c r="EY282" s="515"/>
      <c r="EZ282" s="515"/>
      <c r="FA282" s="515"/>
      <c r="FB282" s="515"/>
      <c r="FC282" s="515"/>
      <c r="FD282" s="515"/>
      <c r="FE282" s="515"/>
      <c r="FF282" s="515"/>
      <c r="FG282" s="515"/>
      <c r="FH282" s="515"/>
      <c r="FI282" s="515"/>
      <c r="FJ282" s="515"/>
      <c r="FK282" s="515"/>
      <c r="FL282" s="515"/>
      <c r="FM282" s="515"/>
      <c r="FN282" s="515"/>
      <c r="FO282" s="515"/>
      <c r="FP282" s="515"/>
      <c r="FQ282" s="515"/>
      <c r="FR282" s="515"/>
      <c r="FS282" s="515"/>
      <c r="FT282" s="515"/>
      <c r="FU282" s="515"/>
      <c r="FV282" s="515"/>
      <c r="FW282" s="515"/>
      <c r="FX282" s="515"/>
      <c r="FY282" s="515"/>
      <c r="FZ282" s="515"/>
      <c r="GA282" s="515"/>
      <c r="GB282" s="515"/>
      <c r="GC282" s="515"/>
      <c r="GD282" s="515"/>
      <c r="GE282" s="515"/>
      <c r="GF282" s="515"/>
      <c r="GG282" s="515"/>
      <c r="GH282" s="515"/>
      <c r="GI282" s="515"/>
      <c r="GJ282" s="515"/>
      <c r="GK282" s="515"/>
      <c r="GL282" s="515"/>
      <c r="GM282" s="515"/>
      <c r="GN282" s="515"/>
    </row>
    <row r="283" spans="1:196" ht="27.6" hidden="1" outlineLevel="1" x14ac:dyDescent="0.25">
      <c r="A283" s="810" t="s">
        <v>1168</v>
      </c>
      <c r="B283" s="810" t="s">
        <v>554</v>
      </c>
      <c r="C283" s="923">
        <v>205200</v>
      </c>
      <c r="D283" s="923">
        <f t="shared" ref="D283:D284" si="36">C283-G283</f>
        <v>0</v>
      </c>
      <c r="E283" s="147" t="s">
        <v>31</v>
      </c>
      <c r="F283" s="150" t="s">
        <v>324</v>
      </c>
      <c r="G283" s="307">
        <v>205200</v>
      </c>
      <c r="H283" s="307">
        <v>135000</v>
      </c>
      <c r="I283" s="1510">
        <f>(H283+H284)-(G283+G284)</f>
        <v>-103608</v>
      </c>
      <c r="J283" s="1512" t="s">
        <v>105</v>
      </c>
      <c r="K283" s="321" t="s">
        <v>1647</v>
      </c>
      <c r="L283" s="224"/>
    </row>
    <row r="284" spans="1:196" ht="13.8" hidden="1" outlineLevel="1" x14ac:dyDescent="0.25">
      <c r="A284" s="810" t="s">
        <v>1169</v>
      </c>
      <c r="B284" s="810" t="s">
        <v>554</v>
      </c>
      <c r="C284" s="923">
        <v>1411200</v>
      </c>
      <c r="D284" s="923">
        <f t="shared" si="36"/>
        <v>0</v>
      </c>
      <c r="E284" s="147" t="s">
        <v>96</v>
      </c>
      <c r="F284" s="137" t="s">
        <v>102</v>
      </c>
      <c r="G284" s="307">
        <v>1411200</v>
      </c>
      <c r="H284" s="307">
        <v>1377792</v>
      </c>
      <c r="I284" s="1511"/>
      <c r="J284" s="1513"/>
      <c r="K284" s="321"/>
      <c r="L284" s="224"/>
    </row>
    <row r="285" spans="1:196" s="408" customFormat="1" ht="13.8" hidden="1" outlineLevel="1" x14ac:dyDescent="0.25">
      <c r="A285" s="1095"/>
      <c r="B285" s="1095"/>
      <c r="C285" s="1096"/>
      <c r="D285" s="1096"/>
      <c r="E285" s="1454" t="s">
        <v>288</v>
      </c>
      <c r="F285" s="520" t="s">
        <v>555</v>
      </c>
      <c r="G285" s="303"/>
      <c r="H285" s="511"/>
      <c r="I285" s="1455"/>
      <c r="J285" s="1456" t="str">
        <f t="shared" ref="J285:J331" si="37">IFERROR(I285/G285,"-")</f>
        <v>-</v>
      </c>
      <c r="K285" s="1457"/>
      <c r="L285" s="507"/>
      <c r="M285" s="409"/>
    </row>
    <row r="286" spans="1:196" ht="13.8" collapsed="1" x14ac:dyDescent="0.25">
      <c r="C286" s="923">
        <f>663634-G291</f>
        <v>662098</v>
      </c>
      <c r="D286" s="923">
        <f>C286-G286</f>
        <v>0</v>
      </c>
      <c r="E286" s="151" t="s">
        <v>691</v>
      </c>
      <c r="F286" s="145" t="s">
        <v>313</v>
      </c>
      <c r="G286" s="302">
        <v>662098</v>
      </c>
      <c r="H286" s="302">
        <v>835367.24456400005</v>
      </c>
      <c r="I286" s="132">
        <f t="shared" ref="I286:I330" si="38">H286-G286</f>
        <v>173269.24456400005</v>
      </c>
      <c r="J286" s="867">
        <f t="shared" si="37"/>
        <v>0.2616972782941499</v>
      </c>
      <c r="K286" s="220"/>
      <c r="L286" s="224"/>
    </row>
    <row r="287" spans="1:196" s="104" customFormat="1" ht="13.8" hidden="1" outlineLevel="1" x14ac:dyDescent="0.25">
      <c r="A287" s="810" t="s">
        <v>1170</v>
      </c>
      <c r="B287" s="810" t="s">
        <v>228</v>
      </c>
      <c r="C287" s="923"/>
      <c r="D287" s="923"/>
      <c r="E287" s="159"/>
      <c r="F287" s="215" t="s">
        <v>228</v>
      </c>
      <c r="G287" s="304">
        <v>249413</v>
      </c>
      <c r="H287" s="304">
        <v>342418.40456400003</v>
      </c>
      <c r="I287" s="122">
        <f t="shared" si="38"/>
        <v>93005.404564000026</v>
      </c>
      <c r="J287" s="865">
        <f t="shared" si="37"/>
        <v>0.37289718083660445</v>
      </c>
      <c r="K287" s="218"/>
      <c r="L287" s="224"/>
      <c r="M287" s="107"/>
      <c r="N287"/>
      <c r="O287"/>
      <c r="P287"/>
      <c r="Q287"/>
      <c r="R287"/>
      <c r="S287"/>
      <c r="T287"/>
      <c r="U287"/>
      <c r="V287"/>
      <c r="W287"/>
      <c r="X287"/>
      <c r="Y287"/>
      <c r="Z287"/>
      <c r="AA287"/>
      <c r="AB287"/>
      <c r="AC287"/>
      <c r="AD287"/>
      <c r="AE287"/>
      <c r="AF287"/>
      <c r="AG287"/>
      <c r="AH287"/>
      <c r="AI287"/>
      <c r="AJ287"/>
      <c r="AK287"/>
      <c r="AL287"/>
      <c r="AM287"/>
      <c r="AN287"/>
      <c r="AO287"/>
      <c r="AP287"/>
      <c r="AQ287"/>
      <c r="AR287"/>
      <c r="AS287"/>
      <c r="AT287"/>
      <c r="AU287"/>
      <c r="AV287"/>
      <c r="AW287"/>
      <c r="AX287"/>
      <c r="AY287"/>
      <c r="AZ287"/>
      <c r="BA287"/>
      <c r="BB287"/>
      <c r="BC287"/>
      <c r="BD287"/>
      <c r="BE287"/>
      <c r="BF287"/>
      <c r="BG287"/>
      <c r="BH287"/>
      <c r="BI287"/>
      <c r="BJ287"/>
      <c r="BK287"/>
      <c r="BL287"/>
      <c r="BM287"/>
      <c r="BN287"/>
      <c r="BO287"/>
      <c r="BP287"/>
      <c r="BQ287"/>
      <c r="BR287"/>
      <c r="BS287"/>
      <c r="BT287"/>
      <c r="BU287"/>
      <c r="BV287"/>
      <c r="BW287"/>
      <c r="BX287"/>
      <c r="BY287"/>
      <c r="BZ287"/>
      <c r="CA287"/>
      <c r="CB287"/>
      <c r="CC287"/>
      <c r="CD287"/>
      <c r="CE287"/>
      <c r="CF287"/>
      <c r="CG287"/>
      <c r="CH287"/>
      <c r="CI287"/>
      <c r="CJ287"/>
      <c r="CK287"/>
      <c r="CL287"/>
      <c r="CM287"/>
      <c r="CN287"/>
      <c r="CO287"/>
      <c r="CP287"/>
      <c r="CQ287"/>
      <c r="CR287"/>
      <c r="CS287"/>
      <c r="CT287"/>
      <c r="CU287"/>
      <c r="CV287"/>
      <c r="CW287"/>
      <c r="CX287"/>
      <c r="CY287"/>
      <c r="CZ287"/>
      <c r="DA287"/>
      <c r="DB287"/>
      <c r="DC287"/>
      <c r="DD287"/>
      <c r="DE287"/>
      <c r="DF287"/>
      <c r="DG287"/>
      <c r="DH287"/>
      <c r="DI287"/>
      <c r="DJ287"/>
      <c r="DK287"/>
      <c r="DL287"/>
      <c r="DM287"/>
      <c r="DN287"/>
      <c r="DO287"/>
      <c r="DP287"/>
      <c r="DQ287"/>
      <c r="DR287"/>
      <c r="DS287"/>
      <c r="DT287"/>
      <c r="DU287"/>
      <c r="DV287"/>
      <c r="DW287"/>
      <c r="DX287"/>
      <c r="DY287"/>
      <c r="DZ287"/>
      <c r="EA287"/>
      <c r="EB287"/>
      <c r="EC287"/>
      <c r="ED287"/>
      <c r="EE287"/>
      <c r="EF287"/>
      <c r="EG287"/>
      <c r="EH287"/>
      <c r="EI287"/>
      <c r="EJ287"/>
      <c r="EK287"/>
      <c r="EL287"/>
      <c r="EM287"/>
      <c r="EN287"/>
      <c r="EO287"/>
      <c r="EP287"/>
      <c r="EQ287"/>
      <c r="ER287"/>
      <c r="ES287"/>
      <c r="ET287"/>
      <c r="EU287"/>
      <c r="EV287"/>
      <c r="EW287"/>
      <c r="EX287"/>
      <c r="EY287"/>
      <c r="EZ287"/>
      <c r="FA287"/>
      <c r="FB287"/>
      <c r="FC287"/>
      <c r="FD287"/>
      <c r="FE287"/>
      <c r="FF287"/>
      <c r="FG287"/>
      <c r="FH287"/>
      <c r="FI287"/>
      <c r="FJ287"/>
      <c r="FK287"/>
      <c r="FL287"/>
      <c r="FM287"/>
      <c r="FN287"/>
      <c r="FO287"/>
      <c r="FP287"/>
      <c r="FQ287"/>
      <c r="FR287"/>
      <c r="FS287"/>
      <c r="FT287"/>
      <c r="FU287"/>
      <c r="FV287"/>
      <c r="FW287"/>
      <c r="FX287"/>
      <c r="FY287"/>
      <c r="FZ287"/>
      <c r="GA287"/>
      <c r="GB287"/>
      <c r="GC287"/>
      <c r="GD287"/>
      <c r="GE287"/>
      <c r="GF287"/>
      <c r="GG287"/>
      <c r="GH287"/>
      <c r="GI287"/>
      <c r="GJ287"/>
      <c r="GK287"/>
      <c r="GL287"/>
      <c r="GM287"/>
      <c r="GN287"/>
    </row>
    <row r="288" spans="1:196" s="104" customFormat="1" ht="69" hidden="1" outlineLevel="1" x14ac:dyDescent="0.25">
      <c r="A288" s="810" t="s">
        <v>1170</v>
      </c>
      <c r="B288" s="810" t="s">
        <v>554</v>
      </c>
      <c r="C288" s="923"/>
      <c r="D288" s="923"/>
      <c r="E288" s="214"/>
      <c r="F288" s="160" t="s">
        <v>198</v>
      </c>
      <c r="G288" s="304">
        <v>405178</v>
      </c>
      <c r="H288" s="304">
        <v>492098.83999999997</v>
      </c>
      <c r="I288" s="153">
        <f t="shared" si="38"/>
        <v>86920.839999999967</v>
      </c>
      <c r="J288" s="878">
        <f t="shared" si="37"/>
        <v>0.21452507293090931</v>
      </c>
      <c r="K288" s="455" t="s">
        <v>1648</v>
      </c>
      <c r="L288" s="224"/>
      <c r="M288" s="107"/>
      <c r="N288"/>
      <c r="O288"/>
      <c r="P288"/>
      <c r="Q288"/>
      <c r="R288"/>
      <c r="S288"/>
      <c r="T288"/>
      <c r="U288"/>
      <c r="V288"/>
      <c r="W288"/>
      <c r="X288"/>
      <c r="Y288"/>
      <c r="Z288"/>
      <c r="AA288"/>
      <c r="AB288"/>
      <c r="AC288"/>
      <c r="AD288"/>
      <c r="AE288"/>
      <c r="AF288"/>
      <c r="AG288"/>
      <c r="AH288"/>
      <c r="AI288"/>
      <c r="AJ288"/>
      <c r="AK288"/>
      <c r="AL288"/>
      <c r="AM288"/>
      <c r="AN288"/>
      <c r="AO288"/>
      <c r="AP288"/>
      <c r="AQ288"/>
      <c r="AR288"/>
      <c r="AS288"/>
      <c r="AT288"/>
      <c r="AU288"/>
      <c r="AV288"/>
      <c r="AW288"/>
      <c r="AX288"/>
      <c r="AY288"/>
      <c r="AZ288"/>
      <c r="BA288"/>
      <c r="BB288"/>
      <c r="BC288"/>
      <c r="BD288"/>
      <c r="BE288"/>
      <c r="BF288"/>
      <c r="BG288"/>
      <c r="BH288"/>
      <c r="BI288"/>
      <c r="BJ288"/>
      <c r="BK288"/>
      <c r="BL288"/>
      <c r="BM288"/>
      <c r="BN288"/>
      <c r="BO288"/>
      <c r="BP288"/>
      <c r="BQ288"/>
      <c r="BR288"/>
      <c r="BS288"/>
      <c r="BT288"/>
      <c r="BU288"/>
      <c r="BV288"/>
      <c r="BW288"/>
      <c r="BX288"/>
      <c r="BY288"/>
      <c r="BZ288"/>
      <c r="CA288"/>
      <c r="CB288"/>
      <c r="CC288"/>
      <c r="CD288"/>
      <c r="CE288"/>
      <c r="CF288"/>
      <c r="CG288"/>
      <c r="CH288"/>
      <c r="CI288"/>
      <c r="CJ288"/>
      <c r="CK288"/>
      <c r="CL288"/>
      <c r="CM288"/>
      <c r="CN288"/>
      <c r="CO288"/>
      <c r="CP288"/>
      <c r="CQ288"/>
      <c r="CR288"/>
      <c r="CS288"/>
      <c r="CT288"/>
      <c r="CU288"/>
      <c r="CV288"/>
      <c r="CW288"/>
      <c r="CX288"/>
      <c r="CY288"/>
      <c r="CZ288"/>
      <c r="DA288"/>
      <c r="DB288"/>
      <c r="DC288"/>
      <c r="DD288"/>
      <c r="DE288"/>
      <c r="DF288"/>
      <c r="DG288"/>
      <c r="DH288"/>
      <c r="DI288"/>
      <c r="DJ288"/>
      <c r="DK288"/>
      <c r="DL288"/>
      <c r="DM288"/>
      <c r="DN288"/>
      <c r="DO288"/>
      <c r="DP288"/>
      <c r="DQ288"/>
      <c r="DR288"/>
      <c r="DS288"/>
      <c r="DT288"/>
      <c r="DU288"/>
      <c r="DV288"/>
      <c r="DW288"/>
      <c r="DX288"/>
      <c r="DY288"/>
      <c r="DZ288"/>
      <c r="EA288"/>
      <c r="EB288"/>
      <c r="EC288"/>
      <c r="ED288"/>
      <c r="EE288"/>
      <c r="EF288"/>
      <c r="EG288"/>
      <c r="EH288"/>
      <c r="EI288"/>
      <c r="EJ288"/>
      <c r="EK288"/>
      <c r="EL288"/>
      <c r="EM288"/>
      <c r="EN288"/>
      <c r="EO288"/>
      <c r="EP288"/>
      <c r="EQ288"/>
      <c r="ER288"/>
      <c r="ES288"/>
      <c r="ET288"/>
      <c r="EU288"/>
      <c r="EV288"/>
      <c r="EW288"/>
      <c r="EX288"/>
      <c r="EY288"/>
      <c r="EZ288"/>
      <c r="FA288"/>
      <c r="FB288"/>
      <c r="FC288"/>
      <c r="FD288"/>
      <c r="FE288"/>
      <c r="FF288"/>
      <c r="FG288"/>
      <c r="FH288"/>
      <c r="FI288"/>
      <c r="FJ288"/>
      <c r="FK288"/>
      <c r="FL288"/>
      <c r="FM288"/>
      <c r="FN288"/>
      <c r="FO288"/>
      <c r="FP288"/>
      <c r="FQ288"/>
      <c r="FR288"/>
      <c r="FS288"/>
      <c r="FT288"/>
      <c r="FU288"/>
      <c r="FV288"/>
      <c r="FW288"/>
      <c r="FX288"/>
      <c r="FY288"/>
      <c r="FZ288"/>
      <c r="GA288"/>
      <c r="GB288"/>
      <c r="GC288"/>
      <c r="GD288"/>
      <c r="GE288"/>
      <c r="GF288"/>
      <c r="GG288"/>
      <c r="GH288"/>
      <c r="GI288"/>
      <c r="GJ288"/>
      <c r="GK288"/>
      <c r="GL288"/>
      <c r="GM288"/>
      <c r="GN288"/>
    </row>
    <row r="289" spans="1:196" s="104" customFormat="1" ht="13.8" hidden="1" outlineLevel="1" x14ac:dyDescent="0.25">
      <c r="A289" s="810" t="s">
        <v>1170</v>
      </c>
      <c r="B289" s="810" t="s">
        <v>556</v>
      </c>
      <c r="C289" s="923"/>
      <c r="D289" s="923"/>
      <c r="E289" s="159"/>
      <c r="F289" s="160" t="s">
        <v>197</v>
      </c>
      <c r="G289" s="304">
        <v>7507</v>
      </c>
      <c r="H289" s="304">
        <v>850</v>
      </c>
      <c r="I289" s="153">
        <f t="shared" si="38"/>
        <v>-6657</v>
      </c>
      <c r="J289" s="878">
        <f t="shared" si="37"/>
        <v>-0.88677234581057685</v>
      </c>
      <c r="K289" s="457"/>
      <c r="L289" s="224"/>
      <c r="M289" s="107"/>
      <c r="N289"/>
      <c r="O289"/>
      <c r="P289"/>
      <c r="Q289"/>
      <c r="R289"/>
      <c r="S289"/>
      <c r="T289"/>
      <c r="U289"/>
      <c r="V289"/>
      <c r="W289"/>
      <c r="X289"/>
      <c r="Y289"/>
      <c r="Z289"/>
      <c r="AA289"/>
      <c r="AB289"/>
      <c r="AC289"/>
      <c r="AD289"/>
      <c r="AE289"/>
      <c r="AF289"/>
      <c r="AG289"/>
      <c r="AH289"/>
      <c r="AI289"/>
      <c r="AJ289"/>
      <c r="AK289"/>
      <c r="AL289"/>
      <c r="AM289"/>
      <c r="AN289"/>
      <c r="AO289"/>
      <c r="AP289"/>
      <c r="AQ289"/>
      <c r="AR289"/>
      <c r="AS289"/>
      <c r="AT289"/>
      <c r="AU289"/>
      <c r="AV289"/>
      <c r="AW289"/>
      <c r="AX289"/>
      <c r="AY289"/>
      <c r="AZ289"/>
      <c r="BA289"/>
      <c r="BB289"/>
      <c r="BC289"/>
      <c r="BD289"/>
      <c r="BE289"/>
      <c r="BF289"/>
      <c r="BG289"/>
      <c r="BH289"/>
      <c r="BI289"/>
      <c r="BJ289"/>
      <c r="BK289"/>
      <c r="BL289"/>
      <c r="BM289"/>
      <c r="BN289"/>
      <c r="BO289"/>
      <c r="BP289"/>
      <c r="BQ289"/>
      <c r="BR289"/>
      <c r="BS289"/>
      <c r="BT289"/>
      <c r="BU289"/>
      <c r="BV289"/>
      <c r="BW289"/>
      <c r="BX289"/>
      <c r="BY289"/>
      <c r="BZ289"/>
      <c r="CA289"/>
      <c r="CB289"/>
      <c r="CC289"/>
      <c r="CD289"/>
      <c r="CE289"/>
      <c r="CF289"/>
      <c r="CG289"/>
      <c r="CH289"/>
      <c r="CI289"/>
      <c r="CJ289"/>
      <c r="CK289"/>
      <c r="CL289"/>
      <c r="CM289"/>
      <c r="CN289"/>
      <c r="CO289"/>
      <c r="CP289"/>
      <c r="CQ289"/>
      <c r="CR289"/>
      <c r="CS289"/>
      <c r="CT289"/>
      <c r="CU289"/>
      <c r="CV289"/>
      <c r="CW289"/>
      <c r="CX289"/>
      <c r="CY289"/>
      <c r="CZ289"/>
      <c r="DA289"/>
      <c r="DB289"/>
      <c r="DC289"/>
      <c r="DD289"/>
      <c r="DE289"/>
      <c r="DF289"/>
      <c r="DG289"/>
      <c r="DH289"/>
      <c r="DI289"/>
      <c r="DJ289"/>
      <c r="DK289"/>
      <c r="DL289"/>
      <c r="DM289"/>
      <c r="DN289"/>
      <c r="DO289"/>
      <c r="DP289"/>
      <c r="DQ289"/>
      <c r="DR289"/>
      <c r="DS289"/>
      <c r="DT289"/>
      <c r="DU289"/>
      <c r="DV289"/>
      <c r="DW289"/>
      <c r="DX289"/>
      <c r="DY289"/>
      <c r="DZ289"/>
      <c r="EA289"/>
      <c r="EB289"/>
      <c r="EC289"/>
      <c r="ED289"/>
      <c r="EE289"/>
      <c r="EF289"/>
      <c r="EG289"/>
      <c r="EH289"/>
      <c r="EI289"/>
      <c r="EJ289"/>
      <c r="EK289"/>
      <c r="EL289"/>
      <c r="EM289"/>
      <c r="EN289"/>
      <c r="EO289"/>
      <c r="EP289"/>
      <c r="EQ289"/>
      <c r="ER289"/>
      <c r="ES289"/>
      <c r="ET289"/>
      <c r="EU289"/>
      <c r="EV289"/>
      <c r="EW289"/>
      <c r="EX289"/>
      <c r="EY289"/>
      <c r="EZ289"/>
      <c r="FA289"/>
      <c r="FB289"/>
      <c r="FC289"/>
      <c r="FD289"/>
      <c r="FE289"/>
      <c r="FF289"/>
      <c r="FG289"/>
      <c r="FH289"/>
      <c r="FI289"/>
      <c r="FJ289"/>
      <c r="FK289"/>
      <c r="FL289"/>
      <c r="FM289"/>
      <c r="FN289"/>
      <c r="FO289"/>
      <c r="FP289"/>
      <c r="FQ289"/>
      <c r="FR289"/>
      <c r="FS289"/>
      <c r="FT289"/>
      <c r="FU289"/>
      <c r="FV289"/>
      <c r="FW289"/>
      <c r="FX289"/>
      <c r="FY289"/>
      <c r="FZ289"/>
      <c r="GA289"/>
      <c r="GB289"/>
      <c r="GC289"/>
      <c r="GD289"/>
      <c r="GE289"/>
      <c r="GF289"/>
      <c r="GG289"/>
      <c r="GH289"/>
      <c r="GI289"/>
      <c r="GJ289"/>
      <c r="GK289"/>
      <c r="GL289"/>
      <c r="GM289"/>
      <c r="GN289"/>
    </row>
    <row r="290" spans="1:196" s="525" customFormat="1" ht="13.8" hidden="1" outlineLevel="1" x14ac:dyDescent="0.25">
      <c r="A290" s="1407" t="s">
        <v>1170</v>
      </c>
      <c r="B290" s="1407" t="s">
        <v>182</v>
      </c>
      <c r="C290" s="1408">
        <v>111082</v>
      </c>
      <c r="D290" s="1408">
        <f>C290-G290</f>
        <v>0</v>
      </c>
      <c r="E290" s="523"/>
      <c r="F290" s="520" t="s">
        <v>167</v>
      </c>
      <c r="G290" s="301">
        <v>111082</v>
      </c>
      <c r="H290" s="505">
        <v>173757.8</v>
      </c>
      <c r="I290" s="510">
        <f t="shared" si="38"/>
        <v>62675.799999999988</v>
      </c>
      <c r="J290" s="876">
        <f t="shared" si="37"/>
        <v>0.56423002826740598</v>
      </c>
      <c r="K290" s="1450"/>
      <c r="L290" s="1409"/>
      <c r="M290" s="1116"/>
      <c r="N290" s="515"/>
      <c r="O290" s="515"/>
      <c r="P290" s="515"/>
      <c r="Q290" s="515"/>
      <c r="R290" s="515"/>
      <c r="S290" s="515"/>
      <c r="T290" s="515"/>
      <c r="U290" s="515"/>
      <c r="V290" s="515"/>
      <c r="W290" s="515"/>
      <c r="X290" s="515"/>
      <c r="Y290" s="515"/>
      <c r="Z290" s="515"/>
      <c r="AA290" s="515"/>
      <c r="AB290" s="515"/>
      <c r="AC290" s="515"/>
      <c r="AD290" s="515"/>
      <c r="AE290" s="515"/>
      <c r="AF290" s="515"/>
      <c r="AG290" s="515"/>
      <c r="AH290" s="515"/>
      <c r="AI290" s="515"/>
      <c r="AJ290" s="515"/>
      <c r="AK290" s="515"/>
      <c r="AL290" s="515"/>
      <c r="AM290" s="515"/>
      <c r="AN290" s="515"/>
      <c r="AO290" s="515"/>
      <c r="AP290" s="515"/>
      <c r="AQ290" s="515"/>
      <c r="AR290" s="515"/>
      <c r="AS290" s="515"/>
      <c r="AT290" s="515"/>
      <c r="AU290" s="515"/>
      <c r="AV290" s="515"/>
      <c r="AW290" s="515"/>
      <c r="AX290" s="515"/>
      <c r="AY290" s="515"/>
      <c r="AZ290" s="515"/>
      <c r="BA290" s="515"/>
      <c r="BB290" s="515"/>
      <c r="BC290" s="515"/>
      <c r="BD290" s="515"/>
      <c r="BE290" s="515"/>
      <c r="BF290" s="515"/>
      <c r="BG290" s="515"/>
      <c r="BH290" s="515"/>
      <c r="BI290" s="515"/>
      <c r="BJ290" s="515"/>
      <c r="BK290" s="515"/>
      <c r="BL290" s="515"/>
      <c r="BM290" s="515"/>
      <c r="BN290" s="515"/>
      <c r="BO290" s="515"/>
      <c r="BP290" s="515"/>
      <c r="BQ290" s="515"/>
      <c r="BR290" s="515"/>
      <c r="BS290" s="515"/>
      <c r="BT290" s="515"/>
      <c r="BU290" s="515"/>
      <c r="BV290" s="515"/>
      <c r="BW290" s="515"/>
      <c r="BX290" s="515"/>
      <c r="BY290" s="515"/>
      <c r="BZ290" s="515"/>
      <c r="CA290" s="515"/>
      <c r="CB290" s="515"/>
      <c r="CC290" s="515"/>
      <c r="CD290" s="515"/>
      <c r="CE290" s="515"/>
      <c r="CF290" s="515"/>
      <c r="CG290" s="515"/>
      <c r="CH290" s="515"/>
      <c r="CI290" s="515"/>
      <c r="CJ290" s="515"/>
      <c r="CK290" s="515"/>
      <c r="CL290" s="515"/>
      <c r="CM290" s="515"/>
      <c r="CN290" s="515"/>
      <c r="CO290" s="515"/>
      <c r="CP290" s="515"/>
      <c r="CQ290" s="515"/>
      <c r="CR290" s="515"/>
      <c r="CS290" s="515"/>
      <c r="CT290" s="515"/>
      <c r="CU290" s="515"/>
      <c r="CV290" s="515"/>
      <c r="CW290" s="515"/>
      <c r="CX290" s="515"/>
      <c r="CY290" s="515"/>
      <c r="CZ290" s="515"/>
      <c r="DA290" s="515"/>
      <c r="DB290" s="515"/>
      <c r="DC290" s="515"/>
      <c r="DD290" s="515"/>
      <c r="DE290" s="515"/>
      <c r="DF290" s="515"/>
      <c r="DG290" s="515"/>
      <c r="DH290" s="515"/>
      <c r="DI290" s="515"/>
      <c r="DJ290" s="515"/>
      <c r="DK290" s="515"/>
      <c r="DL290" s="515"/>
      <c r="DM290" s="515"/>
      <c r="DN290" s="515"/>
      <c r="DO290" s="515"/>
      <c r="DP290" s="515"/>
      <c r="DQ290" s="515"/>
      <c r="DR290" s="515"/>
      <c r="DS290" s="515"/>
      <c r="DT290" s="515"/>
      <c r="DU290" s="515"/>
      <c r="DV290" s="515"/>
      <c r="DW290" s="515"/>
      <c r="DX290" s="515"/>
      <c r="DY290" s="515"/>
      <c r="DZ290" s="515"/>
      <c r="EA290" s="515"/>
      <c r="EB290" s="515"/>
      <c r="EC290" s="515"/>
      <c r="ED290" s="515"/>
      <c r="EE290" s="515"/>
      <c r="EF290" s="515"/>
      <c r="EG290" s="515"/>
      <c r="EH290" s="515"/>
      <c r="EI290" s="515"/>
      <c r="EJ290" s="515"/>
      <c r="EK290" s="515"/>
      <c r="EL290" s="515"/>
      <c r="EM290" s="515"/>
      <c r="EN290" s="515"/>
      <c r="EO290" s="515"/>
      <c r="EP290" s="515"/>
      <c r="EQ290" s="515"/>
      <c r="ER290" s="515"/>
      <c r="ES290" s="515"/>
      <c r="ET290" s="515"/>
      <c r="EU290" s="515"/>
      <c r="EV290" s="515"/>
      <c r="EW290" s="515"/>
      <c r="EX290" s="515"/>
      <c r="EY290" s="515"/>
      <c r="EZ290" s="515"/>
      <c r="FA290" s="515"/>
      <c r="FB290" s="515"/>
      <c r="FC290" s="515"/>
      <c r="FD290" s="515"/>
      <c r="FE290" s="515"/>
      <c r="FF290" s="515"/>
      <c r="FG290" s="515"/>
      <c r="FH290" s="515"/>
      <c r="FI290" s="515"/>
      <c r="FJ290" s="515"/>
      <c r="FK290" s="515"/>
      <c r="FL290" s="515"/>
      <c r="FM290" s="515"/>
      <c r="FN290" s="515"/>
      <c r="FO290" s="515"/>
      <c r="FP290" s="515"/>
      <c r="FQ290" s="515"/>
      <c r="FR290" s="515"/>
      <c r="FS290" s="515"/>
      <c r="FT290" s="515"/>
      <c r="FU290" s="515"/>
      <c r="FV290" s="515"/>
      <c r="FW290" s="515"/>
      <c r="FX290" s="515"/>
      <c r="FY290" s="515"/>
      <c r="FZ290" s="515"/>
      <c r="GA290" s="515"/>
      <c r="GB290" s="515"/>
      <c r="GC290" s="515"/>
      <c r="GD290" s="515"/>
      <c r="GE290" s="515"/>
      <c r="GF290" s="515"/>
      <c r="GG290" s="515"/>
      <c r="GH290" s="515"/>
      <c r="GI290" s="515"/>
      <c r="GJ290" s="515"/>
      <c r="GK290" s="515"/>
      <c r="GL290" s="515"/>
      <c r="GM290" s="515"/>
      <c r="GN290" s="515"/>
    </row>
    <row r="291" spans="1:196" s="525" customFormat="1" ht="13.8" hidden="1" outlineLevel="1" x14ac:dyDescent="0.25">
      <c r="A291" s="1407" t="s">
        <v>1170</v>
      </c>
      <c r="B291" s="1407" t="s">
        <v>555</v>
      </c>
      <c r="C291" s="1408"/>
      <c r="D291" s="1408"/>
      <c r="E291" s="523"/>
      <c r="F291" s="520" t="s">
        <v>555</v>
      </c>
      <c r="G291" s="301">
        <v>1536</v>
      </c>
      <c r="H291" s="505">
        <v>4500</v>
      </c>
      <c r="I291" s="510">
        <f>H291-G291</f>
        <v>2964</v>
      </c>
      <c r="J291" s="876">
        <f t="shared" si="37"/>
        <v>1.9296875</v>
      </c>
      <c r="K291" s="1450"/>
      <c r="L291" s="1409"/>
      <c r="M291" s="1116"/>
      <c r="N291" s="515"/>
      <c r="O291" s="515"/>
      <c r="P291" s="515"/>
      <c r="Q291" s="515"/>
      <c r="R291" s="515"/>
      <c r="S291" s="515"/>
      <c r="T291" s="515"/>
      <c r="U291" s="515"/>
      <c r="V291" s="515"/>
      <c r="W291" s="515"/>
      <c r="X291" s="515"/>
      <c r="Y291" s="515"/>
      <c r="Z291" s="515"/>
      <c r="AA291" s="515"/>
      <c r="AB291" s="515"/>
      <c r="AC291" s="515"/>
      <c r="AD291" s="515"/>
      <c r="AE291" s="515"/>
      <c r="AF291" s="515"/>
      <c r="AG291" s="515"/>
      <c r="AH291" s="515"/>
      <c r="AI291" s="515"/>
      <c r="AJ291" s="515"/>
      <c r="AK291" s="515"/>
      <c r="AL291" s="515"/>
      <c r="AM291" s="515"/>
      <c r="AN291" s="515"/>
      <c r="AO291" s="515"/>
      <c r="AP291" s="515"/>
      <c r="AQ291" s="515"/>
      <c r="AR291" s="515"/>
      <c r="AS291" s="515"/>
      <c r="AT291" s="515"/>
      <c r="AU291" s="515"/>
      <c r="AV291" s="515"/>
      <c r="AW291" s="515"/>
      <c r="AX291" s="515"/>
      <c r="AY291" s="515"/>
      <c r="AZ291" s="515"/>
      <c r="BA291" s="515"/>
      <c r="BB291" s="515"/>
      <c r="BC291" s="515"/>
      <c r="BD291" s="515"/>
      <c r="BE291" s="515"/>
      <c r="BF291" s="515"/>
      <c r="BG291" s="515"/>
      <c r="BH291" s="515"/>
      <c r="BI291" s="515"/>
      <c r="BJ291" s="515"/>
      <c r="BK291" s="515"/>
      <c r="BL291" s="515"/>
      <c r="BM291" s="515"/>
      <c r="BN291" s="515"/>
      <c r="BO291" s="515"/>
      <c r="BP291" s="515"/>
      <c r="BQ291" s="515"/>
      <c r="BR291" s="515"/>
      <c r="BS291" s="515"/>
      <c r="BT291" s="515"/>
      <c r="BU291" s="515"/>
      <c r="BV291" s="515"/>
      <c r="BW291" s="515"/>
      <c r="BX291" s="515"/>
      <c r="BY291" s="515"/>
      <c r="BZ291" s="515"/>
      <c r="CA291" s="515"/>
      <c r="CB291" s="515"/>
      <c r="CC291" s="515"/>
      <c r="CD291" s="515"/>
      <c r="CE291" s="515"/>
      <c r="CF291" s="515"/>
      <c r="CG291" s="515"/>
      <c r="CH291" s="515"/>
      <c r="CI291" s="515"/>
      <c r="CJ291" s="515"/>
      <c r="CK291" s="515"/>
      <c r="CL291" s="515"/>
      <c r="CM291" s="515"/>
      <c r="CN291" s="515"/>
      <c r="CO291" s="515"/>
      <c r="CP291" s="515"/>
      <c r="CQ291" s="515"/>
      <c r="CR291" s="515"/>
      <c r="CS291" s="515"/>
      <c r="CT291" s="515"/>
      <c r="CU291" s="515"/>
      <c r="CV291" s="515"/>
      <c r="CW291" s="515"/>
      <c r="CX291" s="515"/>
      <c r="CY291" s="515"/>
      <c r="CZ291" s="515"/>
      <c r="DA291" s="515"/>
      <c r="DB291" s="515"/>
      <c r="DC291" s="515"/>
      <c r="DD291" s="515"/>
      <c r="DE291" s="515"/>
      <c r="DF291" s="515"/>
      <c r="DG291" s="515"/>
      <c r="DH291" s="515"/>
      <c r="DI291" s="515"/>
      <c r="DJ291" s="515"/>
      <c r="DK291" s="515"/>
      <c r="DL291" s="515"/>
      <c r="DM291" s="515"/>
      <c r="DN291" s="515"/>
      <c r="DO291" s="515"/>
      <c r="DP291" s="515"/>
      <c r="DQ291" s="515"/>
      <c r="DR291" s="515"/>
      <c r="DS291" s="515"/>
      <c r="DT291" s="515"/>
      <c r="DU291" s="515"/>
      <c r="DV291" s="515"/>
      <c r="DW291" s="515"/>
      <c r="DX291" s="515"/>
      <c r="DY291" s="515"/>
      <c r="DZ291" s="515"/>
      <c r="EA291" s="515"/>
      <c r="EB291" s="515"/>
      <c r="EC291" s="515"/>
      <c r="ED291" s="515"/>
      <c r="EE291" s="515"/>
      <c r="EF291" s="515"/>
      <c r="EG291" s="515"/>
      <c r="EH291" s="515"/>
      <c r="EI291" s="515"/>
      <c r="EJ291" s="515"/>
      <c r="EK291" s="515"/>
      <c r="EL291" s="515"/>
      <c r="EM291" s="515"/>
      <c r="EN291" s="515"/>
      <c r="EO291" s="515"/>
      <c r="EP291" s="515"/>
      <c r="EQ291" s="515"/>
      <c r="ER291" s="515"/>
      <c r="ES291" s="515"/>
      <c r="ET291" s="515"/>
      <c r="EU291" s="515"/>
      <c r="EV291" s="515"/>
      <c r="EW291" s="515"/>
      <c r="EX291" s="515"/>
      <c r="EY291" s="515"/>
      <c r="EZ291" s="515"/>
      <c r="FA291" s="515"/>
      <c r="FB291" s="515"/>
      <c r="FC291" s="515"/>
      <c r="FD291" s="515"/>
      <c r="FE291" s="515"/>
      <c r="FF291" s="515"/>
      <c r="FG291" s="515"/>
      <c r="FH291" s="515"/>
      <c r="FI291" s="515"/>
      <c r="FJ291" s="515"/>
      <c r="FK291" s="515"/>
      <c r="FL291" s="515"/>
      <c r="FM291" s="515"/>
      <c r="FN291" s="515"/>
      <c r="FO291" s="515"/>
      <c r="FP291" s="515"/>
      <c r="FQ291" s="515"/>
      <c r="FR291" s="515"/>
      <c r="FS291" s="515"/>
      <c r="FT291" s="515"/>
      <c r="FU291" s="515"/>
      <c r="FV291" s="515"/>
      <c r="FW291" s="515"/>
      <c r="FX291" s="515"/>
      <c r="FY291" s="515"/>
      <c r="FZ291" s="515"/>
      <c r="GA291" s="515"/>
      <c r="GB291" s="515"/>
      <c r="GC291" s="515"/>
      <c r="GD291" s="515"/>
      <c r="GE291" s="515"/>
      <c r="GF291" s="515"/>
      <c r="GG291" s="515"/>
      <c r="GH291" s="515"/>
      <c r="GI291" s="515"/>
      <c r="GJ291" s="515"/>
      <c r="GK291" s="515"/>
      <c r="GL291" s="515"/>
      <c r="GM291" s="515"/>
      <c r="GN291" s="515"/>
    </row>
    <row r="292" spans="1:196" s="525" customFormat="1" ht="13.8" hidden="1" outlineLevel="1" x14ac:dyDescent="0.25">
      <c r="A292" s="1407" t="s">
        <v>1170</v>
      </c>
      <c r="B292" s="1407"/>
      <c r="C292" s="1408"/>
      <c r="D292" s="1408"/>
      <c r="E292" s="1458"/>
      <c r="F292" s="520" t="s">
        <v>43</v>
      </c>
      <c r="G292" s="301"/>
      <c r="H292" s="505"/>
      <c r="I292" s="510">
        <f t="shared" si="38"/>
        <v>0</v>
      </c>
      <c r="J292" s="876" t="str">
        <f t="shared" si="37"/>
        <v>-</v>
      </c>
      <c r="K292" s="1450"/>
      <c r="L292" s="1409"/>
      <c r="M292" s="1116"/>
      <c r="N292" s="515"/>
      <c r="O292" s="515"/>
      <c r="P292" s="515"/>
      <c r="Q292" s="515"/>
      <c r="R292" s="515"/>
      <c r="S292" s="515"/>
      <c r="T292" s="515"/>
      <c r="U292" s="515"/>
      <c r="V292" s="515"/>
      <c r="W292" s="515"/>
      <c r="X292" s="515"/>
      <c r="Y292" s="515"/>
      <c r="Z292" s="515"/>
      <c r="AA292" s="515"/>
      <c r="AB292" s="515"/>
      <c r="AC292" s="515"/>
      <c r="AD292" s="515"/>
      <c r="AE292" s="515"/>
      <c r="AF292" s="515"/>
      <c r="AG292" s="515"/>
      <c r="AH292" s="515"/>
      <c r="AI292" s="515"/>
      <c r="AJ292" s="515"/>
      <c r="AK292" s="515"/>
      <c r="AL292" s="515"/>
      <c r="AM292" s="515"/>
      <c r="AN292" s="515"/>
      <c r="AO292" s="515"/>
      <c r="AP292" s="515"/>
      <c r="AQ292" s="515"/>
      <c r="AR292" s="515"/>
      <c r="AS292" s="515"/>
      <c r="AT292" s="515"/>
      <c r="AU292" s="515"/>
      <c r="AV292" s="515"/>
      <c r="AW292" s="515"/>
      <c r="AX292" s="515"/>
      <c r="AY292" s="515"/>
      <c r="AZ292" s="515"/>
      <c r="BA292" s="515"/>
      <c r="BB292" s="515"/>
      <c r="BC292" s="515"/>
      <c r="BD292" s="515"/>
      <c r="BE292" s="515"/>
      <c r="BF292" s="515"/>
      <c r="BG292" s="515"/>
      <c r="BH292" s="515"/>
      <c r="BI292" s="515"/>
      <c r="BJ292" s="515"/>
      <c r="BK292" s="515"/>
      <c r="BL292" s="515"/>
      <c r="BM292" s="515"/>
      <c r="BN292" s="515"/>
      <c r="BO292" s="515"/>
      <c r="BP292" s="515"/>
      <c r="BQ292" s="515"/>
      <c r="BR292" s="515"/>
      <c r="BS292" s="515"/>
      <c r="BT292" s="515"/>
      <c r="BU292" s="515"/>
      <c r="BV292" s="515"/>
      <c r="BW292" s="515"/>
      <c r="BX292" s="515"/>
      <c r="BY292" s="515"/>
      <c r="BZ292" s="515"/>
      <c r="CA292" s="515"/>
      <c r="CB292" s="515"/>
      <c r="CC292" s="515"/>
      <c r="CD292" s="515"/>
      <c r="CE292" s="515"/>
      <c r="CF292" s="515"/>
      <c r="CG292" s="515"/>
      <c r="CH292" s="515"/>
      <c r="CI292" s="515"/>
      <c r="CJ292" s="515"/>
      <c r="CK292" s="515"/>
      <c r="CL292" s="515"/>
      <c r="CM292" s="515"/>
      <c r="CN292" s="515"/>
      <c r="CO292" s="515"/>
      <c r="CP292" s="515"/>
      <c r="CQ292" s="515"/>
      <c r="CR292" s="515"/>
      <c r="CS292" s="515"/>
      <c r="CT292" s="515"/>
      <c r="CU292" s="515"/>
      <c r="CV292" s="515"/>
      <c r="CW292" s="515"/>
      <c r="CX292" s="515"/>
      <c r="CY292" s="515"/>
      <c r="CZ292" s="515"/>
      <c r="DA292" s="515"/>
      <c r="DB292" s="515"/>
      <c r="DC292" s="515"/>
      <c r="DD292" s="515"/>
      <c r="DE292" s="515"/>
      <c r="DF292" s="515"/>
      <c r="DG292" s="515"/>
      <c r="DH292" s="515"/>
      <c r="DI292" s="515"/>
      <c r="DJ292" s="515"/>
      <c r="DK292" s="515"/>
      <c r="DL292" s="515"/>
      <c r="DM292" s="515"/>
      <c r="DN292" s="515"/>
      <c r="DO292" s="515"/>
      <c r="DP292" s="515"/>
      <c r="DQ292" s="515"/>
      <c r="DR292" s="515"/>
      <c r="DS292" s="515"/>
      <c r="DT292" s="515"/>
      <c r="DU292" s="515"/>
      <c r="DV292" s="515"/>
      <c r="DW292" s="515"/>
      <c r="DX292" s="515"/>
      <c r="DY292" s="515"/>
      <c r="DZ292" s="515"/>
      <c r="EA292" s="515"/>
      <c r="EB292" s="515"/>
      <c r="EC292" s="515"/>
      <c r="ED292" s="515"/>
      <c r="EE292" s="515"/>
      <c r="EF292" s="515"/>
      <c r="EG292" s="515"/>
      <c r="EH292" s="515"/>
      <c r="EI292" s="515"/>
      <c r="EJ292" s="515"/>
      <c r="EK292" s="515"/>
      <c r="EL292" s="515"/>
      <c r="EM292" s="515"/>
      <c r="EN292" s="515"/>
      <c r="EO292" s="515"/>
      <c r="EP292" s="515"/>
      <c r="EQ292" s="515"/>
      <c r="ER292" s="515"/>
      <c r="ES292" s="515"/>
      <c r="ET292" s="515"/>
      <c r="EU292" s="515"/>
      <c r="EV292" s="515"/>
      <c r="EW292" s="515"/>
      <c r="EX292" s="515"/>
      <c r="EY292" s="515"/>
      <c r="EZ292" s="515"/>
      <c r="FA292" s="515"/>
      <c r="FB292" s="515"/>
      <c r="FC292" s="515"/>
      <c r="FD292" s="515"/>
      <c r="FE292" s="515"/>
      <c r="FF292" s="515"/>
      <c r="FG292" s="515"/>
      <c r="FH292" s="515"/>
      <c r="FI292" s="515"/>
      <c r="FJ292" s="515"/>
      <c r="FK292" s="515"/>
      <c r="FL292" s="515"/>
      <c r="FM292" s="515"/>
      <c r="FN292" s="515"/>
      <c r="FO292" s="515"/>
      <c r="FP292" s="515"/>
      <c r="FQ292" s="515"/>
      <c r="FR292" s="515"/>
      <c r="FS292" s="515"/>
      <c r="FT292" s="515"/>
      <c r="FU292" s="515"/>
      <c r="FV292" s="515"/>
      <c r="FW292" s="515"/>
      <c r="FX292" s="515"/>
      <c r="FY292" s="515"/>
      <c r="FZ292" s="515"/>
      <c r="GA292" s="515"/>
      <c r="GB292" s="515"/>
      <c r="GC292" s="515"/>
      <c r="GD292" s="515"/>
      <c r="GE292" s="515"/>
      <c r="GF292" s="515"/>
      <c r="GG292" s="515"/>
      <c r="GH292" s="515"/>
      <c r="GI292" s="515"/>
      <c r="GJ292" s="515"/>
      <c r="GK292" s="515"/>
      <c r="GL292" s="515"/>
      <c r="GM292" s="515"/>
      <c r="GN292" s="515"/>
    </row>
    <row r="293" spans="1:196" ht="13.8" collapsed="1" x14ac:dyDescent="0.25">
      <c r="C293" s="923">
        <f>1038342-G299</f>
        <v>669714</v>
      </c>
      <c r="D293" s="923">
        <f>C293-G293</f>
        <v>-52638</v>
      </c>
      <c r="E293" s="151" t="s">
        <v>692</v>
      </c>
      <c r="F293" s="145" t="s">
        <v>635</v>
      </c>
      <c r="G293" s="302">
        <v>722352</v>
      </c>
      <c r="H293" s="302">
        <v>923235.59305699996</v>
      </c>
      <c r="I293" s="302">
        <f t="shared" si="38"/>
        <v>200883.59305699996</v>
      </c>
      <c r="J293" s="867">
        <f t="shared" si="37"/>
        <v>0.27809654165420733</v>
      </c>
      <c r="K293" s="220"/>
      <c r="L293" s="224"/>
    </row>
    <row r="294" spans="1:196" s="104" customFormat="1" ht="13.8" hidden="1" outlineLevel="1" x14ac:dyDescent="0.25">
      <c r="A294" s="810" t="s">
        <v>750</v>
      </c>
      <c r="B294" s="810" t="s">
        <v>228</v>
      </c>
      <c r="C294" s="923"/>
      <c r="D294" s="923"/>
      <c r="E294" s="214"/>
      <c r="F294" s="160" t="s">
        <v>228</v>
      </c>
      <c r="G294" s="304">
        <v>299616</v>
      </c>
      <c r="H294" s="304">
        <v>342620.03305699996</v>
      </c>
      <c r="I294" s="439">
        <f t="shared" si="38"/>
        <v>43004.033056999964</v>
      </c>
      <c r="J294" s="894">
        <f t="shared" si="37"/>
        <v>0.14353049589140754</v>
      </c>
      <c r="K294" s="219"/>
      <c r="L294" s="224"/>
      <c r="M294" s="107"/>
      <c r="N294"/>
      <c r="O294"/>
      <c r="P294"/>
      <c r="Q294"/>
      <c r="R294"/>
      <c r="S294"/>
      <c r="T294"/>
      <c r="U294"/>
      <c r="V294"/>
      <c r="W294"/>
      <c r="X294"/>
      <c r="Y294"/>
      <c r="Z294"/>
      <c r="AA294"/>
      <c r="AB294"/>
      <c r="AC294"/>
      <c r="AD294"/>
      <c r="AE294"/>
      <c r="AF294"/>
      <c r="AG294"/>
      <c r="AH294"/>
      <c r="AI294"/>
      <c r="AJ294"/>
      <c r="AK294"/>
      <c r="AL294"/>
      <c r="AM294"/>
      <c r="AN294"/>
      <c r="AO294"/>
      <c r="AP294"/>
      <c r="AQ294"/>
      <c r="AR294"/>
      <c r="AS294"/>
      <c r="AT294"/>
      <c r="AU294"/>
      <c r="AV294"/>
      <c r="AW294"/>
      <c r="AX294"/>
      <c r="AY294"/>
      <c r="AZ294"/>
      <c r="BA294"/>
      <c r="BB294"/>
      <c r="BC294"/>
      <c r="BD294"/>
      <c r="BE294"/>
      <c r="BF294"/>
      <c r="BG294"/>
      <c r="BH294"/>
      <c r="BI294"/>
      <c r="BJ294"/>
      <c r="BK294"/>
      <c r="BL294"/>
      <c r="BM294"/>
      <c r="BN294"/>
      <c r="BO294"/>
      <c r="BP294"/>
      <c r="BQ294"/>
      <c r="BR294"/>
      <c r="BS294"/>
      <c r="BT294"/>
      <c r="BU294"/>
      <c r="BV294"/>
      <c r="BW294"/>
      <c r="BX294"/>
      <c r="BY294"/>
      <c r="BZ294"/>
      <c r="CA294"/>
      <c r="CB294"/>
      <c r="CC294"/>
      <c r="CD294"/>
      <c r="CE294"/>
      <c r="CF294"/>
      <c r="CG294"/>
      <c r="CH294"/>
      <c r="CI294"/>
      <c r="CJ294"/>
      <c r="CK294"/>
      <c r="CL294"/>
      <c r="CM294"/>
      <c r="CN294"/>
      <c r="CO294"/>
      <c r="CP294"/>
      <c r="CQ294"/>
      <c r="CR294"/>
      <c r="CS294"/>
      <c r="CT294"/>
      <c r="CU294"/>
      <c r="CV294"/>
      <c r="CW294"/>
      <c r="CX294"/>
      <c r="CY294"/>
      <c r="CZ294"/>
      <c r="DA294"/>
      <c r="DB294"/>
      <c r="DC294"/>
      <c r="DD294"/>
      <c r="DE294"/>
      <c r="DF294"/>
      <c r="DG294"/>
      <c r="DH294"/>
      <c r="DI294"/>
      <c r="DJ294"/>
      <c r="DK294"/>
      <c r="DL294"/>
      <c r="DM294"/>
      <c r="DN294"/>
      <c r="DO294"/>
      <c r="DP294"/>
      <c r="DQ294"/>
      <c r="DR294"/>
      <c r="DS294"/>
      <c r="DT294"/>
      <c r="DU294"/>
      <c r="DV294"/>
      <c r="DW294"/>
      <c r="DX294"/>
      <c r="DY294"/>
      <c r="DZ294"/>
      <c r="EA294"/>
      <c r="EB294"/>
      <c r="EC294"/>
      <c r="ED294"/>
      <c r="EE294"/>
      <c r="EF294"/>
      <c r="EG294"/>
      <c r="EH294"/>
      <c r="EI294"/>
      <c r="EJ294"/>
      <c r="EK294"/>
      <c r="EL294"/>
      <c r="EM294"/>
      <c r="EN294"/>
      <c r="EO294"/>
      <c r="EP294"/>
      <c r="EQ294"/>
      <c r="ER294"/>
      <c r="ES294"/>
      <c r="ET294"/>
      <c r="EU294"/>
      <c r="EV294"/>
      <c r="EW294"/>
      <c r="EX294"/>
      <c r="EY294"/>
      <c r="EZ294"/>
      <c r="FA294"/>
      <c r="FB294"/>
      <c r="FC294"/>
      <c r="FD294"/>
      <c r="FE294"/>
      <c r="FF294"/>
      <c r="FG294"/>
      <c r="FH294"/>
      <c r="FI294"/>
      <c r="FJ294"/>
      <c r="FK294"/>
      <c r="FL294"/>
      <c r="FM294"/>
      <c r="FN294"/>
      <c r="FO294"/>
      <c r="FP294"/>
      <c r="FQ294"/>
      <c r="FR294"/>
      <c r="FS294"/>
      <c r="FT294"/>
      <c r="FU294"/>
      <c r="FV294"/>
      <c r="FW294"/>
      <c r="FX294"/>
      <c r="FY294"/>
      <c r="FZ294"/>
      <c r="GA294"/>
      <c r="GB294"/>
      <c r="GC294"/>
      <c r="GD294"/>
      <c r="GE294"/>
      <c r="GF294"/>
      <c r="GG294"/>
      <c r="GH294"/>
      <c r="GI294"/>
      <c r="GJ294"/>
      <c r="GK294"/>
      <c r="GL294"/>
      <c r="GM294"/>
      <c r="GN294"/>
    </row>
    <row r="295" spans="1:196" s="104" customFormat="1" ht="69" hidden="1" outlineLevel="1" x14ac:dyDescent="0.25">
      <c r="A295" s="810" t="s">
        <v>750</v>
      </c>
      <c r="B295" s="810" t="s">
        <v>554</v>
      </c>
      <c r="C295" s="923"/>
      <c r="D295" s="923"/>
      <c r="E295" s="214"/>
      <c r="F295" s="160" t="s">
        <v>198</v>
      </c>
      <c r="G295" s="304">
        <v>227381</v>
      </c>
      <c r="H295" s="304">
        <v>315284.56</v>
      </c>
      <c r="I295" s="439">
        <f t="shared" si="38"/>
        <v>87903.56</v>
      </c>
      <c r="J295" s="894">
        <f t="shared" si="37"/>
        <v>0.38659149181330016</v>
      </c>
      <c r="K295" s="458" t="s">
        <v>1649</v>
      </c>
      <c r="L295" s="224"/>
      <c r="M295" s="107"/>
      <c r="N295"/>
      <c r="O295"/>
      <c r="P295"/>
      <c r="Q295"/>
      <c r="R295"/>
      <c r="S295"/>
      <c r="T295"/>
      <c r="U295"/>
      <c r="V295"/>
      <c r="W295"/>
      <c r="X295"/>
      <c r="Y295"/>
      <c r="Z295"/>
      <c r="AA295"/>
      <c r="AB295"/>
      <c r="AC295"/>
      <c r="AD295"/>
      <c r="AE295"/>
      <c r="AF295"/>
      <c r="AG295"/>
      <c r="AH295"/>
      <c r="AI295"/>
      <c r="AJ295"/>
      <c r="AK295"/>
      <c r="AL295"/>
      <c r="AM295"/>
      <c r="AN295"/>
      <c r="AO295"/>
      <c r="AP295"/>
      <c r="AQ295"/>
      <c r="AR295"/>
      <c r="AS295"/>
      <c r="AT295"/>
      <c r="AU295"/>
      <c r="AV295"/>
      <c r="AW295"/>
      <c r="AX295"/>
      <c r="AY295"/>
      <c r="AZ295"/>
      <c r="BA295"/>
      <c r="BB295"/>
      <c r="BC295"/>
      <c r="BD295"/>
      <c r="BE295"/>
      <c r="BF295"/>
      <c r="BG295"/>
      <c r="BH295"/>
      <c r="BI295"/>
      <c r="BJ295"/>
      <c r="BK295"/>
      <c r="BL295"/>
      <c r="BM295"/>
      <c r="BN295"/>
      <c r="BO295"/>
      <c r="BP295"/>
      <c r="BQ295"/>
      <c r="BR295"/>
      <c r="BS295"/>
      <c r="BT295"/>
      <c r="BU295"/>
      <c r="BV295"/>
      <c r="BW295"/>
      <c r="BX295"/>
      <c r="BY295"/>
      <c r="BZ295"/>
      <c r="CA295"/>
      <c r="CB295"/>
      <c r="CC295"/>
      <c r="CD295"/>
      <c r="CE295"/>
      <c r="CF295"/>
      <c r="CG295"/>
      <c r="CH295"/>
      <c r="CI295"/>
      <c r="CJ295"/>
      <c r="CK295"/>
      <c r="CL295"/>
      <c r="CM295"/>
      <c r="CN295"/>
      <c r="CO295"/>
      <c r="CP295"/>
      <c r="CQ295"/>
      <c r="CR295"/>
      <c r="CS295"/>
      <c r="CT295"/>
      <c r="CU295"/>
      <c r="CV295"/>
      <c r="CW295"/>
      <c r="CX295"/>
      <c r="CY295"/>
      <c r="CZ295"/>
      <c r="DA295"/>
      <c r="DB295"/>
      <c r="DC295"/>
      <c r="DD295"/>
      <c r="DE295"/>
      <c r="DF295"/>
      <c r="DG295"/>
      <c r="DH295"/>
      <c r="DI295"/>
      <c r="DJ295"/>
      <c r="DK295"/>
      <c r="DL295"/>
      <c r="DM295"/>
      <c r="DN295"/>
      <c r="DO295"/>
      <c r="DP295"/>
      <c r="DQ295"/>
      <c r="DR295"/>
      <c r="DS295"/>
      <c r="DT295"/>
      <c r="DU295"/>
      <c r="DV295"/>
      <c r="DW295"/>
      <c r="DX295"/>
      <c r="DY295"/>
      <c r="DZ295"/>
      <c r="EA295"/>
      <c r="EB295"/>
      <c r="EC295"/>
      <c r="ED295"/>
      <c r="EE295"/>
      <c r="EF295"/>
      <c r="EG295"/>
      <c r="EH295"/>
      <c r="EI295"/>
      <c r="EJ295"/>
      <c r="EK295"/>
      <c r="EL295"/>
      <c r="EM295"/>
      <c r="EN295"/>
      <c r="EO295"/>
      <c r="EP295"/>
      <c r="EQ295"/>
      <c r="ER295"/>
      <c r="ES295"/>
      <c r="ET295"/>
      <c r="EU295"/>
      <c r="EV295"/>
      <c r="EW295"/>
      <c r="EX295"/>
      <c r="EY295"/>
      <c r="EZ295"/>
      <c r="FA295"/>
      <c r="FB295"/>
      <c r="FC295"/>
      <c r="FD295"/>
      <c r="FE295"/>
      <c r="FF295"/>
      <c r="FG295"/>
      <c r="FH295"/>
      <c r="FI295"/>
      <c r="FJ295"/>
      <c r="FK295"/>
      <c r="FL295"/>
      <c r="FM295"/>
      <c r="FN295"/>
      <c r="FO295"/>
      <c r="FP295"/>
      <c r="FQ295"/>
      <c r="FR295"/>
      <c r="FS295"/>
      <c r="FT295"/>
      <c r="FU295"/>
      <c r="FV295"/>
      <c r="FW295"/>
      <c r="FX295"/>
      <c r="FY295"/>
      <c r="FZ295"/>
      <c r="GA295"/>
      <c r="GB295"/>
      <c r="GC295"/>
      <c r="GD295"/>
      <c r="GE295"/>
      <c r="GF295"/>
      <c r="GG295"/>
      <c r="GH295"/>
      <c r="GI295"/>
      <c r="GJ295"/>
      <c r="GK295"/>
      <c r="GL295"/>
      <c r="GM295"/>
      <c r="GN295"/>
    </row>
    <row r="296" spans="1:196" s="104" customFormat="1" ht="13.8" hidden="1" outlineLevel="1" x14ac:dyDescent="0.25">
      <c r="A296" s="810" t="s">
        <v>750</v>
      </c>
      <c r="B296" s="810" t="s">
        <v>1269</v>
      </c>
      <c r="C296" s="923"/>
      <c r="D296" s="923"/>
      <c r="E296" s="500"/>
      <c r="F296" s="1000" t="s">
        <v>1269</v>
      </c>
      <c r="G296" s="304">
        <v>168969</v>
      </c>
      <c r="H296" s="304">
        <v>241081</v>
      </c>
      <c r="I296" s="439">
        <f t="shared" ref="I296" si="39">H296-G296</f>
        <v>72112</v>
      </c>
      <c r="J296" s="894">
        <f t="shared" ref="J296" si="40">IFERROR(I296/G296,"-")</f>
        <v>0.42677650930052258</v>
      </c>
      <c r="K296" s="1002" t="s">
        <v>1277</v>
      </c>
      <c r="L296" s="224"/>
      <c r="M296" s="107"/>
      <c r="N296"/>
      <c r="O296"/>
      <c r="P296"/>
      <c r="Q296"/>
      <c r="R296"/>
      <c r="S296"/>
      <c r="T296"/>
      <c r="U296"/>
      <c r="V296"/>
      <c r="W296"/>
      <c r="X296"/>
      <c r="Y296"/>
      <c r="Z296"/>
      <c r="AA296"/>
      <c r="AB296"/>
      <c r="AC296"/>
      <c r="AD296"/>
      <c r="AE296"/>
      <c r="AF296"/>
      <c r="AG296"/>
      <c r="AH296"/>
      <c r="AI296"/>
      <c r="AJ296"/>
      <c r="AK296"/>
      <c r="AL296"/>
      <c r="AM296"/>
      <c r="AN296"/>
      <c r="AO296"/>
      <c r="AP296"/>
      <c r="AQ296"/>
      <c r="AR296"/>
      <c r="AS296"/>
      <c r="AT296"/>
      <c r="AU296"/>
      <c r="AV296"/>
      <c r="AW296"/>
      <c r="AX296"/>
      <c r="AY296"/>
      <c r="AZ296"/>
      <c r="BA296"/>
      <c r="BB296"/>
      <c r="BC296"/>
      <c r="BD296"/>
      <c r="BE296"/>
      <c r="BF296"/>
      <c r="BG296"/>
      <c r="BH296"/>
      <c r="BI296"/>
      <c r="BJ296"/>
      <c r="BK296"/>
      <c r="BL296"/>
      <c r="BM296"/>
      <c r="BN296"/>
      <c r="BO296"/>
      <c r="BP296"/>
      <c r="BQ296"/>
      <c r="BR296"/>
      <c r="BS296"/>
      <c r="BT296"/>
      <c r="BU296"/>
      <c r="BV296"/>
      <c r="BW296"/>
      <c r="BX296"/>
      <c r="BY296"/>
      <c r="BZ296"/>
      <c r="CA296"/>
      <c r="CB296"/>
      <c r="CC296"/>
      <c r="CD296"/>
      <c r="CE296"/>
      <c r="CF296"/>
      <c r="CG296"/>
      <c r="CH296"/>
      <c r="CI296"/>
      <c r="CJ296"/>
      <c r="CK296"/>
      <c r="CL296"/>
      <c r="CM296"/>
      <c r="CN296"/>
      <c r="CO296"/>
      <c r="CP296"/>
      <c r="CQ296"/>
      <c r="CR296"/>
      <c r="CS296"/>
      <c r="CT296"/>
      <c r="CU296"/>
      <c r="CV296"/>
      <c r="CW296"/>
      <c r="CX296"/>
      <c r="CY296"/>
      <c r="CZ296"/>
      <c r="DA296"/>
      <c r="DB296"/>
      <c r="DC296"/>
      <c r="DD296"/>
      <c r="DE296"/>
      <c r="DF296"/>
      <c r="DG296"/>
      <c r="DH296"/>
      <c r="DI296"/>
      <c r="DJ296"/>
      <c r="DK296"/>
      <c r="DL296"/>
      <c r="DM296"/>
      <c r="DN296"/>
      <c r="DO296"/>
      <c r="DP296"/>
      <c r="DQ296"/>
      <c r="DR296"/>
      <c r="DS296"/>
      <c r="DT296"/>
      <c r="DU296"/>
      <c r="DV296"/>
      <c r="DW296"/>
      <c r="DX296"/>
      <c r="DY296"/>
      <c r="DZ296"/>
      <c r="EA296"/>
      <c r="EB296"/>
      <c r="EC296"/>
      <c r="ED296"/>
      <c r="EE296"/>
      <c r="EF296"/>
      <c r="EG296"/>
      <c r="EH296"/>
      <c r="EI296"/>
      <c r="EJ296"/>
      <c r="EK296"/>
      <c r="EL296"/>
      <c r="EM296"/>
      <c r="EN296"/>
      <c r="EO296"/>
      <c r="EP296"/>
      <c r="EQ296"/>
      <c r="ER296"/>
      <c r="ES296"/>
      <c r="ET296"/>
      <c r="EU296"/>
      <c r="EV296"/>
      <c r="EW296"/>
      <c r="EX296"/>
      <c r="EY296"/>
      <c r="EZ296"/>
      <c r="FA296"/>
      <c r="FB296"/>
      <c r="FC296"/>
      <c r="FD296"/>
      <c r="FE296"/>
      <c r="FF296"/>
      <c r="FG296"/>
      <c r="FH296"/>
      <c r="FI296"/>
      <c r="FJ296"/>
      <c r="FK296"/>
      <c r="FL296"/>
      <c r="FM296"/>
      <c r="FN296"/>
      <c r="FO296"/>
      <c r="FP296"/>
      <c r="FQ296"/>
      <c r="FR296"/>
      <c r="FS296"/>
      <c r="FT296"/>
      <c r="FU296"/>
      <c r="FV296"/>
      <c r="FW296"/>
      <c r="FX296"/>
      <c r="FY296"/>
      <c r="FZ296"/>
      <c r="GA296"/>
      <c r="GB296"/>
      <c r="GC296"/>
      <c r="GD296"/>
      <c r="GE296"/>
      <c r="GF296"/>
      <c r="GG296"/>
      <c r="GH296"/>
      <c r="GI296"/>
      <c r="GJ296"/>
      <c r="GK296"/>
      <c r="GL296"/>
      <c r="GM296"/>
      <c r="GN296"/>
    </row>
    <row r="297" spans="1:196" s="216" customFormat="1" ht="13.8" hidden="1" outlineLevel="1" x14ac:dyDescent="0.25">
      <c r="A297" s="810" t="s">
        <v>750</v>
      </c>
      <c r="B297" s="810" t="s">
        <v>556</v>
      </c>
      <c r="C297" s="923"/>
      <c r="D297" s="923"/>
      <c r="E297" s="162"/>
      <c r="F297" s="163" t="s">
        <v>197</v>
      </c>
      <c r="G297" s="304">
        <v>26386</v>
      </c>
      <c r="H297" s="304">
        <v>24250</v>
      </c>
      <c r="I297" s="439">
        <f t="shared" si="38"/>
        <v>-2136</v>
      </c>
      <c r="J297" s="894">
        <f t="shared" si="37"/>
        <v>-8.0952020010611692E-2</v>
      </c>
      <c r="K297" s="318"/>
      <c r="L297" s="224"/>
      <c r="M297" s="1114"/>
      <c r="N297" s="223"/>
      <c r="O297" s="223"/>
      <c r="P297" s="223"/>
      <c r="Q297" s="223"/>
      <c r="R297" s="223"/>
      <c r="S297" s="223"/>
      <c r="T297" s="223"/>
      <c r="U297" s="223"/>
      <c r="V297" s="223"/>
      <c r="W297" s="223"/>
      <c r="X297" s="223"/>
      <c r="Y297" s="223"/>
      <c r="Z297" s="223"/>
      <c r="AA297" s="223"/>
      <c r="AB297" s="223"/>
      <c r="AC297" s="223"/>
      <c r="AD297" s="223"/>
      <c r="AE297" s="223"/>
      <c r="AF297" s="223"/>
      <c r="AG297" s="223"/>
      <c r="AH297" s="223"/>
      <c r="AI297" s="223"/>
      <c r="AJ297" s="223"/>
      <c r="AK297" s="223"/>
      <c r="AL297" s="223"/>
      <c r="AM297" s="223"/>
      <c r="AN297" s="223"/>
      <c r="AO297" s="223"/>
      <c r="AP297" s="223"/>
      <c r="AQ297" s="223"/>
      <c r="AR297" s="223"/>
      <c r="AS297" s="223"/>
      <c r="AT297" s="223"/>
      <c r="AU297" s="223"/>
      <c r="AV297" s="223"/>
      <c r="AW297" s="223"/>
      <c r="AX297" s="223"/>
      <c r="AY297" s="223"/>
      <c r="AZ297" s="223"/>
      <c r="BA297" s="223"/>
      <c r="BB297" s="223"/>
      <c r="BC297" s="223"/>
      <c r="BD297" s="223"/>
      <c r="BE297" s="223"/>
      <c r="BF297" s="223"/>
      <c r="BG297" s="223"/>
      <c r="BH297" s="223"/>
      <c r="BI297" s="223"/>
      <c r="BJ297" s="223"/>
      <c r="BK297" s="223"/>
      <c r="BL297" s="223"/>
      <c r="BM297" s="223"/>
      <c r="BN297" s="223"/>
      <c r="BO297" s="223"/>
      <c r="BP297" s="223"/>
      <c r="BQ297" s="223"/>
      <c r="BR297" s="223"/>
      <c r="BS297" s="223"/>
      <c r="BT297" s="223"/>
      <c r="BU297" s="223"/>
      <c r="BV297" s="223"/>
      <c r="BW297" s="223"/>
      <c r="BX297" s="223"/>
      <c r="BY297" s="223"/>
      <c r="BZ297" s="223"/>
      <c r="CA297" s="223"/>
      <c r="CB297" s="223"/>
      <c r="CC297" s="223"/>
      <c r="CD297" s="223"/>
      <c r="CE297" s="223"/>
      <c r="CF297" s="223"/>
      <c r="CG297" s="223"/>
      <c r="CH297" s="223"/>
      <c r="CI297" s="223"/>
      <c r="CJ297" s="223"/>
      <c r="CK297" s="223"/>
      <c r="CL297" s="223"/>
      <c r="CM297" s="223"/>
      <c r="CN297" s="223"/>
      <c r="CO297" s="223"/>
      <c r="CP297" s="223"/>
      <c r="CQ297" s="223"/>
      <c r="CR297" s="223"/>
      <c r="CS297" s="223"/>
      <c r="CT297" s="223"/>
      <c r="CU297" s="223"/>
      <c r="CV297" s="223"/>
      <c r="CW297" s="223"/>
      <c r="CX297" s="223"/>
      <c r="CY297" s="223"/>
      <c r="CZ297" s="223"/>
      <c r="DA297" s="223"/>
      <c r="DB297" s="223"/>
      <c r="DC297" s="223"/>
      <c r="DD297" s="223"/>
      <c r="DE297" s="223"/>
      <c r="DF297" s="223"/>
      <c r="DG297" s="223"/>
      <c r="DH297" s="223"/>
      <c r="DI297" s="223"/>
      <c r="DJ297" s="223"/>
      <c r="DK297" s="223"/>
      <c r="DL297" s="223"/>
      <c r="DM297" s="223"/>
      <c r="DN297" s="223"/>
      <c r="DO297" s="223"/>
      <c r="DP297" s="223"/>
      <c r="DQ297" s="223"/>
      <c r="DR297" s="223"/>
      <c r="DS297" s="223"/>
      <c r="DT297" s="223"/>
      <c r="DU297" s="223"/>
      <c r="DV297" s="223"/>
      <c r="DW297" s="223"/>
      <c r="DX297" s="223"/>
      <c r="DY297" s="223"/>
      <c r="DZ297" s="223"/>
      <c r="EA297" s="223"/>
      <c r="EB297" s="223"/>
      <c r="EC297" s="223"/>
      <c r="ED297" s="223"/>
      <c r="EE297" s="223"/>
      <c r="EF297" s="223"/>
      <c r="EG297" s="223"/>
      <c r="EH297" s="223"/>
      <c r="EI297" s="223"/>
      <c r="EJ297" s="223"/>
      <c r="EK297" s="223"/>
      <c r="EL297" s="223"/>
      <c r="EM297" s="223"/>
      <c r="EN297" s="223"/>
      <c r="EO297" s="223"/>
      <c r="EP297" s="223"/>
      <c r="EQ297" s="223"/>
      <c r="ER297" s="223"/>
      <c r="ES297" s="223"/>
      <c r="ET297" s="223"/>
      <c r="EU297" s="223"/>
      <c r="EV297" s="223"/>
      <c r="EW297" s="223"/>
      <c r="EX297" s="223"/>
      <c r="EY297" s="223"/>
      <c r="EZ297" s="223"/>
      <c r="FA297" s="223"/>
      <c r="FB297" s="223"/>
      <c r="FC297" s="223"/>
      <c r="FD297" s="223"/>
      <c r="FE297" s="223"/>
      <c r="FF297" s="223"/>
      <c r="FG297" s="223"/>
      <c r="FH297" s="223"/>
      <c r="FI297" s="223"/>
      <c r="FJ297" s="223"/>
      <c r="FK297" s="223"/>
      <c r="FL297" s="223"/>
      <c r="FM297" s="223"/>
      <c r="FN297" s="223"/>
      <c r="FO297" s="223"/>
      <c r="FP297" s="223"/>
      <c r="FQ297" s="223"/>
      <c r="FR297" s="223"/>
      <c r="FS297" s="223"/>
      <c r="FT297" s="223"/>
      <c r="FU297" s="223"/>
      <c r="FV297" s="223"/>
      <c r="FW297" s="223"/>
      <c r="FX297" s="223"/>
      <c r="FY297" s="223"/>
      <c r="FZ297" s="223"/>
      <c r="GA297" s="223"/>
      <c r="GB297" s="223"/>
      <c r="GC297" s="223"/>
      <c r="GD297" s="223"/>
      <c r="GE297" s="223"/>
      <c r="GF297" s="223"/>
      <c r="GG297" s="223"/>
      <c r="GH297" s="223"/>
      <c r="GI297" s="223"/>
      <c r="GJ297" s="223"/>
      <c r="GK297" s="223"/>
      <c r="GL297" s="223"/>
      <c r="GM297" s="223"/>
      <c r="GN297" s="223"/>
    </row>
    <row r="298" spans="1:196" s="525" customFormat="1" ht="13.8" hidden="1" outlineLevel="1" x14ac:dyDescent="0.25">
      <c r="A298" s="1407" t="s">
        <v>751</v>
      </c>
      <c r="B298" s="1407" t="s">
        <v>182</v>
      </c>
      <c r="C298" s="1408">
        <f>23538+755295</f>
        <v>778833</v>
      </c>
      <c r="D298" s="1408">
        <f>C298-G298</f>
        <v>0</v>
      </c>
      <c r="E298" s="523"/>
      <c r="F298" s="520" t="s">
        <v>167</v>
      </c>
      <c r="G298" s="301">
        <v>778833.00000000012</v>
      </c>
      <c r="H298" s="505">
        <v>1001036</v>
      </c>
      <c r="I298" s="513">
        <f t="shared" si="38"/>
        <v>222202.99999999988</v>
      </c>
      <c r="J298" s="892">
        <f t="shared" si="37"/>
        <v>0.28530249745452474</v>
      </c>
      <c r="K298" s="1450"/>
      <c r="L298" s="1409"/>
      <c r="M298" s="1116"/>
      <c r="N298" s="515"/>
      <c r="O298" s="515"/>
      <c r="P298" s="515"/>
      <c r="Q298" s="515"/>
      <c r="R298" s="515"/>
      <c r="S298" s="515"/>
      <c r="T298" s="515"/>
      <c r="U298" s="515"/>
      <c r="V298" s="515"/>
      <c r="W298" s="515"/>
      <c r="X298" s="515"/>
      <c r="Y298" s="515"/>
      <c r="Z298" s="515"/>
      <c r="AA298" s="515"/>
      <c r="AB298" s="515"/>
      <c r="AC298" s="515"/>
      <c r="AD298" s="515"/>
      <c r="AE298" s="515"/>
      <c r="AF298" s="515"/>
      <c r="AG298" s="515"/>
      <c r="AH298" s="515"/>
      <c r="AI298" s="515"/>
      <c r="AJ298" s="515"/>
      <c r="AK298" s="515"/>
      <c r="AL298" s="515"/>
      <c r="AM298" s="515"/>
      <c r="AN298" s="515"/>
      <c r="AO298" s="515"/>
      <c r="AP298" s="515"/>
      <c r="AQ298" s="515"/>
      <c r="AR298" s="515"/>
      <c r="AS298" s="515"/>
      <c r="AT298" s="515"/>
      <c r="AU298" s="515"/>
      <c r="AV298" s="515"/>
      <c r="AW298" s="515"/>
      <c r="AX298" s="515"/>
      <c r="AY298" s="515"/>
      <c r="AZ298" s="515"/>
      <c r="BA298" s="515"/>
      <c r="BB298" s="515"/>
      <c r="BC298" s="515"/>
      <c r="BD298" s="515"/>
      <c r="BE298" s="515"/>
      <c r="BF298" s="515"/>
      <c r="BG298" s="515"/>
      <c r="BH298" s="515"/>
      <c r="BI298" s="515"/>
      <c r="BJ298" s="515"/>
      <c r="BK298" s="515"/>
      <c r="BL298" s="515"/>
      <c r="BM298" s="515"/>
      <c r="BN298" s="515"/>
      <c r="BO298" s="515"/>
      <c r="BP298" s="515"/>
      <c r="BQ298" s="515"/>
      <c r="BR298" s="515"/>
      <c r="BS298" s="515"/>
      <c r="BT298" s="515"/>
      <c r="BU298" s="515"/>
      <c r="BV298" s="515"/>
      <c r="BW298" s="515"/>
      <c r="BX298" s="515"/>
      <c r="BY298" s="515"/>
      <c r="BZ298" s="515"/>
      <c r="CA298" s="515"/>
      <c r="CB298" s="515"/>
      <c r="CC298" s="515"/>
      <c r="CD298" s="515"/>
      <c r="CE298" s="515"/>
      <c r="CF298" s="515"/>
      <c r="CG298" s="515"/>
      <c r="CH298" s="515"/>
      <c r="CI298" s="515"/>
      <c r="CJ298" s="515"/>
      <c r="CK298" s="515"/>
      <c r="CL298" s="515"/>
      <c r="CM298" s="515"/>
      <c r="CN298" s="515"/>
      <c r="CO298" s="515"/>
      <c r="CP298" s="515"/>
      <c r="CQ298" s="515"/>
      <c r="CR298" s="515"/>
      <c r="CS298" s="515"/>
      <c r="CT298" s="515"/>
      <c r="CU298" s="515"/>
      <c r="CV298" s="515"/>
      <c r="CW298" s="515"/>
      <c r="CX298" s="515"/>
      <c r="CY298" s="515"/>
      <c r="CZ298" s="515"/>
      <c r="DA298" s="515"/>
      <c r="DB298" s="515"/>
      <c r="DC298" s="515"/>
      <c r="DD298" s="515"/>
      <c r="DE298" s="515"/>
      <c r="DF298" s="515"/>
      <c r="DG298" s="515"/>
      <c r="DH298" s="515"/>
      <c r="DI298" s="515"/>
      <c r="DJ298" s="515"/>
      <c r="DK298" s="515"/>
      <c r="DL298" s="515"/>
      <c r="DM298" s="515"/>
      <c r="DN298" s="515"/>
      <c r="DO298" s="515"/>
      <c r="DP298" s="515"/>
      <c r="DQ298" s="515"/>
      <c r="DR298" s="515"/>
      <c r="DS298" s="515"/>
      <c r="DT298" s="515"/>
      <c r="DU298" s="515"/>
      <c r="DV298" s="515"/>
      <c r="DW298" s="515"/>
      <c r="DX298" s="515"/>
      <c r="DY298" s="515"/>
      <c r="DZ298" s="515"/>
      <c r="EA298" s="515"/>
      <c r="EB298" s="515"/>
      <c r="EC298" s="515"/>
      <c r="ED298" s="515"/>
      <c r="EE298" s="515"/>
      <c r="EF298" s="515"/>
      <c r="EG298" s="515"/>
      <c r="EH298" s="515"/>
      <c r="EI298" s="515"/>
      <c r="EJ298" s="515"/>
      <c r="EK298" s="515"/>
      <c r="EL298" s="515"/>
      <c r="EM298" s="515"/>
      <c r="EN298" s="515"/>
      <c r="EO298" s="515"/>
      <c r="EP298" s="515"/>
      <c r="EQ298" s="515"/>
      <c r="ER298" s="515"/>
      <c r="ES298" s="515"/>
      <c r="ET298" s="515"/>
      <c r="EU298" s="515"/>
      <c r="EV298" s="515"/>
      <c r="EW298" s="515"/>
      <c r="EX298" s="515"/>
      <c r="EY298" s="515"/>
      <c r="EZ298" s="515"/>
      <c r="FA298" s="515"/>
      <c r="FB298" s="515"/>
      <c r="FC298" s="515"/>
      <c r="FD298" s="515"/>
      <c r="FE298" s="515"/>
      <c r="FF298" s="515"/>
      <c r="FG298" s="515"/>
      <c r="FH298" s="515"/>
      <c r="FI298" s="515"/>
      <c r="FJ298" s="515"/>
      <c r="FK298" s="515"/>
      <c r="FL298" s="515"/>
      <c r="FM298" s="515"/>
      <c r="FN298" s="515"/>
      <c r="FO298" s="515"/>
      <c r="FP298" s="515"/>
      <c r="FQ298" s="515"/>
      <c r="FR298" s="515"/>
      <c r="FS298" s="515"/>
      <c r="FT298" s="515"/>
      <c r="FU298" s="515"/>
      <c r="FV298" s="515"/>
      <c r="FW298" s="515"/>
      <c r="FX298" s="515"/>
      <c r="FY298" s="515"/>
      <c r="FZ298" s="515"/>
      <c r="GA298" s="515"/>
      <c r="GB298" s="515"/>
      <c r="GC298" s="515"/>
      <c r="GD298" s="515"/>
      <c r="GE298" s="515"/>
      <c r="GF298" s="515"/>
      <c r="GG298" s="515"/>
      <c r="GH298" s="515"/>
      <c r="GI298" s="515"/>
      <c r="GJ298" s="515"/>
      <c r="GK298" s="515"/>
      <c r="GL298" s="515"/>
      <c r="GM298" s="515"/>
      <c r="GN298" s="515"/>
    </row>
    <row r="299" spans="1:196" s="525" customFormat="1" ht="13.8" hidden="1" outlineLevel="1" x14ac:dyDescent="0.25">
      <c r="A299" s="1407" t="s">
        <v>750</v>
      </c>
      <c r="B299" s="1407" t="s">
        <v>555</v>
      </c>
      <c r="C299" s="1408"/>
      <c r="D299" s="1408"/>
      <c r="E299" s="523"/>
      <c r="F299" s="520" t="s">
        <v>555</v>
      </c>
      <c r="G299" s="301">
        <v>368628</v>
      </c>
      <c r="H299" s="505">
        <v>16500</v>
      </c>
      <c r="I299" s="513">
        <f t="shared" si="38"/>
        <v>-352128</v>
      </c>
      <c r="J299" s="892">
        <f t="shared" si="37"/>
        <v>-0.95523942836680886</v>
      </c>
      <c r="K299" s="1450"/>
      <c r="L299" s="1409"/>
      <c r="M299" s="1116"/>
      <c r="N299" s="515"/>
      <c r="O299" s="515"/>
      <c r="P299" s="515"/>
      <c r="Q299" s="515"/>
      <c r="R299" s="515"/>
      <c r="S299" s="515"/>
      <c r="T299" s="515"/>
      <c r="U299" s="515"/>
      <c r="V299" s="515"/>
      <c r="W299" s="515"/>
      <c r="X299" s="515"/>
      <c r="Y299" s="515"/>
      <c r="Z299" s="515"/>
      <c r="AA299" s="515"/>
      <c r="AB299" s="515"/>
      <c r="AC299" s="515"/>
      <c r="AD299" s="515"/>
      <c r="AE299" s="515"/>
      <c r="AF299" s="515"/>
      <c r="AG299" s="515"/>
      <c r="AH299" s="515"/>
      <c r="AI299" s="515"/>
      <c r="AJ299" s="515"/>
      <c r="AK299" s="515"/>
      <c r="AL299" s="515"/>
      <c r="AM299" s="515"/>
      <c r="AN299" s="515"/>
      <c r="AO299" s="515"/>
      <c r="AP299" s="515"/>
      <c r="AQ299" s="515"/>
      <c r="AR299" s="515"/>
      <c r="AS299" s="515"/>
      <c r="AT299" s="515"/>
      <c r="AU299" s="515"/>
      <c r="AV299" s="515"/>
      <c r="AW299" s="515"/>
      <c r="AX299" s="515"/>
      <c r="AY299" s="515"/>
      <c r="AZ299" s="515"/>
      <c r="BA299" s="515"/>
      <c r="BB299" s="515"/>
      <c r="BC299" s="515"/>
      <c r="BD299" s="515"/>
      <c r="BE299" s="515"/>
      <c r="BF299" s="515"/>
      <c r="BG299" s="515"/>
      <c r="BH299" s="515"/>
      <c r="BI299" s="515"/>
      <c r="BJ299" s="515"/>
      <c r="BK299" s="515"/>
      <c r="BL299" s="515"/>
      <c r="BM299" s="515"/>
      <c r="BN299" s="515"/>
      <c r="BO299" s="515"/>
      <c r="BP299" s="515"/>
      <c r="BQ299" s="515"/>
      <c r="BR299" s="515"/>
      <c r="BS299" s="515"/>
      <c r="BT299" s="515"/>
      <c r="BU299" s="515"/>
      <c r="BV299" s="515"/>
      <c r="BW299" s="515"/>
      <c r="BX299" s="515"/>
      <c r="BY299" s="515"/>
      <c r="BZ299" s="515"/>
      <c r="CA299" s="515"/>
      <c r="CB299" s="515"/>
      <c r="CC299" s="515"/>
      <c r="CD299" s="515"/>
      <c r="CE299" s="515"/>
      <c r="CF299" s="515"/>
      <c r="CG299" s="515"/>
      <c r="CH299" s="515"/>
      <c r="CI299" s="515"/>
      <c r="CJ299" s="515"/>
      <c r="CK299" s="515"/>
      <c r="CL299" s="515"/>
      <c r="CM299" s="515"/>
      <c r="CN299" s="515"/>
      <c r="CO299" s="515"/>
      <c r="CP299" s="515"/>
      <c r="CQ299" s="515"/>
      <c r="CR299" s="515"/>
      <c r="CS299" s="515"/>
      <c r="CT299" s="515"/>
      <c r="CU299" s="515"/>
      <c r="CV299" s="515"/>
      <c r="CW299" s="515"/>
      <c r="CX299" s="515"/>
      <c r="CY299" s="515"/>
      <c r="CZ299" s="515"/>
      <c r="DA299" s="515"/>
      <c r="DB299" s="515"/>
      <c r="DC299" s="515"/>
      <c r="DD299" s="515"/>
      <c r="DE299" s="515"/>
      <c r="DF299" s="515"/>
      <c r="DG299" s="515"/>
      <c r="DH299" s="515"/>
      <c r="DI299" s="515"/>
      <c r="DJ299" s="515"/>
      <c r="DK299" s="515"/>
      <c r="DL299" s="515"/>
      <c r="DM299" s="515"/>
      <c r="DN299" s="515"/>
      <c r="DO299" s="515"/>
      <c r="DP299" s="515"/>
      <c r="DQ299" s="515"/>
      <c r="DR299" s="515"/>
      <c r="DS299" s="515"/>
      <c r="DT299" s="515"/>
      <c r="DU299" s="515"/>
      <c r="DV299" s="515"/>
      <c r="DW299" s="515"/>
      <c r="DX299" s="515"/>
      <c r="DY299" s="515"/>
      <c r="DZ299" s="515"/>
      <c r="EA299" s="515"/>
      <c r="EB299" s="515"/>
      <c r="EC299" s="515"/>
      <c r="ED299" s="515"/>
      <c r="EE299" s="515"/>
      <c r="EF299" s="515"/>
      <c r="EG299" s="515"/>
      <c r="EH299" s="515"/>
      <c r="EI299" s="515"/>
      <c r="EJ299" s="515"/>
      <c r="EK299" s="515"/>
      <c r="EL299" s="515"/>
      <c r="EM299" s="515"/>
      <c r="EN299" s="515"/>
      <c r="EO299" s="515"/>
      <c r="EP299" s="515"/>
      <c r="EQ299" s="515"/>
      <c r="ER299" s="515"/>
      <c r="ES299" s="515"/>
      <c r="ET299" s="515"/>
      <c r="EU299" s="515"/>
      <c r="EV299" s="515"/>
      <c r="EW299" s="515"/>
      <c r="EX299" s="515"/>
      <c r="EY299" s="515"/>
      <c r="EZ299" s="515"/>
      <c r="FA299" s="515"/>
      <c r="FB299" s="515"/>
      <c r="FC299" s="515"/>
      <c r="FD299" s="515"/>
      <c r="FE299" s="515"/>
      <c r="FF299" s="515"/>
      <c r="FG299" s="515"/>
      <c r="FH299" s="515"/>
      <c r="FI299" s="515"/>
      <c r="FJ299" s="515"/>
      <c r="FK299" s="515"/>
      <c r="FL299" s="515"/>
      <c r="FM299" s="515"/>
      <c r="FN299" s="515"/>
      <c r="FO299" s="515"/>
      <c r="FP299" s="515"/>
      <c r="FQ299" s="515"/>
      <c r="FR299" s="515"/>
      <c r="FS299" s="515"/>
      <c r="FT299" s="515"/>
      <c r="FU299" s="515"/>
      <c r="FV299" s="515"/>
      <c r="FW299" s="515"/>
      <c r="FX299" s="515"/>
      <c r="FY299" s="515"/>
      <c r="FZ299" s="515"/>
      <c r="GA299" s="515"/>
      <c r="GB299" s="515"/>
      <c r="GC299" s="515"/>
      <c r="GD299" s="515"/>
      <c r="GE299" s="515"/>
      <c r="GF299" s="515"/>
      <c r="GG299" s="515"/>
      <c r="GH299" s="515"/>
      <c r="GI299" s="515"/>
      <c r="GJ299" s="515"/>
      <c r="GK299" s="515"/>
      <c r="GL299" s="515"/>
      <c r="GM299" s="515"/>
      <c r="GN299" s="515"/>
    </row>
    <row r="300" spans="1:196" s="525" customFormat="1" ht="16.2" hidden="1" customHeight="1" outlineLevel="1" x14ac:dyDescent="0.25">
      <c r="A300" s="1407" t="s">
        <v>750</v>
      </c>
      <c r="B300" s="1407" t="s">
        <v>192</v>
      </c>
      <c r="C300" s="1408">
        <v>5643340</v>
      </c>
      <c r="D300" s="1408">
        <f>C300-G300</f>
        <v>99207</v>
      </c>
      <c r="E300" s="528"/>
      <c r="F300" s="1097" t="s">
        <v>43</v>
      </c>
      <c r="G300" s="301">
        <v>5544133</v>
      </c>
      <c r="H300" s="505">
        <v>0</v>
      </c>
      <c r="I300" s="513">
        <f t="shared" si="38"/>
        <v>-5544133</v>
      </c>
      <c r="J300" s="892">
        <f t="shared" si="37"/>
        <v>-1</v>
      </c>
      <c r="K300" s="1450"/>
      <c r="L300" s="1409"/>
      <c r="M300" s="1116"/>
      <c r="N300" s="515"/>
      <c r="O300" s="515"/>
      <c r="P300" s="515"/>
      <c r="Q300" s="515"/>
      <c r="R300" s="515"/>
      <c r="S300" s="515"/>
      <c r="T300" s="515"/>
      <c r="U300" s="515"/>
      <c r="V300" s="515"/>
      <c r="W300" s="515"/>
      <c r="X300" s="515"/>
      <c r="Y300" s="515"/>
      <c r="Z300" s="515"/>
      <c r="AA300" s="515"/>
      <c r="AB300" s="515"/>
      <c r="AC300" s="515"/>
      <c r="AD300" s="515"/>
      <c r="AE300" s="515"/>
      <c r="AF300" s="515"/>
      <c r="AG300" s="515"/>
      <c r="AH300" s="515"/>
      <c r="AI300" s="515"/>
      <c r="AJ300" s="515"/>
      <c r="AK300" s="515"/>
      <c r="AL300" s="515"/>
      <c r="AM300" s="515"/>
      <c r="AN300" s="515"/>
      <c r="AO300" s="515"/>
      <c r="AP300" s="515"/>
      <c r="AQ300" s="515"/>
      <c r="AR300" s="515"/>
      <c r="AS300" s="515"/>
      <c r="AT300" s="515"/>
      <c r="AU300" s="515"/>
      <c r="AV300" s="515"/>
      <c r="AW300" s="515"/>
      <c r="AX300" s="515"/>
      <c r="AY300" s="515"/>
      <c r="AZ300" s="515"/>
      <c r="BA300" s="515"/>
      <c r="BB300" s="515"/>
      <c r="BC300" s="515"/>
      <c r="BD300" s="515"/>
      <c r="BE300" s="515"/>
      <c r="BF300" s="515"/>
      <c r="BG300" s="515"/>
      <c r="BH300" s="515"/>
      <c r="BI300" s="515"/>
      <c r="BJ300" s="515"/>
      <c r="BK300" s="515"/>
      <c r="BL300" s="515"/>
      <c r="BM300" s="515"/>
      <c r="BN300" s="515"/>
      <c r="BO300" s="515"/>
      <c r="BP300" s="515"/>
      <c r="BQ300" s="515"/>
      <c r="BR300" s="515"/>
      <c r="BS300" s="515"/>
      <c r="BT300" s="515"/>
      <c r="BU300" s="515"/>
      <c r="BV300" s="515"/>
      <c r="BW300" s="515"/>
      <c r="BX300" s="515"/>
      <c r="BY300" s="515"/>
      <c r="BZ300" s="515"/>
      <c r="CA300" s="515"/>
      <c r="CB300" s="515"/>
      <c r="CC300" s="515"/>
      <c r="CD300" s="515"/>
      <c r="CE300" s="515"/>
      <c r="CF300" s="515"/>
      <c r="CG300" s="515"/>
      <c r="CH300" s="515"/>
      <c r="CI300" s="515"/>
      <c r="CJ300" s="515"/>
      <c r="CK300" s="515"/>
      <c r="CL300" s="515"/>
      <c r="CM300" s="515"/>
      <c r="CN300" s="515"/>
      <c r="CO300" s="515"/>
      <c r="CP300" s="515"/>
      <c r="CQ300" s="515"/>
      <c r="CR300" s="515"/>
      <c r="CS300" s="515"/>
      <c r="CT300" s="515"/>
      <c r="CU300" s="515"/>
      <c r="CV300" s="515"/>
      <c r="CW300" s="515"/>
      <c r="CX300" s="515"/>
      <c r="CY300" s="515"/>
      <c r="CZ300" s="515"/>
      <c r="DA300" s="515"/>
      <c r="DB300" s="515"/>
      <c r="DC300" s="515"/>
      <c r="DD300" s="515"/>
      <c r="DE300" s="515"/>
      <c r="DF300" s="515"/>
      <c r="DG300" s="515"/>
      <c r="DH300" s="515"/>
      <c r="DI300" s="515"/>
      <c r="DJ300" s="515"/>
      <c r="DK300" s="515"/>
      <c r="DL300" s="515"/>
      <c r="DM300" s="515"/>
      <c r="DN300" s="515"/>
      <c r="DO300" s="515"/>
      <c r="DP300" s="515"/>
      <c r="DQ300" s="515"/>
      <c r="DR300" s="515"/>
      <c r="DS300" s="515"/>
      <c r="DT300" s="515"/>
      <c r="DU300" s="515"/>
      <c r="DV300" s="515"/>
      <c r="DW300" s="515"/>
      <c r="DX300" s="515"/>
      <c r="DY300" s="515"/>
      <c r="DZ300" s="515"/>
      <c r="EA300" s="515"/>
      <c r="EB300" s="515"/>
      <c r="EC300" s="515"/>
      <c r="ED300" s="515"/>
      <c r="EE300" s="515"/>
      <c r="EF300" s="515"/>
      <c r="EG300" s="515"/>
      <c r="EH300" s="515"/>
      <c r="EI300" s="515"/>
      <c r="EJ300" s="515"/>
      <c r="EK300" s="515"/>
      <c r="EL300" s="515"/>
      <c r="EM300" s="515"/>
      <c r="EN300" s="515"/>
      <c r="EO300" s="515"/>
      <c r="EP300" s="515"/>
      <c r="EQ300" s="515"/>
      <c r="ER300" s="515"/>
      <c r="ES300" s="515"/>
      <c r="ET300" s="515"/>
      <c r="EU300" s="515"/>
      <c r="EV300" s="515"/>
      <c r="EW300" s="515"/>
      <c r="EX300" s="515"/>
      <c r="EY300" s="515"/>
      <c r="EZ300" s="515"/>
      <c r="FA300" s="515"/>
      <c r="FB300" s="515"/>
      <c r="FC300" s="515"/>
      <c r="FD300" s="515"/>
      <c r="FE300" s="515"/>
      <c r="FF300" s="515"/>
      <c r="FG300" s="515"/>
      <c r="FH300" s="515"/>
      <c r="FI300" s="515"/>
      <c r="FJ300" s="515"/>
      <c r="FK300" s="515"/>
      <c r="FL300" s="515"/>
      <c r="FM300" s="515"/>
      <c r="FN300" s="515"/>
      <c r="FO300" s="515"/>
      <c r="FP300" s="515"/>
      <c r="FQ300" s="515"/>
      <c r="FR300" s="515"/>
      <c r="FS300" s="515"/>
      <c r="FT300" s="515"/>
      <c r="FU300" s="515"/>
      <c r="FV300" s="515"/>
      <c r="FW300" s="515"/>
      <c r="FX300" s="515"/>
      <c r="FY300" s="515"/>
      <c r="FZ300" s="515"/>
      <c r="GA300" s="515"/>
      <c r="GB300" s="515"/>
      <c r="GC300" s="515"/>
      <c r="GD300" s="515"/>
      <c r="GE300" s="515"/>
      <c r="GF300" s="515"/>
      <c r="GG300" s="515"/>
      <c r="GH300" s="515"/>
      <c r="GI300" s="515"/>
      <c r="GJ300" s="515"/>
      <c r="GK300" s="515"/>
      <c r="GL300" s="515"/>
      <c r="GM300" s="515"/>
      <c r="GN300" s="515"/>
    </row>
    <row r="301" spans="1:196" s="525" customFormat="1" ht="16.2" hidden="1" customHeight="1" outlineLevel="1" x14ac:dyDescent="0.25">
      <c r="A301" s="1407" t="s">
        <v>771</v>
      </c>
      <c r="B301" s="1407" t="s">
        <v>192</v>
      </c>
      <c r="C301" s="1408">
        <v>6454</v>
      </c>
      <c r="D301" s="1408">
        <f>C301-G301</f>
        <v>0</v>
      </c>
      <c r="E301" s="538"/>
      <c r="F301" s="1097" t="s">
        <v>665</v>
      </c>
      <c r="G301" s="301">
        <v>6454</v>
      </c>
      <c r="H301" s="505">
        <v>6454</v>
      </c>
      <c r="I301" s="513">
        <f t="shared" ref="I301:I303" si="41">H301-G301</f>
        <v>0</v>
      </c>
      <c r="J301" s="892">
        <f t="shared" si="37"/>
        <v>0</v>
      </c>
      <c r="K301" s="1460"/>
      <c r="L301" s="1409"/>
      <c r="M301" s="1116"/>
      <c r="N301" s="515"/>
      <c r="O301" s="515"/>
      <c r="P301" s="515"/>
      <c r="Q301" s="515"/>
      <c r="R301" s="515"/>
      <c r="S301" s="515"/>
      <c r="T301" s="515"/>
      <c r="U301" s="515"/>
      <c r="V301" s="515"/>
      <c r="W301" s="515"/>
      <c r="X301" s="515"/>
      <c r="Y301" s="515"/>
      <c r="Z301" s="515"/>
      <c r="AA301" s="515"/>
      <c r="AB301" s="515"/>
      <c r="AC301" s="515"/>
      <c r="AD301" s="515"/>
      <c r="AE301" s="515"/>
      <c r="AF301" s="515"/>
      <c r="AG301" s="515"/>
      <c r="AH301" s="515"/>
      <c r="AI301" s="515"/>
      <c r="AJ301" s="515"/>
      <c r="AK301" s="515"/>
      <c r="AL301" s="515"/>
      <c r="AM301" s="515"/>
      <c r="AN301" s="515"/>
      <c r="AO301" s="515"/>
      <c r="AP301" s="515"/>
      <c r="AQ301" s="515"/>
      <c r="AR301" s="515"/>
      <c r="AS301" s="515"/>
      <c r="AT301" s="515"/>
      <c r="AU301" s="515"/>
      <c r="AV301" s="515"/>
      <c r="AW301" s="515"/>
      <c r="AX301" s="515"/>
      <c r="AY301" s="515"/>
      <c r="AZ301" s="515"/>
      <c r="BA301" s="515"/>
      <c r="BB301" s="515"/>
      <c r="BC301" s="515"/>
      <c r="BD301" s="515"/>
      <c r="BE301" s="515"/>
      <c r="BF301" s="515"/>
      <c r="BG301" s="515"/>
      <c r="BH301" s="515"/>
      <c r="BI301" s="515"/>
      <c r="BJ301" s="515"/>
      <c r="BK301" s="515"/>
      <c r="BL301" s="515"/>
      <c r="BM301" s="515"/>
      <c r="BN301" s="515"/>
      <c r="BO301" s="515"/>
      <c r="BP301" s="515"/>
      <c r="BQ301" s="515"/>
      <c r="BR301" s="515"/>
      <c r="BS301" s="515"/>
      <c r="BT301" s="515"/>
      <c r="BU301" s="515"/>
      <c r="BV301" s="515"/>
      <c r="BW301" s="515"/>
      <c r="BX301" s="515"/>
      <c r="BY301" s="515"/>
      <c r="BZ301" s="515"/>
      <c r="CA301" s="515"/>
      <c r="CB301" s="515"/>
      <c r="CC301" s="515"/>
      <c r="CD301" s="515"/>
      <c r="CE301" s="515"/>
      <c r="CF301" s="515"/>
      <c r="CG301" s="515"/>
      <c r="CH301" s="515"/>
      <c r="CI301" s="515"/>
      <c r="CJ301" s="515"/>
      <c r="CK301" s="515"/>
      <c r="CL301" s="515"/>
      <c r="CM301" s="515"/>
      <c r="CN301" s="515"/>
      <c r="CO301" s="515"/>
      <c r="CP301" s="515"/>
      <c r="CQ301" s="515"/>
      <c r="CR301" s="515"/>
      <c r="CS301" s="515"/>
      <c r="CT301" s="515"/>
      <c r="CU301" s="515"/>
      <c r="CV301" s="515"/>
      <c r="CW301" s="515"/>
      <c r="CX301" s="515"/>
      <c r="CY301" s="515"/>
      <c r="CZ301" s="515"/>
      <c r="DA301" s="515"/>
      <c r="DB301" s="515"/>
      <c r="DC301" s="515"/>
      <c r="DD301" s="515"/>
      <c r="DE301" s="515"/>
      <c r="DF301" s="515"/>
      <c r="DG301" s="515"/>
      <c r="DH301" s="515"/>
      <c r="DI301" s="515"/>
      <c r="DJ301" s="515"/>
      <c r="DK301" s="515"/>
      <c r="DL301" s="515"/>
      <c r="DM301" s="515"/>
      <c r="DN301" s="515"/>
      <c r="DO301" s="515"/>
      <c r="DP301" s="515"/>
      <c r="DQ301" s="515"/>
      <c r="DR301" s="515"/>
      <c r="DS301" s="515"/>
      <c r="DT301" s="515"/>
      <c r="DU301" s="515"/>
      <c r="DV301" s="515"/>
      <c r="DW301" s="515"/>
      <c r="DX301" s="515"/>
      <c r="DY301" s="515"/>
      <c r="DZ301" s="515"/>
      <c r="EA301" s="515"/>
      <c r="EB301" s="515"/>
      <c r="EC301" s="515"/>
      <c r="ED301" s="515"/>
      <c r="EE301" s="515"/>
      <c r="EF301" s="515"/>
      <c r="EG301" s="515"/>
      <c r="EH301" s="515"/>
      <c r="EI301" s="515"/>
      <c r="EJ301" s="515"/>
      <c r="EK301" s="515"/>
      <c r="EL301" s="515"/>
      <c r="EM301" s="515"/>
      <c r="EN301" s="515"/>
      <c r="EO301" s="515"/>
      <c r="EP301" s="515"/>
      <c r="EQ301" s="515"/>
      <c r="ER301" s="515"/>
      <c r="ES301" s="515"/>
      <c r="ET301" s="515"/>
      <c r="EU301" s="515"/>
      <c r="EV301" s="515"/>
      <c r="EW301" s="515"/>
      <c r="EX301" s="515"/>
      <c r="EY301" s="515"/>
      <c r="EZ301" s="515"/>
      <c r="FA301" s="515"/>
      <c r="FB301" s="515"/>
      <c r="FC301" s="515"/>
      <c r="FD301" s="515"/>
      <c r="FE301" s="515"/>
      <c r="FF301" s="515"/>
      <c r="FG301" s="515"/>
      <c r="FH301" s="515"/>
      <c r="FI301" s="515"/>
      <c r="FJ301" s="515"/>
      <c r="FK301" s="515"/>
      <c r="FL301" s="515"/>
      <c r="FM301" s="515"/>
      <c r="FN301" s="515"/>
      <c r="FO301" s="515"/>
      <c r="FP301" s="515"/>
      <c r="FQ301" s="515"/>
      <c r="FR301" s="515"/>
      <c r="FS301" s="515"/>
      <c r="FT301" s="515"/>
      <c r="FU301" s="515"/>
      <c r="FV301" s="515"/>
      <c r="FW301" s="515"/>
      <c r="FX301" s="515"/>
      <c r="FY301" s="515"/>
      <c r="FZ301" s="515"/>
      <c r="GA301" s="515"/>
      <c r="GB301" s="515"/>
      <c r="GC301" s="515"/>
      <c r="GD301" s="515"/>
      <c r="GE301" s="515"/>
      <c r="GF301" s="515"/>
      <c r="GG301" s="515"/>
      <c r="GH301" s="515"/>
      <c r="GI301" s="515"/>
      <c r="GJ301" s="515"/>
      <c r="GK301" s="515"/>
      <c r="GL301" s="515"/>
      <c r="GM301" s="515"/>
      <c r="GN301" s="515"/>
    </row>
    <row r="302" spans="1:196" s="525" customFormat="1" ht="16.2" hidden="1" customHeight="1" outlineLevel="1" x14ac:dyDescent="0.25">
      <c r="A302" s="1407" t="s">
        <v>752</v>
      </c>
      <c r="B302" s="1407" t="s">
        <v>192</v>
      </c>
      <c r="C302" s="1408">
        <v>19200</v>
      </c>
      <c r="D302" s="1408">
        <f>C302-G302</f>
        <v>0</v>
      </c>
      <c r="E302" s="1458"/>
      <c r="F302" s="1415" t="s">
        <v>1161</v>
      </c>
      <c r="G302" s="301">
        <v>19200</v>
      </c>
      <c r="H302" s="505">
        <v>19200</v>
      </c>
      <c r="I302" s="513">
        <f t="shared" ref="I302" si="42">H302-G302</f>
        <v>0</v>
      </c>
      <c r="J302" s="892">
        <f t="shared" ref="J302" si="43">IFERROR(I302/G302,"-")</f>
        <v>0</v>
      </c>
      <c r="K302" s="1461"/>
      <c r="L302" s="1409"/>
      <c r="M302" s="1116"/>
      <c r="N302" s="515"/>
      <c r="O302" s="515"/>
      <c r="P302" s="515"/>
      <c r="Q302" s="515"/>
      <c r="R302" s="515"/>
      <c r="S302" s="515"/>
      <c r="T302" s="515"/>
      <c r="U302" s="515"/>
      <c r="V302" s="515"/>
      <c r="W302" s="515"/>
      <c r="X302" s="515"/>
      <c r="Y302" s="515"/>
      <c r="Z302" s="515"/>
      <c r="AA302" s="515"/>
      <c r="AB302" s="515"/>
      <c r="AC302" s="515"/>
      <c r="AD302" s="515"/>
      <c r="AE302" s="515"/>
      <c r="AF302" s="515"/>
      <c r="AG302" s="515"/>
      <c r="AH302" s="515"/>
      <c r="AI302" s="515"/>
      <c r="AJ302" s="515"/>
      <c r="AK302" s="515"/>
      <c r="AL302" s="515"/>
      <c r="AM302" s="515"/>
      <c r="AN302" s="515"/>
      <c r="AO302" s="515"/>
      <c r="AP302" s="515"/>
      <c r="AQ302" s="515"/>
      <c r="AR302" s="515"/>
      <c r="AS302" s="515"/>
      <c r="AT302" s="515"/>
      <c r="AU302" s="515"/>
      <c r="AV302" s="515"/>
      <c r="AW302" s="515"/>
      <c r="AX302" s="515"/>
      <c r="AY302" s="515"/>
      <c r="AZ302" s="515"/>
      <c r="BA302" s="515"/>
      <c r="BB302" s="515"/>
      <c r="BC302" s="515"/>
      <c r="BD302" s="515"/>
      <c r="BE302" s="515"/>
      <c r="BF302" s="515"/>
      <c r="BG302" s="515"/>
      <c r="BH302" s="515"/>
      <c r="BI302" s="515"/>
      <c r="BJ302" s="515"/>
      <c r="BK302" s="515"/>
      <c r="BL302" s="515"/>
      <c r="BM302" s="515"/>
      <c r="BN302" s="515"/>
      <c r="BO302" s="515"/>
      <c r="BP302" s="515"/>
      <c r="BQ302" s="515"/>
      <c r="BR302" s="515"/>
      <c r="BS302" s="515"/>
      <c r="BT302" s="515"/>
      <c r="BU302" s="515"/>
      <c r="BV302" s="515"/>
      <c r="BW302" s="515"/>
      <c r="BX302" s="515"/>
      <c r="BY302" s="515"/>
      <c r="BZ302" s="515"/>
      <c r="CA302" s="515"/>
      <c r="CB302" s="515"/>
      <c r="CC302" s="515"/>
      <c r="CD302" s="515"/>
      <c r="CE302" s="515"/>
      <c r="CF302" s="515"/>
      <c r="CG302" s="515"/>
      <c r="CH302" s="515"/>
      <c r="CI302" s="515"/>
      <c r="CJ302" s="515"/>
      <c r="CK302" s="515"/>
      <c r="CL302" s="515"/>
      <c r="CM302" s="515"/>
      <c r="CN302" s="515"/>
      <c r="CO302" s="515"/>
      <c r="CP302" s="515"/>
      <c r="CQ302" s="515"/>
      <c r="CR302" s="515"/>
      <c r="CS302" s="515"/>
      <c r="CT302" s="515"/>
      <c r="CU302" s="515"/>
      <c r="CV302" s="515"/>
      <c r="CW302" s="515"/>
      <c r="CX302" s="515"/>
      <c r="CY302" s="515"/>
      <c r="CZ302" s="515"/>
      <c r="DA302" s="515"/>
      <c r="DB302" s="515"/>
      <c r="DC302" s="515"/>
      <c r="DD302" s="515"/>
      <c r="DE302" s="515"/>
      <c r="DF302" s="515"/>
      <c r="DG302" s="515"/>
      <c r="DH302" s="515"/>
      <c r="DI302" s="515"/>
      <c r="DJ302" s="515"/>
      <c r="DK302" s="515"/>
      <c r="DL302" s="515"/>
      <c r="DM302" s="515"/>
      <c r="DN302" s="515"/>
      <c r="DO302" s="515"/>
      <c r="DP302" s="515"/>
      <c r="DQ302" s="515"/>
      <c r="DR302" s="515"/>
      <c r="DS302" s="515"/>
      <c r="DT302" s="515"/>
      <c r="DU302" s="515"/>
      <c r="DV302" s="515"/>
      <c r="DW302" s="515"/>
      <c r="DX302" s="515"/>
      <c r="DY302" s="515"/>
      <c r="DZ302" s="515"/>
      <c r="EA302" s="515"/>
      <c r="EB302" s="515"/>
      <c r="EC302" s="515"/>
      <c r="ED302" s="515"/>
      <c r="EE302" s="515"/>
      <c r="EF302" s="515"/>
      <c r="EG302" s="515"/>
      <c r="EH302" s="515"/>
      <c r="EI302" s="515"/>
      <c r="EJ302" s="515"/>
      <c r="EK302" s="515"/>
      <c r="EL302" s="515"/>
      <c r="EM302" s="515"/>
      <c r="EN302" s="515"/>
      <c r="EO302" s="515"/>
      <c r="EP302" s="515"/>
      <c r="EQ302" s="515"/>
      <c r="ER302" s="515"/>
      <c r="ES302" s="515"/>
      <c r="ET302" s="515"/>
      <c r="EU302" s="515"/>
      <c r="EV302" s="515"/>
      <c r="EW302" s="515"/>
      <c r="EX302" s="515"/>
      <c r="EY302" s="515"/>
      <c r="EZ302" s="515"/>
      <c r="FA302" s="515"/>
      <c r="FB302" s="515"/>
      <c r="FC302" s="515"/>
      <c r="FD302" s="515"/>
      <c r="FE302" s="515"/>
      <c r="FF302" s="515"/>
      <c r="FG302" s="515"/>
      <c r="FH302" s="515"/>
      <c r="FI302" s="515"/>
      <c r="FJ302" s="515"/>
      <c r="FK302" s="515"/>
      <c r="FL302" s="515"/>
      <c r="FM302" s="515"/>
      <c r="FN302" s="515"/>
      <c r="FO302" s="515"/>
      <c r="FP302" s="515"/>
      <c r="FQ302" s="515"/>
      <c r="FR302" s="515"/>
      <c r="FS302" s="515"/>
      <c r="FT302" s="515"/>
      <c r="FU302" s="515"/>
      <c r="FV302" s="515"/>
      <c r="FW302" s="515"/>
      <c r="FX302" s="515"/>
      <c r="FY302" s="515"/>
      <c r="FZ302" s="515"/>
      <c r="GA302" s="515"/>
      <c r="GB302" s="515"/>
      <c r="GC302" s="515"/>
      <c r="GD302" s="515"/>
      <c r="GE302" s="515"/>
      <c r="GF302" s="515"/>
      <c r="GG302" s="515"/>
      <c r="GH302" s="515"/>
      <c r="GI302" s="515"/>
      <c r="GJ302" s="515"/>
      <c r="GK302" s="515"/>
      <c r="GL302" s="515"/>
      <c r="GM302" s="515"/>
      <c r="GN302" s="515"/>
    </row>
    <row r="303" spans="1:196" s="525" customFormat="1" ht="16.2" hidden="1" customHeight="1" outlineLevel="1" x14ac:dyDescent="0.25">
      <c r="A303" s="1407" t="s">
        <v>788</v>
      </c>
      <c r="B303" s="1407" t="s">
        <v>192</v>
      </c>
      <c r="C303" s="1408">
        <v>1127560</v>
      </c>
      <c r="D303" s="1408">
        <f>C303-G303</f>
        <v>0</v>
      </c>
      <c r="E303" s="1458"/>
      <c r="F303" s="1415" t="s">
        <v>1160</v>
      </c>
      <c r="G303" s="301">
        <v>1127560</v>
      </c>
      <c r="H303" s="505">
        <v>662876</v>
      </c>
      <c r="I303" s="513">
        <f t="shared" si="41"/>
        <v>-464684</v>
      </c>
      <c r="J303" s="892">
        <f t="shared" si="37"/>
        <v>-0.41211465465252406</v>
      </c>
      <c r="K303" s="1461"/>
      <c r="L303" s="1409"/>
      <c r="M303" s="1116"/>
      <c r="N303" s="515"/>
      <c r="O303" s="515"/>
      <c r="P303" s="515"/>
      <c r="Q303" s="515"/>
      <c r="R303" s="515"/>
      <c r="S303" s="515"/>
      <c r="T303" s="515"/>
      <c r="U303" s="515"/>
      <c r="V303" s="515"/>
      <c r="W303" s="515"/>
      <c r="X303" s="515"/>
      <c r="Y303" s="515"/>
      <c r="Z303" s="515"/>
      <c r="AA303" s="515"/>
      <c r="AB303" s="515"/>
      <c r="AC303" s="515"/>
      <c r="AD303" s="515"/>
      <c r="AE303" s="515"/>
      <c r="AF303" s="515"/>
      <c r="AG303" s="515"/>
      <c r="AH303" s="515"/>
      <c r="AI303" s="515"/>
      <c r="AJ303" s="515"/>
      <c r="AK303" s="515"/>
      <c r="AL303" s="515"/>
      <c r="AM303" s="515"/>
      <c r="AN303" s="515"/>
      <c r="AO303" s="515"/>
      <c r="AP303" s="515"/>
      <c r="AQ303" s="515"/>
      <c r="AR303" s="515"/>
      <c r="AS303" s="515"/>
      <c r="AT303" s="515"/>
      <c r="AU303" s="515"/>
      <c r="AV303" s="515"/>
      <c r="AW303" s="515"/>
      <c r="AX303" s="515"/>
      <c r="AY303" s="515"/>
      <c r="AZ303" s="515"/>
      <c r="BA303" s="515"/>
      <c r="BB303" s="515"/>
      <c r="BC303" s="515"/>
      <c r="BD303" s="515"/>
      <c r="BE303" s="515"/>
      <c r="BF303" s="515"/>
      <c r="BG303" s="515"/>
      <c r="BH303" s="515"/>
      <c r="BI303" s="515"/>
      <c r="BJ303" s="515"/>
      <c r="BK303" s="515"/>
      <c r="BL303" s="515"/>
      <c r="BM303" s="515"/>
      <c r="BN303" s="515"/>
      <c r="BO303" s="515"/>
      <c r="BP303" s="515"/>
      <c r="BQ303" s="515"/>
      <c r="BR303" s="515"/>
      <c r="BS303" s="515"/>
      <c r="BT303" s="515"/>
      <c r="BU303" s="515"/>
      <c r="BV303" s="515"/>
      <c r="BW303" s="515"/>
      <c r="BX303" s="515"/>
      <c r="BY303" s="515"/>
      <c r="BZ303" s="515"/>
      <c r="CA303" s="515"/>
      <c r="CB303" s="515"/>
      <c r="CC303" s="515"/>
      <c r="CD303" s="515"/>
      <c r="CE303" s="515"/>
      <c r="CF303" s="515"/>
      <c r="CG303" s="515"/>
      <c r="CH303" s="515"/>
      <c r="CI303" s="515"/>
      <c r="CJ303" s="515"/>
      <c r="CK303" s="515"/>
      <c r="CL303" s="515"/>
      <c r="CM303" s="515"/>
      <c r="CN303" s="515"/>
      <c r="CO303" s="515"/>
      <c r="CP303" s="515"/>
      <c r="CQ303" s="515"/>
      <c r="CR303" s="515"/>
      <c r="CS303" s="515"/>
      <c r="CT303" s="515"/>
      <c r="CU303" s="515"/>
      <c r="CV303" s="515"/>
      <c r="CW303" s="515"/>
      <c r="CX303" s="515"/>
      <c r="CY303" s="515"/>
      <c r="CZ303" s="515"/>
      <c r="DA303" s="515"/>
      <c r="DB303" s="515"/>
      <c r="DC303" s="515"/>
      <c r="DD303" s="515"/>
      <c r="DE303" s="515"/>
      <c r="DF303" s="515"/>
      <c r="DG303" s="515"/>
      <c r="DH303" s="515"/>
      <c r="DI303" s="515"/>
      <c r="DJ303" s="515"/>
      <c r="DK303" s="515"/>
      <c r="DL303" s="515"/>
      <c r="DM303" s="515"/>
      <c r="DN303" s="515"/>
      <c r="DO303" s="515"/>
      <c r="DP303" s="515"/>
      <c r="DQ303" s="515"/>
      <c r="DR303" s="515"/>
      <c r="DS303" s="515"/>
      <c r="DT303" s="515"/>
      <c r="DU303" s="515"/>
      <c r="DV303" s="515"/>
      <c r="DW303" s="515"/>
      <c r="DX303" s="515"/>
      <c r="DY303" s="515"/>
      <c r="DZ303" s="515"/>
      <c r="EA303" s="515"/>
      <c r="EB303" s="515"/>
      <c r="EC303" s="515"/>
      <c r="ED303" s="515"/>
      <c r="EE303" s="515"/>
      <c r="EF303" s="515"/>
      <c r="EG303" s="515"/>
      <c r="EH303" s="515"/>
      <c r="EI303" s="515"/>
      <c r="EJ303" s="515"/>
      <c r="EK303" s="515"/>
      <c r="EL303" s="515"/>
      <c r="EM303" s="515"/>
      <c r="EN303" s="515"/>
      <c r="EO303" s="515"/>
      <c r="EP303" s="515"/>
      <c r="EQ303" s="515"/>
      <c r="ER303" s="515"/>
      <c r="ES303" s="515"/>
      <c r="ET303" s="515"/>
      <c r="EU303" s="515"/>
      <c r="EV303" s="515"/>
      <c r="EW303" s="515"/>
      <c r="EX303" s="515"/>
      <c r="EY303" s="515"/>
      <c r="EZ303" s="515"/>
      <c r="FA303" s="515"/>
      <c r="FB303" s="515"/>
      <c r="FC303" s="515"/>
      <c r="FD303" s="515"/>
      <c r="FE303" s="515"/>
      <c r="FF303" s="515"/>
      <c r="FG303" s="515"/>
      <c r="FH303" s="515"/>
      <c r="FI303" s="515"/>
      <c r="FJ303" s="515"/>
      <c r="FK303" s="515"/>
      <c r="FL303" s="515"/>
      <c r="FM303" s="515"/>
      <c r="FN303" s="515"/>
      <c r="FO303" s="515"/>
      <c r="FP303" s="515"/>
      <c r="FQ303" s="515"/>
      <c r="FR303" s="515"/>
      <c r="FS303" s="515"/>
      <c r="FT303" s="515"/>
      <c r="FU303" s="515"/>
      <c r="FV303" s="515"/>
      <c r="FW303" s="515"/>
      <c r="FX303" s="515"/>
      <c r="FY303" s="515"/>
      <c r="FZ303" s="515"/>
      <c r="GA303" s="515"/>
      <c r="GB303" s="515"/>
      <c r="GC303" s="515"/>
      <c r="GD303" s="515"/>
      <c r="GE303" s="515"/>
      <c r="GF303" s="515"/>
      <c r="GG303" s="515"/>
      <c r="GH303" s="515"/>
      <c r="GI303" s="515"/>
      <c r="GJ303" s="515"/>
      <c r="GK303" s="515"/>
      <c r="GL303" s="515"/>
      <c r="GM303" s="515"/>
      <c r="GN303" s="515"/>
    </row>
    <row r="304" spans="1:196" ht="13.8" collapsed="1" x14ac:dyDescent="0.25">
      <c r="C304" s="923">
        <f>1495423-G309</f>
        <v>1074114</v>
      </c>
      <c r="D304" s="923">
        <f>C304-G304</f>
        <v>5670.7199999999721</v>
      </c>
      <c r="E304" s="151" t="s">
        <v>1180</v>
      </c>
      <c r="F304" s="145" t="s">
        <v>201</v>
      </c>
      <c r="G304" s="302">
        <v>1068443.28</v>
      </c>
      <c r="H304" s="302">
        <v>1369348.1993700501</v>
      </c>
      <c r="I304" s="302">
        <f t="shared" si="38"/>
        <v>300904.91937005008</v>
      </c>
      <c r="J304" s="867">
        <f t="shared" si="37"/>
        <v>0.28162928720937819</v>
      </c>
      <c r="K304" s="220"/>
      <c r="L304" s="224"/>
    </row>
    <row r="305" spans="1:196" s="104" customFormat="1" ht="13.8" hidden="1" outlineLevel="1" x14ac:dyDescent="0.25">
      <c r="A305" s="810" t="s">
        <v>748</v>
      </c>
      <c r="B305" s="810" t="s">
        <v>228</v>
      </c>
      <c r="C305" s="923"/>
      <c r="D305" s="923"/>
      <c r="E305" s="159"/>
      <c r="F305" s="215" t="s">
        <v>228</v>
      </c>
      <c r="G305" s="296">
        <v>588486</v>
      </c>
      <c r="H305" s="304">
        <v>730467.80937004997</v>
      </c>
      <c r="I305" s="439">
        <f t="shared" si="38"/>
        <v>141981.80937004997</v>
      </c>
      <c r="J305" s="894">
        <f t="shared" si="37"/>
        <v>0.24126624825407908</v>
      </c>
      <c r="K305" s="319"/>
      <c r="L305" s="224"/>
      <c r="M305" s="107"/>
      <c r="N305">
        <v>730467.80937004997</v>
      </c>
      <c r="O305"/>
      <c r="P305"/>
      <c r="Q305"/>
      <c r="R305"/>
      <c r="S305"/>
      <c r="T305"/>
      <c r="U305"/>
      <c r="V305"/>
      <c r="W305"/>
      <c r="X305"/>
      <c r="Y305"/>
      <c r="Z305"/>
      <c r="AA305"/>
      <c r="AB305"/>
      <c r="AC305"/>
      <c r="AD305"/>
      <c r="AE305"/>
      <c r="AF305"/>
      <c r="AG305"/>
      <c r="AH305"/>
      <c r="AI305"/>
      <c r="AJ305"/>
      <c r="AK305"/>
      <c r="AL305"/>
      <c r="AM305"/>
      <c r="AN305"/>
      <c r="AO305"/>
      <c r="AP305"/>
      <c r="AQ305"/>
      <c r="AR305"/>
      <c r="AS305"/>
      <c r="AT305"/>
      <c r="AU305"/>
      <c r="AV305"/>
      <c r="AW305"/>
      <c r="AX305"/>
      <c r="AY305"/>
      <c r="AZ305"/>
      <c r="BA305"/>
      <c r="BB305"/>
      <c r="BC305"/>
      <c r="BD305"/>
      <c r="BE305"/>
      <c r="BF305"/>
      <c r="BG305"/>
      <c r="BH305"/>
      <c r="BI305"/>
      <c r="BJ305"/>
      <c r="BK305"/>
      <c r="BL305"/>
      <c r="BM305"/>
      <c r="BN305"/>
      <c r="BO305"/>
      <c r="BP305"/>
      <c r="BQ305"/>
      <c r="BR305"/>
      <c r="BS305"/>
      <c r="BT305"/>
      <c r="BU305"/>
      <c r="BV305"/>
      <c r="BW305"/>
      <c r="BX305"/>
      <c r="BY305"/>
      <c r="BZ305"/>
      <c r="CA305"/>
      <c r="CB305"/>
      <c r="CC305"/>
      <c r="CD305"/>
      <c r="CE305"/>
      <c r="CF305"/>
      <c r="CG305"/>
      <c r="CH305"/>
      <c r="CI305"/>
      <c r="CJ305"/>
      <c r="CK305"/>
      <c r="CL305"/>
      <c r="CM305"/>
      <c r="CN305"/>
      <c r="CO305"/>
      <c r="CP305"/>
      <c r="CQ305"/>
      <c r="CR305"/>
      <c r="CS305"/>
      <c r="CT305"/>
      <c r="CU305"/>
      <c r="CV305"/>
      <c r="CW305"/>
      <c r="CX305"/>
      <c r="CY305"/>
      <c r="CZ305"/>
      <c r="DA305"/>
      <c r="DB305"/>
      <c r="DC305"/>
      <c r="DD305"/>
      <c r="DE305"/>
      <c r="DF305"/>
      <c r="DG305"/>
      <c r="DH305"/>
      <c r="DI305"/>
      <c r="DJ305"/>
      <c r="DK305"/>
      <c r="DL305"/>
      <c r="DM305"/>
      <c r="DN305"/>
      <c r="DO305"/>
      <c r="DP305"/>
      <c r="DQ305"/>
      <c r="DR305"/>
      <c r="DS305"/>
      <c r="DT305"/>
      <c r="DU305"/>
      <c r="DV305"/>
      <c r="DW305"/>
      <c r="DX305"/>
      <c r="DY305"/>
      <c r="DZ305"/>
      <c r="EA305"/>
      <c r="EB305"/>
      <c r="EC305"/>
      <c r="ED305"/>
      <c r="EE305"/>
      <c r="EF305"/>
      <c r="EG305"/>
      <c r="EH305"/>
      <c r="EI305"/>
      <c r="EJ305"/>
      <c r="EK305"/>
      <c r="EL305"/>
      <c r="EM305"/>
      <c r="EN305"/>
      <c r="EO305"/>
      <c r="EP305"/>
      <c r="EQ305"/>
      <c r="ER305"/>
      <c r="ES305"/>
      <c r="ET305"/>
      <c r="EU305"/>
      <c r="EV305"/>
      <c r="EW305"/>
      <c r="EX305"/>
      <c r="EY305"/>
      <c r="EZ305"/>
      <c r="FA305"/>
      <c r="FB305"/>
      <c r="FC305"/>
      <c r="FD305"/>
      <c r="FE305"/>
      <c r="FF305"/>
      <c r="FG305"/>
      <c r="FH305"/>
      <c r="FI305"/>
      <c r="FJ305"/>
      <c r="FK305"/>
      <c r="FL305"/>
      <c r="FM305"/>
      <c r="FN305"/>
      <c r="FO305"/>
      <c r="FP305"/>
      <c r="FQ305"/>
      <c r="FR305"/>
      <c r="FS305"/>
      <c r="FT305"/>
      <c r="FU305"/>
      <c r="FV305"/>
      <c r="FW305"/>
      <c r="FX305"/>
      <c r="FY305"/>
      <c r="FZ305"/>
      <c r="GA305"/>
      <c r="GB305"/>
      <c r="GC305"/>
      <c r="GD305"/>
      <c r="GE305"/>
      <c r="GF305"/>
      <c r="GG305"/>
      <c r="GH305"/>
      <c r="GI305"/>
      <c r="GJ305"/>
      <c r="GK305"/>
      <c r="GL305"/>
      <c r="GM305"/>
      <c r="GN305"/>
    </row>
    <row r="306" spans="1:196" s="104" customFormat="1" ht="110.4" hidden="1" outlineLevel="1" x14ac:dyDescent="0.25">
      <c r="A306" s="810" t="s">
        <v>748</v>
      </c>
      <c r="B306" s="810" t="s">
        <v>554</v>
      </c>
      <c r="C306" s="923"/>
      <c r="D306" s="923"/>
      <c r="E306" s="214"/>
      <c r="F306" s="160" t="s">
        <v>198</v>
      </c>
      <c r="G306" s="296">
        <v>475577.28</v>
      </c>
      <c r="H306" s="304">
        <v>617864.06000000006</v>
      </c>
      <c r="I306" s="439">
        <f t="shared" si="38"/>
        <v>142286.78000000003</v>
      </c>
      <c r="J306" s="894">
        <f t="shared" si="37"/>
        <v>0.29918750534087757</v>
      </c>
      <c r="K306" s="458" t="s">
        <v>1650</v>
      </c>
      <c r="L306" s="224"/>
      <c r="M306" s="107"/>
      <c r="N306"/>
      <c r="O306"/>
      <c r="P306"/>
      <c r="Q306"/>
      <c r="R306"/>
      <c r="S306"/>
      <c r="T306"/>
      <c r="U306"/>
      <c r="V306"/>
      <c r="W306"/>
      <c r="X306"/>
      <c r="Y306"/>
      <c r="Z306"/>
      <c r="AA306"/>
      <c r="AB306"/>
      <c r="AC306"/>
      <c r="AD306"/>
      <c r="AE306"/>
      <c r="AF306"/>
      <c r="AG306"/>
      <c r="AH306"/>
      <c r="AI306"/>
      <c r="AJ306"/>
      <c r="AK306"/>
      <c r="AL306"/>
      <c r="AM306"/>
      <c r="AN306"/>
      <c r="AO306"/>
      <c r="AP306"/>
      <c r="AQ306"/>
      <c r="AR306"/>
      <c r="AS306"/>
      <c r="AT306"/>
      <c r="AU306"/>
      <c r="AV306"/>
      <c r="AW306"/>
      <c r="AX306"/>
      <c r="AY306"/>
      <c r="AZ306"/>
      <c r="BA306"/>
      <c r="BB306"/>
      <c r="BC306"/>
      <c r="BD306"/>
      <c r="BE306"/>
      <c r="BF306"/>
      <c r="BG306"/>
      <c r="BH306"/>
      <c r="BI306"/>
      <c r="BJ306"/>
      <c r="BK306"/>
      <c r="BL306"/>
      <c r="BM306"/>
      <c r="BN306"/>
      <c r="BO306"/>
      <c r="BP306"/>
      <c r="BQ306"/>
      <c r="BR306"/>
      <c r="BS306"/>
      <c r="BT306"/>
      <c r="BU306"/>
      <c r="BV306"/>
      <c r="BW306"/>
      <c r="BX306"/>
      <c r="BY306"/>
      <c r="BZ306"/>
      <c r="CA306"/>
      <c r="CB306"/>
      <c r="CC306"/>
      <c r="CD306"/>
      <c r="CE306"/>
      <c r="CF306"/>
      <c r="CG306"/>
      <c r="CH306"/>
      <c r="CI306"/>
      <c r="CJ306"/>
      <c r="CK306"/>
      <c r="CL306"/>
      <c r="CM306"/>
      <c r="CN306"/>
      <c r="CO306"/>
      <c r="CP306"/>
      <c r="CQ306"/>
      <c r="CR306"/>
      <c r="CS306"/>
      <c r="CT306"/>
      <c r="CU306"/>
      <c r="CV306"/>
      <c r="CW306"/>
      <c r="CX306"/>
      <c r="CY306"/>
      <c r="CZ306"/>
      <c r="DA306"/>
      <c r="DB306"/>
      <c r="DC306"/>
      <c r="DD306"/>
      <c r="DE306"/>
      <c r="DF306"/>
      <c r="DG306"/>
      <c r="DH306"/>
      <c r="DI306"/>
      <c r="DJ306"/>
      <c r="DK306"/>
      <c r="DL306"/>
      <c r="DM306"/>
      <c r="DN306"/>
      <c r="DO306"/>
      <c r="DP306"/>
      <c r="DQ306"/>
      <c r="DR306"/>
      <c r="DS306"/>
      <c r="DT306"/>
      <c r="DU306"/>
      <c r="DV306"/>
      <c r="DW306"/>
      <c r="DX306"/>
      <c r="DY306"/>
      <c r="DZ306"/>
      <c r="EA306"/>
      <c r="EB306"/>
      <c r="EC306"/>
      <c r="ED306"/>
      <c r="EE306"/>
      <c r="EF306"/>
      <c r="EG306"/>
      <c r="EH306"/>
      <c r="EI306"/>
      <c r="EJ306"/>
      <c r="EK306"/>
      <c r="EL306"/>
      <c r="EM306"/>
      <c r="EN306"/>
      <c r="EO306"/>
      <c r="EP306"/>
      <c r="EQ306"/>
      <c r="ER306"/>
      <c r="ES306"/>
      <c r="ET306"/>
      <c r="EU306"/>
      <c r="EV306"/>
      <c r="EW306"/>
      <c r="EX306"/>
      <c r="EY306"/>
      <c r="EZ306"/>
      <c r="FA306"/>
      <c r="FB306"/>
      <c r="FC306"/>
      <c r="FD306"/>
      <c r="FE306"/>
      <c r="FF306"/>
      <c r="FG306"/>
      <c r="FH306"/>
      <c r="FI306"/>
      <c r="FJ306"/>
      <c r="FK306"/>
      <c r="FL306"/>
      <c r="FM306"/>
      <c r="FN306"/>
      <c r="FO306"/>
      <c r="FP306"/>
      <c r="FQ306"/>
      <c r="FR306"/>
      <c r="FS306"/>
      <c r="FT306"/>
      <c r="FU306"/>
      <c r="FV306"/>
      <c r="FW306"/>
      <c r="FX306"/>
      <c r="FY306"/>
      <c r="FZ306"/>
      <c r="GA306"/>
      <c r="GB306"/>
      <c r="GC306"/>
      <c r="GD306"/>
      <c r="GE306"/>
      <c r="GF306"/>
      <c r="GG306"/>
      <c r="GH306"/>
      <c r="GI306"/>
      <c r="GJ306"/>
      <c r="GK306"/>
      <c r="GL306"/>
      <c r="GM306"/>
      <c r="GN306"/>
    </row>
    <row r="307" spans="1:196" s="104" customFormat="1" ht="13.8" hidden="1" outlineLevel="1" x14ac:dyDescent="0.25">
      <c r="A307" s="810" t="s">
        <v>748</v>
      </c>
      <c r="B307" s="810" t="s">
        <v>556</v>
      </c>
      <c r="C307" s="923"/>
      <c r="D307" s="923"/>
      <c r="E307" s="159"/>
      <c r="F307" s="160" t="s">
        <v>197</v>
      </c>
      <c r="G307" s="296">
        <v>4380</v>
      </c>
      <c r="H307" s="304">
        <v>21016.33</v>
      </c>
      <c r="I307" s="439">
        <f t="shared" si="38"/>
        <v>16636.330000000002</v>
      </c>
      <c r="J307" s="894">
        <f t="shared" si="37"/>
        <v>3.7982488584474892</v>
      </c>
      <c r="K307" s="218"/>
      <c r="L307" s="224"/>
      <c r="M307" s="107"/>
      <c r="N307"/>
      <c r="O307"/>
      <c r="P307"/>
      <c r="Q307"/>
      <c r="R307"/>
      <c r="S307"/>
      <c r="T307"/>
      <c r="U307"/>
      <c r="V307"/>
      <c r="W307"/>
      <c r="X307"/>
      <c r="Y307"/>
      <c r="Z307"/>
      <c r="AA307"/>
      <c r="AB307"/>
      <c r="AC307"/>
      <c r="AD307"/>
      <c r="AE307"/>
      <c r="AF307"/>
      <c r="AG307"/>
      <c r="AH307"/>
      <c r="AI307"/>
      <c r="AJ307"/>
      <c r="AK307"/>
      <c r="AL307"/>
      <c r="AM307"/>
      <c r="AN307"/>
      <c r="AO307"/>
      <c r="AP307"/>
      <c r="AQ307"/>
      <c r="AR307"/>
      <c r="AS307"/>
      <c r="AT307"/>
      <c r="AU307"/>
      <c r="AV307"/>
      <c r="AW307"/>
      <c r="AX307"/>
      <c r="AY307"/>
      <c r="AZ307"/>
      <c r="BA307"/>
      <c r="BB307"/>
      <c r="BC307"/>
      <c r="BD307"/>
      <c r="BE307"/>
      <c r="BF307"/>
      <c r="BG307"/>
      <c r="BH307"/>
      <c r="BI307"/>
      <c r="BJ307"/>
      <c r="BK307"/>
      <c r="BL307"/>
      <c r="BM307"/>
      <c r="BN307"/>
      <c r="BO307"/>
      <c r="BP307"/>
      <c r="BQ307"/>
      <c r="BR307"/>
      <c r="BS307"/>
      <c r="BT307"/>
      <c r="BU307"/>
      <c r="BV307"/>
      <c r="BW307"/>
      <c r="BX307"/>
      <c r="BY307"/>
      <c r="BZ307"/>
      <c r="CA307"/>
      <c r="CB307"/>
      <c r="CC307"/>
      <c r="CD307"/>
      <c r="CE307"/>
      <c r="CF307"/>
      <c r="CG307"/>
      <c r="CH307"/>
      <c r="CI307"/>
      <c r="CJ307"/>
      <c r="CK307"/>
      <c r="CL307"/>
      <c r="CM307"/>
      <c r="CN307"/>
      <c r="CO307"/>
      <c r="CP307"/>
      <c r="CQ307"/>
      <c r="CR307"/>
      <c r="CS307"/>
      <c r="CT307"/>
      <c r="CU307"/>
      <c r="CV307"/>
      <c r="CW307"/>
      <c r="CX307"/>
      <c r="CY307"/>
      <c r="CZ307"/>
      <c r="DA307"/>
      <c r="DB307"/>
      <c r="DC307"/>
      <c r="DD307"/>
      <c r="DE307"/>
      <c r="DF307"/>
      <c r="DG307"/>
      <c r="DH307"/>
      <c r="DI307"/>
      <c r="DJ307"/>
      <c r="DK307"/>
      <c r="DL307"/>
      <c r="DM307"/>
      <c r="DN307"/>
      <c r="DO307"/>
      <c r="DP307"/>
      <c r="DQ307"/>
      <c r="DR307"/>
      <c r="DS307"/>
      <c r="DT307"/>
      <c r="DU307"/>
      <c r="DV307"/>
      <c r="DW307"/>
      <c r="DX307"/>
      <c r="DY307"/>
      <c r="DZ307"/>
      <c r="EA307"/>
      <c r="EB307"/>
      <c r="EC307"/>
      <c r="ED307"/>
      <c r="EE307"/>
      <c r="EF307"/>
      <c r="EG307"/>
      <c r="EH307"/>
      <c r="EI307"/>
      <c r="EJ307"/>
      <c r="EK307"/>
      <c r="EL307"/>
      <c r="EM307"/>
      <c r="EN307"/>
      <c r="EO307"/>
      <c r="EP307"/>
      <c r="EQ307"/>
      <c r="ER307"/>
      <c r="ES307"/>
      <c r="ET307"/>
      <c r="EU307"/>
      <c r="EV307"/>
      <c r="EW307"/>
      <c r="EX307"/>
      <c r="EY307"/>
      <c r="EZ307"/>
      <c r="FA307"/>
      <c r="FB307"/>
      <c r="FC307"/>
      <c r="FD307"/>
      <c r="FE307"/>
      <c r="FF307"/>
      <c r="FG307"/>
      <c r="FH307"/>
      <c r="FI307"/>
      <c r="FJ307"/>
      <c r="FK307"/>
      <c r="FL307"/>
      <c r="FM307"/>
      <c r="FN307"/>
      <c r="FO307"/>
      <c r="FP307"/>
      <c r="FQ307"/>
      <c r="FR307"/>
      <c r="FS307"/>
      <c r="FT307"/>
      <c r="FU307"/>
      <c r="FV307"/>
      <c r="FW307"/>
      <c r="FX307"/>
      <c r="FY307"/>
      <c r="FZ307"/>
      <c r="GA307"/>
      <c r="GB307"/>
      <c r="GC307"/>
      <c r="GD307"/>
      <c r="GE307"/>
      <c r="GF307"/>
      <c r="GG307"/>
      <c r="GH307"/>
      <c r="GI307"/>
      <c r="GJ307"/>
      <c r="GK307"/>
      <c r="GL307"/>
      <c r="GM307"/>
      <c r="GN307"/>
    </row>
    <row r="308" spans="1:196" s="525" customFormat="1" ht="13.8" hidden="1" outlineLevel="1" x14ac:dyDescent="0.25">
      <c r="A308" s="1407" t="s">
        <v>749</v>
      </c>
      <c r="B308" s="1407" t="s">
        <v>182</v>
      </c>
      <c r="C308" s="1408">
        <v>3143237</v>
      </c>
      <c r="D308" s="1408">
        <f>C308-G308</f>
        <v>113</v>
      </c>
      <c r="E308" s="523"/>
      <c r="F308" s="520" t="s">
        <v>167</v>
      </c>
      <c r="G308" s="505">
        <v>3143124</v>
      </c>
      <c r="H308" s="505">
        <v>3750643.0000000005</v>
      </c>
      <c r="I308" s="513">
        <f t="shared" si="38"/>
        <v>607519.00000000047</v>
      </c>
      <c r="J308" s="892">
        <f t="shared" si="37"/>
        <v>0.19328508833886301</v>
      </c>
      <c r="K308" s="1450"/>
      <c r="L308" s="1409"/>
      <c r="M308" s="1116"/>
      <c r="N308" s="515"/>
      <c r="O308" s="515"/>
      <c r="P308" s="515"/>
      <c r="Q308" s="515"/>
      <c r="R308" s="515"/>
      <c r="S308" s="515"/>
      <c r="T308" s="515"/>
      <c r="U308" s="515"/>
      <c r="V308" s="515"/>
      <c r="W308" s="515"/>
      <c r="X308" s="515"/>
      <c r="Y308" s="515"/>
      <c r="Z308" s="515"/>
      <c r="AA308" s="515"/>
      <c r="AB308" s="515"/>
      <c r="AC308" s="515"/>
      <c r="AD308" s="515"/>
      <c r="AE308" s="515"/>
      <c r="AF308" s="515"/>
      <c r="AG308" s="515"/>
      <c r="AH308" s="515"/>
      <c r="AI308" s="515"/>
      <c r="AJ308" s="515"/>
      <c r="AK308" s="515"/>
      <c r="AL308" s="515"/>
      <c r="AM308" s="515"/>
      <c r="AN308" s="515"/>
      <c r="AO308" s="515"/>
      <c r="AP308" s="515"/>
      <c r="AQ308" s="515"/>
      <c r="AR308" s="515"/>
      <c r="AS308" s="515"/>
      <c r="AT308" s="515"/>
      <c r="AU308" s="515"/>
      <c r="AV308" s="515"/>
      <c r="AW308" s="515"/>
      <c r="AX308" s="515"/>
      <c r="AY308" s="515"/>
      <c r="AZ308" s="515"/>
      <c r="BA308" s="515"/>
      <c r="BB308" s="515"/>
      <c r="BC308" s="515"/>
      <c r="BD308" s="515"/>
      <c r="BE308" s="515"/>
      <c r="BF308" s="515"/>
      <c r="BG308" s="515"/>
      <c r="BH308" s="515"/>
      <c r="BI308" s="515"/>
      <c r="BJ308" s="515"/>
      <c r="BK308" s="515"/>
      <c r="BL308" s="515"/>
      <c r="BM308" s="515"/>
      <c r="BN308" s="515"/>
      <c r="BO308" s="515"/>
      <c r="BP308" s="515"/>
      <c r="BQ308" s="515"/>
      <c r="BR308" s="515"/>
      <c r="BS308" s="515"/>
      <c r="BT308" s="515"/>
      <c r="BU308" s="515"/>
      <c r="BV308" s="515"/>
      <c r="BW308" s="515"/>
      <c r="BX308" s="515"/>
      <c r="BY308" s="515"/>
      <c r="BZ308" s="515"/>
      <c r="CA308" s="515"/>
      <c r="CB308" s="515"/>
      <c r="CC308" s="515"/>
      <c r="CD308" s="515"/>
      <c r="CE308" s="515"/>
      <c r="CF308" s="515"/>
      <c r="CG308" s="515"/>
      <c r="CH308" s="515"/>
      <c r="CI308" s="515"/>
      <c r="CJ308" s="515"/>
      <c r="CK308" s="515"/>
      <c r="CL308" s="515"/>
      <c r="CM308" s="515"/>
      <c r="CN308" s="515"/>
      <c r="CO308" s="515"/>
      <c r="CP308" s="515"/>
      <c r="CQ308" s="515"/>
      <c r="CR308" s="515"/>
      <c r="CS308" s="515"/>
      <c r="CT308" s="515"/>
      <c r="CU308" s="515"/>
      <c r="CV308" s="515"/>
      <c r="CW308" s="515"/>
      <c r="CX308" s="515"/>
      <c r="CY308" s="515"/>
      <c r="CZ308" s="515"/>
      <c r="DA308" s="515"/>
      <c r="DB308" s="515"/>
      <c r="DC308" s="515"/>
      <c r="DD308" s="515"/>
      <c r="DE308" s="515"/>
      <c r="DF308" s="515"/>
      <c r="DG308" s="515"/>
      <c r="DH308" s="515"/>
      <c r="DI308" s="515"/>
      <c r="DJ308" s="515"/>
      <c r="DK308" s="515"/>
      <c r="DL308" s="515"/>
      <c r="DM308" s="515"/>
      <c r="DN308" s="515"/>
      <c r="DO308" s="515"/>
      <c r="DP308" s="515"/>
      <c r="DQ308" s="515"/>
      <c r="DR308" s="515"/>
      <c r="DS308" s="515"/>
      <c r="DT308" s="515"/>
      <c r="DU308" s="515"/>
      <c r="DV308" s="515"/>
      <c r="DW308" s="515"/>
      <c r="DX308" s="515"/>
      <c r="DY308" s="515"/>
      <c r="DZ308" s="515"/>
      <c r="EA308" s="515"/>
      <c r="EB308" s="515"/>
      <c r="EC308" s="515"/>
      <c r="ED308" s="515"/>
      <c r="EE308" s="515"/>
      <c r="EF308" s="515"/>
      <c r="EG308" s="515"/>
      <c r="EH308" s="515"/>
      <c r="EI308" s="515"/>
      <c r="EJ308" s="515"/>
      <c r="EK308" s="515"/>
      <c r="EL308" s="515"/>
      <c r="EM308" s="515"/>
      <c r="EN308" s="515"/>
      <c r="EO308" s="515"/>
      <c r="EP308" s="515"/>
      <c r="EQ308" s="515"/>
      <c r="ER308" s="515"/>
      <c r="ES308" s="515"/>
      <c r="ET308" s="515"/>
      <c r="EU308" s="515"/>
      <c r="EV308" s="515"/>
      <c r="EW308" s="515"/>
      <c r="EX308" s="515"/>
      <c r="EY308" s="515"/>
      <c r="EZ308" s="515"/>
      <c r="FA308" s="515"/>
      <c r="FB308" s="515"/>
      <c r="FC308" s="515"/>
      <c r="FD308" s="515"/>
      <c r="FE308" s="515"/>
      <c r="FF308" s="515"/>
      <c r="FG308" s="515"/>
      <c r="FH308" s="515"/>
      <c r="FI308" s="515"/>
      <c r="FJ308" s="515"/>
      <c r="FK308" s="515"/>
      <c r="FL308" s="515"/>
      <c r="FM308" s="515"/>
      <c r="FN308" s="515"/>
      <c r="FO308" s="515"/>
      <c r="FP308" s="515"/>
      <c r="FQ308" s="515"/>
      <c r="FR308" s="515"/>
      <c r="FS308" s="515"/>
      <c r="FT308" s="515"/>
      <c r="FU308" s="515"/>
      <c r="FV308" s="515"/>
      <c r="FW308" s="515"/>
      <c r="FX308" s="515"/>
      <c r="FY308" s="515"/>
      <c r="FZ308" s="515"/>
      <c r="GA308" s="515"/>
      <c r="GB308" s="515"/>
      <c r="GC308" s="515"/>
      <c r="GD308" s="515"/>
      <c r="GE308" s="515"/>
      <c r="GF308" s="515"/>
      <c r="GG308" s="515"/>
      <c r="GH308" s="515"/>
      <c r="GI308" s="515"/>
      <c r="GJ308" s="515"/>
      <c r="GK308" s="515"/>
      <c r="GL308" s="515"/>
      <c r="GM308" s="515"/>
      <c r="GN308" s="515"/>
    </row>
    <row r="309" spans="1:196" s="525" customFormat="1" ht="13.8" hidden="1" outlineLevel="1" x14ac:dyDescent="0.25">
      <c r="A309" s="1407" t="s">
        <v>748</v>
      </c>
      <c r="B309" s="1407" t="s">
        <v>555</v>
      </c>
      <c r="C309" s="1408"/>
      <c r="D309" s="1408"/>
      <c r="E309" s="523"/>
      <c r="F309" s="520" t="s">
        <v>555</v>
      </c>
      <c r="G309" s="505">
        <v>421309</v>
      </c>
      <c r="H309" s="505">
        <v>475050</v>
      </c>
      <c r="I309" s="513">
        <f>H309-G309</f>
        <v>53741</v>
      </c>
      <c r="J309" s="892">
        <f t="shared" si="37"/>
        <v>0.12755720860461087</v>
      </c>
      <c r="K309" s="1450"/>
      <c r="L309" s="1409"/>
      <c r="M309" s="1116"/>
      <c r="N309" s="515"/>
      <c r="O309" s="515"/>
      <c r="P309" s="515"/>
      <c r="Q309" s="515"/>
      <c r="R309" s="515"/>
      <c r="S309" s="515"/>
      <c r="T309" s="515"/>
      <c r="U309" s="515"/>
      <c r="V309" s="515"/>
      <c r="W309" s="515"/>
      <c r="X309" s="515"/>
      <c r="Y309" s="515"/>
      <c r="Z309" s="515"/>
      <c r="AA309" s="515"/>
      <c r="AB309" s="515"/>
      <c r="AC309" s="515"/>
      <c r="AD309" s="515"/>
      <c r="AE309" s="515"/>
      <c r="AF309" s="515"/>
      <c r="AG309" s="515"/>
      <c r="AH309" s="515"/>
      <c r="AI309" s="515"/>
      <c r="AJ309" s="515"/>
      <c r="AK309" s="515"/>
      <c r="AL309" s="515"/>
      <c r="AM309" s="515"/>
      <c r="AN309" s="515"/>
      <c r="AO309" s="515"/>
      <c r="AP309" s="515"/>
      <c r="AQ309" s="515"/>
      <c r="AR309" s="515"/>
      <c r="AS309" s="515"/>
      <c r="AT309" s="515"/>
      <c r="AU309" s="515"/>
      <c r="AV309" s="515"/>
      <c r="AW309" s="515"/>
      <c r="AX309" s="515"/>
      <c r="AY309" s="515"/>
      <c r="AZ309" s="515"/>
      <c r="BA309" s="515"/>
      <c r="BB309" s="515"/>
      <c r="BC309" s="515"/>
      <c r="BD309" s="515"/>
      <c r="BE309" s="515"/>
      <c r="BF309" s="515"/>
      <c r="BG309" s="515"/>
      <c r="BH309" s="515"/>
      <c r="BI309" s="515"/>
      <c r="BJ309" s="515"/>
      <c r="BK309" s="515"/>
      <c r="BL309" s="515"/>
      <c r="BM309" s="515"/>
      <c r="BN309" s="515"/>
      <c r="BO309" s="515"/>
      <c r="BP309" s="515"/>
      <c r="BQ309" s="515"/>
      <c r="BR309" s="515"/>
      <c r="BS309" s="515"/>
      <c r="BT309" s="515"/>
      <c r="BU309" s="515"/>
      <c r="BV309" s="515"/>
      <c r="BW309" s="515"/>
      <c r="BX309" s="515"/>
      <c r="BY309" s="515"/>
      <c r="BZ309" s="515"/>
      <c r="CA309" s="515"/>
      <c r="CB309" s="515"/>
      <c r="CC309" s="515"/>
      <c r="CD309" s="515"/>
      <c r="CE309" s="515"/>
      <c r="CF309" s="515"/>
      <c r="CG309" s="515"/>
      <c r="CH309" s="515"/>
      <c r="CI309" s="515"/>
      <c r="CJ309" s="515"/>
      <c r="CK309" s="515"/>
      <c r="CL309" s="515"/>
      <c r="CM309" s="515"/>
      <c r="CN309" s="515"/>
      <c r="CO309" s="515"/>
      <c r="CP309" s="515"/>
      <c r="CQ309" s="515"/>
      <c r="CR309" s="515"/>
      <c r="CS309" s="515"/>
      <c r="CT309" s="515"/>
      <c r="CU309" s="515"/>
      <c r="CV309" s="515"/>
      <c r="CW309" s="515"/>
      <c r="CX309" s="515"/>
      <c r="CY309" s="515"/>
      <c r="CZ309" s="515"/>
      <c r="DA309" s="515"/>
      <c r="DB309" s="515"/>
      <c r="DC309" s="515"/>
      <c r="DD309" s="515"/>
      <c r="DE309" s="515"/>
      <c r="DF309" s="515"/>
      <c r="DG309" s="515"/>
      <c r="DH309" s="515"/>
      <c r="DI309" s="515"/>
      <c r="DJ309" s="515"/>
      <c r="DK309" s="515"/>
      <c r="DL309" s="515"/>
      <c r="DM309" s="515"/>
      <c r="DN309" s="515"/>
      <c r="DO309" s="515"/>
      <c r="DP309" s="515"/>
      <c r="DQ309" s="515"/>
      <c r="DR309" s="515"/>
      <c r="DS309" s="515"/>
      <c r="DT309" s="515"/>
      <c r="DU309" s="515"/>
      <c r="DV309" s="515"/>
      <c r="DW309" s="515"/>
      <c r="DX309" s="515"/>
      <c r="DY309" s="515"/>
      <c r="DZ309" s="515"/>
      <c r="EA309" s="515"/>
      <c r="EB309" s="515"/>
      <c r="EC309" s="515"/>
      <c r="ED309" s="515"/>
      <c r="EE309" s="515"/>
      <c r="EF309" s="515"/>
      <c r="EG309" s="515"/>
      <c r="EH309" s="515"/>
      <c r="EI309" s="515"/>
      <c r="EJ309" s="515"/>
      <c r="EK309" s="515"/>
      <c r="EL309" s="515"/>
      <c r="EM309" s="515"/>
      <c r="EN309" s="515"/>
      <c r="EO309" s="515"/>
      <c r="EP309" s="515"/>
      <c r="EQ309" s="515"/>
      <c r="ER309" s="515"/>
      <c r="ES309" s="515"/>
      <c r="ET309" s="515"/>
      <c r="EU309" s="515"/>
      <c r="EV309" s="515"/>
      <c r="EW309" s="515"/>
      <c r="EX309" s="515"/>
      <c r="EY309" s="515"/>
      <c r="EZ309" s="515"/>
      <c r="FA309" s="515"/>
      <c r="FB309" s="515"/>
      <c r="FC309" s="515"/>
      <c r="FD309" s="515"/>
      <c r="FE309" s="515"/>
      <c r="FF309" s="515"/>
      <c r="FG309" s="515"/>
      <c r="FH309" s="515"/>
      <c r="FI309" s="515"/>
      <c r="FJ309" s="515"/>
      <c r="FK309" s="515"/>
      <c r="FL309" s="515"/>
      <c r="FM309" s="515"/>
      <c r="FN309" s="515"/>
      <c r="FO309" s="515"/>
      <c r="FP309" s="515"/>
      <c r="FQ309" s="515"/>
      <c r="FR309" s="515"/>
      <c r="FS309" s="515"/>
      <c r="FT309" s="515"/>
      <c r="FU309" s="515"/>
      <c r="FV309" s="515"/>
      <c r="FW309" s="515"/>
      <c r="FX309" s="515"/>
      <c r="FY309" s="515"/>
      <c r="FZ309" s="515"/>
      <c r="GA309" s="515"/>
      <c r="GB309" s="515"/>
      <c r="GC309" s="515"/>
      <c r="GD309" s="515"/>
      <c r="GE309" s="515"/>
      <c r="GF309" s="515"/>
      <c r="GG309" s="515"/>
      <c r="GH309" s="515"/>
      <c r="GI309" s="515"/>
      <c r="GJ309" s="515"/>
      <c r="GK309" s="515"/>
      <c r="GL309" s="515"/>
      <c r="GM309" s="515"/>
      <c r="GN309" s="515"/>
    </row>
    <row r="310" spans="1:196" s="525" customFormat="1" ht="13.8" hidden="1" outlineLevel="1" x14ac:dyDescent="0.25">
      <c r="A310" s="1407" t="s">
        <v>748</v>
      </c>
      <c r="B310" s="1407" t="s">
        <v>192</v>
      </c>
      <c r="C310" s="1408">
        <v>280551</v>
      </c>
      <c r="D310" s="1408">
        <f>C310-G310</f>
        <v>-5671.4099999999744</v>
      </c>
      <c r="E310" s="528"/>
      <c r="F310" s="1097" t="s">
        <v>43</v>
      </c>
      <c r="G310" s="505">
        <v>286222.40999999997</v>
      </c>
      <c r="H310" s="505">
        <v>0</v>
      </c>
      <c r="I310" s="513">
        <f t="shared" si="38"/>
        <v>-286222.40999999997</v>
      </c>
      <c r="J310" s="892">
        <f t="shared" si="37"/>
        <v>-1</v>
      </c>
      <c r="K310" s="1450"/>
      <c r="L310" s="1409"/>
      <c r="M310" s="1116"/>
      <c r="N310" s="515"/>
      <c r="O310" s="515"/>
      <c r="P310" s="515"/>
      <c r="Q310" s="515"/>
      <c r="R310" s="515"/>
      <c r="S310" s="515"/>
      <c r="T310" s="515"/>
      <c r="U310" s="515"/>
      <c r="V310" s="515"/>
      <c r="W310" s="515"/>
      <c r="X310" s="515"/>
      <c r="Y310" s="515"/>
      <c r="Z310" s="515"/>
      <c r="AA310" s="515"/>
      <c r="AB310" s="515"/>
      <c r="AC310" s="515"/>
      <c r="AD310" s="515"/>
      <c r="AE310" s="515"/>
      <c r="AF310" s="515"/>
      <c r="AG310" s="515"/>
      <c r="AH310" s="515"/>
      <c r="AI310" s="515"/>
      <c r="AJ310" s="515"/>
      <c r="AK310" s="515"/>
      <c r="AL310" s="515"/>
      <c r="AM310" s="515"/>
      <c r="AN310" s="515"/>
      <c r="AO310" s="515"/>
      <c r="AP310" s="515"/>
      <c r="AQ310" s="515"/>
      <c r="AR310" s="515"/>
      <c r="AS310" s="515"/>
      <c r="AT310" s="515"/>
      <c r="AU310" s="515"/>
      <c r="AV310" s="515"/>
      <c r="AW310" s="515"/>
      <c r="AX310" s="515"/>
      <c r="AY310" s="515"/>
      <c r="AZ310" s="515"/>
      <c r="BA310" s="515"/>
      <c r="BB310" s="515"/>
      <c r="BC310" s="515"/>
      <c r="BD310" s="515"/>
      <c r="BE310" s="515"/>
      <c r="BF310" s="515"/>
      <c r="BG310" s="515"/>
      <c r="BH310" s="515"/>
      <c r="BI310" s="515"/>
      <c r="BJ310" s="515"/>
      <c r="BK310" s="515"/>
      <c r="BL310" s="515"/>
      <c r="BM310" s="515"/>
      <c r="BN310" s="515"/>
      <c r="BO310" s="515"/>
      <c r="BP310" s="515"/>
      <c r="BQ310" s="515"/>
      <c r="BR310" s="515"/>
      <c r="BS310" s="515"/>
      <c r="BT310" s="515"/>
      <c r="BU310" s="515"/>
      <c r="BV310" s="515"/>
      <c r="BW310" s="515"/>
      <c r="BX310" s="515"/>
      <c r="BY310" s="515"/>
      <c r="BZ310" s="515"/>
      <c r="CA310" s="515"/>
      <c r="CB310" s="515"/>
      <c r="CC310" s="515"/>
      <c r="CD310" s="515"/>
      <c r="CE310" s="515"/>
      <c r="CF310" s="515"/>
      <c r="CG310" s="515"/>
      <c r="CH310" s="515"/>
      <c r="CI310" s="515"/>
      <c r="CJ310" s="515"/>
      <c r="CK310" s="515"/>
      <c r="CL310" s="515"/>
      <c r="CM310" s="515"/>
      <c r="CN310" s="515"/>
      <c r="CO310" s="515"/>
      <c r="CP310" s="515"/>
      <c r="CQ310" s="515"/>
      <c r="CR310" s="515"/>
      <c r="CS310" s="515"/>
      <c r="CT310" s="515"/>
      <c r="CU310" s="515"/>
      <c r="CV310" s="515"/>
      <c r="CW310" s="515"/>
      <c r="CX310" s="515"/>
      <c r="CY310" s="515"/>
      <c r="CZ310" s="515"/>
      <c r="DA310" s="515"/>
      <c r="DB310" s="515"/>
      <c r="DC310" s="515"/>
      <c r="DD310" s="515"/>
      <c r="DE310" s="515"/>
      <c r="DF310" s="515"/>
      <c r="DG310" s="515"/>
      <c r="DH310" s="515"/>
      <c r="DI310" s="515"/>
      <c r="DJ310" s="515"/>
      <c r="DK310" s="515"/>
      <c r="DL310" s="515"/>
      <c r="DM310" s="515"/>
      <c r="DN310" s="515"/>
      <c r="DO310" s="515"/>
      <c r="DP310" s="515"/>
      <c r="DQ310" s="515"/>
      <c r="DR310" s="515"/>
      <c r="DS310" s="515"/>
      <c r="DT310" s="515"/>
      <c r="DU310" s="515"/>
      <c r="DV310" s="515"/>
      <c r="DW310" s="515"/>
      <c r="DX310" s="515"/>
      <c r="DY310" s="515"/>
      <c r="DZ310" s="515"/>
      <c r="EA310" s="515"/>
      <c r="EB310" s="515"/>
      <c r="EC310" s="515"/>
      <c r="ED310" s="515"/>
      <c r="EE310" s="515"/>
      <c r="EF310" s="515"/>
      <c r="EG310" s="515"/>
      <c r="EH310" s="515"/>
      <c r="EI310" s="515"/>
      <c r="EJ310" s="515"/>
      <c r="EK310" s="515"/>
      <c r="EL310" s="515"/>
      <c r="EM310" s="515"/>
      <c r="EN310" s="515"/>
      <c r="EO310" s="515"/>
      <c r="EP310" s="515"/>
      <c r="EQ310" s="515"/>
      <c r="ER310" s="515"/>
      <c r="ES310" s="515"/>
      <c r="ET310" s="515"/>
      <c r="EU310" s="515"/>
      <c r="EV310" s="515"/>
      <c r="EW310" s="515"/>
      <c r="EX310" s="515"/>
      <c r="EY310" s="515"/>
      <c r="EZ310" s="515"/>
      <c r="FA310" s="515"/>
      <c r="FB310" s="515"/>
      <c r="FC310" s="515"/>
      <c r="FD310" s="515"/>
      <c r="FE310" s="515"/>
      <c r="FF310" s="515"/>
      <c r="FG310" s="515"/>
      <c r="FH310" s="515"/>
      <c r="FI310" s="515"/>
      <c r="FJ310" s="515"/>
      <c r="FK310" s="515"/>
      <c r="FL310" s="515"/>
      <c r="FM310" s="515"/>
      <c r="FN310" s="515"/>
      <c r="FO310" s="515"/>
      <c r="FP310" s="515"/>
      <c r="FQ310" s="515"/>
      <c r="FR310" s="515"/>
      <c r="FS310" s="515"/>
      <c r="FT310" s="515"/>
      <c r="FU310" s="515"/>
      <c r="FV310" s="515"/>
      <c r="FW310" s="515"/>
      <c r="FX310" s="515"/>
      <c r="FY310" s="515"/>
      <c r="FZ310" s="515"/>
      <c r="GA310" s="515"/>
      <c r="GB310" s="515"/>
      <c r="GC310" s="515"/>
      <c r="GD310" s="515"/>
      <c r="GE310" s="515"/>
      <c r="GF310" s="515"/>
      <c r="GG310" s="515"/>
      <c r="GH310" s="515"/>
      <c r="GI310" s="515"/>
      <c r="GJ310" s="515"/>
      <c r="GK310" s="515"/>
      <c r="GL310" s="515"/>
      <c r="GM310" s="515"/>
      <c r="GN310" s="515"/>
    </row>
    <row r="311" spans="1:196" s="525" customFormat="1" ht="13.8" hidden="1" outlineLevel="1" x14ac:dyDescent="0.25">
      <c r="A311" s="1407" t="s">
        <v>772</v>
      </c>
      <c r="B311" s="1407" t="s">
        <v>192</v>
      </c>
      <c r="C311" s="1408">
        <v>22064</v>
      </c>
      <c r="D311" s="1408">
        <f>C311-G311</f>
        <v>0</v>
      </c>
      <c r="E311" s="538"/>
      <c r="F311" s="1097" t="s">
        <v>665</v>
      </c>
      <c r="G311" s="505">
        <v>22064</v>
      </c>
      <c r="H311" s="505">
        <v>16158</v>
      </c>
      <c r="I311" s="1462"/>
      <c r="J311" s="1463">
        <f t="shared" si="37"/>
        <v>0</v>
      </c>
      <c r="K311" s="1460"/>
      <c r="L311" s="1409"/>
      <c r="M311" s="1116"/>
      <c r="N311" s="515"/>
      <c r="O311" s="515"/>
      <c r="P311" s="515"/>
      <c r="Q311" s="515"/>
      <c r="R311" s="515"/>
      <c r="S311" s="515"/>
      <c r="T311" s="515"/>
      <c r="U311" s="515"/>
      <c r="V311" s="515"/>
      <c r="W311" s="515"/>
      <c r="X311" s="515"/>
      <c r="Y311" s="515"/>
      <c r="Z311" s="515"/>
      <c r="AA311" s="515"/>
      <c r="AB311" s="515"/>
      <c r="AC311" s="515"/>
      <c r="AD311" s="515"/>
      <c r="AE311" s="515"/>
      <c r="AF311" s="515"/>
      <c r="AG311" s="515"/>
      <c r="AH311" s="515"/>
      <c r="AI311" s="515"/>
      <c r="AJ311" s="515"/>
      <c r="AK311" s="515"/>
      <c r="AL311" s="515"/>
      <c r="AM311" s="515"/>
      <c r="AN311" s="515"/>
      <c r="AO311" s="515"/>
      <c r="AP311" s="515"/>
      <c r="AQ311" s="515"/>
      <c r="AR311" s="515"/>
      <c r="AS311" s="515"/>
      <c r="AT311" s="515"/>
      <c r="AU311" s="515"/>
      <c r="AV311" s="515"/>
      <c r="AW311" s="515"/>
      <c r="AX311" s="515"/>
      <c r="AY311" s="515"/>
      <c r="AZ311" s="515"/>
      <c r="BA311" s="515"/>
      <c r="BB311" s="515"/>
      <c r="BC311" s="515"/>
      <c r="BD311" s="515"/>
      <c r="BE311" s="515"/>
      <c r="BF311" s="515"/>
      <c r="BG311" s="515"/>
      <c r="BH311" s="515"/>
      <c r="BI311" s="515"/>
      <c r="BJ311" s="515"/>
      <c r="BK311" s="515"/>
      <c r="BL311" s="515"/>
      <c r="BM311" s="515"/>
      <c r="BN311" s="515"/>
      <c r="BO311" s="515"/>
      <c r="BP311" s="515"/>
      <c r="BQ311" s="515"/>
      <c r="BR311" s="515"/>
      <c r="BS311" s="515"/>
      <c r="BT311" s="515"/>
      <c r="BU311" s="515"/>
      <c r="BV311" s="515"/>
      <c r="BW311" s="515"/>
      <c r="BX311" s="515"/>
      <c r="BY311" s="515"/>
      <c r="BZ311" s="515"/>
      <c r="CA311" s="515"/>
      <c r="CB311" s="515"/>
      <c r="CC311" s="515"/>
      <c r="CD311" s="515"/>
      <c r="CE311" s="515"/>
      <c r="CF311" s="515"/>
      <c r="CG311" s="515"/>
      <c r="CH311" s="515"/>
      <c r="CI311" s="515"/>
      <c r="CJ311" s="515"/>
      <c r="CK311" s="515"/>
      <c r="CL311" s="515"/>
      <c r="CM311" s="515"/>
      <c r="CN311" s="515"/>
      <c r="CO311" s="515"/>
      <c r="CP311" s="515"/>
      <c r="CQ311" s="515"/>
      <c r="CR311" s="515"/>
      <c r="CS311" s="515"/>
      <c r="CT311" s="515"/>
      <c r="CU311" s="515"/>
      <c r="CV311" s="515"/>
      <c r="CW311" s="515"/>
      <c r="CX311" s="515"/>
      <c r="CY311" s="515"/>
      <c r="CZ311" s="515"/>
      <c r="DA311" s="515"/>
      <c r="DB311" s="515"/>
      <c r="DC311" s="515"/>
      <c r="DD311" s="515"/>
      <c r="DE311" s="515"/>
      <c r="DF311" s="515"/>
      <c r="DG311" s="515"/>
      <c r="DH311" s="515"/>
      <c r="DI311" s="515"/>
      <c r="DJ311" s="515"/>
      <c r="DK311" s="515"/>
      <c r="DL311" s="515"/>
      <c r="DM311" s="515"/>
      <c r="DN311" s="515"/>
      <c r="DO311" s="515"/>
      <c r="DP311" s="515"/>
      <c r="DQ311" s="515"/>
      <c r="DR311" s="515"/>
      <c r="DS311" s="515"/>
      <c r="DT311" s="515"/>
      <c r="DU311" s="515"/>
      <c r="DV311" s="515"/>
      <c r="DW311" s="515"/>
      <c r="DX311" s="515"/>
      <c r="DY311" s="515"/>
      <c r="DZ311" s="515"/>
      <c r="EA311" s="515"/>
      <c r="EB311" s="515"/>
      <c r="EC311" s="515"/>
      <c r="ED311" s="515"/>
      <c r="EE311" s="515"/>
      <c r="EF311" s="515"/>
      <c r="EG311" s="515"/>
      <c r="EH311" s="515"/>
      <c r="EI311" s="515"/>
      <c r="EJ311" s="515"/>
      <c r="EK311" s="515"/>
      <c r="EL311" s="515"/>
      <c r="EM311" s="515"/>
      <c r="EN311" s="515"/>
      <c r="EO311" s="515"/>
      <c r="EP311" s="515"/>
      <c r="EQ311" s="515"/>
      <c r="ER311" s="515"/>
      <c r="ES311" s="515"/>
      <c r="ET311" s="515"/>
      <c r="EU311" s="515"/>
      <c r="EV311" s="515"/>
      <c r="EW311" s="515"/>
      <c r="EX311" s="515"/>
      <c r="EY311" s="515"/>
      <c r="EZ311" s="515"/>
      <c r="FA311" s="515"/>
      <c r="FB311" s="515"/>
      <c r="FC311" s="515"/>
      <c r="FD311" s="515"/>
      <c r="FE311" s="515"/>
      <c r="FF311" s="515"/>
      <c r="FG311" s="515"/>
      <c r="FH311" s="515"/>
      <c r="FI311" s="515"/>
      <c r="FJ311" s="515"/>
      <c r="FK311" s="515"/>
      <c r="FL311" s="515"/>
      <c r="FM311" s="515"/>
      <c r="FN311" s="515"/>
      <c r="FO311" s="515"/>
      <c r="FP311" s="515"/>
      <c r="FQ311" s="515"/>
      <c r="FR311" s="515"/>
      <c r="FS311" s="515"/>
      <c r="FT311" s="515"/>
      <c r="FU311" s="515"/>
      <c r="FV311" s="515"/>
      <c r="FW311" s="515"/>
      <c r="FX311" s="515"/>
      <c r="FY311" s="515"/>
      <c r="FZ311" s="515"/>
      <c r="GA311" s="515"/>
      <c r="GB311" s="515"/>
      <c r="GC311" s="515"/>
      <c r="GD311" s="515"/>
      <c r="GE311" s="515"/>
      <c r="GF311" s="515"/>
      <c r="GG311" s="515"/>
      <c r="GH311" s="515"/>
      <c r="GI311" s="515"/>
      <c r="GJ311" s="515"/>
      <c r="GK311" s="515"/>
      <c r="GL311" s="515"/>
      <c r="GM311" s="515"/>
      <c r="GN311" s="515"/>
    </row>
    <row r="312" spans="1:196" s="525" customFormat="1" ht="13.8" hidden="1" outlineLevel="1" x14ac:dyDescent="0.25">
      <c r="A312" s="1407" t="s">
        <v>792</v>
      </c>
      <c r="B312" s="1407" t="s">
        <v>192</v>
      </c>
      <c r="C312" s="1408">
        <v>120342</v>
      </c>
      <c r="D312" s="1408">
        <f>C312-G312</f>
        <v>0</v>
      </c>
      <c r="E312" s="1458"/>
      <c r="F312" s="1415" t="s">
        <v>1162</v>
      </c>
      <c r="G312" s="505">
        <v>120342</v>
      </c>
      <c r="H312" s="505">
        <v>363164</v>
      </c>
      <c r="I312" s="1464"/>
      <c r="J312" s="1465"/>
      <c r="K312" s="1461"/>
      <c r="L312" s="1409"/>
      <c r="M312" s="1116"/>
      <c r="N312" s="515"/>
      <c r="O312" s="515"/>
      <c r="P312" s="515"/>
      <c r="Q312" s="515"/>
      <c r="R312" s="515"/>
      <c r="S312" s="515"/>
      <c r="T312" s="515"/>
      <c r="U312" s="515"/>
      <c r="V312" s="515"/>
      <c r="W312" s="515"/>
      <c r="X312" s="515"/>
      <c r="Y312" s="515"/>
      <c r="Z312" s="515"/>
      <c r="AA312" s="515"/>
      <c r="AB312" s="515"/>
      <c r="AC312" s="515"/>
      <c r="AD312" s="515"/>
      <c r="AE312" s="515"/>
      <c r="AF312" s="515"/>
      <c r="AG312" s="515"/>
      <c r="AH312" s="515"/>
      <c r="AI312" s="515"/>
      <c r="AJ312" s="515"/>
      <c r="AK312" s="515"/>
      <c r="AL312" s="515"/>
      <c r="AM312" s="515"/>
      <c r="AN312" s="515"/>
      <c r="AO312" s="515"/>
      <c r="AP312" s="515"/>
      <c r="AQ312" s="515"/>
      <c r="AR312" s="515"/>
      <c r="AS312" s="515"/>
      <c r="AT312" s="515"/>
      <c r="AU312" s="515"/>
      <c r="AV312" s="515"/>
      <c r="AW312" s="515"/>
      <c r="AX312" s="515"/>
      <c r="AY312" s="515"/>
      <c r="AZ312" s="515"/>
      <c r="BA312" s="515"/>
      <c r="BB312" s="515"/>
      <c r="BC312" s="515"/>
      <c r="BD312" s="515"/>
      <c r="BE312" s="515"/>
      <c r="BF312" s="515"/>
      <c r="BG312" s="515"/>
      <c r="BH312" s="515"/>
      <c r="BI312" s="515"/>
      <c r="BJ312" s="515"/>
      <c r="BK312" s="515"/>
      <c r="BL312" s="515"/>
      <c r="BM312" s="515"/>
      <c r="BN312" s="515"/>
      <c r="BO312" s="515"/>
      <c r="BP312" s="515"/>
      <c r="BQ312" s="515"/>
      <c r="BR312" s="515"/>
      <c r="BS312" s="515"/>
      <c r="BT312" s="515"/>
      <c r="BU312" s="515"/>
      <c r="BV312" s="515"/>
      <c r="BW312" s="515"/>
      <c r="BX312" s="515"/>
      <c r="BY312" s="515"/>
      <c r="BZ312" s="515"/>
      <c r="CA312" s="515"/>
      <c r="CB312" s="515"/>
      <c r="CC312" s="515"/>
      <c r="CD312" s="515"/>
      <c r="CE312" s="515"/>
      <c r="CF312" s="515"/>
      <c r="CG312" s="515"/>
      <c r="CH312" s="515"/>
      <c r="CI312" s="515"/>
      <c r="CJ312" s="515"/>
      <c r="CK312" s="515"/>
      <c r="CL312" s="515"/>
      <c r="CM312" s="515"/>
      <c r="CN312" s="515"/>
      <c r="CO312" s="515"/>
      <c r="CP312" s="515"/>
      <c r="CQ312" s="515"/>
      <c r="CR312" s="515"/>
      <c r="CS312" s="515"/>
      <c r="CT312" s="515"/>
      <c r="CU312" s="515"/>
      <c r="CV312" s="515"/>
      <c r="CW312" s="515"/>
      <c r="CX312" s="515"/>
      <c r="CY312" s="515"/>
      <c r="CZ312" s="515"/>
      <c r="DA312" s="515"/>
      <c r="DB312" s="515"/>
      <c r="DC312" s="515"/>
      <c r="DD312" s="515"/>
      <c r="DE312" s="515"/>
      <c r="DF312" s="515"/>
      <c r="DG312" s="515"/>
      <c r="DH312" s="515"/>
      <c r="DI312" s="515"/>
      <c r="DJ312" s="515"/>
      <c r="DK312" s="515"/>
      <c r="DL312" s="515"/>
      <c r="DM312" s="515"/>
      <c r="DN312" s="515"/>
      <c r="DO312" s="515"/>
      <c r="DP312" s="515"/>
      <c r="DQ312" s="515"/>
      <c r="DR312" s="515"/>
      <c r="DS312" s="515"/>
      <c r="DT312" s="515"/>
      <c r="DU312" s="515"/>
      <c r="DV312" s="515"/>
      <c r="DW312" s="515"/>
      <c r="DX312" s="515"/>
      <c r="DY312" s="515"/>
      <c r="DZ312" s="515"/>
      <c r="EA312" s="515"/>
      <c r="EB312" s="515"/>
      <c r="EC312" s="515"/>
      <c r="ED312" s="515"/>
      <c r="EE312" s="515"/>
      <c r="EF312" s="515"/>
      <c r="EG312" s="515"/>
      <c r="EH312" s="515"/>
      <c r="EI312" s="515"/>
      <c r="EJ312" s="515"/>
      <c r="EK312" s="515"/>
      <c r="EL312" s="515"/>
      <c r="EM312" s="515"/>
      <c r="EN312" s="515"/>
      <c r="EO312" s="515"/>
      <c r="EP312" s="515"/>
      <c r="EQ312" s="515"/>
      <c r="ER312" s="515"/>
      <c r="ES312" s="515"/>
      <c r="ET312" s="515"/>
      <c r="EU312" s="515"/>
      <c r="EV312" s="515"/>
      <c r="EW312" s="515"/>
      <c r="EX312" s="515"/>
      <c r="EY312" s="515"/>
      <c r="EZ312" s="515"/>
      <c r="FA312" s="515"/>
      <c r="FB312" s="515"/>
      <c r="FC312" s="515"/>
      <c r="FD312" s="515"/>
      <c r="FE312" s="515"/>
      <c r="FF312" s="515"/>
      <c r="FG312" s="515"/>
      <c r="FH312" s="515"/>
      <c r="FI312" s="515"/>
      <c r="FJ312" s="515"/>
      <c r="FK312" s="515"/>
      <c r="FL312" s="515"/>
      <c r="FM312" s="515"/>
      <c r="FN312" s="515"/>
      <c r="FO312" s="515"/>
      <c r="FP312" s="515"/>
      <c r="FQ312" s="515"/>
      <c r="FR312" s="515"/>
      <c r="FS312" s="515"/>
      <c r="FT312" s="515"/>
      <c r="FU312" s="515"/>
      <c r="FV312" s="515"/>
      <c r="FW312" s="515"/>
      <c r="FX312" s="515"/>
      <c r="FY312" s="515"/>
      <c r="FZ312" s="515"/>
      <c r="GA312" s="515"/>
      <c r="GB312" s="515"/>
      <c r="GC312" s="515"/>
      <c r="GD312" s="515"/>
      <c r="GE312" s="515"/>
      <c r="GF312" s="515"/>
      <c r="GG312" s="515"/>
      <c r="GH312" s="515"/>
      <c r="GI312" s="515"/>
      <c r="GJ312" s="515"/>
      <c r="GK312" s="515"/>
      <c r="GL312" s="515"/>
      <c r="GM312" s="515"/>
      <c r="GN312" s="515"/>
    </row>
    <row r="313" spans="1:196" ht="27.6" collapsed="1" x14ac:dyDescent="0.25">
      <c r="C313" s="923">
        <f>862429-G319-G318</f>
        <v>849740</v>
      </c>
      <c r="D313" s="923">
        <f>C313-G313</f>
        <v>0</v>
      </c>
      <c r="E313" s="151" t="s">
        <v>1181</v>
      </c>
      <c r="F313" s="145" t="s">
        <v>204</v>
      </c>
      <c r="G313" s="1">
        <v>849740</v>
      </c>
      <c r="H313" s="302">
        <v>891203.01617700025</v>
      </c>
      <c r="I313" s="132">
        <f t="shared" si="38"/>
        <v>41463.016177000245</v>
      </c>
      <c r="J313" s="867">
        <f t="shared" si="37"/>
        <v>4.8794944544213813E-2</v>
      </c>
      <c r="K313" s="220"/>
      <c r="L313" s="224"/>
    </row>
    <row r="314" spans="1:196" s="104" customFormat="1" ht="13.8" hidden="1" outlineLevel="1" x14ac:dyDescent="0.25">
      <c r="A314" s="810" t="s">
        <v>741</v>
      </c>
      <c r="B314" s="810" t="s">
        <v>228</v>
      </c>
      <c r="C314" s="923"/>
      <c r="D314" s="923"/>
      <c r="E314" s="159"/>
      <c r="F314" s="215" t="s">
        <v>228</v>
      </c>
      <c r="G314" s="304">
        <v>701431</v>
      </c>
      <c r="H314" s="304">
        <v>748997.01617700025</v>
      </c>
      <c r="I314" s="153">
        <f t="shared" si="38"/>
        <v>47566.016177000245</v>
      </c>
      <c r="J314" s="878">
        <f t="shared" si="37"/>
        <v>6.7812822896336555E-2</v>
      </c>
      <c r="K314" s="218"/>
      <c r="L314" s="224"/>
      <c r="M314" s="107"/>
      <c r="N314"/>
      <c r="O314"/>
      <c r="P314"/>
      <c r="Q314"/>
      <c r="R314"/>
      <c r="S314"/>
      <c r="T314"/>
      <c r="U314"/>
      <c r="V314"/>
      <c r="W314"/>
      <c r="X314"/>
      <c r="Y314"/>
      <c r="Z314"/>
      <c r="AA314"/>
      <c r="AB314"/>
      <c r="AC314"/>
      <c r="AD314"/>
      <c r="AE314"/>
      <c r="AF314"/>
      <c r="AG314"/>
      <c r="AH314"/>
      <c r="AI314"/>
      <c r="AJ314"/>
      <c r="AK314"/>
      <c r="AL314"/>
      <c r="AM314"/>
      <c r="AN314"/>
      <c r="AO314"/>
      <c r="AP314"/>
      <c r="AQ314"/>
      <c r="AR314"/>
      <c r="AS314"/>
      <c r="AT314"/>
      <c r="AU314"/>
      <c r="AV314"/>
      <c r="AW314"/>
      <c r="AX314"/>
      <c r="AY314"/>
      <c r="AZ314"/>
      <c r="BA314"/>
      <c r="BB314"/>
      <c r="BC314"/>
      <c r="BD314"/>
      <c r="BE314"/>
      <c r="BF314"/>
      <c r="BG314"/>
      <c r="BH314"/>
      <c r="BI314"/>
      <c r="BJ314"/>
      <c r="BK314"/>
      <c r="BL314"/>
      <c r="BM314"/>
      <c r="BN314"/>
      <c r="BO314"/>
      <c r="BP314"/>
      <c r="BQ314"/>
      <c r="BR314"/>
      <c r="BS314"/>
      <c r="BT314"/>
      <c r="BU314"/>
      <c r="BV314"/>
      <c r="BW314"/>
      <c r="BX314"/>
      <c r="BY314"/>
      <c r="BZ314"/>
      <c r="CA314"/>
      <c r="CB314"/>
      <c r="CC314"/>
      <c r="CD314"/>
      <c r="CE314"/>
      <c r="CF314"/>
      <c r="CG314"/>
      <c r="CH314"/>
      <c r="CI314"/>
      <c r="CJ314"/>
      <c r="CK314"/>
      <c r="CL314"/>
      <c r="CM314"/>
      <c r="CN314"/>
      <c r="CO314"/>
      <c r="CP314"/>
      <c r="CQ314"/>
      <c r="CR314"/>
      <c r="CS314"/>
      <c r="CT314"/>
      <c r="CU314"/>
      <c r="CV314"/>
      <c r="CW314"/>
      <c r="CX314"/>
      <c r="CY314"/>
      <c r="CZ314"/>
      <c r="DA314"/>
      <c r="DB314"/>
      <c r="DC314"/>
      <c r="DD314"/>
      <c r="DE314"/>
      <c r="DF314"/>
      <c r="DG314"/>
      <c r="DH314"/>
      <c r="DI314"/>
      <c r="DJ314"/>
      <c r="DK314"/>
      <c r="DL314"/>
      <c r="DM314"/>
      <c r="DN314"/>
      <c r="DO314"/>
      <c r="DP314"/>
      <c r="DQ314"/>
      <c r="DR314"/>
      <c r="DS314"/>
      <c r="DT314"/>
      <c r="DU314"/>
      <c r="DV314"/>
      <c r="DW314"/>
      <c r="DX314"/>
      <c r="DY314"/>
      <c r="DZ314"/>
      <c r="EA314"/>
      <c r="EB314"/>
      <c r="EC314"/>
      <c r="ED314"/>
      <c r="EE314"/>
      <c r="EF314"/>
      <c r="EG314"/>
      <c r="EH314"/>
      <c r="EI314"/>
      <c r="EJ314"/>
      <c r="EK314"/>
      <c r="EL314"/>
      <c r="EM314"/>
      <c r="EN314"/>
      <c r="EO314"/>
      <c r="EP314"/>
      <c r="EQ314"/>
      <c r="ER314"/>
      <c r="ES314"/>
      <c r="ET314"/>
      <c r="EU314"/>
      <c r="EV314"/>
      <c r="EW314"/>
      <c r="EX314"/>
      <c r="EY314"/>
      <c r="EZ314"/>
      <c r="FA314"/>
      <c r="FB314"/>
      <c r="FC314"/>
      <c r="FD314"/>
      <c r="FE314"/>
      <c r="FF314"/>
      <c r="FG314"/>
      <c r="FH314"/>
      <c r="FI314"/>
      <c r="FJ314"/>
      <c r="FK314"/>
      <c r="FL314"/>
      <c r="FM314"/>
      <c r="FN314"/>
      <c r="FO314"/>
      <c r="FP314"/>
      <c r="FQ314"/>
      <c r="FR314"/>
      <c r="FS314"/>
      <c r="FT314"/>
      <c r="FU314"/>
      <c r="FV314"/>
      <c r="FW314"/>
      <c r="FX314"/>
      <c r="FY314"/>
      <c r="FZ314"/>
      <c r="GA314"/>
      <c r="GB314"/>
      <c r="GC314"/>
      <c r="GD314"/>
      <c r="GE314"/>
      <c r="GF314"/>
      <c r="GG314"/>
      <c r="GH314"/>
      <c r="GI314"/>
      <c r="GJ314"/>
      <c r="GK314"/>
      <c r="GL314"/>
      <c r="GM314"/>
      <c r="GN314"/>
    </row>
    <row r="315" spans="1:196" s="104" customFormat="1" ht="13.8" hidden="1" outlineLevel="1" x14ac:dyDescent="0.25">
      <c r="A315" s="810" t="s">
        <v>741</v>
      </c>
      <c r="B315" s="810" t="s">
        <v>554</v>
      </c>
      <c r="C315" s="923"/>
      <c r="D315" s="923"/>
      <c r="E315" s="214"/>
      <c r="F315" s="160" t="s">
        <v>198</v>
      </c>
      <c r="G315" s="304">
        <v>105038</v>
      </c>
      <c r="H315" s="304">
        <v>116406</v>
      </c>
      <c r="I315" s="122">
        <f t="shared" si="38"/>
        <v>11368</v>
      </c>
      <c r="J315" s="865">
        <f t="shared" si="37"/>
        <v>0.10822749861954721</v>
      </c>
      <c r="K315" s="1001" t="s">
        <v>1276</v>
      </c>
      <c r="L315" s="224"/>
      <c r="M315" s="107"/>
      <c r="N315"/>
      <c r="O315"/>
      <c r="P315"/>
      <c r="Q315"/>
      <c r="R315"/>
      <c r="S315"/>
      <c r="T315"/>
      <c r="U315"/>
      <c r="V315"/>
      <c r="W315"/>
      <c r="X315"/>
      <c r="Y315"/>
      <c r="Z315"/>
      <c r="AA315"/>
      <c r="AB315"/>
      <c r="AC315"/>
      <c r="AD315"/>
      <c r="AE315"/>
      <c r="AF315"/>
      <c r="AG315"/>
      <c r="AH315"/>
      <c r="AI315"/>
      <c r="AJ315"/>
      <c r="AK315"/>
      <c r="AL315"/>
      <c r="AM315"/>
      <c r="AN315"/>
      <c r="AO315"/>
      <c r="AP315"/>
      <c r="AQ315"/>
      <c r="AR315"/>
      <c r="AS315"/>
      <c r="AT315"/>
      <c r="AU315"/>
      <c r="AV315"/>
      <c r="AW315"/>
      <c r="AX315"/>
      <c r="AY315"/>
      <c r="AZ315"/>
      <c r="BA315"/>
      <c r="BB315"/>
      <c r="BC315"/>
      <c r="BD315"/>
      <c r="BE315"/>
      <c r="BF315"/>
      <c r="BG315"/>
      <c r="BH315"/>
      <c r="BI315"/>
      <c r="BJ315"/>
      <c r="BK315"/>
      <c r="BL315"/>
      <c r="BM315"/>
      <c r="BN315"/>
      <c r="BO315"/>
      <c r="BP315"/>
      <c r="BQ315"/>
      <c r="BR315"/>
      <c r="BS315"/>
      <c r="BT315"/>
      <c r="BU315"/>
      <c r="BV315"/>
      <c r="BW315"/>
      <c r="BX315"/>
      <c r="BY315"/>
      <c r="BZ315"/>
      <c r="CA315"/>
      <c r="CB315"/>
      <c r="CC315"/>
      <c r="CD315"/>
      <c r="CE315"/>
      <c r="CF315"/>
      <c r="CG315"/>
      <c r="CH315"/>
      <c r="CI315"/>
      <c r="CJ315"/>
      <c r="CK315"/>
      <c r="CL315"/>
      <c r="CM315"/>
      <c r="CN315"/>
      <c r="CO315"/>
      <c r="CP315"/>
      <c r="CQ315"/>
      <c r="CR315"/>
      <c r="CS315"/>
      <c r="CT315"/>
      <c r="CU315"/>
      <c r="CV315"/>
      <c r="CW315"/>
      <c r="CX315"/>
      <c r="CY315"/>
      <c r="CZ315"/>
      <c r="DA315"/>
      <c r="DB315"/>
      <c r="DC315"/>
      <c r="DD315"/>
      <c r="DE315"/>
      <c r="DF315"/>
      <c r="DG315"/>
      <c r="DH315"/>
      <c r="DI315"/>
      <c r="DJ315"/>
      <c r="DK315"/>
      <c r="DL315"/>
      <c r="DM315"/>
      <c r="DN315"/>
      <c r="DO315"/>
      <c r="DP315"/>
      <c r="DQ315"/>
      <c r="DR315"/>
      <c r="DS315"/>
      <c r="DT315"/>
      <c r="DU315"/>
      <c r="DV315"/>
      <c r="DW315"/>
      <c r="DX315"/>
      <c r="DY315"/>
      <c r="DZ315"/>
      <c r="EA315"/>
      <c r="EB315"/>
      <c r="EC315"/>
      <c r="ED315"/>
      <c r="EE315"/>
      <c r="EF315"/>
      <c r="EG315"/>
      <c r="EH315"/>
      <c r="EI315"/>
      <c r="EJ315"/>
      <c r="EK315"/>
      <c r="EL315"/>
      <c r="EM315"/>
      <c r="EN315"/>
      <c r="EO315"/>
      <c r="EP315"/>
      <c r="EQ315"/>
      <c r="ER315"/>
      <c r="ES315"/>
      <c r="ET315"/>
      <c r="EU315"/>
      <c r="EV315"/>
      <c r="EW315"/>
      <c r="EX315"/>
      <c r="EY315"/>
      <c r="EZ315"/>
      <c r="FA315"/>
      <c r="FB315"/>
      <c r="FC315"/>
      <c r="FD315"/>
      <c r="FE315"/>
      <c r="FF315"/>
      <c r="FG315"/>
      <c r="FH315"/>
      <c r="FI315"/>
      <c r="FJ315"/>
      <c r="FK315"/>
      <c r="FL315"/>
      <c r="FM315"/>
      <c r="FN315"/>
      <c r="FO315"/>
      <c r="FP315"/>
      <c r="FQ315"/>
      <c r="FR315"/>
      <c r="FS315"/>
      <c r="FT315"/>
      <c r="FU315"/>
      <c r="FV315"/>
      <c r="FW315"/>
      <c r="FX315"/>
      <c r="FY315"/>
      <c r="FZ315"/>
      <c r="GA315"/>
      <c r="GB315"/>
      <c r="GC315"/>
      <c r="GD315"/>
      <c r="GE315"/>
      <c r="GF315"/>
      <c r="GG315"/>
      <c r="GH315"/>
      <c r="GI315"/>
      <c r="GJ315"/>
      <c r="GK315"/>
      <c r="GL315"/>
      <c r="GM315"/>
      <c r="GN315"/>
    </row>
    <row r="316" spans="1:196" s="104" customFormat="1" ht="13.8" hidden="1" outlineLevel="1" x14ac:dyDescent="0.25">
      <c r="A316" s="810" t="s">
        <v>741</v>
      </c>
      <c r="B316" s="810" t="s">
        <v>556</v>
      </c>
      <c r="C316" s="923"/>
      <c r="D316" s="923"/>
      <c r="E316" s="159"/>
      <c r="F316" s="160" t="s">
        <v>197</v>
      </c>
      <c r="G316" s="304">
        <v>43271</v>
      </c>
      <c r="H316" s="304">
        <v>25800</v>
      </c>
      <c r="I316" s="153">
        <f t="shared" si="38"/>
        <v>-17471</v>
      </c>
      <c r="J316" s="878">
        <f t="shared" si="37"/>
        <v>-0.4037577130179566</v>
      </c>
      <c r="K316" s="218"/>
      <c r="L316" s="224"/>
      <c r="M316" s="107"/>
      <c r="N316"/>
      <c r="O316"/>
      <c r="P316"/>
      <c r="Q316"/>
      <c r="R316"/>
      <c r="S316"/>
      <c r="T316"/>
      <c r="U316"/>
      <c r="V316"/>
      <c r="W316"/>
      <c r="X316"/>
      <c r="Y316"/>
      <c r="Z316"/>
      <c r="AA316"/>
      <c r="AB316"/>
      <c r="AC316"/>
      <c r="AD316"/>
      <c r="AE316"/>
      <c r="AF316"/>
      <c r="AG316"/>
      <c r="AH316"/>
      <c r="AI316"/>
      <c r="AJ316"/>
      <c r="AK316"/>
      <c r="AL316"/>
      <c r="AM316"/>
      <c r="AN316"/>
      <c r="AO316"/>
      <c r="AP316"/>
      <c r="AQ316"/>
      <c r="AR316"/>
      <c r="AS316"/>
      <c r="AT316"/>
      <c r="AU316"/>
      <c r="AV316"/>
      <c r="AW316"/>
      <c r="AX316"/>
      <c r="AY316"/>
      <c r="AZ316"/>
      <c r="BA316"/>
      <c r="BB316"/>
      <c r="BC316"/>
      <c r="BD316"/>
      <c r="BE316"/>
      <c r="BF316"/>
      <c r="BG316"/>
      <c r="BH316"/>
      <c r="BI316"/>
      <c r="BJ316"/>
      <c r="BK316"/>
      <c r="BL316"/>
      <c r="BM316"/>
      <c r="BN316"/>
      <c r="BO316"/>
      <c r="BP316"/>
      <c r="BQ316"/>
      <c r="BR316"/>
      <c r="BS316"/>
      <c r="BT316"/>
      <c r="BU316"/>
      <c r="BV316"/>
      <c r="BW316"/>
      <c r="BX316"/>
      <c r="BY316"/>
      <c r="BZ316"/>
      <c r="CA316"/>
      <c r="CB316"/>
      <c r="CC316"/>
      <c r="CD316"/>
      <c r="CE316"/>
      <c r="CF316"/>
      <c r="CG316"/>
      <c r="CH316"/>
      <c r="CI316"/>
      <c r="CJ316"/>
      <c r="CK316"/>
      <c r="CL316"/>
      <c r="CM316"/>
      <c r="CN316"/>
      <c r="CO316"/>
      <c r="CP316"/>
      <c r="CQ316"/>
      <c r="CR316"/>
      <c r="CS316"/>
      <c r="CT316"/>
      <c r="CU316"/>
      <c r="CV316"/>
      <c r="CW316"/>
      <c r="CX316"/>
      <c r="CY316"/>
      <c r="CZ316"/>
      <c r="DA316"/>
      <c r="DB316"/>
      <c r="DC316"/>
      <c r="DD316"/>
      <c r="DE316"/>
      <c r="DF316"/>
      <c r="DG316"/>
      <c r="DH316"/>
      <c r="DI316"/>
      <c r="DJ316"/>
      <c r="DK316"/>
      <c r="DL316"/>
      <c r="DM316"/>
      <c r="DN316"/>
      <c r="DO316"/>
      <c r="DP316"/>
      <c r="DQ316"/>
      <c r="DR316"/>
      <c r="DS316"/>
      <c r="DT316"/>
      <c r="DU316"/>
      <c r="DV316"/>
      <c r="DW316"/>
      <c r="DX316"/>
      <c r="DY316"/>
      <c r="DZ316"/>
      <c r="EA316"/>
      <c r="EB316"/>
      <c r="EC316"/>
      <c r="ED316"/>
      <c r="EE316"/>
      <c r="EF316"/>
      <c r="EG316"/>
      <c r="EH316"/>
      <c r="EI316"/>
      <c r="EJ316"/>
      <c r="EK316"/>
      <c r="EL316"/>
      <c r="EM316"/>
      <c r="EN316"/>
      <c r="EO316"/>
      <c r="EP316"/>
      <c r="EQ316"/>
      <c r="ER316"/>
      <c r="ES316"/>
      <c r="ET316"/>
      <c r="EU316"/>
      <c r="EV316"/>
      <c r="EW316"/>
      <c r="EX316"/>
      <c r="EY316"/>
      <c r="EZ316"/>
      <c r="FA316"/>
      <c r="FB316"/>
      <c r="FC316"/>
      <c r="FD316"/>
      <c r="FE316"/>
      <c r="FF316"/>
      <c r="FG316"/>
      <c r="FH316"/>
      <c r="FI316"/>
      <c r="FJ316"/>
      <c r="FK316"/>
      <c r="FL316"/>
      <c r="FM316"/>
      <c r="FN316"/>
      <c r="FO316"/>
      <c r="FP316"/>
      <c r="FQ316"/>
      <c r="FR316"/>
      <c r="FS316"/>
      <c r="FT316"/>
      <c r="FU316"/>
      <c r="FV316"/>
      <c r="FW316"/>
      <c r="FX316"/>
      <c r="FY316"/>
      <c r="FZ316"/>
      <c r="GA316"/>
      <c r="GB316"/>
      <c r="GC316"/>
      <c r="GD316"/>
      <c r="GE316"/>
      <c r="GF316"/>
      <c r="GG316"/>
      <c r="GH316"/>
      <c r="GI316"/>
      <c r="GJ316"/>
      <c r="GK316"/>
      <c r="GL316"/>
      <c r="GM316"/>
      <c r="GN316"/>
    </row>
    <row r="317" spans="1:196" s="525" customFormat="1" ht="13.8" hidden="1" outlineLevel="1" x14ac:dyDescent="0.25">
      <c r="A317" s="1095" t="s">
        <v>740</v>
      </c>
      <c r="B317" s="1095" t="s">
        <v>182</v>
      </c>
      <c r="C317" s="1096">
        <v>594024</v>
      </c>
      <c r="D317" s="1096">
        <f>C317-G317</f>
        <v>81</v>
      </c>
      <c r="E317" s="523"/>
      <c r="F317" s="520" t="s">
        <v>167</v>
      </c>
      <c r="G317" s="504">
        <v>593943</v>
      </c>
      <c r="H317" s="504">
        <v>593639.88084</v>
      </c>
      <c r="I317" s="509">
        <f t="shared" si="38"/>
        <v>-303.11916000000201</v>
      </c>
      <c r="J317" s="880">
        <f t="shared" si="37"/>
        <v>-5.1035058919795672E-4</v>
      </c>
      <c r="K317" s="516"/>
      <c r="L317" s="507"/>
      <c r="M317" s="1116"/>
      <c r="N317" s="515"/>
      <c r="O317" s="515"/>
      <c r="P317" s="515"/>
      <c r="Q317" s="515"/>
      <c r="R317" s="515"/>
      <c r="S317" s="515"/>
      <c r="T317" s="515"/>
      <c r="U317" s="515"/>
      <c r="V317" s="515"/>
      <c r="W317" s="515"/>
      <c r="X317" s="515"/>
      <c r="Y317" s="515"/>
      <c r="Z317" s="515"/>
      <c r="AA317" s="515"/>
      <c r="AB317" s="515"/>
      <c r="AC317" s="515"/>
      <c r="AD317" s="515"/>
      <c r="AE317" s="515"/>
      <c r="AF317" s="515"/>
      <c r="AG317" s="515"/>
      <c r="AH317" s="515"/>
      <c r="AI317" s="515"/>
      <c r="AJ317" s="515"/>
      <c r="AK317" s="515"/>
      <c r="AL317" s="515"/>
      <c r="AM317" s="515"/>
      <c r="AN317" s="515"/>
      <c r="AO317" s="515"/>
      <c r="AP317" s="515"/>
      <c r="AQ317" s="515"/>
      <c r="AR317" s="515"/>
      <c r="AS317" s="515"/>
      <c r="AT317" s="515"/>
      <c r="AU317" s="515"/>
      <c r="AV317" s="515"/>
      <c r="AW317" s="515"/>
      <c r="AX317" s="515"/>
      <c r="AY317" s="515"/>
      <c r="AZ317" s="515"/>
      <c r="BA317" s="515"/>
      <c r="BB317" s="515"/>
      <c r="BC317" s="515"/>
      <c r="BD317" s="515"/>
      <c r="BE317" s="515"/>
      <c r="BF317" s="515"/>
      <c r="BG317" s="515"/>
      <c r="BH317" s="515"/>
      <c r="BI317" s="515"/>
      <c r="BJ317" s="515"/>
      <c r="BK317" s="515"/>
      <c r="BL317" s="515"/>
      <c r="BM317" s="515"/>
      <c r="BN317" s="515"/>
      <c r="BO317" s="515"/>
      <c r="BP317" s="515"/>
      <c r="BQ317" s="515"/>
      <c r="BR317" s="515"/>
      <c r="BS317" s="515"/>
      <c r="BT317" s="515"/>
      <c r="BU317" s="515"/>
      <c r="BV317" s="515"/>
      <c r="BW317" s="515"/>
      <c r="BX317" s="515"/>
      <c r="BY317" s="515"/>
      <c r="BZ317" s="515"/>
      <c r="CA317" s="515"/>
      <c r="CB317" s="515"/>
      <c r="CC317" s="515"/>
      <c r="CD317" s="515"/>
      <c r="CE317" s="515"/>
      <c r="CF317" s="515"/>
      <c r="CG317" s="515"/>
      <c r="CH317" s="515"/>
      <c r="CI317" s="515"/>
      <c r="CJ317" s="515"/>
      <c r="CK317" s="515"/>
      <c r="CL317" s="515"/>
      <c r="CM317" s="515"/>
      <c r="CN317" s="515"/>
      <c r="CO317" s="515"/>
      <c r="CP317" s="515"/>
      <c r="CQ317" s="515"/>
      <c r="CR317" s="515"/>
      <c r="CS317" s="515"/>
      <c r="CT317" s="515"/>
      <c r="CU317" s="515"/>
      <c r="CV317" s="515"/>
      <c r="CW317" s="515"/>
      <c r="CX317" s="515"/>
      <c r="CY317" s="515"/>
      <c r="CZ317" s="515"/>
      <c r="DA317" s="515"/>
      <c r="DB317" s="515"/>
      <c r="DC317" s="515"/>
      <c r="DD317" s="515"/>
      <c r="DE317" s="515"/>
      <c r="DF317" s="515"/>
      <c r="DG317" s="515"/>
      <c r="DH317" s="515"/>
      <c r="DI317" s="515"/>
      <c r="DJ317" s="515"/>
      <c r="DK317" s="515"/>
      <c r="DL317" s="515"/>
      <c r="DM317" s="515"/>
      <c r="DN317" s="515"/>
      <c r="DO317" s="515"/>
      <c r="DP317" s="515"/>
      <c r="DQ317" s="515"/>
      <c r="DR317" s="515"/>
      <c r="DS317" s="515"/>
      <c r="DT317" s="515"/>
      <c r="DU317" s="515"/>
      <c r="DV317" s="515"/>
      <c r="DW317" s="515"/>
      <c r="DX317" s="515"/>
      <c r="DY317" s="515"/>
      <c r="DZ317" s="515"/>
      <c r="EA317" s="515"/>
      <c r="EB317" s="515"/>
      <c r="EC317" s="515"/>
      <c r="ED317" s="515"/>
      <c r="EE317" s="515"/>
      <c r="EF317" s="515"/>
      <c r="EG317" s="515"/>
      <c r="EH317" s="515"/>
      <c r="EI317" s="515"/>
      <c r="EJ317" s="515"/>
      <c r="EK317" s="515"/>
      <c r="EL317" s="515"/>
      <c r="EM317" s="515"/>
      <c r="EN317" s="515"/>
      <c r="EO317" s="515"/>
      <c r="EP317" s="515"/>
      <c r="EQ317" s="515"/>
      <c r="ER317" s="515"/>
      <c r="ES317" s="515"/>
      <c r="ET317" s="515"/>
      <c r="EU317" s="515"/>
      <c r="EV317" s="515"/>
      <c r="EW317" s="515"/>
      <c r="EX317" s="515"/>
      <c r="EY317" s="515"/>
      <c r="EZ317" s="515"/>
      <c r="FA317" s="515"/>
      <c r="FB317" s="515"/>
      <c r="FC317" s="515"/>
      <c r="FD317" s="515"/>
      <c r="FE317" s="515"/>
      <c r="FF317" s="515"/>
      <c r="FG317" s="515"/>
      <c r="FH317" s="515"/>
      <c r="FI317" s="515"/>
      <c r="FJ317" s="515"/>
      <c r="FK317" s="515"/>
      <c r="FL317" s="515"/>
      <c r="FM317" s="515"/>
      <c r="FN317" s="515"/>
      <c r="FO317" s="515"/>
      <c r="FP317" s="515"/>
      <c r="FQ317" s="515"/>
      <c r="FR317" s="515"/>
      <c r="FS317" s="515"/>
      <c r="FT317" s="515"/>
      <c r="FU317" s="515"/>
      <c r="FV317" s="515"/>
      <c r="FW317" s="515"/>
      <c r="FX317" s="515"/>
      <c r="FY317" s="515"/>
      <c r="FZ317" s="515"/>
      <c r="GA317" s="515"/>
      <c r="GB317" s="515"/>
      <c r="GC317" s="515"/>
      <c r="GD317" s="515"/>
      <c r="GE317" s="515"/>
      <c r="GF317" s="515"/>
      <c r="GG317" s="515"/>
      <c r="GH317" s="515"/>
      <c r="GI317" s="515"/>
      <c r="GJ317" s="515"/>
      <c r="GK317" s="515"/>
      <c r="GL317" s="515"/>
      <c r="GM317" s="515"/>
      <c r="GN317" s="515"/>
    </row>
    <row r="318" spans="1:196" s="525" customFormat="1" ht="13.8" hidden="1" outlineLevel="1" x14ac:dyDescent="0.25">
      <c r="A318" s="1095" t="s">
        <v>741</v>
      </c>
      <c r="B318" s="1095" t="s">
        <v>555</v>
      </c>
      <c r="C318" s="1096"/>
      <c r="D318" s="1096"/>
      <c r="E318" s="523"/>
      <c r="F318" s="520" t="s">
        <v>555</v>
      </c>
      <c r="G318" s="504">
        <v>5310</v>
      </c>
      <c r="H318" s="504">
        <v>6000</v>
      </c>
      <c r="I318" s="510">
        <f t="shared" si="38"/>
        <v>690</v>
      </c>
      <c r="J318" s="876">
        <f t="shared" si="37"/>
        <v>0.12994350282485875</v>
      </c>
      <c r="K318" s="516"/>
      <c r="L318" s="507"/>
      <c r="M318" s="1116"/>
      <c r="N318" s="515"/>
      <c r="O318" s="515"/>
      <c r="P318" s="515"/>
      <c r="Q318" s="515"/>
      <c r="R318" s="515"/>
      <c r="S318" s="515"/>
      <c r="T318" s="515"/>
      <c r="U318" s="515"/>
      <c r="V318" s="515"/>
      <c r="W318" s="515"/>
      <c r="X318" s="515"/>
      <c r="Y318" s="515"/>
      <c r="Z318" s="515"/>
      <c r="AA318" s="515"/>
      <c r="AB318" s="515"/>
      <c r="AC318" s="515"/>
      <c r="AD318" s="515"/>
      <c r="AE318" s="515"/>
      <c r="AF318" s="515"/>
      <c r="AG318" s="515"/>
      <c r="AH318" s="515"/>
      <c r="AI318" s="515"/>
      <c r="AJ318" s="515"/>
      <c r="AK318" s="515"/>
      <c r="AL318" s="515"/>
      <c r="AM318" s="515"/>
      <c r="AN318" s="515"/>
      <c r="AO318" s="515"/>
      <c r="AP318" s="515"/>
      <c r="AQ318" s="515"/>
      <c r="AR318" s="515"/>
      <c r="AS318" s="515"/>
      <c r="AT318" s="515"/>
      <c r="AU318" s="515"/>
      <c r="AV318" s="515"/>
      <c r="AW318" s="515"/>
      <c r="AX318" s="515"/>
      <c r="AY318" s="515"/>
      <c r="AZ318" s="515"/>
      <c r="BA318" s="515"/>
      <c r="BB318" s="515"/>
      <c r="BC318" s="515"/>
      <c r="BD318" s="515"/>
      <c r="BE318" s="515"/>
      <c r="BF318" s="515"/>
      <c r="BG318" s="515"/>
      <c r="BH318" s="515"/>
      <c r="BI318" s="515"/>
      <c r="BJ318" s="515"/>
      <c r="BK318" s="515"/>
      <c r="BL318" s="515"/>
      <c r="BM318" s="515"/>
      <c r="BN318" s="515"/>
      <c r="BO318" s="515"/>
      <c r="BP318" s="515"/>
      <c r="BQ318" s="515"/>
      <c r="BR318" s="515"/>
      <c r="BS318" s="515"/>
      <c r="BT318" s="515"/>
      <c r="BU318" s="515"/>
      <c r="BV318" s="515"/>
      <c r="BW318" s="515"/>
      <c r="BX318" s="515"/>
      <c r="BY318" s="515"/>
      <c r="BZ318" s="515"/>
      <c r="CA318" s="515"/>
      <c r="CB318" s="515"/>
      <c r="CC318" s="515"/>
      <c r="CD318" s="515"/>
      <c r="CE318" s="515"/>
      <c r="CF318" s="515"/>
      <c r="CG318" s="515"/>
      <c r="CH318" s="515"/>
      <c r="CI318" s="515"/>
      <c r="CJ318" s="515"/>
      <c r="CK318" s="515"/>
      <c r="CL318" s="515"/>
      <c r="CM318" s="515"/>
      <c r="CN318" s="515"/>
      <c r="CO318" s="515"/>
      <c r="CP318" s="515"/>
      <c r="CQ318" s="515"/>
      <c r="CR318" s="515"/>
      <c r="CS318" s="515"/>
      <c r="CT318" s="515"/>
      <c r="CU318" s="515"/>
      <c r="CV318" s="515"/>
      <c r="CW318" s="515"/>
      <c r="CX318" s="515"/>
      <c r="CY318" s="515"/>
      <c r="CZ318" s="515"/>
      <c r="DA318" s="515"/>
      <c r="DB318" s="515"/>
      <c r="DC318" s="515"/>
      <c r="DD318" s="515"/>
      <c r="DE318" s="515"/>
      <c r="DF318" s="515"/>
      <c r="DG318" s="515"/>
      <c r="DH318" s="515"/>
      <c r="DI318" s="515"/>
      <c r="DJ318" s="515"/>
      <c r="DK318" s="515"/>
      <c r="DL318" s="515"/>
      <c r="DM318" s="515"/>
      <c r="DN318" s="515"/>
      <c r="DO318" s="515"/>
      <c r="DP318" s="515"/>
      <c r="DQ318" s="515"/>
      <c r="DR318" s="515"/>
      <c r="DS318" s="515"/>
      <c r="DT318" s="515"/>
      <c r="DU318" s="515"/>
      <c r="DV318" s="515"/>
      <c r="DW318" s="515"/>
      <c r="DX318" s="515"/>
      <c r="DY318" s="515"/>
      <c r="DZ318" s="515"/>
      <c r="EA318" s="515"/>
      <c r="EB318" s="515"/>
      <c r="EC318" s="515"/>
      <c r="ED318" s="515"/>
      <c r="EE318" s="515"/>
      <c r="EF318" s="515"/>
      <c r="EG318" s="515"/>
      <c r="EH318" s="515"/>
      <c r="EI318" s="515"/>
      <c r="EJ318" s="515"/>
      <c r="EK318" s="515"/>
      <c r="EL318" s="515"/>
      <c r="EM318" s="515"/>
      <c r="EN318" s="515"/>
      <c r="EO318" s="515"/>
      <c r="EP318" s="515"/>
      <c r="EQ318" s="515"/>
      <c r="ER318" s="515"/>
      <c r="ES318" s="515"/>
      <c r="ET318" s="515"/>
      <c r="EU318" s="515"/>
      <c r="EV318" s="515"/>
      <c r="EW318" s="515"/>
      <c r="EX318" s="515"/>
      <c r="EY318" s="515"/>
      <c r="EZ318" s="515"/>
      <c r="FA318" s="515"/>
      <c r="FB318" s="515"/>
      <c r="FC318" s="515"/>
      <c r="FD318" s="515"/>
      <c r="FE318" s="515"/>
      <c r="FF318" s="515"/>
      <c r="FG318" s="515"/>
      <c r="FH318" s="515"/>
      <c r="FI318" s="515"/>
      <c r="FJ318" s="515"/>
      <c r="FK318" s="515"/>
      <c r="FL318" s="515"/>
      <c r="FM318" s="515"/>
      <c r="FN318" s="515"/>
      <c r="FO318" s="515"/>
      <c r="FP318" s="515"/>
      <c r="FQ318" s="515"/>
      <c r="FR318" s="515"/>
      <c r="FS318" s="515"/>
      <c r="FT318" s="515"/>
      <c r="FU318" s="515"/>
      <c r="FV318" s="515"/>
      <c r="FW318" s="515"/>
      <c r="FX318" s="515"/>
      <c r="FY318" s="515"/>
      <c r="FZ318" s="515"/>
      <c r="GA318" s="515"/>
      <c r="GB318" s="515"/>
      <c r="GC318" s="515"/>
      <c r="GD318" s="515"/>
      <c r="GE318" s="515"/>
      <c r="GF318" s="515"/>
      <c r="GG318" s="515"/>
      <c r="GH318" s="515"/>
      <c r="GI318" s="515"/>
      <c r="GJ318" s="515"/>
      <c r="GK318" s="515"/>
      <c r="GL318" s="515"/>
      <c r="GM318" s="515"/>
      <c r="GN318" s="515"/>
    </row>
    <row r="319" spans="1:196" s="525" customFormat="1" ht="13.8" hidden="1" outlineLevel="1" x14ac:dyDescent="0.25">
      <c r="A319" s="1095" t="s">
        <v>741</v>
      </c>
      <c r="B319" s="1095" t="s">
        <v>192</v>
      </c>
      <c r="C319" s="1096"/>
      <c r="D319" s="1096"/>
      <c r="E319" s="1458"/>
      <c r="F319" s="1097" t="s">
        <v>43</v>
      </c>
      <c r="G319" s="504">
        <v>7379</v>
      </c>
      <c r="H319" s="504">
        <v>0</v>
      </c>
      <c r="I319" s="1466"/>
      <c r="J319" s="1467">
        <f t="shared" si="37"/>
        <v>0</v>
      </c>
      <c r="K319" s="1459"/>
      <c r="L319" s="507"/>
      <c r="M319" s="1116"/>
      <c r="N319" s="515"/>
      <c r="O319" s="515"/>
      <c r="P319" s="515"/>
      <c r="Q319" s="515"/>
      <c r="R319" s="515"/>
      <c r="S319" s="515"/>
      <c r="T319" s="515"/>
      <c r="U319" s="515"/>
      <c r="V319" s="515"/>
      <c r="W319" s="515"/>
      <c r="X319" s="515"/>
      <c r="Y319" s="515"/>
      <c r="Z319" s="515"/>
      <c r="AA319" s="515"/>
      <c r="AB319" s="515"/>
      <c r="AC319" s="515"/>
      <c r="AD319" s="515"/>
      <c r="AE319" s="515"/>
      <c r="AF319" s="515"/>
      <c r="AG319" s="515"/>
      <c r="AH319" s="515"/>
      <c r="AI319" s="515"/>
      <c r="AJ319" s="515"/>
      <c r="AK319" s="515"/>
      <c r="AL319" s="515"/>
      <c r="AM319" s="515"/>
      <c r="AN319" s="515"/>
      <c r="AO319" s="515"/>
      <c r="AP319" s="515"/>
      <c r="AQ319" s="515"/>
      <c r="AR319" s="515"/>
      <c r="AS319" s="515"/>
      <c r="AT319" s="515"/>
      <c r="AU319" s="515"/>
      <c r="AV319" s="515"/>
      <c r="AW319" s="515"/>
      <c r="AX319" s="515"/>
      <c r="AY319" s="515"/>
      <c r="AZ319" s="515"/>
      <c r="BA319" s="515"/>
      <c r="BB319" s="515"/>
      <c r="BC319" s="515"/>
      <c r="BD319" s="515"/>
      <c r="BE319" s="515"/>
      <c r="BF319" s="515"/>
      <c r="BG319" s="515"/>
      <c r="BH319" s="515"/>
      <c r="BI319" s="515"/>
      <c r="BJ319" s="515"/>
      <c r="BK319" s="515"/>
      <c r="BL319" s="515"/>
      <c r="BM319" s="515"/>
      <c r="BN319" s="515"/>
      <c r="BO319" s="515"/>
      <c r="BP319" s="515"/>
      <c r="BQ319" s="515"/>
      <c r="BR319" s="515"/>
      <c r="BS319" s="515"/>
      <c r="BT319" s="515"/>
      <c r="BU319" s="515"/>
      <c r="BV319" s="515"/>
      <c r="BW319" s="515"/>
      <c r="BX319" s="515"/>
      <c r="BY319" s="515"/>
      <c r="BZ319" s="515"/>
      <c r="CA319" s="515"/>
      <c r="CB319" s="515"/>
      <c r="CC319" s="515"/>
      <c r="CD319" s="515"/>
      <c r="CE319" s="515"/>
      <c r="CF319" s="515"/>
      <c r="CG319" s="515"/>
      <c r="CH319" s="515"/>
      <c r="CI319" s="515"/>
      <c r="CJ319" s="515"/>
      <c r="CK319" s="515"/>
      <c r="CL319" s="515"/>
      <c r="CM319" s="515"/>
      <c r="CN319" s="515"/>
      <c r="CO319" s="515"/>
      <c r="CP319" s="515"/>
      <c r="CQ319" s="515"/>
      <c r="CR319" s="515"/>
      <c r="CS319" s="515"/>
      <c r="CT319" s="515"/>
      <c r="CU319" s="515"/>
      <c r="CV319" s="515"/>
      <c r="CW319" s="515"/>
      <c r="CX319" s="515"/>
      <c r="CY319" s="515"/>
      <c r="CZ319" s="515"/>
      <c r="DA319" s="515"/>
      <c r="DB319" s="515"/>
      <c r="DC319" s="515"/>
      <c r="DD319" s="515"/>
      <c r="DE319" s="515"/>
      <c r="DF319" s="515"/>
      <c r="DG319" s="515"/>
      <c r="DH319" s="515"/>
      <c r="DI319" s="515"/>
      <c r="DJ319" s="515"/>
      <c r="DK319" s="515"/>
      <c r="DL319" s="515"/>
      <c r="DM319" s="515"/>
      <c r="DN319" s="515"/>
      <c r="DO319" s="515"/>
      <c r="DP319" s="515"/>
      <c r="DQ319" s="515"/>
      <c r="DR319" s="515"/>
      <c r="DS319" s="515"/>
      <c r="DT319" s="515"/>
      <c r="DU319" s="515"/>
      <c r="DV319" s="515"/>
      <c r="DW319" s="515"/>
      <c r="DX319" s="515"/>
      <c r="DY319" s="515"/>
      <c r="DZ319" s="515"/>
      <c r="EA319" s="515"/>
      <c r="EB319" s="515"/>
      <c r="EC319" s="515"/>
      <c r="ED319" s="515"/>
      <c r="EE319" s="515"/>
      <c r="EF319" s="515"/>
      <c r="EG319" s="515"/>
      <c r="EH319" s="515"/>
      <c r="EI319" s="515"/>
      <c r="EJ319" s="515"/>
      <c r="EK319" s="515"/>
      <c r="EL319" s="515"/>
      <c r="EM319" s="515"/>
      <c r="EN319" s="515"/>
      <c r="EO319" s="515"/>
      <c r="EP319" s="515"/>
      <c r="EQ319" s="515"/>
      <c r="ER319" s="515"/>
      <c r="ES319" s="515"/>
      <c r="ET319" s="515"/>
      <c r="EU319" s="515"/>
      <c r="EV319" s="515"/>
      <c r="EW319" s="515"/>
      <c r="EX319" s="515"/>
      <c r="EY319" s="515"/>
      <c r="EZ319" s="515"/>
      <c r="FA319" s="515"/>
      <c r="FB319" s="515"/>
      <c r="FC319" s="515"/>
      <c r="FD319" s="515"/>
      <c r="FE319" s="515"/>
      <c r="FF319" s="515"/>
      <c r="FG319" s="515"/>
      <c r="FH319" s="515"/>
      <c r="FI319" s="515"/>
      <c r="FJ319" s="515"/>
      <c r="FK319" s="515"/>
      <c r="FL319" s="515"/>
      <c r="FM319" s="515"/>
      <c r="FN319" s="515"/>
      <c r="FO319" s="515"/>
      <c r="FP319" s="515"/>
      <c r="FQ319" s="515"/>
      <c r="FR319" s="515"/>
      <c r="FS319" s="515"/>
      <c r="FT319" s="515"/>
      <c r="FU319" s="515"/>
      <c r="FV319" s="515"/>
      <c r="FW319" s="515"/>
      <c r="FX319" s="515"/>
      <c r="FY319" s="515"/>
      <c r="FZ319" s="515"/>
      <c r="GA319" s="515"/>
      <c r="GB319" s="515"/>
      <c r="GC319" s="515"/>
      <c r="GD319" s="515"/>
      <c r="GE319" s="515"/>
      <c r="GF319" s="515"/>
      <c r="GG319" s="515"/>
      <c r="GH319" s="515"/>
      <c r="GI319" s="515"/>
      <c r="GJ319" s="515"/>
      <c r="GK319" s="515"/>
      <c r="GL319" s="515"/>
      <c r="GM319" s="515"/>
      <c r="GN319" s="515"/>
    </row>
    <row r="320" spans="1:196" ht="13.8" collapsed="1" x14ac:dyDescent="0.25">
      <c r="C320" s="923">
        <v>325574</v>
      </c>
      <c r="D320" s="923">
        <f>C320-G320</f>
        <v>-0.20054500002879649</v>
      </c>
      <c r="E320" s="151" t="s">
        <v>1182</v>
      </c>
      <c r="F320" s="145" t="s">
        <v>205</v>
      </c>
      <c r="G320" s="1">
        <v>325574.20054500003</v>
      </c>
      <c r="H320" s="302">
        <v>343948.80554049998</v>
      </c>
      <c r="I320" s="132">
        <f t="shared" si="38"/>
        <v>18374.604995499947</v>
      </c>
      <c r="J320" s="867">
        <f t="shared" si="37"/>
        <v>5.6437533946920519E-2</v>
      </c>
      <c r="K320" s="220"/>
      <c r="L320" s="224"/>
    </row>
    <row r="321" spans="1:196" s="104" customFormat="1" ht="13.8" hidden="1" outlineLevel="1" x14ac:dyDescent="0.25">
      <c r="A321" s="810" t="s">
        <v>779</v>
      </c>
      <c r="B321" s="810" t="s">
        <v>228</v>
      </c>
      <c r="C321" s="923"/>
      <c r="D321" s="923"/>
      <c r="E321" s="159"/>
      <c r="F321" s="160" t="s">
        <v>228</v>
      </c>
      <c r="G321" s="296">
        <v>163319.200545</v>
      </c>
      <c r="H321" s="304">
        <v>143648.80554049995</v>
      </c>
      <c r="I321" s="122">
        <f t="shared" si="38"/>
        <v>-19670.395004500053</v>
      </c>
      <c r="J321" s="865">
        <f t="shared" si="37"/>
        <v>-0.1204414112906473</v>
      </c>
      <c r="K321" s="218" t="s">
        <v>1651</v>
      </c>
      <c r="L321" s="224"/>
      <c r="M321" s="107"/>
      <c r="N321"/>
      <c r="O321"/>
      <c r="P321"/>
      <c r="Q321"/>
      <c r="R321"/>
      <c r="S321"/>
      <c r="T321"/>
      <c r="U321"/>
      <c r="V321"/>
      <c r="W321"/>
      <c r="X321"/>
      <c r="Y321"/>
      <c r="Z321"/>
      <c r="AA321"/>
      <c r="AB321"/>
      <c r="AC321"/>
      <c r="AD321"/>
      <c r="AE321"/>
      <c r="AF321"/>
      <c r="AG321"/>
      <c r="AH321"/>
      <c r="AI321"/>
      <c r="AJ321"/>
      <c r="AK321"/>
      <c r="AL321"/>
      <c r="AM321"/>
      <c r="AN321"/>
      <c r="AO321"/>
      <c r="AP321"/>
      <c r="AQ321"/>
      <c r="AR321"/>
      <c r="AS321"/>
      <c r="AT321"/>
      <c r="AU321"/>
      <c r="AV321"/>
      <c r="AW321"/>
      <c r="AX321"/>
      <c r="AY321"/>
      <c r="AZ321"/>
      <c r="BA321"/>
      <c r="BB321"/>
      <c r="BC321"/>
      <c r="BD321"/>
      <c r="BE321"/>
      <c r="BF321"/>
      <c r="BG321"/>
      <c r="BH321"/>
      <c r="BI321"/>
      <c r="BJ321"/>
      <c r="BK321"/>
      <c r="BL321"/>
      <c r="BM321"/>
      <c r="BN321"/>
      <c r="BO321"/>
      <c r="BP321"/>
      <c r="BQ321"/>
      <c r="BR321"/>
      <c r="BS321"/>
      <c r="BT321"/>
      <c r="BU321"/>
      <c r="BV321"/>
      <c r="BW321"/>
      <c r="BX321"/>
      <c r="BY321"/>
      <c r="BZ321"/>
      <c r="CA321"/>
      <c r="CB321"/>
      <c r="CC321"/>
      <c r="CD321"/>
      <c r="CE321"/>
      <c r="CF321"/>
      <c r="CG321"/>
      <c r="CH321"/>
      <c r="CI321"/>
      <c r="CJ321"/>
      <c r="CK321"/>
      <c r="CL321"/>
      <c r="CM321"/>
      <c r="CN321"/>
      <c r="CO321"/>
      <c r="CP321"/>
      <c r="CQ321"/>
      <c r="CR321"/>
      <c r="CS321"/>
      <c r="CT321"/>
      <c r="CU321"/>
      <c r="CV321"/>
      <c r="CW321"/>
      <c r="CX321"/>
      <c r="CY321"/>
      <c r="CZ321"/>
      <c r="DA321"/>
      <c r="DB321"/>
      <c r="DC321"/>
      <c r="DD321"/>
      <c r="DE321"/>
      <c r="DF321"/>
      <c r="DG321"/>
      <c r="DH321"/>
      <c r="DI321"/>
      <c r="DJ321"/>
      <c r="DK321"/>
      <c r="DL321"/>
      <c r="DM321"/>
      <c r="DN321"/>
      <c r="DO321"/>
      <c r="DP321"/>
      <c r="DQ321"/>
      <c r="DR321"/>
      <c r="DS321"/>
      <c r="DT321"/>
      <c r="DU321"/>
      <c r="DV321"/>
      <c r="DW321"/>
      <c r="DX321"/>
      <c r="DY321"/>
      <c r="DZ321"/>
      <c r="EA321"/>
      <c r="EB321"/>
      <c r="EC321"/>
      <c r="ED321"/>
      <c r="EE321"/>
      <c r="EF321"/>
      <c r="EG321"/>
      <c r="EH321"/>
      <c r="EI321"/>
      <c r="EJ321"/>
      <c r="EK321"/>
      <c r="EL321"/>
      <c r="EM321"/>
      <c r="EN321"/>
      <c r="EO321"/>
      <c r="EP321"/>
      <c r="EQ321"/>
      <c r="ER321"/>
      <c r="ES321"/>
      <c r="ET321"/>
      <c r="EU321"/>
      <c r="EV321"/>
      <c r="EW321"/>
      <c r="EX321"/>
      <c r="EY321"/>
      <c r="EZ321"/>
      <c r="FA321"/>
      <c r="FB321"/>
      <c r="FC321"/>
      <c r="FD321"/>
      <c r="FE321"/>
      <c r="FF321"/>
      <c r="FG321"/>
      <c r="FH321"/>
      <c r="FI321"/>
      <c r="FJ321"/>
      <c r="FK321"/>
      <c r="FL321"/>
      <c r="FM321"/>
      <c r="FN321"/>
      <c r="FO321"/>
      <c r="FP321"/>
      <c r="FQ321"/>
      <c r="FR321"/>
      <c r="FS321"/>
      <c r="FT321"/>
      <c r="FU321"/>
      <c r="FV321"/>
      <c r="FW321"/>
      <c r="FX321"/>
      <c r="FY321"/>
      <c r="FZ321"/>
      <c r="GA321"/>
      <c r="GB321"/>
      <c r="GC321"/>
      <c r="GD321"/>
      <c r="GE321"/>
      <c r="GF321"/>
      <c r="GG321"/>
      <c r="GH321"/>
      <c r="GI321"/>
      <c r="GJ321"/>
      <c r="GK321"/>
      <c r="GL321"/>
      <c r="GM321"/>
      <c r="GN321"/>
    </row>
    <row r="322" spans="1:196" s="104" customFormat="1" ht="69" hidden="1" outlineLevel="1" x14ac:dyDescent="0.25">
      <c r="A322" s="810" t="s">
        <v>779</v>
      </c>
      <c r="B322" s="810" t="s">
        <v>554</v>
      </c>
      <c r="C322" s="923"/>
      <c r="D322" s="923"/>
      <c r="E322" s="214"/>
      <c r="F322" s="215" t="s">
        <v>198</v>
      </c>
      <c r="G322" s="296">
        <v>161255</v>
      </c>
      <c r="H322" s="304">
        <v>196300</v>
      </c>
      <c r="I322" s="153">
        <f t="shared" si="38"/>
        <v>35045</v>
      </c>
      <c r="J322" s="878">
        <f t="shared" si="37"/>
        <v>0.21732659452420081</v>
      </c>
      <c r="K322" s="455" t="s">
        <v>1278</v>
      </c>
      <c r="L322" s="224"/>
      <c r="M322" s="107"/>
      <c r="N322"/>
      <c r="O322"/>
      <c r="P322"/>
      <c r="Q322"/>
      <c r="R322"/>
      <c r="S322"/>
      <c r="T322"/>
      <c r="U322"/>
      <c r="V322"/>
      <c r="W322"/>
      <c r="X322"/>
      <c r="Y322"/>
      <c r="Z322"/>
      <c r="AA322"/>
      <c r="AB322"/>
      <c r="AC322"/>
      <c r="AD322"/>
      <c r="AE322"/>
      <c r="AF322"/>
      <c r="AG322"/>
      <c r="AH322"/>
      <c r="AI322"/>
      <c r="AJ322"/>
      <c r="AK322"/>
      <c r="AL322"/>
      <c r="AM322"/>
      <c r="AN322"/>
      <c r="AO322"/>
      <c r="AP322"/>
      <c r="AQ322"/>
      <c r="AR322"/>
      <c r="AS322"/>
      <c r="AT322"/>
      <c r="AU322"/>
      <c r="AV322"/>
      <c r="AW322"/>
      <c r="AX322"/>
      <c r="AY322"/>
      <c r="AZ322"/>
      <c r="BA322"/>
      <c r="BB322"/>
      <c r="BC322"/>
      <c r="BD322"/>
      <c r="BE322"/>
      <c r="BF322"/>
      <c r="BG322"/>
      <c r="BH322"/>
      <c r="BI322"/>
      <c r="BJ322"/>
      <c r="BK322"/>
      <c r="BL322"/>
      <c r="BM322"/>
      <c r="BN322"/>
      <c r="BO322"/>
      <c r="BP322"/>
      <c r="BQ322"/>
      <c r="BR322"/>
      <c r="BS322"/>
      <c r="BT322"/>
      <c r="BU322"/>
      <c r="BV322"/>
      <c r="BW322"/>
      <c r="BX322"/>
      <c r="BY322"/>
      <c r="BZ322"/>
      <c r="CA322"/>
      <c r="CB322"/>
      <c r="CC322"/>
      <c r="CD322"/>
      <c r="CE322"/>
      <c r="CF322"/>
      <c r="CG322"/>
      <c r="CH322"/>
      <c r="CI322"/>
      <c r="CJ322"/>
      <c r="CK322"/>
      <c r="CL322"/>
      <c r="CM322"/>
      <c r="CN322"/>
      <c r="CO322"/>
      <c r="CP322"/>
      <c r="CQ322"/>
      <c r="CR322"/>
      <c r="CS322"/>
      <c r="CT322"/>
      <c r="CU322"/>
      <c r="CV322"/>
      <c r="CW322"/>
      <c r="CX322"/>
      <c r="CY322"/>
      <c r="CZ322"/>
      <c r="DA322"/>
      <c r="DB322"/>
      <c r="DC322"/>
      <c r="DD322"/>
      <c r="DE322"/>
      <c r="DF322"/>
      <c r="DG322"/>
      <c r="DH322"/>
      <c r="DI322"/>
      <c r="DJ322"/>
      <c r="DK322"/>
      <c r="DL322"/>
      <c r="DM322"/>
      <c r="DN322"/>
      <c r="DO322"/>
      <c r="DP322"/>
      <c r="DQ322"/>
      <c r="DR322"/>
      <c r="DS322"/>
      <c r="DT322"/>
      <c r="DU322"/>
      <c r="DV322"/>
      <c r="DW322"/>
      <c r="DX322"/>
      <c r="DY322"/>
      <c r="DZ322"/>
      <c r="EA322"/>
      <c r="EB322"/>
      <c r="EC322"/>
      <c r="ED322"/>
      <c r="EE322"/>
      <c r="EF322"/>
      <c r="EG322"/>
      <c r="EH322"/>
      <c r="EI322"/>
      <c r="EJ322"/>
      <c r="EK322"/>
      <c r="EL322"/>
      <c r="EM322"/>
      <c r="EN322"/>
      <c r="EO322"/>
      <c r="EP322"/>
      <c r="EQ322"/>
      <c r="ER322"/>
      <c r="ES322"/>
      <c r="ET322"/>
      <c r="EU322"/>
      <c r="EV322"/>
      <c r="EW322"/>
      <c r="EX322"/>
      <c r="EY322"/>
      <c r="EZ322"/>
      <c r="FA322"/>
      <c r="FB322"/>
      <c r="FC322"/>
      <c r="FD322"/>
      <c r="FE322"/>
      <c r="FF322"/>
      <c r="FG322"/>
      <c r="FH322"/>
      <c r="FI322"/>
      <c r="FJ322"/>
      <c r="FK322"/>
      <c r="FL322"/>
      <c r="FM322"/>
      <c r="FN322"/>
      <c r="FO322"/>
      <c r="FP322"/>
      <c r="FQ322"/>
      <c r="FR322"/>
      <c r="FS322"/>
      <c r="FT322"/>
      <c r="FU322"/>
      <c r="FV322"/>
      <c r="FW322"/>
      <c r="FX322"/>
      <c r="FY322"/>
      <c r="FZ322"/>
      <c r="GA322"/>
      <c r="GB322"/>
      <c r="GC322"/>
      <c r="GD322"/>
      <c r="GE322"/>
      <c r="GF322"/>
      <c r="GG322"/>
      <c r="GH322"/>
      <c r="GI322"/>
      <c r="GJ322"/>
      <c r="GK322"/>
      <c r="GL322"/>
      <c r="GM322"/>
      <c r="GN322"/>
    </row>
    <row r="323" spans="1:196" s="104" customFormat="1" ht="13.8" hidden="1" outlineLevel="1" x14ac:dyDescent="0.25">
      <c r="A323" s="810" t="s">
        <v>779</v>
      </c>
      <c r="B323" s="810" t="s">
        <v>556</v>
      </c>
      <c r="C323" s="923"/>
      <c r="D323" s="923"/>
      <c r="E323" s="159"/>
      <c r="F323" s="160" t="s">
        <v>197</v>
      </c>
      <c r="G323" s="296">
        <v>1000</v>
      </c>
      <c r="H323" s="304">
        <v>4000</v>
      </c>
      <c r="I323" s="153">
        <f t="shared" si="38"/>
        <v>3000</v>
      </c>
      <c r="J323" s="878">
        <f t="shared" si="37"/>
        <v>3</v>
      </c>
      <c r="K323" s="218"/>
      <c r="L323" s="224"/>
      <c r="M323" s="107"/>
      <c r="N323"/>
      <c r="O323"/>
      <c r="P323"/>
      <c r="Q323"/>
      <c r="R323"/>
      <c r="S323"/>
      <c r="T323"/>
      <c r="U323"/>
      <c r="V323"/>
      <c r="W323"/>
      <c r="X323"/>
      <c r="Y323"/>
      <c r="Z323"/>
      <c r="AA323"/>
      <c r="AB323"/>
      <c r="AC323"/>
      <c r="AD323"/>
      <c r="AE323"/>
      <c r="AF323"/>
      <c r="AG323"/>
      <c r="AH323"/>
      <c r="AI323"/>
      <c r="AJ323"/>
      <c r="AK323"/>
      <c r="AL323"/>
      <c r="AM323"/>
      <c r="AN323"/>
      <c r="AO323"/>
      <c r="AP323"/>
      <c r="AQ323"/>
      <c r="AR323"/>
      <c r="AS323"/>
      <c r="AT323"/>
      <c r="AU323"/>
      <c r="AV323"/>
      <c r="AW323"/>
      <c r="AX323"/>
      <c r="AY323"/>
      <c r="AZ323"/>
      <c r="BA323"/>
      <c r="BB323"/>
      <c r="BC323"/>
      <c r="BD323"/>
      <c r="BE323"/>
      <c r="BF323"/>
      <c r="BG323"/>
      <c r="BH323"/>
      <c r="BI323"/>
      <c r="BJ323"/>
      <c r="BK323"/>
      <c r="BL323"/>
      <c r="BM323"/>
      <c r="BN323"/>
      <c r="BO323"/>
      <c r="BP323"/>
      <c r="BQ323"/>
      <c r="BR323"/>
      <c r="BS323"/>
      <c r="BT323"/>
      <c r="BU323"/>
      <c r="BV323"/>
      <c r="BW323"/>
      <c r="BX323"/>
      <c r="BY323"/>
      <c r="BZ323"/>
      <c r="CA323"/>
      <c r="CB323"/>
      <c r="CC323"/>
      <c r="CD323"/>
      <c r="CE323"/>
      <c r="CF323"/>
      <c r="CG323"/>
      <c r="CH323"/>
      <c r="CI323"/>
      <c r="CJ323"/>
      <c r="CK323"/>
      <c r="CL323"/>
      <c r="CM323"/>
      <c r="CN323"/>
      <c r="CO323"/>
      <c r="CP323"/>
      <c r="CQ323"/>
      <c r="CR323"/>
      <c r="CS323"/>
      <c r="CT323"/>
      <c r="CU323"/>
      <c r="CV323"/>
      <c r="CW323"/>
      <c r="CX323"/>
      <c r="CY323"/>
      <c r="CZ323"/>
      <c r="DA323"/>
      <c r="DB323"/>
      <c r="DC323"/>
      <c r="DD323"/>
      <c r="DE323"/>
      <c r="DF323"/>
      <c r="DG323"/>
      <c r="DH323"/>
      <c r="DI323"/>
      <c r="DJ323"/>
      <c r="DK323"/>
      <c r="DL323"/>
      <c r="DM323"/>
      <c r="DN323"/>
      <c r="DO323"/>
      <c r="DP323"/>
      <c r="DQ323"/>
      <c r="DR323"/>
      <c r="DS323"/>
      <c r="DT323"/>
      <c r="DU323"/>
      <c r="DV323"/>
      <c r="DW323"/>
      <c r="DX323"/>
      <c r="DY323"/>
      <c r="DZ323"/>
      <c r="EA323"/>
      <c r="EB323"/>
      <c r="EC323"/>
      <c r="ED323"/>
      <c r="EE323"/>
      <c r="EF323"/>
      <c r="EG323"/>
      <c r="EH323"/>
      <c r="EI323"/>
      <c r="EJ323"/>
      <c r="EK323"/>
      <c r="EL323"/>
      <c r="EM323"/>
      <c r="EN323"/>
      <c r="EO323"/>
      <c r="EP323"/>
      <c r="EQ323"/>
      <c r="ER323"/>
      <c r="ES323"/>
      <c r="ET323"/>
      <c r="EU323"/>
      <c r="EV323"/>
      <c r="EW323"/>
      <c r="EX323"/>
      <c r="EY323"/>
      <c r="EZ323"/>
      <c r="FA323"/>
      <c r="FB323"/>
      <c r="FC323"/>
      <c r="FD323"/>
      <c r="FE323"/>
      <c r="FF323"/>
      <c r="FG323"/>
      <c r="FH323"/>
      <c r="FI323"/>
      <c r="FJ323"/>
      <c r="FK323"/>
      <c r="FL323"/>
      <c r="FM323"/>
      <c r="FN323"/>
      <c r="FO323"/>
      <c r="FP323"/>
      <c r="FQ323"/>
      <c r="FR323"/>
      <c r="FS323"/>
      <c r="FT323"/>
      <c r="FU323"/>
      <c r="FV323"/>
      <c r="FW323"/>
      <c r="FX323"/>
      <c r="FY323"/>
      <c r="FZ323"/>
      <c r="GA323"/>
      <c r="GB323"/>
      <c r="GC323"/>
      <c r="GD323"/>
      <c r="GE323"/>
      <c r="GF323"/>
      <c r="GG323"/>
      <c r="GH323"/>
      <c r="GI323"/>
      <c r="GJ323"/>
      <c r="GK323"/>
      <c r="GL323"/>
      <c r="GM323"/>
      <c r="GN323"/>
    </row>
    <row r="324" spans="1:196" s="525" customFormat="1" ht="13.8" hidden="1" outlineLevel="1" x14ac:dyDescent="0.25">
      <c r="A324" s="1407" t="s">
        <v>780</v>
      </c>
      <c r="B324" s="1407" t="s">
        <v>182</v>
      </c>
      <c r="C324" s="1408">
        <v>248227</v>
      </c>
      <c r="D324" s="1408">
        <f>C324-G324</f>
        <v>-0.29338400001870468</v>
      </c>
      <c r="E324" s="523"/>
      <c r="F324" s="520" t="s">
        <v>167</v>
      </c>
      <c r="G324" s="505">
        <v>248227.29338400002</v>
      </c>
      <c r="H324" s="505">
        <v>299307.76862000005</v>
      </c>
      <c r="I324" s="510">
        <f t="shared" si="38"/>
        <v>51080.475236000028</v>
      </c>
      <c r="J324" s="876">
        <f t="shared" si="37"/>
        <v>0.20578105872096869</v>
      </c>
      <c r="K324" s="1450"/>
      <c r="L324" s="1409"/>
      <c r="M324" s="1116"/>
      <c r="N324" s="515"/>
      <c r="O324" s="515"/>
      <c r="P324" s="515"/>
      <c r="Q324" s="515"/>
      <c r="R324" s="515"/>
      <c r="S324" s="515"/>
      <c r="T324" s="515"/>
      <c r="U324" s="515"/>
      <c r="V324" s="515"/>
      <c r="W324" s="515"/>
      <c r="X324" s="515"/>
      <c r="Y324" s="515"/>
      <c r="Z324" s="515"/>
      <c r="AA324" s="515"/>
      <c r="AB324" s="515"/>
      <c r="AC324" s="515"/>
      <c r="AD324" s="515"/>
      <c r="AE324" s="515"/>
      <c r="AF324" s="515"/>
      <c r="AG324" s="515"/>
      <c r="AH324" s="515"/>
      <c r="AI324" s="515"/>
      <c r="AJ324" s="515"/>
      <c r="AK324" s="515"/>
      <c r="AL324" s="515"/>
      <c r="AM324" s="515"/>
      <c r="AN324" s="515"/>
      <c r="AO324" s="515"/>
      <c r="AP324" s="515"/>
      <c r="AQ324" s="515"/>
      <c r="AR324" s="515"/>
      <c r="AS324" s="515"/>
      <c r="AT324" s="515"/>
      <c r="AU324" s="515"/>
      <c r="AV324" s="515"/>
      <c r="AW324" s="515"/>
      <c r="AX324" s="515"/>
      <c r="AY324" s="515"/>
      <c r="AZ324" s="515"/>
      <c r="BA324" s="515"/>
      <c r="BB324" s="515"/>
      <c r="BC324" s="515"/>
      <c r="BD324" s="515"/>
      <c r="BE324" s="515"/>
      <c r="BF324" s="515"/>
      <c r="BG324" s="515"/>
      <c r="BH324" s="515"/>
      <c r="BI324" s="515"/>
      <c r="BJ324" s="515"/>
      <c r="BK324" s="515"/>
      <c r="BL324" s="515"/>
      <c r="BM324" s="515"/>
      <c r="BN324" s="515"/>
      <c r="BO324" s="515"/>
      <c r="BP324" s="515"/>
      <c r="BQ324" s="515"/>
      <c r="BR324" s="515"/>
      <c r="BS324" s="515"/>
      <c r="BT324" s="515"/>
      <c r="BU324" s="515"/>
      <c r="BV324" s="515"/>
      <c r="BW324" s="515"/>
      <c r="BX324" s="515"/>
      <c r="BY324" s="515"/>
      <c r="BZ324" s="515"/>
      <c r="CA324" s="515"/>
      <c r="CB324" s="515"/>
      <c r="CC324" s="515"/>
      <c r="CD324" s="515"/>
      <c r="CE324" s="515"/>
      <c r="CF324" s="515"/>
      <c r="CG324" s="515"/>
      <c r="CH324" s="515"/>
      <c r="CI324" s="515"/>
      <c r="CJ324" s="515"/>
      <c r="CK324" s="515"/>
      <c r="CL324" s="515"/>
      <c r="CM324" s="515"/>
      <c r="CN324" s="515"/>
      <c r="CO324" s="515"/>
      <c r="CP324" s="515"/>
      <c r="CQ324" s="515"/>
      <c r="CR324" s="515"/>
      <c r="CS324" s="515"/>
      <c r="CT324" s="515"/>
      <c r="CU324" s="515"/>
      <c r="CV324" s="515"/>
      <c r="CW324" s="515"/>
      <c r="CX324" s="515"/>
      <c r="CY324" s="515"/>
      <c r="CZ324" s="515"/>
      <c r="DA324" s="515"/>
      <c r="DB324" s="515"/>
      <c r="DC324" s="515"/>
      <c r="DD324" s="515"/>
      <c r="DE324" s="515"/>
      <c r="DF324" s="515"/>
      <c r="DG324" s="515"/>
      <c r="DH324" s="515"/>
      <c r="DI324" s="515"/>
      <c r="DJ324" s="515"/>
      <c r="DK324" s="515"/>
      <c r="DL324" s="515"/>
      <c r="DM324" s="515"/>
      <c r="DN324" s="515"/>
      <c r="DO324" s="515"/>
      <c r="DP324" s="515"/>
      <c r="DQ324" s="515"/>
      <c r="DR324" s="515"/>
      <c r="DS324" s="515"/>
      <c r="DT324" s="515"/>
      <c r="DU324" s="515"/>
      <c r="DV324" s="515"/>
      <c r="DW324" s="515"/>
      <c r="DX324" s="515"/>
      <c r="DY324" s="515"/>
      <c r="DZ324" s="515"/>
      <c r="EA324" s="515"/>
      <c r="EB324" s="515"/>
      <c r="EC324" s="515"/>
      <c r="ED324" s="515"/>
      <c r="EE324" s="515"/>
      <c r="EF324" s="515"/>
      <c r="EG324" s="515"/>
      <c r="EH324" s="515"/>
      <c r="EI324" s="515"/>
      <c r="EJ324" s="515"/>
      <c r="EK324" s="515"/>
      <c r="EL324" s="515"/>
      <c r="EM324" s="515"/>
      <c r="EN324" s="515"/>
      <c r="EO324" s="515"/>
      <c r="EP324" s="515"/>
      <c r="EQ324" s="515"/>
      <c r="ER324" s="515"/>
      <c r="ES324" s="515"/>
      <c r="ET324" s="515"/>
      <c r="EU324" s="515"/>
      <c r="EV324" s="515"/>
      <c r="EW324" s="515"/>
      <c r="EX324" s="515"/>
      <c r="EY324" s="515"/>
      <c r="EZ324" s="515"/>
      <c r="FA324" s="515"/>
      <c r="FB324" s="515"/>
      <c r="FC324" s="515"/>
      <c r="FD324" s="515"/>
      <c r="FE324" s="515"/>
      <c r="FF324" s="515"/>
      <c r="FG324" s="515"/>
      <c r="FH324" s="515"/>
      <c r="FI324" s="515"/>
      <c r="FJ324" s="515"/>
      <c r="FK324" s="515"/>
      <c r="FL324" s="515"/>
      <c r="FM324" s="515"/>
      <c r="FN324" s="515"/>
      <c r="FO324" s="515"/>
      <c r="FP324" s="515"/>
      <c r="FQ324" s="515"/>
      <c r="FR324" s="515"/>
      <c r="FS324" s="515"/>
      <c r="FT324" s="515"/>
      <c r="FU324" s="515"/>
      <c r="FV324" s="515"/>
      <c r="FW324" s="515"/>
      <c r="FX324" s="515"/>
      <c r="FY324" s="515"/>
      <c r="FZ324" s="515"/>
      <c r="GA324" s="515"/>
      <c r="GB324" s="515"/>
      <c r="GC324" s="515"/>
      <c r="GD324" s="515"/>
      <c r="GE324" s="515"/>
      <c r="GF324" s="515"/>
      <c r="GG324" s="515"/>
      <c r="GH324" s="515"/>
      <c r="GI324" s="515"/>
      <c r="GJ324" s="515"/>
      <c r="GK324" s="515"/>
      <c r="GL324" s="515"/>
      <c r="GM324" s="515"/>
      <c r="GN324" s="515"/>
    </row>
    <row r="325" spans="1:196" s="525" customFormat="1" ht="13.8" hidden="1" outlineLevel="1" x14ac:dyDescent="0.25">
      <c r="A325" s="1407" t="s">
        <v>779</v>
      </c>
      <c r="B325" s="1407" t="s">
        <v>555</v>
      </c>
      <c r="C325" s="1408"/>
      <c r="D325" s="1408"/>
      <c r="E325" s="523"/>
      <c r="F325" s="520" t="s">
        <v>555</v>
      </c>
      <c r="G325" s="505">
        <v>0</v>
      </c>
      <c r="H325" s="505">
        <v>0</v>
      </c>
      <c r="I325" s="510">
        <f t="shared" si="38"/>
        <v>0</v>
      </c>
      <c r="J325" s="876" t="str">
        <f t="shared" si="37"/>
        <v>-</v>
      </c>
      <c r="K325" s="1450"/>
      <c r="L325" s="1409"/>
      <c r="M325" s="1116"/>
      <c r="N325" s="515"/>
      <c r="O325" s="515"/>
      <c r="P325" s="515"/>
      <c r="Q325" s="515"/>
      <c r="R325" s="515"/>
      <c r="S325" s="515"/>
      <c r="T325" s="515"/>
      <c r="U325" s="515"/>
      <c r="V325" s="515"/>
      <c r="W325" s="515"/>
      <c r="X325" s="515"/>
      <c r="Y325" s="515"/>
      <c r="Z325" s="515"/>
      <c r="AA325" s="515"/>
      <c r="AB325" s="515"/>
      <c r="AC325" s="515"/>
      <c r="AD325" s="515"/>
      <c r="AE325" s="515"/>
      <c r="AF325" s="515"/>
      <c r="AG325" s="515"/>
      <c r="AH325" s="515"/>
      <c r="AI325" s="515"/>
      <c r="AJ325" s="515"/>
      <c r="AK325" s="515"/>
      <c r="AL325" s="515"/>
      <c r="AM325" s="515"/>
      <c r="AN325" s="515"/>
      <c r="AO325" s="515"/>
      <c r="AP325" s="515"/>
      <c r="AQ325" s="515"/>
      <c r="AR325" s="515"/>
      <c r="AS325" s="515"/>
      <c r="AT325" s="515"/>
      <c r="AU325" s="515"/>
      <c r="AV325" s="515"/>
      <c r="AW325" s="515"/>
      <c r="AX325" s="515"/>
      <c r="AY325" s="515"/>
      <c r="AZ325" s="515"/>
      <c r="BA325" s="515"/>
      <c r="BB325" s="515"/>
      <c r="BC325" s="515"/>
      <c r="BD325" s="515"/>
      <c r="BE325" s="515"/>
      <c r="BF325" s="515"/>
      <c r="BG325" s="515"/>
      <c r="BH325" s="515"/>
      <c r="BI325" s="515"/>
      <c r="BJ325" s="515"/>
      <c r="BK325" s="515"/>
      <c r="BL325" s="515"/>
      <c r="BM325" s="515"/>
      <c r="BN325" s="515"/>
      <c r="BO325" s="515"/>
      <c r="BP325" s="515"/>
      <c r="BQ325" s="515"/>
      <c r="BR325" s="515"/>
      <c r="BS325" s="515"/>
      <c r="BT325" s="515"/>
      <c r="BU325" s="515"/>
      <c r="BV325" s="515"/>
      <c r="BW325" s="515"/>
      <c r="BX325" s="515"/>
      <c r="BY325" s="515"/>
      <c r="BZ325" s="515"/>
      <c r="CA325" s="515"/>
      <c r="CB325" s="515"/>
      <c r="CC325" s="515"/>
      <c r="CD325" s="515"/>
      <c r="CE325" s="515"/>
      <c r="CF325" s="515"/>
      <c r="CG325" s="515"/>
      <c r="CH325" s="515"/>
      <c r="CI325" s="515"/>
      <c r="CJ325" s="515"/>
      <c r="CK325" s="515"/>
      <c r="CL325" s="515"/>
      <c r="CM325" s="515"/>
      <c r="CN325" s="515"/>
      <c r="CO325" s="515"/>
      <c r="CP325" s="515"/>
      <c r="CQ325" s="515"/>
      <c r="CR325" s="515"/>
      <c r="CS325" s="515"/>
      <c r="CT325" s="515"/>
      <c r="CU325" s="515"/>
      <c r="CV325" s="515"/>
      <c r="CW325" s="515"/>
      <c r="CX325" s="515"/>
      <c r="CY325" s="515"/>
      <c r="CZ325" s="515"/>
      <c r="DA325" s="515"/>
      <c r="DB325" s="515"/>
      <c r="DC325" s="515"/>
      <c r="DD325" s="515"/>
      <c r="DE325" s="515"/>
      <c r="DF325" s="515"/>
      <c r="DG325" s="515"/>
      <c r="DH325" s="515"/>
      <c r="DI325" s="515"/>
      <c r="DJ325" s="515"/>
      <c r="DK325" s="515"/>
      <c r="DL325" s="515"/>
      <c r="DM325" s="515"/>
      <c r="DN325" s="515"/>
      <c r="DO325" s="515"/>
      <c r="DP325" s="515"/>
      <c r="DQ325" s="515"/>
      <c r="DR325" s="515"/>
      <c r="DS325" s="515"/>
      <c r="DT325" s="515"/>
      <c r="DU325" s="515"/>
      <c r="DV325" s="515"/>
      <c r="DW325" s="515"/>
      <c r="DX325" s="515"/>
      <c r="DY325" s="515"/>
      <c r="DZ325" s="515"/>
      <c r="EA325" s="515"/>
      <c r="EB325" s="515"/>
      <c r="EC325" s="515"/>
      <c r="ED325" s="515"/>
      <c r="EE325" s="515"/>
      <c r="EF325" s="515"/>
      <c r="EG325" s="515"/>
      <c r="EH325" s="515"/>
      <c r="EI325" s="515"/>
      <c r="EJ325" s="515"/>
      <c r="EK325" s="515"/>
      <c r="EL325" s="515"/>
      <c r="EM325" s="515"/>
      <c r="EN325" s="515"/>
      <c r="EO325" s="515"/>
      <c r="EP325" s="515"/>
      <c r="EQ325" s="515"/>
      <c r="ER325" s="515"/>
      <c r="ES325" s="515"/>
      <c r="ET325" s="515"/>
      <c r="EU325" s="515"/>
      <c r="EV325" s="515"/>
      <c r="EW325" s="515"/>
      <c r="EX325" s="515"/>
      <c r="EY325" s="515"/>
      <c r="EZ325" s="515"/>
      <c r="FA325" s="515"/>
      <c r="FB325" s="515"/>
      <c r="FC325" s="515"/>
      <c r="FD325" s="515"/>
      <c r="FE325" s="515"/>
      <c r="FF325" s="515"/>
      <c r="FG325" s="515"/>
      <c r="FH325" s="515"/>
      <c r="FI325" s="515"/>
      <c r="FJ325" s="515"/>
      <c r="FK325" s="515"/>
      <c r="FL325" s="515"/>
      <c r="FM325" s="515"/>
      <c r="FN325" s="515"/>
      <c r="FO325" s="515"/>
      <c r="FP325" s="515"/>
      <c r="FQ325" s="515"/>
      <c r="FR325" s="515"/>
      <c r="FS325" s="515"/>
      <c r="FT325" s="515"/>
      <c r="FU325" s="515"/>
      <c r="FV325" s="515"/>
      <c r="FW325" s="515"/>
      <c r="FX325" s="515"/>
      <c r="FY325" s="515"/>
      <c r="FZ325" s="515"/>
      <c r="GA325" s="515"/>
      <c r="GB325" s="515"/>
      <c r="GC325" s="515"/>
      <c r="GD325" s="515"/>
      <c r="GE325" s="515"/>
      <c r="GF325" s="515"/>
      <c r="GG325" s="515"/>
      <c r="GH325" s="515"/>
      <c r="GI325" s="515"/>
      <c r="GJ325" s="515"/>
      <c r="GK325" s="515"/>
      <c r="GL325" s="515"/>
      <c r="GM325" s="515"/>
      <c r="GN325" s="515"/>
    </row>
    <row r="326" spans="1:196" ht="27.6" collapsed="1" x14ac:dyDescent="0.25">
      <c r="E326" s="151" t="s">
        <v>1183</v>
      </c>
      <c r="F326" s="145" t="s">
        <v>203</v>
      </c>
      <c r="G326" s="1">
        <v>179248.81688925001</v>
      </c>
      <c r="H326" s="302">
        <v>225484.5193245</v>
      </c>
      <c r="I326" s="132">
        <f t="shared" si="38"/>
        <v>46235.702435249987</v>
      </c>
      <c r="J326" s="867">
        <f t="shared" si="37"/>
        <v>0.25794146504083765</v>
      </c>
      <c r="K326" s="220"/>
      <c r="L326" s="224"/>
    </row>
    <row r="327" spans="1:196" s="104" customFormat="1" ht="27.6" hidden="1" outlineLevel="1" x14ac:dyDescent="0.25">
      <c r="A327" s="810" t="s">
        <v>739</v>
      </c>
      <c r="B327" s="810" t="s">
        <v>228</v>
      </c>
      <c r="C327" s="923"/>
      <c r="D327" s="923"/>
      <c r="E327" s="159"/>
      <c r="F327" s="215" t="s">
        <v>228</v>
      </c>
      <c r="G327" s="296">
        <v>138892.65688925001</v>
      </c>
      <c r="H327" s="304">
        <v>187235.25682450001</v>
      </c>
      <c r="I327" s="153">
        <f>H327-G327</f>
        <v>48342.599935250008</v>
      </c>
      <c r="J327" s="878">
        <f t="shared" si="37"/>
        <v>0.34805727687819632</v>
      </c>
      <c r="K327" s="438" t="s">
        <v>1652</v>
      </c>
      <c r="L327" s="224"/>
      <c r="M327" s="107"/>
      <c r="N327"/>
      <c r="O327"/>
      <c r="P327"/>
      <c r="Q327"/>
      <c r="R327"/>
      <c r="S327"/>
      <c r="T327"/>
      <c r="U327"/>
      <c r="V327"/>
      <c r="W327"/>
      <c r="X327"/>
      <c r="Y327"/>
      <c r="Z327"/>
      <c r="AA327"/>
      <c r="AB327"/>
      <c r="AC327"/>
      <c r="AD327"/>
      <c r="AE327"/>
      <c r="AF327"/>
      <c r="AG327"/>
      <c r="AH327"/>
      <c r="AI327"/>
      <c r="AJ327"/>
      <c r="AK327"/>
      <c r="AL327"/>
      <c r="AM327"/>
      <c r="AN327"/>
      <c r="AO327"/>
      <c r="AP327"/>
      <c r="AQ327"/>
      <c r="AR327"/>
      <c r="AS327"/>
      <c r="AT327"/>
      <c r="AU327"/>
      <c r="AV327"/>
      <c r="AW327"/>
      <c r="AX327"/>
      <c r="AY327"/>
      <c r="AZ327"/>
      <c r="BA327"/>
      <c r="BB327"/>
      <c r="BC327"/>
      <c r="BD327"/>
      <c r="BE327"/>
      <c r="BF327"/>
      <c r="BG327"/>
      <c r="BH327"/>
      <c r="BI327"/>
      <c r="BJ327"/>
      <c r="BK327"/>
      <c r="BL327"/>
      <c r="BM327"/>
      <c r="BN327"/>
      <c r="BO327"/>
      <c r="BP327"/>
      <c r="BQ327"/>
      <c r="BR327"/>
      <c r="BS327"/>
      <c r="BT327"/>
      <c r="BU327"/>
      <c r="BV327"/>
      <c r="BW327"/>
      <c r="BX327"/>
      <c r="BY327"/>
      <c r="BZ327"/>
      <c r="CA327"/>
      <c r="CB327"/>
      <c r="CC327"/>
      <c r="CD327"/>
      <c r="CE327"/>
      <c r="CF327"/>
      <c r="CG327"/>
      <c r="CH327"/>
      <c r="CI327"/>
      <c r="CJ327"/>
      <c r="CK327"/>
      <c r="CL327"/>
      <c r="CM327"/>
      <c r="CN327"/>
      <c r="CO327"/>
      <c r="CP327"/>
      <c r="CQ327"/>
      <c r="CR327"/>
      <c r="CS327"/>
      <c r="CT327"/>
      <c r="CU327"/>
      <c r="CV327"/>
      <c r="CW327"/>
      <c r="CX327"/>
      <c r="CY327"/>
      <c r="CZ327"/>
      <c r="DA327"/>
      <c r="DB327"/>
      <c r="DC327"/>
      <c r="DD327"/>
      <c r="DE327"/>
      <c r="DF327"/>
      <c r="DG327"/>
      <c r="DH327"/>
      <c r="DI327"/>
      <c r="DJ327"/>
      <c r="DK327"/>
      <c r="DL327"/>
      <c r="DM327"/>
      <c r="DN327"/>
      <c r="DO327"/>
      <c r="DP327"/>
      <c r="DQ327"/>
      <c r="DR327"/>
      <c r="DS327"/>
      <c r="DT327"/>
      <c r="DU327"/>
      <c r="DV327"/>
      <c r="DW327"/>
      <c r="DX327"/>
      <c r="DY327"/>
      <c r="DZ327"/>
      <c r="EA327"/>
      <c r="EB327"/>
      <c r="EC327"/>
      <c r="ED327"/>
      <c r="EE327"/>
      <c r="EF327"/>
      <c r="EG327"/>
      <c r="EH327"/>
      <c r="EI327"/>
      <c r="EJ327"/>
      <c r="EK327"/>
      <c r="EL327"/>
      <c r="EM327"/>
      <c r="EN327"/>
      <c r="EO327"/>
      <c r="EP327"/>
      <c r="EQ327"/>
      <c r="ER327"/>
      <c r="ES327"/>
      <c r="ET327"/>
      <c r="EU327"/>
      <c r="EV327"/>
      <c r="EW327"/>
      <c r="EX327"/>
      <c r="EY327"/>
      <c r="EZ327"/>
      <c r="FA327"/>
      <c r="FB327"/>
      <c r="FC327"/>
      <c r="FD327"/>
      <c r="FE327"/>
      <c r="FF327"/>
      <c r="FG327"/>
      <c r="FH327"/>
      <c r="FI327"/>
      <c r="FJ327"/>
      <c r="FK327"/>
      <c r="FL327"/>
      <c r="FM327"/>
      <c r="FN327"/>
      <c r="FO327"/>
      <c r="FP327"/>
      <c r="FQ327"/>
      <c r="FR327"/>
      <c r="FS327"/>
      <c r="FT327"/>
      <c r="FU327"/>
      <c r="FV327"/>
      <c r="FW327"/>
      <c r="FX327"/>
      <c r="FY327"/>
      <c r="FZ327"/>
      <c r="GA327"/>
      <c r="GB327"/>
      <c r="GC327"/>
      <c r="GD327"/>
      <c r="GE327"/>
      <c r="GF327"/>
      <c r="GG327"/>
      <c r="GH327"/>
      <c r="GI327"/>
      <c r="GJ327"/>
      <c r="GK327"/>
      <c r="GL327"/>
      <c r="GM327"/>
      <c r="GN327"/>
    </row>
    <row r="328" spans="1:196" s="104" customFormat="1" ht="13.8" hidden="1" outlineLevel="1" x14ac:dyDescent="0.25">
      <c r="A328" s="810" t="s">
        <v>739</v>
      </c>
      <c r="B328" s="810" t="s">
        <v>554</v>
      </c>
      <c r="C328" s="923"/>
      <c r="D328" s="923"/>
      <c r="E328" s="214"/>
      <c r="F328" s="160" t="s">
        <v>198</v>
      </c>
      <c r="G328" s="296">
        <v>39006.160000000003</v>
      </c>
      <c r="H328" s="304">
        <v>36949.262499999997</v>
      </c>
      <c r="I328" s="153">
        <f t="shared" si="38"/>
        <v>-2056.8975000000064</v>
      </c>
      <c r="J328" s="878">
        <f t="shared" si="37"/>
        <v>-5.2732632486766351E-2</v>
      </c>
      <c r="K328" s="438"/>
      <c r="L328" s="224"/>
      <c r="M328" s="107"/>
      <c r="N328"/>
      <c r="O328"/>
      <c r="P328"/>
      <c r="Q328"/>
      <c r="R328"/>
      <c r="S328"/>
      <c r="T328"/>
      <c r="U328"/>
      <c r="V328"/>
      <c r="W328"/>
      <c r="X328"/>
      <c r="Y328"/>
      <c r="Z328"/>
      <c r="AA328"/>
      <c r="AB328"/>
      <c r="AC328"/>
      <c r="AD328"/>
      <c r="AE328"/>
      <c r="AF328"/>
      <c r="AG328"/>
      <c r="AH328"/>
      <c r="AI328"/>
      <c r="AJ328"/>
      <c r="AK328"/>
      <c r="AL328"/>
      <c r="AM328"/>
      <c r="AN328"/>
      <c r="AO328"/>
      <c r="AP328"/>
      <c r="AQ328"/>
      <c r="AR328"/>
      <c r="AS328"/>
      <c r="AT328"/>
      <c r="AU328"/>
      <c r="AV328"/>
      <c r="AW328"/>
      <c r="AX328"/>
      <c r="AY328"/>
      <c r="AZ328"/>
      <c r="BA328"/>
      <c r="BB328"/>
      <c r="BC328"/>
      <c r="BD328"/>
      <c r="BE328"/>
      <c r="BF328"/>
      <c r="BG328"/>
      <c r="BH328"/>
      <c r="BI328"/>
      <c r="BJ328"/>
      <c r="BK328"/>
      <c r="BL328"/>
      <c r="BM328"/>
      <c r="BN328"/>
      <c r="BO328"/>
      <c r="BP328"/>
      <c r="BQ328"/>
      <c r="BR328"/>
      <c r="BS328"/>
      <c r="BT328"/>
      <c r="BU328"/>
      <c r="BV328"/>
      <c r="BW328"/>
      <c r="BX328"/>
      <c r="BY328"/>
      <c r="BZ328"/>
      <c r="CA328"/>
      <c r="CB328"/>
      <c r="CC328"/>
      <c r="CD328"/>
      <c r="CE328"/>
      <c r="CF328"/>
      <c r="CG328"/>
      <c r="CH328"/>
      <c r="CI328"/>
      <c r="CJ328"/>
      <c r="CK328"/>
      <c r="CL328"/>
      <c r="CM328"/>
      <c r="CN328"/>
      <c r="CO328"/>
      <c r="CP328"/>
      <c r="CQ328"/>
      <c r="CR328"/>
      <c r="CS328"/>
      <c r="CT328"/>
      <c r="CU328"/>
      <c r="CV328"/>
      <c r="CW328"/>
      <c r="CX328"/>
      <c r="CY328"/>
      <c r="CZ328"/>
      <c r="DA328"/>
      <c r="DB328"/>
      <c r="DC328"/>
      <c r="DD328"/>
      <c r="DE328"/>
      <c r="DF328"/>
      <c r="DG328"/>
      <c r="DH328"/>
      <c r="DI328"/>
      <c r="DJ328"/>
      <c r="DK328"/>
      <c r="DL328"/>
      <c r="DM328"/>
      <c r="DN328"/>
      <c r="DO328"/>
      <c r="DP328"/>
      <c r="DQ328"/>
      <c r="DR328"/>
      <c r="DS328"/>
      <c r="DT328"/>
      <c r="DU328"/>
      <c r="DV328"/>
      <c r="DW328"/>
      <c r="DX328"/>
      <c r="DY328"/>
      <c r="DZ328"/>
      <c r="EA328"/>
      <c r="EB328"/>
      <c r="EC328"/>
      <c r="ED328"/>
      <c r="EE328"/>
      <c r="EF328"/>
      <c r="EG328"/>
      <c r="EH328"/>
      <c r="EI328"/>
      <c r="EJ328"/>
      <c r="EK328"/>
      <c r="EL328"/>
      <c r="EM328"/>
      <c r="EN328"/>
      <c r="EO328"/>
      <c r="EP328"/>
      <c r="EQ328"/>
      <c r="ER328"/>
      <c r="ES328"/>
      <c r="ET328"/>
      <c r="EU328"/>
      <c r="EV328"/>
      <c r="EW328"/>
      <c r="EX328"/>
      <c r="EY328"/>
      <c r="EZ328"/>
      <c r="FA328"/>
      <c r="FB328"/>
      <c r="FC328"/>
      <c r="FD328"/>
      <c r="FE328"/>
      <c r="FF328"/>
      <c r="FG328"/>
      <c r="FH328"/>
      <c r="FI328"/>
      <c r="FJ328"/>
      <c r="FK328"/>
      <c r="FL328"/>
      <c r="FM328"/>
      <c r="FN328"/>
      <c r="FO328"/>
      <c r="FP328"/>
      <c r="FQ328"/>
      <c r="FR328"/>
      <c r="FS328"/>
      <c r="FT328"/>
      <c r="FU328"/>
      <c r="FV328"/>
      <c r="FW328"/>
      <c r="FX328"/>
      <c r="FY328"/>
      <c r="FZ328"/>
      <c r="GA328"/>
      <c r="GB328"/>
      <c r="GC328"/>
      <c r="GD328"/>
      <c r="GE328"/>
      <c r="GF328"/>
      <c r="GG328"/>
      <c r="GH328"/>
      <c r="GI328"/>
      <c r="GJ328"/>
      <c r="GK328"/>
      <c r="GL328"/>
      <c r="GM328"/>
      <c r="GN328"/>
    </row>
    <row r="329" spans="1:196" s="104" customFormat="1" ht="13.8" hidden="1" outlineLevel="1" x14ac:dyDescent="0.25">
      <c r="A329" s="810" t="s">
        <v>739</v>
      </c>
      <c r="B329" s="810" t="s">
        <v>556</v>
      </c>
      <c r="C329" s="923"/>
      <c r="D329" s="923"/>
      <c r="E329" s="159"/>
      <c r="F329" s="160" t="s">
        <v>197</v>
      </c>
      <c r="G329" s="296">
        <v>1350</v>
      </c>
      <c r="H329" s="304">
        <v>1300</v>
      </c>
      <c r="I329" s="153">
        <f t="shared" si="38"/>
        <v>-50</v>
      </c>
      <c r="J329" s="878">
        <f t="shared" si="37"/>
        <v>-3.7037037037037035E-2</v>
      </c>
      <c r="K329" s="218"/>
      <c r="L329" s="224"/>
      <c r="M329" s="107"/>
      <c r="N329"/>
      <c r="O329"/>
      <c r="P329"/>
      <c r="Q329"/>
      <c r="R329"/>
      <c r="S329"/>
      <c r="T329"/>
      <c r="U329"/>
      <c r="V329"/>
      <c r="W329"/>
      <c r="X329"/>
      <c r="Y329"/>
      <c r="Z329"/>
      <c r="AA329"/>
      <c r="AB329"/>
      <c r="AC329"/>
      <c r="AD329"/>
      <c r="AE329"/>
      <c r="AF329"/>
      <c r="AG329"/>
      <c r="AH329"/>
      <c r="AI329"/>
      <c r="AJ329"/>
      <c r="AK329"/>
      <c r="AL329"/>
      <c r="AM329"/>
      <c r="AN329"/>
      <c r="AO329"/>
      <c r="AP329"/>
      <c r="AQ329"/>
      <c r="AR329"/>
      <c r="AS329"/>
      <c r="AT329"/>
      <c r="AU329"/>
      <c r="AV329"/>
      <c r="AW329"/>
      <c r="AX329"/>
      <c r="AY329"/>
      <c r="AZ329"/>
      <c r="BA329"/>
      <c r="BB329"/>
      <c r="BC329"/>
      <c r="BD329"/>
      <c r="BE329"/>
      <c r="BF329"/>
      <c r="BG329"/>
      <c r="BH329"/>
      <c r="BI329"/>
      <c r="BJ329"/>
      <c r="BK329"/>
      <c r="BL329"/>
      <c r="BM329"/>
      <c r="BN329"/>
      <c r="BO329"/>
      <c r="BP329"/>
      <c r="BQ329"/>
      <c r="BR329"/>
      <c r="BS329"/>
      <c r="BT329"/>
      <c r="BU329"/>
      <c r="BV329"/>
      <c r="BW329"/>
      <c r="BX329"/>
      <c r="BY329"/>
      <c r="BZ329"/>
      <c r="CA329"/>
      <c r="CB329"/>
      <c r="CC329"/>
      <c r="CD329"/>
      <c r="CE329"/>
      <c r="CF329"/>
      <c r="CG329"/>
      <c r="CH329"/>
      <c r="CI329"/>
      <c r="CJ329"/>
      <c r="CK329"/>
      <c r="CL329"/>
      <c r="CM329"/>
      <c r="CN329"/>
      <c r="CO329"/>
      <c r="CP329"/>
      <c r="CQ329"/>
      <c r="CR329"/>
      <c r="CS329"/>
      <c r="CT329"/>
      <c r="CU329"/>
      <c r="CV329"/>
      <c r="CW329"/>
      <c r="CX329"/>
      <c r="CY329"/>
      <c r="CZ329"/>
      <c r="DA329"/>
      <c r="DB329"/>
      <c r="DC329"/>
      <c r="DD329"/>
      <c r="DE329"/>
      <c r="DF329"/>
      <c r="DG329"/>
      <c r="DH329"/>
      <c r="DI329"/>
      <c r="DJ329"/>
      <c r="DK329"/>
      <c r="DL329"/>
      <c r="DM329"/>
      <c r="DN329"/>
      <c r="DO329"/>
      <c r="DP329"/>
      <c r="DQ329"/>
      <c r="DR329"/>
      <c r="DS329"/>
      <c r="DT329"/>
      <c r="DU329"/>
      <c r="DV329"/>
      <c r="DW329"/>
      <c r="DX329"/>
      <c r="DY329"/>
      <c r="DZ329"/>
      <c r="EA329"/>
      <c r="EB329"/>
      <c r="EC329"/>
      <c r="ED329"/>
      <c r="EE329"/>
      <c r="EF329"/>
      <c r="EG329"/>
      <c r="EH329"/>
      <c r="EI329"/>
      <c r="EJ329"/>
      <c r="EK329"/>
      <c r="EL329"/>
      <c r="EM329"/>
      <c r="EN329"/>
      <c r="EO329"/>
      <c r="EP329"/>
      <c r="EQ329"/>
      <c r="ER329"/>
      <c r="ES329"/>
      <c r="ET329"/>
      <c r="EU329"/>
      <c r="EV329"/>
      <c r="EW329"/>
      <c r="EX329"/>
      <c r="EY329"/>
      <c r="EZ329"/>
      <c r="FA329"/>
      <c r="FB329"/>
      <c r="FC329"/>
      <c r="FD329"/>
      <c r="FE329"/>
      <c r="FF329"/>
      <c r="FG329"/>
      <c r="FH329"/>
      <c r="FI329"/>
      <c r="FJ329"/>
      <c r="FK329"/>
      <c r="FL329"/>
      <c r="FM329"/>
      <c r="FN329"/>
      <c r="FO329"/>
      <c r="FP329"/>
      <c r="FQ329"/>
      <c r="FR329"/>
      <c r="FS329"/>
      <c r="FT329"/>
      <c r="FU329"/>
      <c r="FV329"/>
      <c r="FW329"/>
      <c r="FX329"/>
      <c r="FY329"/>
      <c r="FZ329"/>
      <c r="GA329"/>
      <c r="GB329"/>
      <c r="GC329"/>
      <c r="GD329"/>
      <c r="GE329"/>
      <c r="GF329"/>
      <c r="GG329"/>
      <c r="GH329"/>
      <c r="GI329"/>
      <c r="GJ329"/>
      <c r="GK329"/>
      <c r="GL329"/>
      <c r="GM329"/>
      <c r="GN329"/>
    </row>
    <row r="330" spans="1:196" s="525" customFormat="1" ht="13.8" hidden="1" outlineLevel="1" x14ac:dyDescent="0.25">
      <c r="A330" s="1407" t="s">
        <v>739</v>
      </c>
      <c r="B330" s="1407" t="s">
        <v>555</v>
      </c>
      <c r="C330" s="1408"/>
      <c r="D330" s="1408"/>
      <c r="E330" s="523"/>
      <c r="F330" s="520" t="s">
        <v>555</v>
      </c>
      <c r="G330" s="505">
        <v>94860.34</v>
      </c>
      <c r="H330" s="505">
        <v>92934.799999999988</v>
      </c>
      <c r="I330" s="510">
        <f t="shared" si="38"/>
        <v>-1925.5400000000081</v>
      </c>
      <c r="J330" s="876">
        <f t="shared" si="37"/>
        <v>-2.0298683306427198E-2</v>
      </c>
      <c r="K330" s="1450"/>
      <c r="L330" s="1409"/>
      <c r="M330" s="1116"/>
      <c r="N330" s="515"/>
      <c r="O330" s="515"/>
      <c r="P330" s="515"/>
      <c r="Q330" s="515"/>
      <c r="R330" s="515"/>
      <c r="S330" s="515"/>
      <c r="T330" s="515"/>
      <c r="U330" s="515"/>
      <c r="V330" s="515"/>
      <c r="W330" s="515"/>
      <c r="X330" s="515"/>
      <c r="Y330" s="515"/>
      <c r="Z330" s="515"/>
      <c r="AA330" s="515"/>
      <c r="AB330" s="515"/>
      <c r="AC330" s="515"/>
      <c r="AD330" s="515"/>
      <c r="AE330" s="515"/>
      <c r="AF330" s="515"/>
      <c r="AG330" s="515"/>
      <c r="AH330" s="515"/>
      <c r="AI330" s="515"/>
      <c r="AJ330" s="515"/>
      <c r="AK330" s="515"/>
      <c r="AL330" s="515"/>
      <c r="AM330" s="515"/>
      <c r="AN330" s="515"/>
      <c r="AO330" s="515"/>
      <c r="AP330" s="515"/>
      <c r="AQ330" s="515"/>
      <c r="AR330" s="515"/>
      <c r="AS330" s="515"/>
      <c r="AT330" s="515"/>
      <c r="AU330" s="515"/>
      <c r="AV330" s="515"/>
      <c r="AW330" s="515"/>
      <c r="AX330" s="515"/>
      <c r="AY330" s="515"/>
      <c r="AZ330" s="515"/>
      <c r="BA330" s="515"/>
      <c r="BB330" s="515"/>
      <c r="BC330" s="515"/>
      <c r="BD330" s="515"/>
      <c r="BE330" s="515"/>
      <c r="BF330" s="515"/>
      <c r="BG330" s="515"/>
      <c r="BH330" s="515"/>
      <c r="BI330" s="515"/>
      <c r="BJ330" s="515"/>
      <c r="BK330" s="515"/>
      <c r="BL330" s="515"/>
      <c r="BM330" s="515"/>
      <c r="BN330" s="515"/>
      <c r="BO330" s="515"/>
      <c r="BP330" s="515"/>
      <c r="BQ330" s="515"/>
      <c r="BR330" s="515"/>
      <c r="BS330" s="515"/>
      <c r="BT330" s="515"/>
      <c r="BU330" s="515"/>
      <c r="BV330" s="515"/>
      <c r="BW330" s="515"/>
      <c r="BX330" s="515"/>
      <c r="BY330" s="515"/>
      <c r="BZ330" s="515"/>
      <c r="CA330" s="515"/>
      <c r="CB330" s="515"/>
      <c r="CC330" s="515"/>
      <c r="CD330" s="515"/>
      <c r="CE330" s="515"/>
      <c r="CF330" s="515"/>
      <c r="CG330" s="515"/>
      <c r="CH330" s="515"/>
      <c r="CI330" s="515"/>
      <c r="CJ330" s="515"/>
      <c r="CK330" s="515"/>
      <c r="CL330" s="515"/>
      <c r="CM330" s="515"/>
      <c r="CN330" s="515"/>
      <c r="CO330" s="515"/>
      <c r="CP330" s="515"/>
      <c r="CQ330" s="515"/>
      <c r="CR330" s="515"/>
      <c r="CS330" s="515"/>
      <c r="CT330" s="515"/>
      <c r="CU330" s="515"/>
      <c r="CV330" s="515"/>
      <c r="CW330" s="515"/>
      <c r="CX330" s="515"/>
      <c r="CY330" s="515"/>
      <c r="CZ330" s="515"/>
      <c r="DA330" s="515"/>
      <c r="DB330" s="515"/>
      <c r="DC330" s="515"/>
      <c r="DD330" s="515"/>
      <c r="DE330" s="515"/>
      <c r="DF330" s="515"/>
      <c r="DG330" s="515"/>
      <c r="DH330" s="515"/>
      <c r="DI330" s="515"/>
      <c r="DJ330" s="515"/>
      <c r="DK330" s="515"/>
      <c r="DL330" s="515"/>
      <c r="DM330" s="515"/>
      <c r="DN330" s="515"/>
      <c r="DO330" s="515"/>
      <c r="DP330" s="515"/>
      <c r="DQ330" s="515"/>
      <c r="DR330" s="515"/>
      <c r="DS330" s="515"/>
      <c r="DT330" s="515"/>
      <c r="DU330" s="515"/>
      <c r="DV330" s="515"/>
      <c r="DW330" s="515"/>
      <c r="DX330" s="515"/>
      <c r="DY330" s="515"/>
      <c r="DZ330" s="515"/>
      <c r="EA330" s="515"/>
      <c r="EB330" s="515"/>
      <c r="EC330" s="515"/>
      <c r="ED330" s="515"/>
      <c r="EE330" s="515"/>
      <c r="EF330" s="515"/>
      <c r="EG330" s="515"/>
      <c r="EH330" s="515"/>
      <c r="EI330" s="515"/>
      <c r="EJ330" s="515"/>
      <c r="EK330" s="515"/>
      <c r="EL330" s="515"/>
      <c r="EM330" s="515"/>
      <c r="EN330" s="515"/>
      <c r="EO330" s="515"/>
      <c r="EP330" s="515"/>
      <c r="EQ330" s="515"/>
      <c r="ER330" s="515"/>
      <c r="ES330" s="515"/>
      <c r="ET330" s="515"/>
      <c r="EU330" s="515"/>
      <c r="EV330" s="515"/>
      <c r="EW330" s="515"/>
      <c r="EX330" s="515"/>
      <c r="EY330" s="515"/>
      <c r="EZ330" s="515"/>
      <c r="FA330" s="515"/>
      <c r="FB330" s="515"/>
      <c r="FC330" s="515"/>
      <c r="FD330" s="515"/>
      <c r="FE330" s="515"/>
      <c r="FF330" s="515"/>
      <c r="FG330" s="515"/>
      <c r="FH330" s="515"/>
      <c r="FI330" s="515"/>
      <c r="FJ330" s="515"/>
      <c r="FK330" s="515"/>
      <c r="FL330" s="515"/>
      <c r="FM330" s="515"/>
      <c r="FN330" s="515"/>
      <c r="FO330" s="515"/>
      <c r="FP330" s="515"/>
      <c r="FQ330" s="515"/>
      <c r="FR330" s="515"/>
      <c r="FS330" s="515"/>
      <c r="FT330" s="515"/>
      <c r="FU330" s="515"/>
      <c r="FV330" s="515"/>
      <c r="FW330" s="515"/>
      <c r="FX330" s="515"/>
      <c r="FY330" s="515"/>
      <c r="FZ330" s="515"/>
      <c r="GA330" s="515"/>
      <c r="GB330" s="515"/>
      <c r="GC330" s="515"/>
      <c r="GD330" s="515"/>
      <c r="GE330" s="515"/>
      <c r="GF330" s="515"/>
      <c r="GG330" s="515"/>
      <c r="GH330" s="515"/>
      <c r="GI330" s="515"/>
      <c r="GJ330" s="515"/>
      <c r="GK330" s="515"/>
      <c r="GL330" s="515"/>
      <c r="GM330" s="515"/>
      <c r="GN330" s="515"/>
    </row>
    <row r="331" spans="1:196" ht="13.8" collapsed="1" x14ac:dyDescent="0.25">
      <c r="E331" s="151" t="s">
        <v>1184</v>
      </c>
      <c r="F331" s="145"/>
      <c r="G331" s="1"/>
      <c r="H331" s="302"/>
      <c r="I331" s="132">
        <f>H331-G331</f>
        <v>0</v>
      </c>
      <c r="J331" s="867" t="str">
        <f t="shared" si="37"/>
        <v>-</v>
      </c>
      <c r="K331" s="217"/>
      <c r="L331" s="224"/>
    </row>
    <row r="332" spans="1:196" ht="25.2" customHeight="1" x14ac:dyDescent="0.25">
      <c r="E332" s="446"/>
      <c r="F332" s="447" t="s">
        <v>651</v>
      </c>
      <c r="G332" s="451">
        <v>30302536.965670682</v>
      </c>
      <c r="H332" s="452">
        <v>36113932.754373029</v>
      </c>
      <c r="I332" s="152">
        <f>H332-G332</f>
        <v>5811395.7887023464</v>
      </c>
      <c r="J332" s="895">
        <f>I332/G332</f>
        <v>0.19177918321776144</v>
      </c>
      <c r="K332" s="453"/>
      <c r="L332" s="224"/>
    </row>
    <row r="333" spans="1:196" ht="27" customHeight="1" x14ac:dyDescent="0.25">
      <c r="E333" s="446"/>
      <c r="F333" s="447" t="s">
        <v>654</v>
      </c>
      <c r="G333" s="451">
        <v>4454677.0343293175</v>
      </c>
      <c r="H333" s="452">
        <v>425298.24562697113</v>
      </c>
      <c r="I333" s="483"/>
      <c r="J333" s="896">
        <f>H235/H332</f>
        <v>0.36013066260479137</v>
      </c>
      <c r="K333" s="450"/>
    </row>
    <row r="334" spans="1:196" ht="13.8" x14ac:dyDescent="0.25">
      <c r="E334" s="446"/>
      <c r="F334" s="447" t="s">
        <v>655</v>
      </c>
      <c r="G334" s="448">
        <v>3124493.5999999996</v>
      </c>
      <c r="H334" s="449">
        <v>3601890.1379218102</v>
      </c>
      <c r="I334" s="483"/>
      <c r="J334" s="896"/>
      <c r="K334" s="450"/>
      <c r="L334" s="224"/>
    </row>
    <row r="335" spans="1:196" ht="13.8" x14ac:dyDescent="0.25">
      <c r="E335" s="446"/>
      <c r="F335" s="447" t="s">
        <v>656</v>
      </c>
      <c r="G335" s="451">
        <v>1330183.4343293179</v>
      </c>
      <c r="H335" s="452">
        <v>-3176591.892294839</v>
      </c>
      <c r="I335" s="483"/>
      <c r="J335" s="896"/>
      <c r="K335" s="450"/>
    </row>
    <row r="336" spans="1:196" ht="13.8" x14ac:dyDescent="0.25">
      <c r="E336" s="446"/>
      <c r="F336" s="447"/>
      <c r="G336" s="448"/>
      <c r="H336" s="503"/>
      <c r="I336" s="483"/>
      <c r="J336" s="896"/>
      <c r="K336" s="450"/>
    </row>
    <row r="337" spans="6:9" ht="14.4" x14ac:dyDescent="0.3">
      <c r="F337" s="110"/>
      <c r="H337" s="445"/>
      <c r="I337" s="484"/>
    </row>
    <row r="338" spans="6:9" x14ac:dyDescent="0.2">
      <c r="G338" s="105"/>
      <c r="H338"/>
    </row>
    <row r="339" spans="6:9" x14ac:dyDescent="0.2">
      <c r="G339" s="105"/>
      <c r="H339"/>
    </row>
    <row r="340" spans="6:9" x14ac:dyDescent="0.2">
      <c r="G340" s="105"/>
    </row>
    <row r="341" spans="6:9" x14ac:dyDescent="0.2">
      <c r="G341" s="105"/>
      <c r="H341"/>
    </row>
    <row r="342" spans="6:9" x14ac:dyDescent="0.2">
      <c r="G342" s="105"/>
      <c r="H342"/>
    </row>
    <row r="343" spans="6:9" x14ac:dyDescent="0.2">
      <c r="G343" s="105"/>
      <c r="H343"/>
    </row>
    <row r="344" spans="6:9" x14ac:dyDescent="0.2">
      <c r="G344" s="105"/>
      <c r="H344"/>
    </row>
    <row r="345" spans="6:9" x14ac:dyDescent="0.2">
      <c r="G345" s="105"/>
      <c r="H345"/>
    </row>
    <row r="346" spans="6:9" x14ac:dyDescent="0.2">
      <c r="G346" s="105"/>
      <c r="H346"/>
    </row>
    <row r="347" spans="6:9" x14ac:dyDescent="0.2">
      <c r="G347" s="105"/>
      <c r="H347"/>
    </row>
    <row r="348" spans="6:9" x14ac:dyDescent="0.2">
      <c r="G348" s="105"/>
      <c r="H348"/>
    </row>
    <row r="349" spans="6:9" x14ac:dyDescent="0.2">
      <c r="G349" s="105"/>
      <c r="H349"/>
    </row>
    <row r="350" spans="6:9" x14ac:dyDescent="0.2">
      <c r="G350" s="105"/>
      <c r="H350"/>
    </row>
    <row r="351" spans="6:9" x14ac:dyDescent="0.2">
      <c r="G351" s="105"/>
      <c r="H351"/>
    </row>
    <row r="352" spans="6:9" x14ac:dyDescent="0.2">
      <c r="G352" s="105"/>
      <c r="H352"/>
    </row>
    <row r="353" spans="7:8" x14ac:dyDescent="0.2">
      <c r="G353" s="105"/>
      <c r="H353"/>
    </row>
    <row r="354" spans="7:8" x14ac:dyDescent="0.2">
      <c r="G354" s="105"/>
      <c r="H354"/>
    </row>
    <row r="355" spans="7:8" x14ac:dyDescent="0.2">
      <c r="G355" s="105"/>
      <c r="H355"/>
    </row>
    <row r="356" spans="7:8" x14ac:dyDescent="0.2">
      <c r="G356" s="105"/>
      <c r="H356"/>
    </row>
    <row r="357" spans="7:8" x14ac:dyDescent="0.2">
      <c r="G357" s="105"/>
      <c r="H357"/>
    </row>
    <row r="358" spans="7:8" x14ac:dyDescent="0.2">
      <c r="G358" s="105"/>
      <c r="H358"/>
    </row>
    <row r="359" spans="7:8" x14ac:dyDescent="0.2">
      <c r="G359" s="105"/>
      <c r="H359"/>
    </row>
    <row r="360" spans="7:8" x14ac:dyDescent="0.2">
      <c r="G360" s="105"/>
      <c r="H360"/>
    </row>
    <row r="361" spans="7:8" x14ac:dyDescent="0.2">
      <c r="G361" s="105"/>
      <c r="H361"/>
    </row>
    <row r="362" spans="7:8" x14ac:dyDescent="0.2">
      <c r="G362" s="105"/>
      <c r="H362"/>
    </row>
    <row r="363" spans="7:8" x14ac:dyDescent="0.2">
      <c r="G363" s="105"/>
      <c r="H363"/>
    </row>
    <row r="364" spans="7:8" x14ac:dyDescent="0.2">
      <c r="G364" s="105"/>
      <c r="H364"/>
    </row>
    <row r="365" spans="7:8" x14ac:dyDescent="0.2">
      <c r="G365" s="105"/>
      <c r="H365"/>
    </row>
    <row r="366" spans="7:8" x14ac:dyDescent="0.2">
      <c r="G366" s="105"/>
      <c r="H366"/>
    </row>
    <row r="367" spans="7:8" x14ac:dyDescent="0.2">
      <c r="G367" s="105"/>
      <c r="H367"/>
    </row>
    <row r="368" spans="7:8" x14ac:dyDescent="0.2">
      <c r="G368" s="105"/>
      <c r="H368"/>
    </row>
    <row r="369" spans="7:8" x14ac:dyDescent="0.2">
      <c r="G369" s="105"/>
      <c r="H369"/>
    </row>
    <row r="370" spans="7:8" x14ac:dyDescent="0.2">
      <c r="G370" s="105"/>
      <c r="H370"/>
    </row>
    <row r="371" spans="7:8" x14ac:dyDescent="0.2">
      <c r="G371" s="105"/>
      <c r="H371"/>
    </row>
    <row r="372" spans="7:8" x14ac:dyDescent="0.2">
      <c r="G372" s="105"/>
      <c r="H372"/>
    </row>
    <row r="373" spans="7:8" x14ac:dyDescent="0.2">
      <c r="G373" s="105"/>
      <c r="H373"/>
    </row>
    <row r="374" spans="7:8" x14ac:dyDescent="0.2">
      <c r="G374" s="105"/>
      <c r="H374"/>
    </row>
    <row r="375" spans="7:8" x14ac:dyDescent="0.2">
      <c r="G375" s="105"/>
      <c r="H375"/>
    </row>
    <row r="376" spans="7:8" x14ac:dyDescent="0.2">
      <c r="G376" s="105"/>
      <c r="H376"/>
    </row>
    <row r="377" spans="7:8" x14ac:dyDescent="0.2">
      <c r="G377" s="105"/>
      <c r="H377"/>
    </row>
    <row r="378" spans="7:8" x14ac:dyDescent="0.2">
      <c r="G378" s="105"/>
      <c r="H378"/>
    </row>
    <row r="379" spans="7:8" x14ac:dyDescent="0.2">
      <c r="G379" s="105"/>
      <c r="H379"/>
    </row>
    <row r="380" spans="7:8" x14ac:dyDescent="0.2">
      <c r="G380" s="105"/>
      <c r="H380"/>
    </row>
    <row r="381" spans="7:8" x14ac:dyDescent="0.2">
      <c r="G381" s="105"/>
      <c r="H381"/>
    </row>
    <row r="382" spans="7:8" x14ac:dyDescent="0.2">
      <c r="G382" s="105"/>
      <c r="H382"/>
    </row>
    <row r="383" spans="7:8" x14ac:dyDescent="0.2">
      <c r="G383" s="105"/>
      <c r="H383"/>
    </row>
    <row r="384" spans="7:8" x14ac:dyDescent="0.2">
      <c r="G384" s="105"/>
      <c r="H384"/>
    </row>
    <row r="385" spans="7:8" x14ac:dyDescent="0.2">
      <c r="G385" s="105"/>
      <c r="H385"/>
    </row>
    <row r="386" spans="7:8" x14ac:dyDescent="0.2">
      <c r="G386" s="105"/>
      <c r="H386"/>
    </row>
    <row r="387" spans="7:8" x14ac:dyDescent="0.2">
      <c r="G387" s="105"/>
      <c r="H387"/>
    </row>
    <row r="388" spans="7:8" x14ac:dyDescent="0.2">
      <c r="G388" s="105"/>
      <c r="H388"/>
    </row>
    <row r="389" spans="7:8" x14ac:dyDescent="0.2">
      <c r="G389" s="105"/>
      <c r="H389"/>
    </row>
    <row r="390" spans="7:8" x14ac:dyDescent="0.2">
      <c r="G390" s="105"/>
      <c r="H390"/>
    </row>
    <row r="391" spans="7:8" x14ac:dyDescent="0.2">
      <c r="G391" s="105"/>
      <c r="H391"/>
    </row>
    <row r="392" spans="7:8" x14ac:dyDescent="0.2">
      <c r="G392" s="105"/>
      <c r="H392"/>
    </row>
    <row r="393" spans="7:8" x14ac:dyDescent="0.2">
      <c r="G393" s="105"/>
      <c r="H393"/>
    </row>
    <row r="394" spans="7:8" x14ac:dyDescent="0.2">
      <c r="G394" s="105"/>
      <c r="H394"/>
    </row>
    <row r="395" spans="7:8" x14ac:dyDescent="0.2">
      <c r="G395" s="105"/>
      <c r="H395"/>
    </row>
    <row r="396" spans="7:8" x14ac:dyDescent="0.2">
      <c r="G396" s="105"/>
      <c r="H396"/>
    </row>
    <row r="397" spans="7:8" x14ac:dyDescent="0.2">
      <c r="G397" s="105"/>
      <c r="H397"/>
    </row>
    <row r="398" spans="7:8" x14ac:dyDescent="0.2">
      <c r="G398" s="105"/>
      <c r="H398"/>
    </row>
    <row r="399" spans="7:8" x14ac:dyDescent="0.2">
      <c r="G399" s="105"/>
      <c r="H399"/>
    </row>
    <row r="400" spans="7:8" x14ac:dyDescent="0.2">
      <c r="G400" s="105"/>
      <c r="H400"/>
    </row>
    <row r="401" spans="7:8" x14ac:dyDescent="0.2">
      <c r="G401" s="105"/>
      <c r="H401"/>
    </row>
    <row r="402" spans="7:8" x14ac:dyDescent="0.2">
      <c r="G402" s="105"/>
      <c r="H402"/>
    </row>
    <row r="403" spans="7:8" x14ac:dyDescent="0.2">
      <c r="G403" s="105"/>
      <c r="H403"/>
    </row>
    <row r="404" spans="7:8" x14ac:dyDescent="0.2">
      <c r="G404" s="105"/>
      <c r="H404"/>
    </row>
    <row r="405" spans="7:8" x14ac:dyDescent="0.2">
      <c r="G405" s="105"/>
      <c r="H405"/>
    </row>
    <row r="406" spans="7:8" x14ac:dyDescent="0.2">
      <c r="G406" s="105"/>
      <c r="H406"/>
    </row>
    <row r="407" spans="7:8" x14ac:dyDescent="0.2">
      <c r="G407" s="105"/>
      <c r="H407"/>
    </row>
    <row r="408" spans="7:8" x14ac:dyDescent="0.2">
      <c r="G408" s="105"/>
      <c r="H408"/>
    </row>
    <row r="409" spans="7:8" x14ac:dyDescent="0.2">
      <c r="G409" s="105"/>
      <c r="H409"/>
    </row>
    <row r="410" spans="7:8" x14ac:dyDescent="0.2">
      <c r="G410" s="105"/>
      <c r="H410"/>
    </row>
    <row r="411" spans="7:8" x14ac:dyDescent="0.2">
      <c r="G411" s="105"/>
      <c r="H411"/>
    </row>
    <row r="412" spans="7:8" x14ac:dyDescent="0.2">
      <c r="G412" s="105"/>
      <c r="H412"/>
    </row>
    <row r="413" spans="7:8" x14ac:dyDescent="0.2">
      <c r="G413" s="105"/>
      <c r="H413"/>
    </row>
    <row r="414" spans="7:8" x14ac:dyDescent="0.2">
      <c r="G414" s="105"/>
      <c r="H414"/>
    </row>
    <row r="415" spans="7:8" x14ac:dyDescent="0.2">
      <c r="G415" s="105"/>
      <c r="H415"/>
    </row>
    <row r="416" spans="7:8" x14ac:dyDescent="0.2">
      <c r="G416" s="105"/>
      <c r="H416"/>
    </row>
    <row r="417" spans="7:8" x14ac:dyDescent="0.2">
      <c r="G417" s="105"/>
      <c r="H417"/>
    </row>
    <row r="418" spans="7:8" x14ac:dyDescent="0.2">
      <c r="G418" s="105"/>
      <c r="H418"/>
    </row>
    <row r="419" spans="7:8" x14ac:dyDescent="0.2">
      <c r="G419" s="105"/>
      <c r="H419"/>
    </row>
    <row r="420" spans="7:8" x14ac:dyDescent="0.2">
      <c r="G420" s="105"/>
      <c r="H420"/>
    </row>
    <row r="421" spans="7:8" x14ac:dyDescent="0.2">
      <c r="G421" s="105"/>
      <c r="H421"/>
    </row>
    <row r="422" spans="7:8" x14ac:dyDescent="0.2">
      <c r="G422" s="105"/>
      <c r="H422"/>
    </row>
    <row r="423" spans="7:8" x14ac:dyDescent="0.2">
      <c r="G423" s="105"/>
      <c r="H423"/>
    </row>
    <row r="424" spans="7:8" x14ac:dyDescent="0.2">
      <c r="G424" s="105"/>
      <c r="H424"/>
    </row>
    <row r="425" spans="7:8" x14ac:dyDescent="0.2">
      <c r="G425" s="105"/>
      <c r="H425"/>
    </row>
    <row r="426" spans="7:8" x14ac:dyDescent="0.2">
      <c r="G426" s="105"/>
      <c r="H426"/>
    </row>
    <row r="427" spans="7:8" x14ac:dyDescent="0.2">
      <c r="G427" s="105"/>
      <c r="H427"/>
    </row>
    <row r="428" spans="7:8" x14ac:dyDescent="0.2">
      <c r="G428" s="105"/>
      <c r="H428"/>
    </row>
    <row r="429" spans="7:8" x14ac:dyDescent="0.2">
      <c r="G429" s="105"/>
      <c r="H429"/>
    </row>
    <row r="430" spans="7:8" x14ac:dyDescent="0.2">
      <c r="G430" s="105"/>
      <c r="H430"/>
    </row>
    <row r="431" spans="7:8" x14ac:dyDescent="0.2">
      <c r="G431" s="105"/>
      <c r="H431"/>
    </row>
    <row r="432" spans="7:8" x14ac:dyDescent="0.2">
      <c r="G432" s="105"/>
      <c r="H432"/>
    </row>
    <row r="433" spans="7:8" x14ac:dyDescent="0.2">
      <c r="G433" s="105"/>
      <c r="H433"/>
    </row>
    <row r="434" spans="7:8" x14ac:dyDescent="0.2">
      <c r="G434" s="105"/>
      <c r="H434"/>
    </row>
    <row r="435" spans="7:8" x14ac:dyDescent="0.2">
      <c r="G435" s="105"/>
      <c r="H435"/>
    </row>
    <row r="436" spans="7:8" x14ac:dyDescent="0.2">
      <c r="G436" s="105"/>
      <c r="H436"/>
    </row>
    <row r="437" spans="7:8" x14ac:dyDescent="0.2">
      <c r="G437" s="105"/>
      <c r="H437"/>
    </row>
    <row r="438" spans="7:8" x14ac:dyDescent="0.2">
      <c r="G438" s="105"/>
      <c r="H438"/>
    </row>
    <row r="439" spans="7:8" x14ac:dyDescent="0.2">
      <c r="G439" s="105"/>
      <c r="H439"/>
    </row>
    <row r="440" spans="7:8" x14ac:dyDescent="0.2">
      <c r="G440" s="105"/>
      <c r="H440"/>
    </row>
    <row r="441" spans="7:8" x14ac:dyDescent="0.2">
      <c r="G441" s="105"/>
      <c r="H441"/>
    </row>
    <row r="442" spans="7:8" x14ac:dyDescent="0.2">
      <c r="G442" s="105"/>
      <c r="H442"/>
    </row>
    <row r="443" spans="7:8" x14ac:dyDescent="0.2">
      <c r="G443" s="105"/>
      <c r="H443"/>
    </row>
    <row r="444" spans="7:8" x14ac:dyDescent="0.2">
      <c r="G444" s="105"/>
      <c r="H444"/>
    </row>
    <row r="445" spans="7:8" x14ac:dyDescent="0.2">
      <c r="G445" s="105"/>
      <c r="H445"/>
    </row>
    <row r="446" spans="7:8" x14ac:dyDescent="0.2">
      <c r="G446" s="105"/>
      <c r="H446"/>
    </row>
    <row r="447" spans="7:8" x14ac:dyDescent="0.2">
      <c r="G447" s="105"/>
      <c r="H447"/>
    </row>
    <row r="448" spans="7:8" x14ac:dyDescent="0.2">
      <c r="G448" s="105"/>
      <c r="H448"/>
    </row>
    <row r="449" spans="7:8" x14ac:dyDescent="0.2">
      <c r="G449" s="105"/>
      <c r="H449"/>
    </row>
    <row r="450" spans="7:8" x14ac:dyDescent="0.2">
      <c r="G450" s="105"/>
      <c r="H450"/>
    </row>
    <row r="451" spans="7:8" x14ac:dyDescent="0.2">
      <c r="G451" s="105"/>
      <c r="H451"/>
    </row>
    <row r="452" spans="7:8" x14ac:dyDescent="0.2">
      <c r="G452" s="105"/>
      <c r="H452"/>
    </row>
    <row r="453" spans="7:8" x14ac:dyDescent="0.2">
      <c r="G453" s="105"/>
      <c r="H453"/>
    </row>
    <row r="454" spans="7:8" x14ac:dyDescent="0.2">
      <c r="G454" s="105"/>
      <c r="H454"/>
    </row>
    <row r="455" spans="7:8" x14ac:dyDescent="0.2">
      <c r="G455" s="105"/>
      <c r="H455"/>
    </row>
    <row r="456" spans="7:8" x14ac:dyDescent="0.2">
      <c r="G456" s="105"/>
      <c r="H456"/>
    </row>
    <row r="457" spans="7:8" x14ac:dyDescent="0.2">
      <c r="G457" s="105"/>
      <c r="H457"/>
    </row>
    <row r="458" spans="7:8" x14ac:dyDescent="0.2">
      <c r="G458" s="105"/>
      <c r="H458"/>
    </row>
    <row r="459" spans="7:8" x14ac:dyDescent="0.2">
      <c r="G459" s="105"/>
      <c r="H459"/>
    </row>
    <row r="460" spans="7:8" x14ac:dyDescent="0.2">
      <c r="G460" s="105"/>
      <c r="H460"/>
    </row>
    <row r="461" spans="7:8" x14ac:dyDescent="0.2">
      <c r="G461" s="105"/>
      <c r="H461"/>
    </row>
    <row r="462" spans="7:8" x14ac:dyDescent="0.2">
      <c r="G462" s="105"/>
      <c r="H462"/>
    </row>
    <row r="463" spans="7:8" x14ac:dyDescent="0.2">
      <c r="G463" s="105"/>
      <c r="H463"/>
    </row>
    <row r="464" spans="7:8" x14ac:dyDescent="0.2">
      <c r="G464" s="105"/>
      <c r="H464"/>
    </row>
    <row r="465" spans="7:8" x14ac:dyDescent="0.2">
      <c r="G465" s="105"/>
      <c r="H465"/>
    </row>
    <row r="466" spans="7:8" x14ac:dyDescent="0.2">
      <c r="G466" s="105"/>
      <c r="H466"/>
    </row>
    <row r="467" spans="7:8" x14ac:dyDescent="0.2">
      <c r="G467" s="105"/>
      <c r="H467"/>
    </row>
    <row r="468" spans="7:8" x14ac:dyDescent="0.2">
      <c r="G468" s="105"/>
      <c r="H468"/>
    </row>
    <row r="469" spans="7:8" x14ac:dyDescent="0.2">
      <c r="G469" s="105"/>
      <c r="H469"/>
    </row>
    <row r="470" spans="7:8" x14ac:dyDescent="0.2">
      <c r="G470" s="105"/>
      <c r="H470"/>
    </row>
    <row r="471" spans="7:8" x14ac:dyDescent="0.2">
      <c r="G471" s="105"/>
      <c r="H471"/>
    </row>
    <row r="472" spans="7:8" x14ac:dyDescent="0.2">
      <c r="G472" s="105"/>
      <c r="H472"/>
    </row>
    <row r="473" spans="7:8" x14ac:dyDescent="0.2">
      <c r="G473" s="105"/>
      <c r="H473"/>
    </row>
    <row r="474" spans="7:8" x14ac:dyDescent="0.2">
      <c r="G474" s="105"/>
      <c r="H474"/>
    </row>
    <row r="475" spans="7:8" x14ac:dyDescent="0.2">
      <c r="G475" s="105"/>
      <c r="H475"/>
    </row>
    <row r="476" spans="7:8" x14ac:dyDescent="0.2">
      <c r="G476" s="105"/>
      <c r="H476"/>
    </row>
    <row r="477" spans="7:8" x14ac:dyDescent="0.2">
      <c r="G477" s="105"/>
      <c r="H477"/>
    </row>
    <row r="478" spans="7:8" x14ac:dyDescent="0.2">
      <c r="G478" s="105"/>
      <c r="H478"/>
    </row>
    <row r="479" spans="7:8" x14ac:dyDescent="0.2">
      <c r="G479" s="105"/>
      <c r="H479"/>
    </row>
    <row r="480" spans="7:8" x14ac:dyDescent="0.2">
      <c r="G480" s="105"/>
      <c r="H480"/>
    </row>
    <row r="481" spans="7:8" x14ac:dyDescent="0.2">
      <c r="G481" s="105"/>
      <c r="H481"/>
    </row>
    <row r="482" spans="7:8" x14ac:dyDescent="0.2">
      <c r="G482" s="105"/>
      <c r="H482"/>
    </row>
    <row r="483" spans="7:8" x14ac:dyDescent="0.2">
      <c r="G483" s="105"/>
      <c r="H483"/>
    </row>
    <row r="484" spans="7:8" x14ac:dyDescent="0.2">
      <c r="G484" s="105"/>
      <c r="H484"/>
    </row>
    <row r="485" spans="7:8" x14ac:dyDescent="0.2">
      <c r="G485" s="105"/>
      <c r="H485"/>
    </row>
    <row r="486" spans="7:8" x14ac:dyDescent="0.2">
      <c r="G486" s="105"/>
      <c r="H486"/>
    </row>
    <row r="487" spans="7:8" x14ac:dyDescent="0.2">
      <c r="G487" s="105"/>
      <c r="H487"/>
    </row>
    <row r="488" spans="7:8" x14ac:dyDescent="0.2">
      <c r="G488" s="105"/>
      <c r="H488"/>
    </row>
    <row r="489" spans="7:8" x14ac:dyDescent="0.2">
      <c r="G489" s="105"/>
      <c r="H489"/>
    </row>
    <row r="490" spans="7:8" x14ac:dyDescent="0.2">
      <c r="G490" s="105"/>
      <c r="H490"/>
    </row>
    <row r="491" spans="7:8" x14ac:dyDescent="0.2">
      <c r="G491" s="105"/>
      <c r="H491"/>
    </row>
    <row r="492" spans="7:8" x14ac:dyDescent="0.2">
      <c r="G492" s="105"/>
      <c r="H492"/>
    </row>
    <row r="493" spans="7:8" x14ac:dyDescent="0.2">
      <c r="G493" s="105"/>
      <c r="H493"/>
    </row>
    <row r="494" spans="7:8" x14ac:dyDescent="0.2">
      <c r="G494" s="105"/>
      <c r="H494"/>
    </row>
    <row r="495" spans="7:8" x14ac:dyDescent="0.2">
      <c r="G495" s="105"/>
      <c r="H495"/>
    </row>
    <row r="496" spans="7:8" x14ac:dyDescent="0.2">
      <c r="G496" s="105"/>
      <c r="H496"/>
    </row>
    <row r="497" spans="7:8" x14ac:dyDescent="0.2">
      <c r="G497" s="105"/>
      <c r="H497"/>
    </row>
    <row r="498" spans="7:8" x14ac:dyDescent="0.2">
      <c r="G498" s="105"/>
      <c r="H498"/>
    </row>
    <row r="499" spans="7:8" x14ac:dyDescent="0.2">
      <c r="G499" s="105"/>
      <c r="H499"/>
    </row>
    <row r="500" spans="7:8" x14ac:dyDescent="0.2">
      <c r="G500" s="105"/>
      <c r="H500"/>
    </row>
    <row r="501" spans="7:8" x14ac:dyDescent="0.2">
      <c r="G501" s="105"/>
      <c r="H501"/>
    </row>
    <row r="502" spans="7:8" x14ac:dyDescent="0.2">
      <c r="G502" s="105"/>
      <c r="H502"/>
    </row>
    <row r="503" spans="7:8" x14ac:dyDescent="0.2">
      <c r="G503" s="105"/>
      <c r="H503"/>
    </row>
    <row r="504" spans="7:8" x14ac:dyDescent="0.2">
      <c r="G504" s="105"/>
      <c r="H504"/>
    </row>
    <row r="505" spans="7:8" x14ac:dyDescent="0.2">
      <c r="G505" s="105"/>
      <c r="H505"/>
    </row>
    <row r="506" spans="7:8" x14ac:dyDescent="0.2">
      <c r="G506" s="105"/>
      <c r="H506"/>
    </row>
    <row r="507" spans="7:8" x14ac:dyDescent="0.2">
      <c r="G507" s="105"/>
      <c r="H507"/>
    </row>
    <row r="508" spans="7:8" x14ac:dyDescent="0.2">
      <c r="G508" s="105"/>
      <c r="H508"/>
    </row>
    <row r="509" spans="7:8" x14ac:dyDescent="0.2">
      <c r="G509" s="105"/>
      <c r="H509"/>
    </row>
    <row r="510" spans="7:8" x14ac:dyDescent="0.2">
      <c r="G510" s="105"/>
      <c r="H510"/>
    </row>
    <row r="511" spans="7:8" x14ac:dyDescent="0.2">
      <c r="G511" s="105"/>
      <c r="H511"/>
    </row>
    <row r="512" spans="7:8" x14ac:dyDescent="0.2">
      <c r="G512" s="105"/>
      <c r="H512"/>
    </row>
    <row r="513" spans="7:8" x14ac:dyDescent="0.2">
      <c r="G513" s="105"/>
      <c r="H513"/>
    </row>
    <row r="514" spans="7:8" x14ac:dyDescent="0.2">
      <c r="G514" s="105"/>
      <c r="H514"/>
    </row>
    <row r="515" spans="7:8" x14ac:dyDescent="0.2">
      <c r="G515" s="105"/>
      <c r="H515"/>
    </row>
    <row r="516" spans="7:8" x14ac:dyDescent="0.2">
      <c r="G516" s="105"/>
      <c r="H516"/>
    </row>
    <row r="517" spans="7:8" x14ac:dyDescent="0.2">
      <c r="G517" s="105"/>
      <c r="H517"/>
    </row>
    <row r="518" spans="7:8" x14ac:dyDescent="0.2">
      <c r="G518" s="105"/>
      <c r="H518"/>
    </row>
    <row r="519" spans="7:8" x14ac:dyDescent="0.2">
      <c r="G519" s="105"/>
      <c r="H519"/>
    </row>
    <row r="520" spans="7:8" x14ac:dyDescent="0.2">
      <c r="G520" s="105"/>
      <c r="H520"/>
    </row>
    <row r="521" spans="7:8" x14ac:dyDescent="0.2">
      <c r="G521" s="105"/>
      <c r="H521"/>
    </row>
    <row r="522" spans="7:8" x14ac:dyDescent="0.2">
      <c r="G522" s="105"/>
      <c r="H522"/>
    </row>
    <row r="523" spans="7:8" x14ac:dyDescent="0.2">
      <c r="G523" s="105"/>
      <c r="H523"/>
    </row>
    <row r="524" spans="7:8" x14ac:dyDescent="0.2">
      <c r="G524" s="105"/>
      <c r="H524"/>
    </row>
    <row r="525" spans="7:8" x14ac:dyDescent="0.2">
      <c r="G525" s="105"/>
      <c r="H525"/>
    </row>
    <row r="526" spans="7:8" x14ac:dyDescent="0.2">
      <c r="G526" s="105"/>
      <c r="H526"/>
    </row>
    <row r="527" spans="7:8" x14ac:dyDescent="0.2">
      <c r="G527" s="105"/>
      <c r="H527"/>
    </row>
    <row r="528" spans="7:8" x14ac:dyDescent="0.2">
      <c r="G528" s="105"/>
      <c r="H528"/>
    </row>
    <row r="529" spans="7:8" x14ac:dyDescent="0.2">
      <c r="G529" s="105"/>
      <c r="H529"/>
    </row>
    <row r="530" spans="7:8" x14ac:dyDescent="0.2">
      <c r="G530" s="105"/>
      <c r="H530"/>
    </row>
    <row r="531" spans="7:8" x14ac:dyDescent="0.2">
      <c r="G531" s="105"/>
      <c r="H531"/>
    </row>
    <row r="532" spans="7:8" x14ac:dyDescent="0.2">
      <c r="G532" s="105"/>
      <c r="H532"/>
    </row>
    <row r="533" spans="7:8" x14ac:dyDescent="0.2">
      <c r="G533" s="105"/>
      <c r="H533"/>
    </row>
    <row r="534" spans="7:8" x14ac:dyDescent="0.2">
      <c r="G534" s="105"/>
      <c r="H534"/>
    </row>
    <row r="535" spans="7:8" x14ac:dyDescent="0.2">
      <c r="G535" s="105"/>
      <c r="H535"/>
    </row>
    <row r="536" spans="7:8" x14ac:dyDescent="0.2">
      <c r="G536" s="105"/>
      <c r="H536"/>
    </row>
    <row r="537" spans="7:8" x14ac:dyDescent="0.2">
      <c r="G537" s="105"/>
      <c r="H537"/>
    </row>
  </sheetData>
  <mergeCells count="3">
    <mergeCell ref="E45:F45"/>
    <mergeCell ref="I283:I284"/>
    <mergeCell ref="J283:J284"/>
  </mergeCells>
  <phoneticPr fontId="73" type="noConversion"/>
  <hyperlinks>
    <hyperlink ref="K2" r:id="rId1" xr:uid="{22A342C6-9BFB-41B7-B4A7-ACB54B775494}"/>
  </hyperlinks>
  <pageMargins left="0.7" right="0.7" top="0.75" bottom="0.75" header="0.3" footer="0.3"/>
  <pageSetup scale="22" orientation="portrait"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F0662-8A83-4360-8838-9045074AC9EE}">
  <sheetPr>
    <tabColor theme="7" tint="0.59999389629810485"/>
  </sheetPr>
  <dimension ref="A1:M32"/>
  <sheetViews>
    <sheetView topLeftCell="A16" zoomScale="70" zoomScaleNormal="70" workbookViewId="0">
      <selection activeCell="K19" sqref="K19"/>
    </sheetView>
  </sheetViews>
  <sheetFormatPr defaultRowHeight="14.4" x14ac:dyDescent="0.2"/>
  <cols>
    <col min="1" max="1" width="9.125" bestFit="1" customWidth="1"/>
    <col min="2" max="2" width="37.375" customWidth="1"/>
    <col min="3" max="3" width="13.25" style="836" customWidth="1"/>
    <col min="4" max="4" width="41.25" customWidth="1"/>
    <col min="5" max="5" width="9.125" style="848" bestFit="1" customWidth="1"/>
    <col min="6" max="6" width="10.125" style="403" bestFit="1" customWidth="1"/>
    <col min="8" max="8" width="38.25" customWidth="1"/>
    <col min="10" max="10" width="9.625" customWidth="1"/>
  </cols>
  <sheetData>
    <row r="1" spans="1:13" ht="13.8" x14ac:dyDescent="0.3">
      <c r="A1" s="107"/>
      <c r="B1" s="946" t="s">
        <v>1195</v>
      </c>
      <c r="C1" s="845"/>
      <c r="D1" s="298"/>
      <c r="E1" s="846"/>
      <c r="F1" s="847"/>
    </row>
    <row r="2" spans="1:13" x14ac:dyDescent="0.3">
      <c r="A2" s="107"/>
      <c r="B2" s="298"/>
      <c r="C2" s="845"/>
      <c r="D2" s="298"/>
      <c r="E2" s="846"/>
      <c r="F2" s="847"/>
      <c r="H2" s="156"/>
    </row>
    <row r="3" spans="1:13" x14ac:dyDescent="0.3">
      <c r="A3" s="107"/>
      <c r="B3" s="298"/>
      <c r="C3" s="845"/>
      <c r="D3" s="298"/>
      <c r="E3" s="846"/>
      <c r="F3" s="847"/>
      <c r="H3" s="156"/>
    </row>
    <row r="4" spans="1:13" ht="45.75" customHeight="1" x14ac:dyDescent="0.3">
      <c r="A4" s="947" t="s">
        <v>5</v>
      </c>
      <c r="B4" s="948" t="s">
        <v>1196</v>
      </c>
      <c r="C4" s="949"/>
      <c r="D4" s="948"/>
      <c r="E4" s="950">
        <v>300000</v>
      </c>
      <c r="F4" s="951">
        <v>300000</v>
      </c>
      <c r="H4" s="156"/>
    </row>
    <row r="5" spans="1:13" ht="68.400000000000006" x14ac:dyDescent="0.2">
      <c r="A5" s="952">
        <v>2</v>
      </c>
      <c r="B5" s="953" t="s">
        <v>1197</v>
      </c>
      <c r="C5" s="952"/>
      <c r="D5" s="954" t="s">
        <v>1198</v>
      </c>
      <c r="E5" s="955">
        <v>70000</v>
      </c>
      <c r="F5" s="956">
        <f>E5</f>
        <v>70000</v>
      </c>
    </row>
    <row r="6" spans="1:13" ht="91.2" x14ac:dyDescent="0.2">
      <c r="A6" s="940">
        <v>3</v>
      </c>
      <c r="B6" s="957" t="s">
        <v>1199</v>
      </c>
      <c r="C6" s="940"/>
      <c r="D6" s="958" t="s">
        <v>1200</v>
      </c>
      <c r="E6" s="942">
        <v>3700</v>
      </c>
      <c r="F6" s="938">
        <f>E6</f>
        <v>3700</v>
      </c>
      <c r="G6" s="933"/>
      <c r="H6" s="959" t="s">
        <v>1201</v>
      </c>
      <c r="I6" s="933" t="s">
        <v>1202</v>
      </c>
      <c r="J6" s="933"/>
    </row>
    <row r="7" spans="1:13" x14ac:dyDescent="0.3">
      <c r="A7" s="1639" t="s">
        <v>1203</v>
      </c>
      <c r="B7" s="1639"/>
      <c r="C7" s="1639"/>
      <c r="D7" s="814" t="s">
        <v>1204</v>
      </c>
      <c r="E7" s="846"/>
      <c r="F7" s="847"/>
    </row>
    <row r="8" spans="1:13" ht="55.2" x14ac:dyDescent="0.3">
      <c r="A8" s="956">
        <v>4</v>
      </c>
      <c r="B8" s="960" t="s">
        <v>1205</v>
      </c>
      <c r="C8" s="821" t="s">
        <v>1206</v>
      </c>
      <c r="D8" s="961" t="s">
        <v>1207</v>
      </c>
      <c r="E8" s="962">
        <v>30000</v>
      </c>
      <c r="F8" s="963">
        <f>E8</f>
        <v>30000</v>
      </c>
      <c r="H8" s="964" t="s">
        <v>1208</v>
      </c>
      <c r="J8" t="s">
        <v>1209</v>
      </c>
    </row>
    <row r="9" spans="1:13" ht="70.2" x14ac:dyDescent="0.3">
      <c r="A9" s="965"/>
      <c r="B9" s="822"/>
      <c r="C9" s="965"/>
      <c r="D9" s="966" t="s">
        <v>1210</v>
      </c>
      <c r="E9" s="967" t="s">
        <v>1211</v>
      </c>
      <c r="F9" s="968">
        <v>11000</v>
      </c>
      <c r="H9" s="964" t="s">
        <v>1212</v>
      </c>
      <c r="J9" s="1640" t="s">
        <v>1213</v>
      </c>
      <c r="K9" s="1641"/>
      <c r="L9" s="1641"/>
      <c r="M9" s="1641"/>
    </row>
    <row r="10" spans="1:13" ht="124.2" x14ac:dyDescent="0.3">
      <c r="A10" s="965"/>
      <c r="B10" s="822"/>
      <c r="C10" s="965"/>
      <c r="D10" s="961" t="s">
        <v>1214</v>
      </c>
      <c r="E10" s="962" t="s">
        <v>1215</v>
      </c>
      <c r="F10" s="969" t="s">
        <v>1216</v>
      </c>
      <c r="H10" s="964" t="s">
        <v>1217</v>
      </c>
      <c r="J10" s="1640" t="s">
        <v>1218</v>
      </c>
      <c r="K10" s="1641"/>
      <c r="L10" s="1641"/>
      <c r="M10" s="1641"/>
    </row>
    <row r="11" spans="1:13" ht="13.8" x14ac:dyDescent="0.3">
      <c r="A11" s="965"/>
      <c r="B11" s="821"/>
      <c r="C11" s="965"/>
      <c r="D11" s="970"/>
      <c r="E11" s="971"/>
      <c r="F11" s="963"/>
    </row>
    <row r="12" spans="1:13" x14ac:dyDescent="0.3">
      <c r="A12" s="1642" t="s">
        <v>1219</v>
      </c>
      <c r="B12" s="1642"/>
      <c r="C12" s="1642"/>
      <c r="D12" s="814" t="s">
        <v>1220</v>
      </c>
      <c r="E12" s="971"/>
      <c r="F12" s="972"/>
    </row>
    <row r="13" spans="1:13" ht="46.8" x14ac:dyDescent="0.3">
      <c r="A13" s="1643">
        <v>5</v>
      </c>
      <c r="B13" s="1645" t="s">
        <v>1221</v>
      </c>
      <c r="C13" s="965"/>
      <c r="D13" s="820" t="s">
        <v>1222</v>
      </c>
      <c r="E13" s="823">
        <v>17000</v>
      </c>
      <c r="F13" s="973">
        <f>E13</f>
        <v>17000</v>
      </c>
      <c r="H13" s="107" t="s">
        <v>1223</v>
      </c>
      <c r="J13" s="974"/>
    </row>
    <row r="14" spans="1:13" ht="24" x14ac:dyDescent="0.3">
      <c r="A14" s="1644"/>
      <c r="B14" s="1646"/>
      <c r="C14" s="965"/>
      <c r="D14" s="820" t="s">
        <v>1224</v>
      </c>
      <c r="E14" s="823">
        <v>18000</v>
      </c>
      <c r="F14" s="973">
        <f>E14</f>
        <v>18000</v>
      </c>
      <c r="H14" s="107"/>
      <c r="J14" s="974"/>
    </row>
    <row r="15" spans="1:13" ht="24" x14ac:dyDescent="0.3">
      <c r="A15" s="824">
        <v>6</v>
      </c>
      <c r="B15" s="975" t="s">
        <v>1225</v>
      </c>
      <c r="C15" s="824"/>
      <c r="D15" s="820" t="s">
        <v>1226</v>
      </c>
      <c r="E15" s="823">
        <v>30000</v>
      </c>
      <c r="F15" s="976">
        <f>E15</f>
        <v>30000</v>
      </c>
      <c r="H15" t="s">
        <v>1227</v>
      </c>
      <c r="J15" s="974"/>
    </row>
    <row r="16" spans="1:13" x14ac:dyDescent="0.2">
      <c r="A16" s="836"/>
    </row>
    <row r="17" spans="1:8" x14ac:dyDescent="0.3">
      <c r="A17" s="1637" t="s">
        <v>1228</v>
      </c>
      <c r="B17" s="1638"/>
      <c r="C17" s="1638"/>
      <c r="D17" s="977" t="s">
        <v>1220</v>
      </c>
      <c r="E17" s="978"/>
      <c r="F17" s="979"/>
    </row>
    <row r="18" spans="1:8" ht="45.6" x14ac:dyDescent="0.2">
      <c r="A18" s="965">
        <v>7</v>
      </c>
      <c r="B18" s="980" t="s">
        <v>1229</v>
      </c>
      <c r="C18" s="965"/>
      <c r="D18" s="981" t="s">
        <v>1230</v>
      </c>
      <c r="E18" s="978"/>
      <c r="F18" s="979"/>
      <c r="H18" s="107" t="s">
        <v>1231</v>
      </c>
    </row>
    <row r="19" spans="1:8" ht="45.6" x14ac:dyDescent="0.2">
      <c r="A19" s="979">
        <v>8</v>
      </c>
      <c r="B19" s="982" t="s">
        <v>1232</v>
      </c>
      <c r="C19" s="952"/>
      <c r="D19" s="983" t="s">
        <v>1233</v>
      </c>
      <c r="E19" s="828">
        <v>30000</v>
      </c>
      <c r="F19" s="984">
        <f>E19</f>
        <v>30000</v>
      </c>
      <c r="H19" s="107" t="s">
        <v>1234</v>
      </c>
    </row>
    <row r="20" spans="1:8" ht="57" x14ac:dyDescent="0.2">
      <c r="A20" s="979">
        <v>9</v>
      </c>
      <c r="B20" s="985" t="s">
        <v>1235</v>
      </c>
      <c r="C20" s="965"/>
      <c r="D20" s="820" t="s">
        <v>1236</v>
      </c>
      <c r="E20" s="823"/>
      <c r="F20" s="973"/>
      <c r="H20" s="107" t="s">
        <v>1237</v>
      </c>
    </row>
    <row r="21" spans="1:8" ht="28.8" x14ac:dyDescent="0.3">
      <c r="A21" s="979">
        <v>10</v>
      </c>
      <c r="B21" s="985" t="s">
        <v>1238</v>
      </c>
      <c r="C21" s="986"/>
      <c r="D21" s="987" t="s">
        <v>1239</v>
      </c>
      <c r="E21" s="978">
        <v>1000</v>
      </c>
      <c r="F21" s="988">
        <f>E21</f>
        <v>1000</v>
      </c>
      <c r="H21" s="107" t="s">
        <v>1240</v>
      </c>
    </row>
    <row r="22" spans="1:8" ht="129.6" x14ac:dyDescent="0.3">
      <c r="A22" s="979">
        <v>11</v>
      </c>
      <c r="B22" s="989" t="s">
        <v>1241</v>
      </c>
      <c r="C22" s="990"/>
      <c r="D22" s="991" t="s">
        <v>1242</v>
      </c>
      <c r="E22" s="955">
        <v>4000</v>
      </c>
      <c r="F22" s="984">
        <f>E22</f>
        <v>4000</v>
      </c>
      <c r="H22" s="107" t="s">
        <v>1243</v>
      </c>
    </row>
    <row r="23" spans="1:8" s="857" customFormat="1" ht="72" x14ac:dyDescent="0.3">
      <c r="A23" s="979">
        <v>12</v>
      </c>
      <c r="B23" s="991" t="s">
        <v>1244</v>
      </c>
      <c r="C23" s="992" t="s">
        <v>1245</v>
      </c>
      <c r="D23" s="991" t="s">
        <v>1246</v>
      </c>
      <c r="E23" s="955">
        <v>18000</v>
      </c>
      <c r="F23" s="984">
        <f>E23</f>
        <v>18000</v>
      </c>
    </row>
    <row r="24" spans="1:8" x14ac:dyDescent="0.2">
      <c r="A24" s="979"/>
      <c r="B24" s="820" t="s">
        <v>1247</v>
      </c>
      <c r="C24" s="965"/>
      <c r="D24" s="993" t="s">
        <v>1248</v>
      </c>
      <c r="E24" s="978">
        <v>20000</v>
      </c>
      <c r="F24" s="994"/>
      <c r="H24" s="107"/>
    </row>
    <row r="25" spans="1:8" ht="22.8" x14ac:dyDescent="0.2">
      <c r="A25" s="979"/>
      <c r="B25" s="820" t="s">
        <v>1249</v>
      </c>
      <c r="C25" s="965"/>
      <c r="D25" s="820" t="s">
        <v>1250</v>
      </c>
      <c r="E25" s="978"/>
      <c r="F25" s="979"/>
    </row>
    <row r="26" spans="1:8" ht="22.8" x14ac:dyDescent="0.2">
      <c r="A26" s="979"/>
      <c r="B26" s="820" t="s">
        <v>1251</v>
      </c>
      <c r="C26" s="965"/>
      <c r="D26" s="993" t="s">
        <v>1252</v>
      </c>
      <c r="E26" s="978"/>
      <c r="F26" s="988"/>
      <c r="H26" s="107"/>
    </row>
    <row r="27" spans="1:8" ht="28.8" x14ac:dyDescent="0.3">
      <c r="A27" s="979"/>
      <c r="B27" s="987" t="s">
        <v>1253</v>
      </c>
      <c r="C27" s="965"/>
      <c r="D27" s="993" t="s">
        <v>1254</v>
      </c>
      <c r="E27" s="978">
        <v>4660</v>
      </c>
      <c r="F27" s="973"/>
      <c r="H27" t="s">
        <v>1255</v>
      </c>
    </row>
    <row r="28" spans="1:8" x14ac:dyDescent="0.2">
      <c r="A28" s="979"/>
      <c r="B28" s="820" t="s">
        <v>1256</v>
      </c>
      <c r="C28" s="965"/>
      <c r="D28" s="993" t="s">
        <v>1257</v>
      </c>
      <c r="E28" s="978">
        <v>50000</v>
      </c>
      <c r="F28" s="979"/>
    </row>
    <row r="29" spans="1:8" ht="43.2" x14ac:dyDescent="0.3">
      <c r="A29" s="979"/>
      <c r="B29" s="987" t="s">
        <v>1258</v>
      </c>
      <c r="C29" s="995"/>
      <c r="D29" s="987" t="s">
        <v>1259</v>
      </c>
      <c r="E29" s="978"/>
      <c r="F29" s="979"/>
    </row>
    <row r="30" spans="1:8" x14ac:dyDescent="0.2">
      <c r="A30" s="836"/>
      <c r="B30" s="107"/>
    </row>
    <row r="32" spans="1:8" x14ac:dyDescent="0.2">
      <c r="A32" t="s">
        <v>1260</v>
      </c>
    </row>
  </sheetData>
  <mergeCells count="7">
    <mergeCell ref="A17:C17"/>
    <mergeCell ref="A7:C7"/>
    <mergeCell ref="J9:M9"/>
    <mergeCell ref="J10:M10"/>
    <mergeCell ref="A12:C12"/>
    <mergeCell ref="A13:A14"/>
    <mergeCell ref="B13:B14"/>
  </mergeCells>
  <conditionalFormatting sqref="B1:B4">
    <cfRule type="colorScale" priority="1">
      <colorScale>
        <cfvo type="min"/>
        <cfvo type="percentile" val="50"/>
        <cfvo type="max"/>
        <color rgb="FFF8696B"/>
        <color rgb="FFFFEB84"/>
        <color rgb="FF63BE7B"/>
      </colorScale>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0B481-DBEE-462F-B404-D10E0DE03689}">
  <sheetPr>
    <tabColor rgb="FF8E267F"/>
    <pageSetUpPr fitToPage="1"/>
  </sheetPr>
  <dimension ref="A1:V274"/>
  <sheetViews>
    <sheetView tabSelected="1" topLeftCell="G22" zoomScale="140" zoomScaleNormal="140" workbookViewId="0">
      <selection activeCell="H24" sqref="H24"/>
    </sheetView>
  </sheetViews>
  <sheetFormatPr defaultRowHeight="11.4" outlineLevelRow="1" x14ac:dyDescent="0.2"/>
  <cols>
    <col min="1" max="1" width="3.375" customWidth="1"/>
    <col min="2" max="2" width="8.375" customWidth="1"/>
    <col min="3" max="3" width="6.625" customWidth="1"/>
    <col min="4" max="4" width="4.75" customWidth="1"/>
    <col min="5" max="5" width="7.75" customWidth="1"/>
    <col min="6" max="6" width="13.25" customWidth="1"/>
    <col min="7" max="7" width="75.125" customWidth="1"/>
    <col min="8" max="8" width="16.625" customWidth="1"/>
    <col min="9" max="9" width="2.25" customWidth="1"/>
    <col min="10" max="11" width="16.625" customWidth="1"/>
    <col min="12" max="12" width="16.625" style="108" customWidth="1"/>
    <col min="13" max="13" width="20.875" customWidth="1"/>
    <col min="14" max="14" width="16" customWidth="1"/>
    <col min="15" max="15" width="15.375" customWidth="1"/>
    <col min="16" max="16" width="21.375" customWidth="1"/>
    <col min="17" max="17" width="13.375" customWidth="1"/>
    <col min="18" max="18" width="11" customWidth="1"/>
  </cols>
  <sheetData>
    <row r="1" spans="3:7" ht="12" hidden="1" outlineLevel="1" thickBot="1" x14ac:dyDescent="0.25"/>
    <row r="2" spans="3:7" hidden="1" outlineLevel="1" x14ac:dyDescent="0.2">
      <c r="C2" s="1524" t="s">
        <v>1413</v>
      </c>
      <c r="D2" s="1085" t="s">
        <v>354</v>
      </c>
      <c r="E2" s="1089">
        <f>PIVOT_2023!N54</f>
        <v>157900</v>
      </c>
    </row>
    <row r="3" spans="3:7" hidden="1" outlineLevel="1" x14ac:dyDescent="0.2">
      <c r="C3" s="1525"/>
      <c r="D3" t="s">
        <v>1412</v>
      </c>
      <c r="E3" s="1090">
        <f>PIVOT_2023!N52</f>
        <v>183790</v>
      </c>
    </row>
    <row r="4" spans="3:7" hidden="1" outlineLevel="1" x14ac:dyDescent="0.2">
      <c r="C4" s="1525"/>
      <c r="D4" t="s">
        <v>555</v>
      </c>
      <c r="E4" s="1087">
        <f>PIVOT_2023!N53</f>
        <v>1765162.04</v>
      </c>
      <c r="F4" s="111"/>
    </row>
    <row r="5" spans="3:7" ht="12" hidden="1" outlineLevel="1" thickBot="1" x14ac:dyDescent="0.25">
      <c r="C5" s="1526"/>
      <c r="D5" s="1088" t="s">
        <v>192</v>
      </c>
      <c r="E5" s="1091">
        <f>PIVOT_2023!N57</f>
        <v>3751835.3929128568</v>
      </c>
      <c r="F5" s="111"/>
    </row>
    <row r="6" spans="3:7" ht="12" hidden="1" outlineLevel="1" x14ac:dyDescent="0.25">
      <c r="E6" s="1082">
        <f>SUM(E2:E5)</f>
        <v>5858687.4329128563</v>
      </c>
      <c r="F6" s="111"/>
    </row>
    <row r="7" spans="3:7" ht="12" hidden="1" outlineLevel="1" thickBot="1" x14ac:dyDescent="0.25"/>
    <row r="8" spans="3:7" hidden="1" outlineLevel="1" x14ac:dyDescent="0.2">
      <c r="C8" s="1524" t="s">
        <v>1414</v>
      </c>
      <c r="D8" s="1085" t="s">
        <v>354</v>
      </c>
      <c r="E8" s="1086">
        <f>PIVOT_2023!H54</f>
        <v>333690</v>
      </c>
      <c r="F8" s="1093">
        <f>E8-E2-E3</f>
        <v>-8000</v>
      </c>
    </row>
    <row r="9" spans="3:7" hidden="1" outlineLevel="1" x14ac:dyDescent="0.2">
      <c r="C9" s="1525"/>
      <c r="D9" t="s">
        <v>555</v>
      </c>
      <c r="E9" s="1087" t="e">
        <f>PIVOT_2023!H55</f>
        <v>#REF!</v>
      </c>
      <c r="F9" s="1093" t="e">
        <f>E9-E4</f>
        <v>#REF!</v>
      </c>
      <c r="G9" t="s">
        <v>1435</v>
      </c>
    </row>
    <row r="10" spans="3:7" ht="12" hidden="1" outlineLevel="1" thickBot="1" x14ac:dyDescent="0.25">
      <c r="C10" s="1526"/>
      <c r="D10" s="1088" t="s">
        <v>192</v>
      </c>
      <c r="E10" s="1091" t="e">
        <f>PIVOT_2023!H56</f>
        <v>#REF!</v>
      </c>
      <c r="F10" s="1093" t="e">
        <f>E10-E5</f>
        <v>#REF!</v>
      </c>
      <c r="G10" t="s">
        <v>1366</v>
      </c>
    </row>
    <row r="11" spans="3:7" ht="12" hidden="1" outlineLevel="1" x14ac:dyDescent="0.25">
      <c r="E11" s="542" t="e">
        <f>SUM(E8:E10)</f>
        <v>#REF!</v>
      </c>
    </row>
    <row r="12" spans="3:7" hidden="1" outlineLevel="1" x14ac:dyDescent="0.2">
      <c r="E12" s="108"/>
      <c r="F12" s="110"/>
    </row>
    <row r="13" spans="3:7" ht="12" hidden="1" outlineLevel="1" thickBot="1" x14ac:dyDescent="0.25">
      <c r="E13" s="108"/>
      <c r="F13" s="1083" t="s">
        <v>1416</v>
      </c>
    </row>
    <row r="14" spans="3:7" hidden="1" outlineLevel="1" x14ac:dyDescent="0.2">
      <c r="C14" s="1524" t="s">
        <v>1415</v>
      </c>
      <c r="D14" s="1085" t="s">
        <v>230</v>
      </c>
      <c r="E14" s="1086">
        <f>H78</f>
        <v>4711251.2122</v>
      </c>
      <c r="F14" s="1347">
        <f>SUM(H61,H64,H60)</f>
        <v>1020963.39</v>
      </c>
    </row>
    <row r="15" spans="3:7" ht="12" hidden="1" outlineLevel="1" thickBot="1" x14ac:dyDescent="0.25">
      <c r="C15" s="1526"/>
      <c r="D15" s="1088" t="s">
        <v>555</v>
      </c>
      <c r="E15" s="1091">
        <f>H253</f>
        <v>1659378.9</v>
      </c>
      <c r="F15" s="111"/>
    </row>
    <row r="16" spans="3:7" ht="12" hidden="1" outlineLevel="1" x14ac:dyDescent="0.25">
      <c r="E16" s="1081">
        <f>SUM(E14:E15)</f>
        <v>6370630.1121999994</v>
      </c>
      <c r="F16" s="111"/>
    </row>
    <row r="17" spans="4:20" hidden="1" outlineLevel="1" x14ac:dyDescent="0.2">
      <c r="D17" t="s">
        <v>1411</v>
      </c>
      <c r="E17" s="1092">
        <f>E16-E6-F14</f>
        <v>-509020.71071285696</v>
      </c>
      <c r="F17" s="109"/>
      <c r="G17" s="111"/>
    </row>
    <row r="18" spans="4:20" hidden="1" outlineLevel="1" x14ac:dyDescent="0.2"/>
    <row r="19" spans="4:20" ht="34.200000000000003" hidden="1" outlineLevel="1" x14ac:dyDescent="0.2">
      <c r="D19" s="107" t="s">
        <v>354</v>
      </c>
      <c r="E19" s="111">
        <f>SUM(H126:H126,H130:H131,H134:H138,H140:H150,H192:H192,H152:H160)</f>
        <v>310980</v>
      </c>
      <c r="F19" s="1084" t="b">
        <f>E19=E2+E3</f>
        <v>0</v>
      </c>
    </row>
    <row r="20" spans="4:20" hidden="1" outlineLevel="1" x14ac:dyDescent="0.2"/>
    <row r="21" spans="4:20" ht="12" hidden="1" customHeight="1" outlineLevel="1" x14ac:dyDescent="0.2">
      <c r="L21" s="1495"/>
    </row>
    <row r="22" spans="4:20" ht="12" collapsed="1" x14ac:dyDescent="0.2">
      <c r="L22" s="1495"/>
      <c r="N22" s="1107"/>
      <c r="O22" s="1362"/>
      <c r="P22" s="223"/>
    </row>
    <row r="23" spans="4:20" ht="12.6" thickBot="1" x14ac:dyDescent="0.3">
      <c r="F23" s="1365">
        <v>299305.5</v>
      </c>
      <c r="G23" s="1366" t="s">
        <v>1606</v>
      </c>
      <c r="K23" s="1070"/>
      <c r="L23" s="1495">
        <v>2023</v>
      </c>
      <c r="N23" s="1107"/>
      <c r="O23" s="223"/>
      <c r="P23" s="1362"/>
      <c r="Q23" s="224"/>
      <c r="R23" s="111"/>
    </row>
    <row r="24" spans="4:20" ht="12" x14ac:dyDescent="0.25">
      <c r="F24" s="1367">
        <v>164411</v>
      </c>
      <c r="G24" s="1368" t="s">
        <v>1600</v>
      </c>
      <c r="K24" s="1071" t="s">
        <v>671</v>
      </c>
      <c r="L24" s="1498">
        <f>PIVOT_2023!H43</f>
        <v>36539231</v>
      </c>
      <c r="M24" s="1371" t="s">
        <v>1631</v>
      </c>
      <c r="N24" s="1397">
        <f>PIVOT_2023!J43</f>
        <v>5.127042115631017E-2</v>
      </c>
      <c r="O24" s="1372">
        <v>1782017</v>
      </c>
      <c r="P24" s="1372" t="s">
        <v>1598</v>
      </c>
      <c r="Q24" s="1373"/>
      <c r="R24" s="1374"/>
      <c r="S24" s="1375"/>
      <c r="T24" s="1376"/>
    </row>
    <row r="25" spans="4:20" ht="12" x14ac:dyDescent="0.25">
      <c r="F25" s="1367">
        <v>223687.39</v>
      </c>
      <c r="G25" s="1368" t="s">
        <v>1601</v>
      </c>
      <c r="J25" s="1055"/>
      <c r="K25" s="1072" t="s">
        <v>672</v>
      </c>
      <c r="L25" s="1499">
        <f>PIVOT_2023!H332</f>
        <v>36113932.754373029</v>
      </c>
      <c r="M25" s="1377" t="s">
        <v>1631</v>
      </c>
      <c r="N25" s="1398">
        <f>PIVOT_2023!J332</f>
        <v>0.19177918321776144</v>
      </c>
      <c r="O25" s="1379">
        <v>5811395.7887023464</v>
      </c>
      <c r="P25" s="1380"/>
      <c r="Q25" s="224"/>
      <c r="R25" s="111"/>
      <c r="T25" s="1381"/>
    </row>
    <row r="26" spans="4:20" ht="12" x14ac:dyDescent="0.25">
      <c r="F26" s="1369">
        <f>F23-F24-F25</f>
        <v>-88792.890000000014</v>
      </c>
      <c r="G26" s="1366" t="s">
        <v>1602</v>
      </c>
      <c r="J26" s="1051"/>
      <c r="K26" s="1073"/>
      <c r="L26" s="1500">
        <f>L24-L25</f>
        <v>425298.24562697113</v>
      </c>
      <c r="M26" s="1377"/>
      <c r="N26" s="1378"/>
      <c r="O26" s="1389">
        <v>1850281.7976517957</v>
      </c>
      <c r="P26" s="1390" t="s">
        <v>1599</v>
      </c>
      <c r="Q26" s="224"/>
      <c r="R26" s="111"/>
      <c r="T26" s="1381"/>
    </row>
    <row r="27" spans="4:20" ht="12" customHeight="1" x14ac:dyDescent="0.25">
      <c r="F27" s="1367">
        <v>28696.5</v>
      </c>
      <c r="G27" s="1370" t="s">
        <v>1603</v>
      </c>
      <c r="K27" s="1074"/>
      <c r="L27" s="1386"/>
      <c r="M27" s="1377"/>
      <c r="N27" s="1378"/>
      <c r="O27" s="1389">
        <v>230579.24019999988</v>
      </c>
      <c r="P27" s="1391" t="s">
        <v>325</v>
      </c>
      <c r="Q27" s="224"/>
      <c r="R27" s="111"/>
      <c r="T27" s="1381"/>
    </row>
    <row r="28" spans="4:20" ht="12" customHeight="1" x14ac:dyDescent="0.25">
      <c r="K28" s="1074"/>
      <c r="L28" s="1386"/>
      <c r="M28" s="1377"/>
      <c r="N28" s="1378"/>
      <c r="O28" s="1389">
        <v>77348</v>
      </c>
      <c r="P28" s="1391" t="s">
        <v>1604</v>
      </c>
      <c r="Q28" s="224"/>
      <c r="R28" s="111"/>
      <c r="T28" s="1381"/>
    </row>
    <row r="29" spans="4:20" ht="12" x14ac:dyDescent="0.25">
      <c r="J29" s="1055"/>
      <c r="K29" s="1072" t="s">
        <v>104</v>
      </c>
      <c r="L29" s="1499">
        <f>'4.piel_Saistibas'!X180-K53</f>
        <v>3489717.8079218101</v>
      </c>
      <c r="M29" s="1377" t="s">
        <v>1633</v>
      </c>
      <c r="N29" s="1378"/>
      <c r="O29" s="1389">
        <v>35135.5</v>
      </c>
      <c r="P29" s="1391" t="s">
        <v>159</v>
      </c>
      <c r="Q29" s="224"/>
      <c r="R29" s="111"/>
      <c r="T29" s="1381"/>
    </row>
    <row r="30" spans="4:20" ht="12" x14ac:dyDescent="0.25">
      <c r="H30" s="224"/>
      <c r="I30" s="224"/>
      <c r="J30" s="1052"/>
      <c r="K30" s="1075"/>
      <c r="L30" s="1501">
        <f>L26-L29</f>
        <v>-3064419.562294839</v>
      </c>
      <c r="M30" s="1377"/>
      <c r="N30" s="1378"/>
      <c r="O30" s="1389">
        <v>371132.39999999991</v>
      </c>
      <c r="P30" s="1391" t="s">
        <v>160</v>
      </c>
      <c r="Q30" s="224"/>
      <c r="R30" s="111"/>
      <c r="T30" s="1381"/>
    </row>
    <row r="31" spans="4:20" ht="12" x14ac:dyDescent="0.25">
      <c r="K31" s="1074"/>
      <c r="L31" s="1386"/>
      <c r="M31" s="1377"/>
      <c r="N31" s="1378"/>
      <c r="O31" s="1392">
        <v>887970.25649391266</v>
      </c>
      <c r="P31" s="1391" t="s">
        <v>662</v>
      </c>
      <c r="R31" s="111"/>
      <c r="T31" s="1381"/>
    </row>
    <row r="32" spans="4:20" ht="12" x14ac:dyDescent="0.25">
      <c r="F32" s="106" t="s">
        <v>1656</v>
      </c>
      <c r="K32" s="1074"/>
      <c r="L32" s="1386"/>
      <c r="M32" s="1377"/>
      <c r="N32" s="1378"/>
      <c r="O32" s="1392">
        <v>2479033</v>
      </c>
      <c r="P32" s="1391" t="s">
        <v>668</v>
      </c>
      <c r="R32" s="111"/>
      <c r="T32" s="1381"/>
    </row>
    <row r="33" spans="2:20" ht="12.6" thickBot="1" x14ac:dyDescent="0.3">
      <c r="E33" s="1070"/>
      <c r="F33" s="1493" t="e">
        <f>#REF!+#REF!</f>
        <v>#REF!</v>
      </c>
      <c r="G33" s="1494" t="s">
        <v>1039</v>
      </c>
      <c r="J33" s="1055"/>
      <c r="K33" s="1072" t="s">
        <v>1629</v>
      </c>
      <c r="L33" s="1502">
        <f>N37+N36+N38</f>
        <v>6290556.7800000003</v>
      </c>
      <c r="M33" s="1382"/>
      <c r="N33" s="1383"/>
      <c r="O33" s="1393">
        <v>-1450246</v>
      </c>
      <c r="P33" s="1394" t="s">
        <v>80</v>
      </c>
      <c r="Q33" s="856"/>
      <c r="R33" s="1384"/>
      <c r="S33" s="856"/>
      <c r="T33" s="1385"/>
    </row>
    <row r="34" spans="2:20" ht="12" x14ac:dyDescent="0.25">
      <c r="E34" s="1070"/>
      <c r="F34" s="1492">
        <v>50000</v>
      </c>
      <c r="G34" s="1489" t="s">
        <v>1657</v>
      </c>
      <c r="J34" s="1053"/>
      <c r="K34" s="1353" t="s">
        <v>1419</v>
      </c>
      <c r="L34" s="1503">
        <f>L30+L33</f>
        <v>3226137.2177051613</v>
      </c>
      <c r="M34" s="109"/>
      <c r="N34" s="411">
        <v>7321274.6200000001</v>
      </c>
      <c r="O34" t="s">
        <v>1564</v>
      </c>
      <c r="Q34" s="224"/>
      <c r="R34" s="111"/>
    </row>
    <row r="35" spans="2:20" ht="12" customHeight="1" x14ac:dyDescent="0.25">
      <c r="E35" s="1491" t="s">
        <v>697</v>
      </c>
      <c r="F35" s="1492">
        <v>27387</v>
      </c>
      <c r="G35" s="1490" t="s">
        <v>318</v>
      </c>
      <c r="K35" s="1074"/>
      <c r="L35" s="1386"/>
      <c r="N35" s="411">
        <v>1254148.94</v>
      </c>
      <c r="O35" t="s">
        <v>1563</v>
      </c>
      <c r="P35" s="1121"/>
      <c r="Q35" s="224"/>
      <c r="R35" s="111"/>
    </row>
    <row r="36" spans="2:20" ht="22.8" x14ac:dyDescent="0.2">
      <c r="E36" s="1070"/>
      <c r="F36" s="1492">
        <f>150000*1.21</f>
        <v>181500</v>
      </c>
      <c r="G36" s="1490" t="s">
        <v>1658</v>
      </c>
      <c r="K36" s="1094" t="s">
        <v>1418</v>
      </c>
      <c r="L36" s="1386">
        <f>J78</f>
        <v>719695.47</v>
      </c>
      <c r="N36" s="411">
        <f>72387-72387</f>
        <v>0</v>
      </c>
      <c r="O36" t="s">
        <v>1561</v>
      </c>
      <c r="P36" s="1121"/>
      <c r="Q36" s="224"/>
      <c r="R36" s="111"/>
    </row>
    <row r="37" spans="2:20" ht="12" x14ac:dyDescent="0.25">
      <c r="E37" s="1070"/>
      <c r="F37" s="1492" t="e">
        <f>F33+F34-F35-F36</f>
        <v>#REF!</v>
      </c>
      <c r="G37" s="1489" t="s">
        <v>1659</v>
      </c>
      <c r="K37" s="1094" t="s">
        <v>1552</v>
      </c>
      <c r="L37" s="1386">
        <f>J179</f>
        <v>2124131.1</v>
      </c>
      <c r="N37" s="1352">
        <f>N34-N35</f>
        <v>6067125.6799999997</v>
      </c>
      <c r="O37" s="1351" t="s">
        <v>1565</v>
      </c>
      <c r="P37" s="1364" t="s">
        <v>1597</v>
      </c>
      <c r="R37" s="111"/>
    </row>
    <row r="38" spans="2:20" ht="12" x14ac:dyDescent="0.25">
      <c r="F38" s="1493" t="e">
        <f>F33+F34-F35-F36-F37</f>
        <v>#REF!</v>
      </c>
      <c r="G38" s="1494" t="s">
        <v>1660</v>
      </c>
      <c r="J38" s="1054"/>
      <c r="K38" s="1076" t="s">
        <v>1362</v>
      </c>
      <c r="L38" s="1503">
        <f>L34-L36-L37</f>
        <v>382310.64770516148</v>
      </c>
      <c r="N38" s="1352">
        <v>223431.10000000027</v>
      </c>
      <c r="O38" s="1351" t="s">
        <v>1580</v>
      </c>
      <c r="P38" s="1121"/>
      <c r="Q38" s="224"/>
      <c r="R38" s="111"/>
    </row>
    <row r="39" spans="2:20" x14ac:dyDescent="0.2">
      <c r="L39" s="1386"/>
      <c r="M39" s="109"/>
      <c r="P39" s="1121"/>
      <c r="R39" s="111"/>
    </row>
    <row r="40" spans="2:20" x14ac:dyDescent="0.2">
      <c r="F40" s="111"/>
      <c r="K40" s="1094" t="s">
        <v>1553</v>
      </c>
      <c r="L40" s="1386">
        <f>J253</f>
        <v>747378.9</v>
      </c>
      <c r="M40" s="109"/>
      <c r="P40" s="108"/>
      <c r="R40" s="111"/>
    </row>
    <row r="41" spans="2:20" ht="12" x14ac:dyDescent="0.25">
      <c r="J41" s="1354"/>
      <c r="K41" s="1355" t="s">
        <v>1550</v>
      </c>
      <c r="L41" s="1504">
        <f>L38-L40</f>
        <v>-365068.25229483854</v>
      </c>
      <c r="P41" s="108"/>
      <c r="Q41" s="224"/>
      <c r="R41" s="111"/>
    </row>
    <row r="43" spans="2:20" ht="12" x14ac:dyDescent="0.25">
      <c r="B43" s="106" t="s">
        <v>1624</v>
      </c>
    </row>
    <row r="44" spans="2:20" ht="12" x14ac:dyDescent="0.25">
      <c r="B44" s="1515" t="s">
        <v>389</v>
      </c>
      <c r="C44" s="1515" t="s">
        <v>290</v>
      </c>
      <c r="D44" s="1515" t="s">
        <v>291</v>
      </c>
      <c r="E44" s="1515" t="s">
        <v>1408</v>
      </c>
      <c r="F44" s="1521" t="s">
        <v>1363</v>
      </c>
      <c r="G44" s="1515" t="s">
        <v>1567</v>
      </c>
      <c r="H44" s="1515" t="s">
        <v>650</v>
      </c>
      <c r="I44" s="1077"/>
      <c r="J44" s="1521" t="s">
        <v>1373</v>
      </c>
      <c r="K44" s="1521"/>
      <c r="L44" s="1521"/>
    </row>
    <row r="45" spans="2:20" s="107" customFormat="1" ht="24" x14ac:dyDescent="0.25">
      <c r="B45" s="1515"/>
      <c r="C45" s="1515"/>
      <c r="D45" s="1515"/>
      <c r="E45" s="1515"/>
      <c r="F45" s="1521"/>
      <c r="G45" s="1515"/>
      <c r="H45" s="1515"/>
      <c r="I45" s="1077"/>
      <c r="J45" s="1069" t="s">
        <v>185</v>
      </c>
      <c r="K45" s="1350" t="s">
        <v>649</v>
      </c>
      <c r="L45" s="1496" t="s">
        <v>390</v>
      </c>
      <c r="M45"/>
      <c r="N45"/>
      <c r="O45"/>
      <c r="P45"/>
      <c r="Q45"/>
      <c r="R45"/>
      <c r="S45"/>
      <c r="T45"/>
    </row>
    <row r="46" spans="2:20" s="107" customFormat="1" ht="22.8" x14ac:dyDescent="0.2">
      <c r="B46" s="1056">
        <v>1</v>
      </c>
      <c r="C46" s="1098"/>
      <c r="D46" s="1098"/>
      <c r="E46" s="1487" t="s">
        <v>170</v>
      </c>
      <c r="F46" s="1056" t="s">
        <v>1365</v>
      </c>
      <c r="G46" s="1079" t="s">
        <v>1383</v>
      </c>
      <c r="H46" s="1099">
        <f>SUM(J46:L46)</f>
        <v>11000</v>
      </c>
      <c r="I46" s="1468"/>
      <c r="J46" s="1469">
        <f>11000-K46</f>
        <v>379</v>
      </c>
      <c r="K46" s="1099">
        <v>10621</v>
      </c>
      <c r="L46" s="1497"/>
      <c r="P46" s="1112" t="s">
        <v>323</v>
      </c>
      <c r="Q46" s="1112"/>
      <c r="R46" s="111"/>
    </row>
    <row r="47" spans="2:20" ht="13.2" x14ac:dyDescent="0.25">
      <c r="B47" s="1056">
        <v>2</v>
      </c>
      <c r="C47" s="1078" t="s">
        <v>673</v>
      </c>
      <c r="D47" s="1059"/>
      <c r="E47" s="1060" t="s">
        <v>1627</v>
      </c>
      <c r="F47" s="1056" t="s">
        <v>1365</v>
      </c>
      <c r="G47" s="1057" t="s">
        <v>1141</v>
      </c>
      <c r="H47" s="1099">
        <f t="shared" ref="H47:H49" si="0">SUM(J47:L47)</f>
        <v>32020</v>
      </c>
      <c r="I47" s="1139"/>
      <c r="J47" s="1099"/>
      <c r="K47" s="1099">
        <f>74020-42000</f>
        <v>32020</v>
      </c>
      <c r="L47" s="1099"/>
      <c r="M47" s="107"/>
      <c r="N47" s="107"/>
      <c r="O47" s="107"/>
      <c r="P47" s="107"/>
      <c r="Q47" s="107"/>
      <c r="R47" s="107"/>
      <c r="S47" s="107"/>
      <c r="T47" s="107"/>
    </row>
    <row r="48" spans="2:20" x14ac:dyDescent="0.2">
      <c r="B48" s="1056">
        <v>3</v>
      </c>
      <c r="C48" s="1059"/>
      <c r="D48" s="1059"/>
      <c r="E48" s="1060" t="s">
        <v>1554</v>
      </c>
      <c r="F48" s="1056" t="s">
        <v>1365</v>
      </c>
      <c r="G48" s="1057" t="s">
        <v>1549</v>
      </c>
      <c r="H48" s="1123">
        <f t="shared" si="0"/>
        <v>42000</v>
      </c>
      <c r="I48" s="1139"/>
      <c r="J48" s="1099"/>
      <c r="K48" s="1099">
        <v>42000</v>
      </c>
      <c r="L48" s="1099"/>
      <c r="M48" t="s">
        <v>1381</v>
      </c>
    </row>
    <row r="49" spans="2:22" x14ac:dyDescent="0.2">
      <c r="B49" s="1056">
        <v>4</v>
      </c>
      <c r="C49" s="1059"/>
      <c r="D49" s="1059"/>
      <c r="E49" s="1060" t="s">
        <v>735</v>
      </c>
      <c r="F49" s="1056" t="s">
        <v>1365</v>
      </c>
      <c r="G49" s="1057" t="s">
        <v>404</v>
      </c>
      <c r="H49" s="1099">
        <f t="shared" si="0"/>
        <v>4136</v>
      </c>
      <c r="I49" s="1139"/>
      <c r="J49" s="1099">
        <v>16</v>
      </c>
      <c r="K49" s="1099">
        <v>4120</v>
      </c>
      <c r="L49" s="1099"/>
      <c r="V49" t="s">
        <v>323</v>
      </c>
    </row>
    <row r="50" spans="2:22" s="110" customFormat="1" x14ac:dyDescent="0.2">
      <c r="B50" s="1056">
        <v>6</v>
      </c>
      <c r="C50" s="1138"/>
      <c r="D50" s="1138"/>
      <c r="E50" s="1101" t="s">
        <v>1368</v>
      </c>
      <c r="F50" s="1137" t="s">
        <v>1365</v>
      </c>
      <c r="G50" s="1111" t="s">
        <v>1369</v>
      </c>
      <c r="H50" s="1099">
        <f t="shared" ref="H50:H60" si="1">SUM(J50:L50)</f>
        <v>85290</v>
      </c>
      <c r="I50" s="1139"/>
      <c r="J50" s="1099">
        <v>25368</v>
      </c>
      <c r="K50" s="1099"/>
      <c r="L50" s="1099">
        <v>59922</v>
      </c>
      <c r="M50" t="s">
        <v>1381</v>
      </c>
      <c r="N50"/>
      <c r="O50"/>
      <c r="P50"/>
      <c r="Q50"/>
      <c r="R50"/>
      <c r="S50"/>
      <c r="T50"/>
    </row>
    <row r="51" spans="2:22" x14ac:dyDescent="0.2">
      <c r="B51" s="1056">
        <v>7</v>
      </c>
      <c r="C51" s="1059"/>
      <c r="D51" s="1059"/>
      <c r="E51" s="1101" t="s">
        <v>699</v>
      </c>
      <c r="F51" s="1137" t="s">
        <v>1365</v>
      </c>
      <c r="G51" s="1111" t="s">
        <v>1370</v>
      </c>
      <c r="H51" s="1099">
        <f t="shared" si="1"/>
        <v>236171</v>
      </c>
      <c r="I51" s="1139"/>
      <c r="J51" s="1099">
        <v>29082</v>
      </c>
      <c r="K51" s="1099"/>
      <c r="L51" s="1099">
        <v>207089</v>
      </c>
      <c r="M51" s="110" t="s">
        <v>1452</v>
      </c>
      <c r="N51" s="110"/>
      <c r="O51" s="110"/>
      <c r="P51" s="110"/>
      <c r="Q51" s="110"/>
      <c r="R51" s="110"/>
      <c r="S51" s="110"/>
      <c r="T51" s="110"/>
    </row>
    <row r="52" spans="2:22" s="110" customFormat="1" ht="22.8" x14ac:dyDescent="0.2">
      <c r="B52" s="1056">
        <v>8</v>
      </c>
      <c r="C52" s="1138"/>
      <c r="D52" s="1138"/>
      <c r="E52" s="1101" t="s">
        <v>700</v>
      </c>
      <c r="F52" s="1137" t="s">
        <v>1365</v>
      </c>
      <c r="G52" s="1111" t="s">
        <v>1371</v>
      </c>
      <c r="H52" s="1099">
        <f>SUM(J52:L52)</f>
        <v>391245.35220000002</v>
      </c>
      <c r="I52" s="1139"/>
      <c r="J52" s="1123"/>
      <c r="K52" s="1123">
        <f>71104</f>
        <v>71104</v>
      </c>
      <c r="L52" s="1123">
        <f>319699.3522+442</f>
        <v>320141.35220000002</v>
      </c>
      <c r="M52" s="110" t="s">
        <v>1452</v>
      </c>
      <c r="N52"/>
      <c r="O52"/>
      <c r="P52"/>
      <c r="Q52"/>
      <c r="R52"/>
      <c r="S52"/>
      <c r="T52"/>
    </row>
    <row r="53" spans="2:22" s="110" customFormat="1" ht="22.8" x14ac:dyDescent="0.2">
      <c r="B53" s="1056">
        <v>5</v>
      </c>
      <c r="C53" s="1138" t="s">
        <v>676</v>
      </c>
      <c r="D53" s="1138"/>
      <c r="E53" s="1101" t="s">
        <v>698</v>
      </c>
      <c r="F53" s="1137" t="s">
        <v>1365</v>
      </c>
      <c r="G53" s="1111" t="s">
        <v>405</v>
      </c>
      <c r="H53" s="1099">
        <f t="shared" ref="H53" si="2">SUM(J53:L53)</f>
        <v>112172.33</v>
      </c>
      <c r="I53" s="1139"/>
      <c r="J53" s="1099"/>
      <c r="K53" s="1099">
        <v>112172.33</v>
      </c>
      <c r="L53" s="1099"/>
      <c r="M53" s="110" t="s">
        <v>1632</v>
      </c>
    </row>
    <row r="54" spans="2:22" x14ac:dyDescent="0.2">
      <c r="B54" s="1056">
        <v>9</v>
      </c>
      <c r="C54" s="1059"/>
      <c r="D54" s="1059"/>
      <c r="E54" s="1060" t="s">
        <v>705</v>
      </c>
      <c r="F54" s="1056" t="s">
        <v>383</v>
      </c>
      <c r="G54" s="1056" t="s">
        <v>1448</v>
      </c>
      <c r="H54" s="1099">
        <f>SUM(J54:L54)</f>
        <v>40898</v>
      </c>
      <c r="I54" s="1139"/>
      <c r="J54" s="1099"/>
      <c r="K54" s="1099">
        <v>40898</v>
      </c>
      <c r="L54" s="1099"/>
      <c r="M54" s="110"/>
      <c r="N54" s="464"/>
      <c r="O54" s="1346"/>
      <c r="P54" s="110"/>
      <c r="Q54" s="110"/>
      <c r="R54" s="110"/>
      <c r="S54" s="110"/>
      <c r="T54" s="110"/>
    </row>
    <row r="55" spans="2:22" s="110" customFormat="1" x14ac:dyDescent="0.2">
      <c r="B55" s="1137">
        <v>10</v>
      </c>
      <c r="C55" s="1138"/>
      <c r="D55" s="1138"/>
      <c r="E55" s="1101" t="s">
        <v>706</v>
      </c>
      <c r="F55" s="1137" t="s">
        <v>1365</v>
      </c>
      <c r="G55" s="1111" t="s">
        <v>1372</v>
      </c>
      <c r="H55" s="1099">
        <f>SUM(J55:L55)</f>
        <v>891139</v>
      </c>
      <c r="I55" s="1139"/>
      <c r="J55" s="1387">
        <v>66163.510000000009</v>
      </c>
      <c r="K55" s="1367">
        <f>90432+89627+20212</f>
        <v>200271</v>
      </c>
      <c r="L55" s="1387">
        <f>335421.77+289282.72</f>
        <v>624704.49</v>
      </c>
      <c r="M55" s="110" t="s">
        <v>1566</v>
      </c>
      <c r="N55"/>
      <c r="O55"/>
      <c r="P55"/>
      <c r="Q55"/>
      <c r="R55"/>
      <c r="S55"/>
      <c r="T55"/>
    </row>
    <row r="56" spans="2:22" x14ac:dyDescent="0.2">
      <c r="B56" s="1056"/>
      <c r="C56" s="1059"/>
      <c r="D56" s="1059"/>
      <c r="E56" s="1488" t="s">
        <v>1628</v>
      </c>
      <c r="F56" s="1056" t="s">
        <v>1360</v>
      </c>
      <c r="G56" s="1056" t="s">
        <v>1571</v>
      </c>
      <c r="H56" s="1099">
        <f>SUM(J56:L56)</f>
        <v>355701</v>
      </c>
      <c r="I56" s="1139"/>
      <c r="J56" s="1099">
        <f>129428+72387+153886-K56</f>
        <v>283314</v>
      </c>
      <c r="K56" s="1099">
        <v>72387</v>
      </c>
      <c r="L56" s="1099"/>
      <c r="M56" s="109" t="s">
        <v>1562</v>
      </c>
      <c r="N56" s="464"/>
      <c r="O56" s="464"/>
      <c r="P56" s="110"/>
      <c r="Q56" s="110"/>
      <c r="R56" s="110"/>
      <c r="S56" s="110"/>
      <c r="T56" s="110"/>
    </row>
    <row r="57" spans="2:22" ht="22.8" x14ac:dyDescent="0.2">
      <c r="B57" s="1056">
        <v>11</v>
      </c>
      <c r="C57" s="1059" t="s">
        <v>674</v>
      </c>
      <c r="D57" s="1059">
        <v>288</v>
      </c>
      <c r="E57" s="1060" t="s">
        <v>702</v>
      </c>
      <c r="F57" s="1056" t="s">
        <v>1365</v>
      </c>
      <c r="G57" s="1057" t="s">
        <v>1374</v>
      </c>
      <c r="H57" s="1099">
        <f t="shared" si="1"/>
        <v>23597</v>
      </c>
      <c r="I57" s="1139"/>
      <c r="J57" s="1099"/>
      <c r="K57" s="1099">
        <v>23597</v>
      </c>
      <c r="L57" s="1099"/>
    </row>
    <row r="58" spans="2:22" ht="22.8" x14ac:dyDescent="0.2">
      <c r="B58" s="1056">
        <v>12</v>
      </c>
      <c r="C58" s="1059" t="s">
        <v>675</v>
      </c>
      <c r="D58" s="1059">
        <v>288</v>
      </c>
      <c r="E58" s="1060" t="s">
        <v>1375</v>
      </c>
      <c r="F58" s="1056" t="s">
        <v>1365</v>
      </c>
      <c r="G58" s="1057" t="s">
        <v>1376</v>
      </c>
      <c r="H58" s="1099">
        <f t="shared" si="1"/>
        <v>18440</v>
      </c>
      <c r="I58" s="1139"/>
      <c r="J58" s="1099"/>
      <c r="K58" s="1099">
        <v>18440</v>
      </c>
      <c r="L58" s="1099"/>
    </row>
    <row r="59" spans="2:22" x14ac:dyDescent="0.2">
      <c r="B59" s="1056">
        <v>13</v>
      </c>
      <c r="C59" s="1059" t="s">
        <v>677</v>
      </c>
      <c r="D59" s="1059"/>
      <c r="E59" s="1060" t="s">
        <v>1377</v>
      </c>
      <c r="F59" s="1056" t="s">
        <v>1365</v>
      </c>
      <c r="G59" s="1057" t="s">
        <v>653</v>
      </c>
      <c r="H59" s="1099">
        <f t="shared" si="1"/>
        <v>212422.11000000002</v>
      </c>
      <c r="I59" s="1139"/>
      <c r="J59" s="1099">
        <v>10012.469999999999</v>
      </c>
      <c r="K59" s="1099">
        <v>202409.64</v>
      </c>
      <c r="L59" s="1099"/>
    </row>
    <row r="60" spans="2:22" x14ac:dyDescent="0.2">
      <c r="B60" s="1056">
        <v>14</v>
      </c>
      <c r="C60" s="1059"/>
      <c r="D60" s="1059"/>
      <c r="E60" s="1060" t="s">
        <v>1548</v>
      </c>
      <c r="F60" s="1056" t="s">
        <v>1365</v>
      </c>
      <c r="G60" s="1056" t="s">
        <v>1380</v>
      </c>
      <c r="H60" s="1099">
        <f t="shared" si="1"/>
        <v>53240</v>
      </c>
      <c r="I60" s="1139"/>
      <c r="J60" s="1123">
        <v>8084.1</v>
      </c>
      <c r="K60" s="1123">
        <f>7821</f>
        <v>7821</v>
      </c>
      <c r="L60" s="1123">
        <f>53240-J60-K60</f>
        <v>37334.9</v>
      </c>
    </row>
    <row r="61" spans="2:22" ht="22.8" x14ac:dyDescent="0.2">
      <c r="B61" s="1056">
        <v>15</v>
      </c>
      <c r="C61" s="1059"/>
      <c r="D61" s="1059"/>
      <c r="E61" s="1060" t="s">
        <v>695</v>
      </c>
      <c r="F61" s="1056" t="s">
        <v>1365</v>
      </c>
      <c r="G61" s="1057" t="s">
        <v>1505</v>
      </c>
      <c r="H61" s="1099">
        <f t="shared" ref="H61:H77" si="3">SUM(J61:L61)</f>
        <v>161090</v>
      </c>
      <c r="I61" s="1139"/>
      <c r="J61" s="1099">
        <f>161090-K61</f>
        <v>39489</v>
      </c>
      <c r="K61" s="1099">
        <f>4454+117147</f>
        <v>121601</v>
      </c>
      <c r="L61" s="1099"/>
      <c r="M61" s="109" t="s">
        <v>1545</v>
      </c>
    </row>
    <row r="62" spans="2:22" ht="22.8" x14ac:dyDescent="0.2">
      <c r="B62" s="1056"/>
      <c r="C62" s="1059"/>
      <c r="D62" s="1059"/>
      <c r="E62" s="1060" t="s">
        <v>696</v>
      </c>
      <c r="F62" s="1056" t="s">
        <v>1365</v>
      </c>
      <c r="G62" s="1057" t="s">
        <v>1623</v>
      </c>
      <c r="H62" s="1099">
        <f t="shared" si="3"/>
        <v>330670</v>
      </c>
      <c r="I62" s="1139"/>
      <c r="J62" s="1099"/>
      <c r="K62" s="1099">
        <v>330670</v>
      </c>
      <c r="L62" s="1099"/>
    </row>
    <row r="63" spans="2:22" ht="22.8" x14ac:dyDescent="0.2">
      <c r="B63" s="1056">
        <v>16</v>
      </c>
      <c r="C63" s="1059"/>
      <c r="D63" s="1059"/>
      <c r="E63" s="1060" t="s">
        <v>1378</v>
      </c>
      <c r="F63" s="1056" t="s">
        <v>1365</v>
      </c>
      <c r="G63" s="1111" t="s">
        <v>1379</v>
      </c>
      <c r="H63" s="1099">
        <f t="shared" si="3"/>
        <v>15704.03</v>
      </c>
      <c r="I63" s="1139"/>
      <c r="J63" s="1099"/>
      <c r="K63" s="1099">
        <v>15704.03</v>
      </c>
      <c r="L63" s="1099"/>
      <c r="M63" t="s">
        <v>1381</v>
      </c>
    </row>
    <row r="64" spans="2:22" x14ac:dyDescent="0.2">
      <c r="B64" s="1056">
        <v>17</v>
      </c>
      <c r="C64" s="1059"/>
      <c r="D64" s="1059"/>
      <c r="E64" s="1060" t="s">
        <v>789</v>
      </c>
      <c r="F64" s="1056" t="s">
        <v>1365</v>
      </c>
      <c r="G64" s="1348" t="s">
        <v>786</v>
      </c>
      <c r="H64" s="1099">
        <f t="shared" si="3"/>
        <v>806633.39</v>
      </c>
      <c r="I64" s="1139"/>
      <c r="J64" s="1099">
        <f>284635-60678.61-269</f>
        <v>223687.39</v>
      </c>
      <c r="K64" s="1099"/>
      <c r="L64" s="1363">
        <v>582946</v>
      </c>
    </row>
    <row r="65" spans="2:14" ht="22.8" x14ac:dyDescent="0.2">
      <c r="B65" s="1056"/>
      <c r="C65" s="1059"/>
      <c r="D65" s="1059"/>
      <c r="E65" s="1060" t="s">
        <v>789</v>
      </c>
      <c r="F65" s="1056" t="s">
        <v>1365</v>
      </c>
      <c r="G65" s="1057" t="s">
        <v>1557</v>
      </c>
      <c r="H65" s="1099">
        <f t="shared" si="3"/>
        <v>30000</v>
      </c>
      <c r="I65" s="1139"/>
      <c r="J65" s="1099">
        <v>30000</v>
      </c>
      <c r="K65" s="1099"/>
      <c r="L65" s="1123"/>
      <c r="M65" t="s">
        <v>1607</v>
      </c>
    </row>
    <row r="66" spans="2:14" ht="34.200000000000003" x14ac:dyDescent="0.2">
      <c r="B66" s="1056"/>
      <c r="C66" s="1056"/>
      <c r="D66" s="1056"/>
      <c r="E66" s="1101" t="s">
        <v>174</v>
      </c>
      <c r="F66" s="1056" t="s">
        <v>166</v>
      </c>
      <c r="G66" s="1057" t="s">
        <v>1556</v>
      </c>
      <c r="H66" s="1099">
        <f>SUM(J66:L66)</f>
        <v>390000</v>
      </c>
      <c r="I66" s="1139"/>
      <c r="J66" s="1099"/>
      <c r="K66" s="1099"/>
      <c r="L66" s="1363">
        <v>390000</v>
      </c>
    </row>
    <row r="67" spans="2:14" x14ac:dyDescent="0.2">
      <c r="B67" s="1056">
        <v>18</v>
      </c>
      <c r="C67" s="1059"/>
      <c r="D67" s="1059"/>
      <c r="E67" s="1060" t="s">
        <v>1559</v>
      </c>
      <c r="F67" s="1056" t="s">
        <v>1365</v>
      </c>
      <c r="G67" s="1137" t="s">
        <v>1560</v>
      </c>
      <c r="H67" s="1123">
        <f t="shared" si="3"/>
        <v>15000</v>
      </c>
      <c r="I67" s="1139"/>
      <c r="J67" s="1123">
        <v>900</v>
      </c>
      <c r="K67" s="1123">
        <v>14100</v>
      </c>
      <c r="L67" s="1123"/>
    </row>
    <row r="68" spans="2:14" ht="22.8" x14ac:dyDescent="0.2">
      <c r="B68" s="1056"/>
      <c r="C68" s="1056"/>
      <c r="D68" s="1056"/>
      <c r="E68" s="1101" t="s">
        <v>693</v>
      </c>
      <c r="F68" s="1056" t="s">
        <v>1390</v>
      </c>
      <c r="G68" s="1057" t="s">
        <v>1361</v>
      </c>
      <c r="H68" s="1099">
        <f>SUM(J68:L68)</f>
        <v>2500</v>
      </c>
      <c r="I68" s="1139"/>
      <c r="J68" s="1123">
        <v>2500</v>
      </c>
      <c r="K68" s="1099"/>
      <c r="L68" s="1099"/>
    </row>
    <row r="69" spans="2:14" ht="27.6" customHeight="1" x14ac:dyDescent="0.2">
      <c r="B69" s="1056">
        <v>19</v>
      </c>
      <c r="C69" s="1059"/>
      <c r="D69" s="1059"/>
      <c r="E69" s="1060" t="s">
        <v>707</v>
      </c>
      <c r="F69" s="1056" t="s">
        <v>190</v>
      </c>
      <c r="G69" s="1067" t="s">
        <v>1397</v>
      </c>
      <c r="H69" s="1099">
        <f t="shared" si="3"/>
        <v>7000</v>
      </c>
      <c r="I69" s="1139"/>
      <c r="J69" s="1099">
        <v>700</v>
      </c>
      <c r="K69" s="1099">
        <v>6300</v>
      </c>
      <c r="L69" s="1099"/>
    </row>
    <row r="70" spans="2:14" ht="18.600000000000001" customHeight="1" x14ac:dyDescent="0.2">
      <c r="B70" s="1056">
        <v>20</v>
      </c>
      <c r="C70" s="1059"/>
      <c r="D70" s="1059"/>
      <c r="E70" s="1060" t="s">
        <v>561</v>
      </c>
      <c r="F70" s="1056" t="s">
        <v>190</v>
      </c>
      <c r="G70" s="1067" t="s">
        <v>1555</v>
      </c>
      <c r="H70" s="1099">
        <f t="shared" si="3"/>
        <v>16292</v>
      </c>
      <c r="I70" s="1139"/>
      <c r="J70" s="1099"/>
      <c r="K70" s="1099">
        <v>16292</v>
      </c>
      <c r="L70" s="1099"/>
      <c r="M70" s="109"/>
    </row>
    <row r="71" spans="2:14" ht="18.600000000000001" customHeight="1" x14ac:dyDescent="0.2">
      <c r="B71" s="1056">
        <v>21</v>
      </c>
      <c r="C71" s="1059"/>
      <c r="D71" s="1059"/>
      <c r="E71" s="1060" t="s">
        <v>560</v>
      </c>
      <c r="F71" s="1056" t="s">
        <v>190</v>
      </c>
      <c r="G71" s="1067" t="s">
        <v>393</v>
      </c>
      <c r="H71" s="1099">
        <f t="shared" si="3"/>
        <v>1049</v>
      </c>
      <c r="I71" s="1139"/>
      <c r="J71" s="1099"/>
      <c r="K71" s="1099">
        <v>1049</v>
      </c>
      <c r="L71" s="1099"/>
      <c r="M71" s="109"/>
    </row>
    <row r="72" spans="2:14" ht="20.399999999999999" customHeight="1" x14ac:dyDescent="0.2">
      <c r="B72" s="1056">
        <v>22</v>
      </c>
      <c r="C72" s="1059"/>
      <c r="D72" s="1059"/>
      <c r="E72" s="1060" t="s">
        <v>282</v>
      </c>
      <c r="F72" s="1056" t="s">
        <v>190</v>
      </c>
      <c r="G72" s="1056" t="s">
        <v>647</v>
      </c>
      <c r="H72" s="1099">
        <f>SUM(J72:L72)</f>
        <v>70943</v>
      </c>
      <c r="I72" s="1139"/>
      <c r="J72" s="1099"/>
      <c r="K72" s="1099">
        <f>24529+46414</f>
        <v>70943</v>
      </c>
      <c r="L72" s="1099"/>
      <c r="M72" s="109"/>
    </row>
    <row r="73" spans="2:14" ht="14.4" customHeight="1" x14ac:dyDescent="0.2">
      <c r="B73" s="1056">
        <v>23</v>
      </c>
      <c r="C73" s="1059"/>
      <c r="D73" s="1059"/>
      <c r="E73" s="1060" t="s">
        <v>551</v>
      </c>
      <c r="F73" s="1056" t="s">
        <v>190</v>
      </c>
      <c r="G73" s="1056" t="s">
        <v>552</v>
      </c>
      <c r="H73" s="1099">
        <f>SUM(J73:L73)</f>
        <v>35300</v>
      </c>
      <c r="I73" s="1139"/>
      <c r="J73" s="1099"/>
      <c r="K73" s="1099">
        <f>0+35300</f>
        <v>35300</v>
      </c>
      <c r="L73" s="1099"/>
      <c r="M73" s="109"/>
    </row>
    <row r="74" spans="2:14" x14ac:dyDescent="0.2">
      <c r="B74" s="1056">
        <v>24</v>
      </c>
      <c r="C74" s="1059"/>
      <c r="D74" s="1059"/>
      <c r="E74" s="1060" t="s">
        <v>347</v>
      </c>
      <c r="F74" s="1056" t="s">
        <v>103</v>
      </c>
      <c r="G74" s="1056" t="s">
        <v>392</v>
      </c>
      <c r="H74" s="1099">
        <f t="shared" si="3"/>
        <v>16158</v>
      </c>
      <c r="I74" s="1139"/>
      <c r="J74" s="1099"/>
      <c r="K74" s="1099">
        <v>16158</v>
      </c>
      <c r="L74" s="1099"/>
      <c r="M74" s="110"/>
    </row>
    <row r="75" spans="2:14" x14ac:dyDescent="0.2">
      <c r="B75" s="1056">
        <v>25</v>
      </c>
      <c r="C75" s="1059"/>
      <c r="D75" s="1059"/>
      <c r="E75" s="1060" t="s">
        <v>548</v>
      </c>
      <c r="F75" s="1056" t="s">
        <v>103</v>
      </c>
      <c r="G75" s="1056" t="s">
        <v>1401</v>
      </c>
      <c r="H75" s="1099">
        <f t="shared" si="3"/>
        <v>250373</v>
      </c>
      <c r="I75" s="1139"/>
      <c r="J75" s="1099"/>
      <c r="K75" s="1099">
        <v>250373</v>
      </c>
      <c r="L75" s="1099"/>
      <c r="M75" s="109"/>
    </row>
    <row r="76" spans="2:14" x14ac:dyDescent="0.2">
      <c r="B76" s="1056">
        <v>26</v>
      </c>
      <c r="C76" s="1059"/>
      <c r="D76" s="1059"/>
      <c r="E76" s="1060" t="s">
        <v>558</v>
      </c>
      <c r="F76" s="1056" t="s">
        <v>387</v>
      </c>
      <c r="G76" s="1056" t="s">
        <v>664</v>
      </c>
      <c r="H76" s="1099">
        <f t="shared" si="3"/>
        <v>6454</v>
      </c>
      <c r="I76" s="1139"/>
      <c r="J76" s="1099"/>
      <c r="K76" s="1099">
        <v>6454</v>
      </c>
      <c r="L76" s="1099"/>
      <c r="M76" s="109"/>
    </row>
    <row r="77" spans="2:14" x14ac:dyDescent="0.2">
      <c r="B77" s="1056">
        <v>27</v>
      </c>
      <c r="C77" s="1059"/>
      <c r="D77" s="1059"/>
      <c r="E77" s="1060" t="s">
        <v>708</v>
      </c>
      <c r="F77" s="1056" t="s">
        <v>387</v>
      </c>
      <c r="G77" s="1056" t="s">
        <v>1404</v>
      </c>
      <c r="H77" s="1099">
        <f t="shared" si="3"/>
        <v>46613</v>
      </c>
      <c r="I77" s="1139"/>
      <c r="J77" s="1099"/>
      <c r="K77" s="1099">
        <f>12323+34290</f>
        <v>46613</v>
      </c>
      <c r="L77" s="1099"/>
      <c r="M77" s="110" t="s">
        <v>1558</v>
      </c>
    </row>
    <row r="78" spans="2:14" ht="12" x14ac:dyDescent="0.25">
      <c r="C78" s="279"/>
      <c r="D78" s="279"/>
      <c r="E78" s="1061"/>
      <c r="F78" s="1061"/>
      <c r="G78" s="1068" t="s">
        <v>1569</v>
      </c>
      <c r="H78" s="1470">
        <f>SUM(H46:H77)</f>
        <v>4711251.2122</v>
      </c>
      <c r="I78" s="1471"/>
      <c r="J78" s="1470">
        <f>SUM(J46:J77)</f>
        <v>719695.47</v>
      </c>
      <c r="K78" s="1470">
        <f>SUM(K46:K77)</f>
        <v>1769418.0000000002</v>
      </c>
      <c r="L78" s="1470">
        <f>SUM(L46:L77)</f>
        <v>2222137.7422000002</v>
      </c>
    </row>
    <row r="79" spans="2:14" x14ac:dyDescent="0.2">
      <c r="C79" s="279"/>
      <c r="D79" s="279"/>
      <c r="E79" s="1061"/>
      <c r="H79" s="1472"/>
      <c r="I79" s="1139"/>
      <c r="J79" s="1472"/>
      <c r="K79" s="1472"/>
      <c r="L79" s="1472"/>
      <c r="N79" s="109"/>
    </row>
    <row r="80" spans="2:14" ht="12" x14ac:dyDescent="0.25">
      <c r="B80" s="106" t="s">
        <v>1625</v>
      </c>
      <c r="H80" s="464"/>
      <c r="I80" s="1139"/>
      <c r="J80" s="464"/>
      <c r="K80" s="464"/>
      <c r="L80" s="464"/>
      <c r="N80" s="109"/>
    </row>
    <row r="81" spans="1:13" ht="12" customHeight="1" x14ac:dyDescent="0.25">
      <c r="B81" s="1515" t="s">
        <v>389</v>
      </c>
      <c r="C81" s="1515" t="s">
        <v>290</v>
      </c>
      <c r="D81" s="1515" t="s">
        <v>291</v>
      </c>
      <c r="E81" s="1515" t="s">
        <v>1408</v>
      </c>
      <c r="F81" s="1521" t="s">
        <v>1363</v>
      </c>
      <c r="G81" s="1515" t="s">
        <v>1568</v>
      </c>
      <c r="H81" s="1518" t="s">
        <v>650</v>
      </c>
      <c r="I81" s="1473"/>
      <c r="J81" s="1514" t="s">
        <v>1373</v>
      </c>
      <c r="K81" s="1514"/>
      <c r="L81" s="1514"/>
    </row>
    <row r="82" spans="1:13" ht="24" x14ac:dyDescent="0.25">
      <c r="B82" s="1515"/>
      <c r="C82" s="1515"/>
      <c r="D82" s="1515"/>
      <c r="E82" s="1515"/>
      <c r="F82" s="1521"/>
      <c r="G82" s="1515"/>
      <c r="H82" s="1518"/>
      <c r="I82" s="1473"/>
      <c r="J82" s="1350" t="s">
        <v>185</v>
      </c>
      <c r="K82" s="1350" t="s">
        <v>649</v>
      </c>
      <c r="L82" s="1481" t="s">
        <v>390</v>
      </c>
    </row>
    <row r="83" spans="1:13" ht="22.8" x14ac:dyDescent="0.2">
      <c r="B83" s="1056"/>
      <c r="C83" s="1057"/>
      <c r="D83" s="1057"/>
      <c r="E83" s="1100" t="s">
        <v>169</v>
      </c>
      <c r="F83" s="1056" t="s">
        <v>158</v>
      </c>
      <c r="G83" s="1111" t="s">
        <v>1430</v>
      </c>
      <c r="H83" s="1474">
        <f t="shared" ref="H83:H101" si="4">SUM(J83:L83)</f>
        <v>9400</v>
      </c>
      <c r="I83" s="1475"/>
      <c r="J83" s="1474">
        <v>9400</v>
      </c>
      <c r="K83" s="1474"/>
      <c r="L83" s="1474"/>
    </row>
    <row r="84" spans="1:13" ht="16.2" customHeight="1" x14ac:dyDescent="0.2">
      <c r="A84" t="s">
        <v>194</v>
      </c>
      <c r="B84" s="1056"/>
      <c r="C84" s="1056"/>
      <c r="D84" s="1056"/>
      <c r="E84" s="1101" t="s">
        <v>170</v>
      </c>
      <c r="F84" s="1056" t="s">
        <v>1365</v>
      </c>
      <c r="G84" s="1057" t="s">
        <v>168</v>
      </c>
      <c r="H84" s="1474">
        <f t="shared" si="4"/>
        <v>1000</v>
      </c>
      <c r="I84" s="1139"/>
      <c r="J84" s="1099">
        <v>1000</v>
      </c>
      <c r="K84" s="1099"/>
      <c r="L84" s="1099"/>
    </row>
    <row r="85" spans="1:13" ht="22.95" customHeight="1" x14ac:dyDescent="0.2">
      <c r="A85" t="s">
        <v>194</v>
      </c>
      <c r="B85" s="1056"/>
      <c r="C85" s="1056"/>
      <c r="D85" s="1056"/>
      <c r="E85" s="1101" t="s">
        <v>170</v>
      </c>
      <c r="F85" s="1056" t="s">
        <v>1365</v>
      </c>
      <c r="G85" s="1057" t="s">
        <v>1382</v>
      </c>
      <c r="H85" s="1474">
        <f t="shared" si="4"/>
        <v>1000</v>
      </c>
      <c r="I85" s="1139"/>
      <c r="J85" s="1099">
        <v>1000</v>
      </c>
      <c r="K85" s="1099"/>
      <c r="L85" s="1099"/>
      <c r="M85" s="111"/>
    </row>
    <row r="86" spans="1:13" ht="15" customHeight="1" x14ac:dyDescent="0.2">
      <c r="A86" t="s">
        <v>194</v>
      </c>
      <c r="B86" s="1056"/>
      <c r="C86" s="1056"/>
      <c r="D86" s="1056"/>
      <c r="E86" s="1101" t="s">
        <v>170</v>
      </c>
      <c r="F86" s="1056" t="s">
        <v>1365</v>
      </c>
      <c r="G86" s="1057" t="s">
        <v>1433</v>
      </c>
      <c r="H86" s="1474">
        <f t="shared" si="4"/>
        <v>1000</v>
      </c>
      <c r="I86" s="1139"/>
      <c r="J86" s="1099">
        <v>1000</v>
      </c>
      <c r="K86" s="1099"/>
      <c r="L86" s="1099"/>
      <c r="M86" s="111"/>
    </row>
    <row r="87" spans="1:13" ht="22.2" customHeight="1" x14ac:dyDescent="0.2">
      <c r="A87" t="s">
        <v>194</v>
      </c>
      <c r="B87" s="1056"/>
      <c r="C87" s="1056"/>
      <c r="D87" s="1056"/>
      <c r="E87" s="1101" t="s">
        <v>170</v>
      </c>
      <c r="F87" s="1056" t="s">
        <v>1365</v>
      </c>
      <c r="G87" s="1057" t="s">
        <v>1140</v>
      </c>
      <c r="H87" s="1474">
        <f t="shared" si="4"/>
        <v>5167</v>
      </c>
      <c r="I87" s="1139"/>
      <c r="J87" s="1099">
        <v>5167</v>
      </c>
      <c r="K87" s="1099"/>
      <c r="L87" s="1099"/>
      <c r="M87" s="111"/>
    </row>
    <row r="88" spans="1:13" ht="15.6" customHeight="1" x14ac:dyDescent="0.2">
      <c r="A88" t="s">
        <v>194</v>
      </c>
      <c r="B88" s="1056"/>
      <c r="C88" s="1057" t="s">
        <v>678</v>
      </c>
      <c r="D88" s="1057"/>
      <c r="E88" s="1100" t="s">
        <v>736</v>
      </c>
      <c r="F88" s="1056" t="s">
        <v>1365</v>
      </c>
      <c r="G88" s="1057" t="s">
        <v>1366</v>
      </c>
      <c r="H88" s="1474">
        <f t="shared" si="4"/>
        <v>40000</v>
      </c>
      <c r="I88" s="1475"/>
      <c r="J88" s="1474">
        <v>40000</v>
      </c>
      <c r="K88" s="1474"/>
      <c r="L88" s="1474"/>
      <c r="M88" s="111"/>
    </row>
    <row r="89" spans="1:13" ht="22.8" x14ac:dyDescent="0.2">
      <c r="A89" t="s">
        <v>194</v>
      </c>
      <c r="B89" s="1056"/>
      <c r="C89" s="1057" t="s">
        <v>679</v>
      </c>
      <c r="D89" s="1057"/>
      <c r="E89" s="1100" t="s">
        <v>736</v>
      </c>
      <c r="F89" s="1056" t="s">
        <v>1365</v>
      </c>
      <c r="G89" s="1057" t="s">
        <v>1367</v>
      </c>
      <c r="H89" s="1474">
        <f t="shared" si="4"/>
        <v>10000</v>
      </c>
      <c r="I89" s="1475"/>
      <c r="J89" s="1474">
        <v>10000</v>
      </c>
      <c r="K89" s="1474"/>
      <c r="L89" s="1474"/>
      <c r="M89" s="111"/>
    </row>
    <row r="90" spans="1:13" x14ac:dyDescent="0.2">
      <c r="B90" s="1056"/>
      <c r="C90" s="1056"/>
      <c r="D90" s="1056"/>
      <c r="E90" s="1101" t="s">
        <v>170</v>
      </c>
      <c r="F90" s="1056" t="s">
        <v>1365</v>
      </c>
      <c r="G90" s="1057" t="s">
        <v>1546</v>
      </c>
      <c r="H90" s="1474">
        <f t="shared" si="4"/>
        <v>20000</v>
      </c>
      <c r="I90" s="1139"/>
      <c r="J90" s="1099">
        <v>20000</v>
      </c>
      <c r="K90" s="1099"/>
      <c r="L90" s="1099"/>
      <c r="M90" s="111" t="s">
        <v>1582</v>
      </c>
    </row>
    <row r="91" spans="1:13" ht="45.6" x14ac:dyDescent="0.2">
      <c r="B91" s="1056"/>
      <c r="C91" s="1056"/>
      <c r="D91" s="1056"/>
      <c r="E91" s="1101" t="s">
        <v>170</v>
      </c>
      <c r="F91" s="1056" t="s">
        <v>1365</v>
      </c>
      <c r="G91" s="1057" t="s">
        <v>1451</v>
      </c>
      <c r="H91" s="1474">
        <f t="shared" si="4"/>
        <v>7092</v>
      </c>
      <c r="I91" s="1139"/>
      <c r="J91" s="1099">
        <v>7092</v>
      </c>
      <c r="K91" s="1099"/>
      <c r="L91" s="1099"/>
      <c r="M91" s="111"/>
    </row>
    <row r="92" spans="1:13" x14ac:dyDescent="0.2">
      <c r="B92" s="1056"/>
      <c r="C92" s="1056"/>
      <c r="D92" s="1056"/>
      <c r="E92" s="1101" t="s">
        <v>170</v>
      </c>
      <c r="F92" s="1056" t="s">
        <v>1365</v>
      </c>
      <c r="G92" s="1057" t="s">
        <v>1196</v>
      </c>
      <c r="H92" s="1474">
        <f t="shared" si="4"/>
        <v>300000</v>
      </c>
      <c r="I92" s="1139"/>
      <c r="J92" s="1099">
        <v>300000</v>
      </c>
      <c r="K92" s="1099"/>
      <c r="L92" s="1099"/>
      <c r="M92" s="111"/>
    </row>
    <row r="93" spans="1:13" x14ac:dyDescent="0.2">
      <c r="B93" s="1056"/>
      <c r="C93" s="1056"/>
      <c r="D93" s="1056"/>
      <c r="E93" s="1101" t="s">
        <v>170</v>
      </c>
      <c r="F93" s="1056" t="s">
        <v>1365</v>
      </c>
      <c r="G93" s="1057" t="s">
        <v>1653</v>
      </c>
      <c r="H93" s="1474">
        <f t="shared" si="4"/>
        <v>250000</v>
      </c>
      <c r="I93" s="1139"/>
      <c r="J93" s="1099">
        <v>250000</v>
      </c>
      <c r="K93" s="1099"/>
      <c r="L93" s="1099"/>
      <c r="M93" s="111"/>
    </row>
    <row r="94" spans="1:13" x14ac:dyDescent="0.2">
      <c r="B94" s="1056"/>
      <c r="C94" s="1056"/>
      <c r="D94" s="1056"/>
      <c r="E94" s="1101" t="s">
        <v>170</v>
      </c>
      <c r="F94" s="1056" t="s">
        <v>1365</v>
      </c>
      <c r="G94" s="1111" t="s">
        <v>1508</v>
      </c>
      <c r="H94" s="1474">
        <f t="shared" si="4"/>
        <v>9000</v>
      </c>
      <c r="I94" s="1139"/>
      <c r="J94" s="1099">
        <v>9000</v>
      </c>
      <c r="K94" s="1099"/>
      <c r="L94" s="1099"/>
    </row>
    <row r="95" spans="1:13" x14ac:dyDescent="0.2">
      <c r="B95" s="1056"/>
      <c r="C95" s="1056"/>
      <c r="D95" s="1056"/>
      <c r="E95" s="1101" t="s">
        <v>383</v>
      </c>
      <c r="F95" s="1137" t="s">
        <v>383</v>
      </c>
      <c r="G95" s="1057" t="s">
        <v>1473</v>
      </c>
      <c r="H95" s="1474">
        <f t="shared" si="4"/>
        <v>55000</v>
      </c>
      <c r="I95" s="1139"/>
      <c r="J95" s="1099">
        <v>55000</v>
      </c>
      <c r="K95" s="1099"/>
      <c r="L95" s="1099"/>
    </row>
    <row r="96" spans="1:13" x14ac:dyDescent="0.2">
      <c r="B96" s="1056"/>
      <c r="C96" s="1056"/>
      <c r="D96" s="1056"/>
      <c r="E96" s="1101" t="s">
        <v>383</v>
      </c>
      <c r="F96" s="1137" t="s">
        <v>383</v>
      </c>
      <c r="G96" s="1057" t="s">
        <v>1474</v>
      </c>
      <c r="H96" s="1474">
        <f t="shared" si="4"/>
        <v>25000</v>
      </c>
      <c r="I96" s="1139"/>
      <c r="J96" s="1099">
        <v>25000</v>
      </c>
      <c r="K96" s="1099"/>
      <c r="L96" s="1099"/>
    </row>
    <row r="97" spans="1:15" ht="22.8" x14ac:dyDescent="0.2">
      <c r="A97" t="s">
        <v>5</v>
      </c>
      <c r="B97" s="1124" t="s">
        <v>1595</v>
      </c>
      <c r="C97" s="1056"/>
      <c r="D97" s="1056"/>
      <c r="E97" s="1101" t="s">
        <v>383</v>
      </c>
      <c r="F97" s="1137" t="s">
        <v>383</v>
      </c>
      <c r="G97" s="1057" t="s">
        <v>1515</v>
      </c>
      <c r="H97" s="1474">
        <f t="shared" si="4"/>
        <v>54930</v>
      </c>
      <c r="I97" s="1139"/>
      <c r="J97" s="1099">
        <v>54930</v>
      </c>
      <c r="K97" s="1099"/>
      <c r="L97" s="1099"/>
      <c r="M97" s="1161" t="s">
        <v>1513</v>
      </c>
    </row>
    <row r="98" spans="1:15" x14ac:dyDescent="0.2">
      <c r="B98" s="1124"/>
      <c r="C98" s="1056"/>
      <c r="D98" s="1056"/>
      <c r="E98" s="1101" t="s">
        <v>383</v>
      </c>
      <c r="F98" s="1137" t="s">
        <v>383</v>
      </c>
      <c r="G98" s="1057" t="s">
        <v>1596</v>
      </c>
      <c r="H98" s="1474">
        <f t="shared" si="4"/>
        <v>18000</v>
      </c>
      <c r="I98" s="1139"/>
      <c r="J98" s="1099">
        <v>18000</v>
      </c>
      <c r="K98" s="1099"/>
      <c r="L98" s="1099"/>
    </row>
    <row r="99" spans="1:15" x14ac:dyDescent="0.2">
      <c r="B99" s="1124"/>
      <c r="C99" s="1056"/>
      <c r="D99" s="1056"/>
      <c r="E99" s="1101" t="s">
        <v>383</v>
      </c>
      <c r="F99" s="1137" t="s">
        <v>383</v>
      </c>
      <c r="G99" s="1057" t="s">
        <v>1354</v>
      </c>
      <c r="H99" s="1474">
        <f t="shared" si="4"/>
        <v>15000</v>
      </c>
      <c r="I99" s="1139"/>
      <c r="J99" s="1099">
        <v>15000</v>
      </c>
      <c r="K99" s="1099"/>
      <c r="L99" s="1099"/>
    </row>
    <row r="100" spans="1:15" x14ac:dyDescent="0.2">
      <c r="B100" s="1056"/>
      <c r="C100" s="1056"/>
      <c r="D100" s="1056"/>
      <c r="E100" s="1101" t="s">
        <v>383</v>
      </c>
      <c r="F100" s="1137" t="s">
        <v>383</v>
      </c>
      <c r="G100" s="1057" t="s">
        <v>1462</v>
      </c>
      <c r="H100" s="1474">
        <f t="shared" si="4"/>
        <v>546771</v>
      </c>
      <c r="I100" s="1139"/>
      <c r="J100" s="1476"/>
      <c r="K100" s="1476">
        <v>382739</v>
      </c>
      <c r="L100" s="1476">
        <v>164032</v>
      </c>
      <c r="M100" t="s">
        <v>1581</v>
      </c>
    </row>
    <row r="101" spans="1:15" x14ac:dyDescent="0.2">
      <c r="B101" s="1056"/>
      <c r="C101" s="1056"/>
      <c r="D101" s="1056"/>
      <c r="E101" s="1101" t="s">
        <v>383</v>
      </c>
      <c r="F101" s="1137" t="s">
        <v>383</v>
      </c>
      <c r="G101" s="1057" t="s">
        <v>1460</v>
      </c>
      <c r="H101" s="1474">
        <f t="shared" si="4"/>
        <v>1204480</v>
      </c>
      <c r="I101" s="1139"/>
      <c r="J101" s="1123"/>
      <c r="K101" s="1123">
        <v>297245</v>
      </c>
      <c r="L101" s="1123">
        <f>1204480-K101</f>
        <v>907235</v>
      </c>
      <c r="M101" t="s">
        <v>1583</v>
      </c>
      <c r="N101" t="s">
        <v>1472</v>
      </c>
    </row>
    <row r="102" spans="1:15" x14ac:dyDescent="0.2">
      <c r="B102" s="1056"/>
      <c r="C102" s="1056"/>
      <c r="D102" s="1056"/>
      <c r="E102" s="1101" t="s">
        <v>383</v>
      </c>
      <c r="F102" s="1137" t="s">
        <v>383</v>
      </c>
      <c r="G102" s="1057" t="s">
        <v>1463</v>
      </c>
      <c r="H102" s="1099">
        <f t="shared" ref="H102:H104" si="5">SUM(J102:L102)</f>
        <v>1300</v>
      </c>
      <c r="I102" s="1139"/>
      <c r="J102" s="1476">
        <v>1300</v>
      </c>
      <c r="K102" s="1476"/>
      <c r="L102" s="1476"/>
      <c r="M102" t="s">
        <v>1469</v>
      </c>
      <c r="O102" t="s">
        <v>1470</v>
      </c>
    </row>
    <row r="103" spans="1:15" x14ac:dyDescent="0.2">
      <c r="B103" s="1056"/>
      <c r="C103" s="1056"/>
      <c r="D103" s="1056"/>
      <c r="E103" s="1101" t="s">
        <v>383</v>
      </c>
      <c r="F103" s="1137" t="s">
        <v>383</v>
      </c>
      <c r="G103" s="1057" t="s">
        <v>1464</v>
      </c>
      <c r="H103" s="1099">
        <f t="shared" si="5"/>
        <v>4000</v>
      </c>
      <c r="I103" s="1139"/>
      <c r="J103" s="1476">
        <v>4000</v>
      </c>
      <c r="K103" s="1476"/>
      <c r="L103" s="1476"/>
      <c r="M103" t="s">
        <v>1469</v>
      </c>
    </row>
    <row r="104" spans="1:15" x14ac:dyDescent="0.2">
      <c r="B104" s="1056"/>
      <c r="C104" s="1056"/>
      <c r="D104" s="1056"/>
      <c r="E104" s="1101" t="s">
        <v>383</v>
      </c>
      <c r="F104" s="1137" t="s">
        <v>383</v>
      </c>
      <c r="G104" s="1057" t="s">
        <v>1465</v>
      </c>
      <c r="H104" s="1099">
        <f t="shared" si="5"/>
        <v>50000</v>
      </c>
      <c r="I104" s="1139"/>
      <c r="J104" s="1476">
        <v>50000</v>
      </c>
      <c r="K104" s="1476"/>
      <c r="L104" s="1476"/>
      <c r="M104" t="s">
        <v>1584</v>
      </c>
    </row>
    <row r="105" spans="1:15" x14ac:dyDescent="0.2">
      <c r="B105" s="1056"/>
      <c r="C105" s="1056"/>
      <c r="D105" s="1056"/>
      <c r="E105" s="1101" t="s">
        <v>383</v>
      </c>
      <c r="F105" s="1137" t="s">
        <v>383</v>
      </c>
      <c r="G105" s="1057" t="s">
        <v>1466</v>
      </c>
      <c r="H105" s="1099">
        <f t="shared" ref="H105:H126" si="6">SUM(J105:L105)</f>
        <v>15000</v>
      </c>
      <c r="I105" s="1139"/>
      <c r="J105" s="1099">
        <v>15000</v>
      </c>
      <c r="K105" s="1099"/>
      <c r="L105" s="1099"/>
      <c r="M105" s="1161" t="s">
        <v>1514</v>
      </c>
    </row>
    <row r="106" spans="1:15" x14ac:dyDescent="0.2">
      <c r="B106" s="1056"/>
      <c r="C106" s="1056"/>
      <c r="D106" s="1056"/>
      <c r="E106" s="1101" t="s">
        <v>383</v>
      </c>
      <c r="F106" s="1137" t="s">
        <v>383</v>
      </c>
      <c r="G106" s="1057" t="s">
        <v>1467</v>
      </c>
      <c r="H106" s="1099">
        <f t="shared" si="6"/>
        <v>25000</v>
      </c>
      <c r="I106" s="1139"/>
      <c r="J106" s="1476">
        <v>25000</v>
      </c>
      <c r="K106" s="1476"/>
      <c r="L106" s="1476"/>
      <c r="M106" t="s">
        <v>1469</v>
      </c>
    </row>
    <row r="107" spans="1:15" x14ac:dyDescent="0.2">
      <c r="B107" s="1124"/>
      <c r="C107" s="1056"/>
      <c r="D107" s="1056"/>
      <c r="E107" s="1101" t="s">
        <v>383</v>
      </c>
      <c r="F107" s="1137" t="s">
        <v>383</v>
      </c>
      <c r="G107" s="1057" t="s">
        <v>1350</v>
      </c>
      <c r="H107" s="1099">
        <f t="shared" si="6"/>
        <v>13140</v>
      </c>
      <c r="I107" s="1139"/>
      <c r="J107" s="1099">
        <v>13140</v>
      </c>
      <c r="K107" s="1099"/>
      <c r="L107" s="1099"/>
    </row>
    <row r="108" spans="1:15" x14ac:dyDescent="0.2">
      <c r="B108" s="1056"/>
      <c r="C108" s="1056"/>
      <c r="D108" s="1056"/>
      <c r="E108" s="1101" t="s">
        <v>383</v>
      </c>
      <c r="F108" s="1137" t="s">
        <v>383</v>
      </c>
      <c r="G108" s="1057" t="s">
        <v>1509</v>
      </c>
      <c r="H108" s="1099">
        <f t="shared" si="6"/>
        <v>32000</v>
      </c>
      <c r="I108" s="1139"/>
      <c r="J108" s="1099">
        <v>16000</v>
      </c>
      <c r="K108" s="1123">
        <v>16000</v>
      </c>
      <c r="L108" s="1099"/>
      <c r="M108" s="1161" t="s">
        <v>1510</v>
      </c>
    </row>
    <row r="109" spans="1:15" x14ac:dyDescent="0.2">
      <c r="B109" s="1056"/>
      <c r="C109" s="1056"/>
      <c r="D109" s="1056"/>
      <c r="E109" s="1101" t="s">
        <v>383</v>
      </c>
      <c r="F109" s="1137" t="s">
        <v>383</v>
      </c>
      <c r="G109" s="1057" t="s">
        <v>1475</v>
      </c>
      <c r="H109" s="1099">
        <f t="shared" si="6"/>
        <v>290000</v>
      </c>
      <c r="I109" s="1139"/>
      <c r="J109" s="1099">
        <v>87000</v>
      </c>
      <c r="K109" s="1099"/>
      <c r="L109" s="1099">
        <f>290000-J109</f>
        <v>203000</v>
      </c>
      <c r="M109" t="s">
        <v>1477</v>
      </c>
    </row>
    <row r="110" spans="1:15" ht="13.2" customHeight="1" x14ac:dyDescent="0.2">
      <c r="B110" s="1056"/>
      <c r="C110" s="1056"/>
      <c r="D110" s="1056"/>
      <c r="E110" s="1101" t="s">
        <v>383</v>
      </c>
      <c r="F110" s="1137" t="s">
        <v>383</v>
      </c>
      <c r="G110" s="1056" t="s">
        <v>1476</v>
      </c>
      <c r="H110" s="1099">
        <f t="shared" si="6"/>
        <v>180000</v>
      </c>
      <c r="I110" s="1139"/>
      <c r="J110" s="1099">
        <v>54000</v>
      </c>
      <c r="K110" s="1099"/>
      <c r="L110" s="1099">
        <f>180000-J110</f>
        <v>126000</v>
      </c>
      <c r="M110" t="s">
        <v>1477</v>
      </c>
    </row>
    <row r="111" spans="1:15" x14ac:dyDescent="0.2">
      <c r="B111" s="1056"/>
      <c r="C111" s="1056"/>
      <c r="D111" s="1056"/>
      <c r="E111" s="1101" t="s">
        <v>383</v>
      </c>
      <c r="F111" s="1137" t="s">
        <v>383</v>
      </c>
      <c r="G111" s="1057" t="s">
        <v>1478</v>
      </c>
      <c r="H111" s="1099">
        <f t="shared" si="6"/>
        <v>44104.5</v>
      </c>
      <c r="I111" s="1139"/>
      <c r="J111" s="1099">
        <v>44104.5</v>
      </c>
      <c r="K111" s="1099"/>
      <c r="L111" s="1099"/>
      <c r="M111" s="1161" t="s">
        <v>1591</v>
      </c>
    </row>
    <row r="112" spans="1:15" x14ac:dyDescent="0.2">
      <c r="B112" s="1056"/>
      <c r="C112" s="1056"/>
      <c r="D112" s="1056"/>
      <c r="E112" s="1101" t="s">
        <v>383</v>
      </c>
      <c r="F112" s="1137" t="s">
        <v>383</v>
      </c>
      <c r="G112" s="1057" t="s">
        <v>1479</v>
      </c>
      <c r="H112" s="1099">
        <f t="shared" si="6"/>
        <v>95832</v>
      </c>
      <c r="I112" s="1139"/>
      <c r="J112" s="1099">
        <v>95832</v>
      </c>
      <c r="K112" s="1099"/>
      <c r="L112" s="1099"/>
      <c r="M112" s="1161" t="s">
        <v>1591</v>
      </c>
    </row>
    <row r="113" spans="2:13" x14ac:dyDescent="0.2">
      <c r="B113" s="1056"/>
      <c r="C113" s="1056"/>
      <c r="D113" s="1056"/>
      <c r="E113" s="1101" t="s">
        <v>383</v>
      </c>
      <c r="F113" s="1137" t="s">
        <v>383</v>
      </c>
      <c r="G113" s="1057" t="s">
        <v>1480</v>
      </c>
      <c r="H113" s="1099">
        <f t="shared" si="6"/>
        <v>50000</v>
      </c>
      <c r="I113" s="1139"/>
      <c r="J113" s="1099">
        <v>50000</v>
      </c>
      <c r="K113" s="1099"/>
      <c r="L113" s="1099"/>
      <c r="M113" s="1161" t="s">
        <v>1511</v>
      </c>
    </row>
    <row r="114" spans="2:13" x14ac:dyDescent="0.2">
      <c r="B114" s="1056"/>
      <c r="C114" s="1056"/>
      <c r="D114" s="1056"/>
      <c r="E114" s="1101" t="s">
        <v>383</v>
      </c>
      <c r="F114" s="1137" t="s">
        <v>383</v>
      </c>
      <c r="G114" s="1057" t="s">
        <v>1481</v>
      </c>
      <c r="H114" s="1099">
        <f t="shared" si="6"/>
        <v>50000</v>
      </c>
      <c r="I114" s="1139"/>
      <c r="J114" s="1099">
        <v>50000</v>
      </c>
      <c r="K114" s="1099"/>
      <c r="L114" s="1099"/>
      <c r="M114" s="1161" t="s">
        <v>1512</v>
      </c>
    </row>
    <row r="115" spans="2:13" ht="22.8" x14ac:dyDescent="0.2">
      <c r="B115" s="1056"/>
      <c r="C115" s="1056"/>
      <c r="D115" s="1056"/>
      <c r="E115" s="1101" t="s">
        <v>171</v>
      </c>
      <c r="F115" s="1056" t="s">
        <v>1384</v>
      </c>
      <c r="G115" s="1057" t="s">
        <v>1385</v>
      </c>
      <c r="H115" s="1099">
        <f t="shared" si="6"/>
        <v>2810</v>
      </c>
      <c r="I115" s="1139"/>
      <c r="J115" s="1099">
        <v>2810</v>
      </c>
      <c r="K115" s="1099"/>
      <c r="L115" s="1099"/>
      <c r="M115" s="111"/>
    </row>
    <row r="116" spans="2:13" x14ac:dyDescent="0.2">
      <c r="B116" s="1056"/>
      <c r="C116" s="1056"/>
      <c r="D116" s="1056"/>
      <c r="E116" s="1101" t="s">
        <v>171</v>
      </c>
      <c r="F116" s="1056" t="s">
        <v>1384</v>
      </c>
      <c r="G116" s="1057" t="s">
        <v>1386</v>
      </c>
      <c r="H116" s="1099">
        <f t="shared" si="6"/>
        <v>7800</v>
      </c>
      <c r="I116" s="1139"/>
      <c r="J116" s="1099">
        <v>7800</v>
      </c>
      <c r="K116" s="1099"/>
      <c r="L116" s="1099"/>
      <c r="M116" s="111"/>
    </row>
    <row r="117" spans="2:13" x14ac:dyDescent="0.2">
      <c r="B117" s="1056"/>
      <c r="C117" s="1056"/>
      <c r="D117" s="1056"/>
      <c r="E117" s="1101" t="s">
        <v>189</v>
      </c>
      <c r="F117" s="1056" t="s">
        <v>190</v>
      </c>
      <c r="G117" s="1159" t="s">
        <v>1502</v>
      </c>
      <c r="H117" s="1099">
        <f t="shared" si="6"/>
        <v>28315</v>
      </c>
      <c r="I117" s="1139"/>
      <c r="J117" s="1099">
        <v>28315</v>
      </c>
      <c r="K117" s="1099"/>
      <c r="L117" s="1099"/>
      <c r="M117" s="111"/>
    </row>
    <row r="118" spans="2:13" ht="22.8" x14ac:dyDescent="0.2">
      <c r="B118" s="1056"/>
      <c r="C118" s="1056"/>
      <c r="D118" s="1056"/>
      <c r="E118" s="1101" t="s">
        <v>189</v>
      </c>
      <c r="F118" s="1056" t="s">
        <v>190</v>
      </c>
      <c r="G118" s="1079" t="s">
        <v>1395</v>
      </c>
      <c r="H118" s="1099">
        <f t="shared" si="6"/>
        <v>23000</v>
      </c>
      <c r="I118" s="1139"/>
      <c r="J118" s="1099">
        <v>23000</v>
      </c>
      <c r="K118" s="1099"/>
      <c r="L118" s="1099"/>
      <c r="M118" s="111"/>
    </row>
    <row r="119" spans="2:13" ht="22.8" x14ac:dyDescent="0.2">
      <c r="B119" s="1056"/>
      <c r="C119" s="1056"/>
      <c r="D119" s="1056"/>
      <c r="E119" s="1101" t="s">
        <v>189</v>
      </c>
      <c r="F119" s="1056" t="s">
        <v>190</v>
      </c>
      <c r="G119" s="1079" t="s">
        <v>1166</v>
      </c>
      <c r="H119" s="1099">
        <f t="shared" si="6"/>
        <v>1000</v>
      </c>
      <c r="I119" s="1139"/>
      <c r="J119" s="1099">
        <v>1000</v>
      </c>
      <c r="K119" s="1099"/>
      <c r="L119" s="1099"/>
      <c r="M119" s="111"/>
    </row>
    <row r="120" spans="2:13" x14ac:dyDescent="0.2">
      <c r="B120" s="1056"/>
      <c r="C120" s="1056"/>
      <c r="D120" s="1056"/>
      <c r="E120" s="1101" t="s">
        <v>189</v>
      </c>
      <c r="F120" s="1056" t="s">
        <v>190</v>
      </c>
      <c r="G120" s="1079" t="s">
        <v>1396</v>
      </c>
      <c r="H120" s="1099">
        <f t="shared" si="6"/>
        <v>30620</v>
      </c>
      <c r="I120" s="1139"/>
      <c r="J120" s="1099">
        <v>30620</v>
      </c>
      <c r="K120" s="1099"/>
      <c r="L120" s="1099"/>
      <c r="M120" s="111"/>
    </row>
    <row r="121" spans="2:13" x14ac:dyDescent="0.2">
      <c r="B121" s="1056"/>
      <c r="C121" s="1056"/>
      <c r="D121" s="1056"/>
      <c r="E121" s="1101" t="s">
        <v>189</v>
      </c>
      <c r="F121" s="1056" t="s">
        <v>190</v>
      </c>
      <c r="G121" s="1079" t="s">
        <v>1437</v>
      </c>
      <c r="H121" s="1099">
        <f t="shared" si="6"/>
        <v>4000</v>
      </c>
      <c r="I121" s="1139"/>
      <c r="J121" s="1099">
        <v>4000</v>
      </c>
      <c r="K121" s="1099"/>
      <c r="L121" s="1099"/>
      <c r="M121" s="111"/>
    </row>
    <row r="122" spans="2:13" x14ac:dyDescent="0.2">
      <c r="B122" s="1056"/>
      <c r="C122" s="1056"/>
      <c r="D122" s="1056"/>
      <c r="E122" s="1101" t="s">
        <v>189</v>
      </c>
      <c r="F122" s="1056" t="s">
        <v>190</v>
      </c>
      <c r="G122" s="1079" t="s">
        <v>1342</v>
      </c>
      <c r="H122" s="1099">
        <f t="shared" si="6"/>
        <v>3000</v>
      </c>
      <c r="I122" s="1139"/>
      <c r="J122" s="1099">
        <v>3000</v>
      </c>
      <c r="K122" s="1099"/>
      <c r="L122" s="1099"/>
      <c r="M122" s="111"/>
    </row>
    <row r="123" spans="2:13" ht="34.200000000000003" x14ac:dyDescent="0.2">
      <c r="B123" s="1056"/>
      <c r="C123" s="1056"/>
      <c r="D123" s="1056"/>
      <c r="E123" s="1101" t="s">
        <v>176</v>
      </c>
      <c r="F123" s="1056" t="s">
        <v>95</v>
      </c>
      <c r="G123" s="1057" t="s">
        <v>1405</v>
      </c>
      <c r="H123" s="1099">
        <f t="shared" si="6"/>
        <v>15000</v>
      </c>
      <c r="I123" s="1139"/>
      <c r="J123" s="1099">
        <v>15000</v>
      </c>
      <c r="K123" s="1099"/>
      <c r="L123" s="1099"/>
      <c r="M123" s="111"/>
    </row>
    <row r="124" spans="2:13" ht="23.4" customHeight="1" x14ac:dyDescent="0.2">
      <c r="B124" s="1056"/>
      <c r="C124" s="1056"/>
      <c r="D124" s="1056"/>
      <c r="E124" s="1101" t="s">
        <v>709</v>
      </c>
      <c r="F124" s="1056" t="s">
        <v>669</v>
      </c>
      <c r="G124" s="1057" t="s">
        <v>1165</v>
      </c>
      <c r="H124" s="1099">
        <f t="shared" si="6"/>
        <v>50000</v>
      </c>
      <c r="I124" s="1139"/>
      <c r="J124" s="1099">
        <v>50000</v>
      </c>
      <c r="K124" s="1099"/>
      <c r="L124" s="1099"/>
      <c r="M124" s="111"/>
    </row>
    <row r="125" spans="2:13" x14ac:dyDescent="0.2">
      <c r="B125" s="1056"/>
      <c r="C125" s="1056"/>
      <c r="D125" s="1056"/>
      <c r="E125" s="1101" t="s">
        <v>709</v>
      </c>
      <c r="F125" s="1056" t="s">
        <v>669</v>
      </c>
      <c r="G125" s="1057" t="s">
        <v>1164</v>
      </c>
      <c r="H125" s="1099">
        <f t="shared" si="6"/>
        <v>28000</v>
      </c>
      <c r="I125" s="1139"/>
      <c r="J125" s="1099">
        <v>28000</v>
      </c>
      <c r="K125" s="1099"/>
      <c r="L125" s="1099"/>
      <c r="M125" s="111"/>
    </row>
    <row r="126" spans="2:13" x14ac:dyDescent="0.2">
      <c r="B126" s="1056"/>
      <c r="C126" s="1056"/>
      <c r="D126" s="1056"/>
      <c r="E126" s="1101" t="s">
        <v>171</v>
      </c>
      <c r="F126" s="1056" t="s">
        <v>1384</v>
      </c>
      <c r="G126" s="1057" t="s">
        <v>1489</v>
      </c>
      <c r="H126" s="1099">
        <f t="shared" si="6"/>
        <v>49080</v>
      </c>
      <c r="I126" s="1139"/>
      <c r="J126" s="1099">
        <v>49080</v>
      </c>
      <c r="K126" s="1099"/>
      <c r="L126" s="1099"/>
      <c r="M126" s="111"/>
    </row>
    <row r="127" spans="2:13" x14ac:dyDescent="0.2">
      <c r="B127" s="1056"/>
      <c r="C127" s="1056"/>
      <c r="D127" s="1056"/>
      <c r="E127" s="1101" t="s">
        <v>171</v>
      </c>
      <c r="F127" s="1056" t="s">
        <v>1384</v>
      </c>
      <c r="G127" s="1057" t="s">
        <v>161</v>
      </c>
      <c r="H127" s="1519">
        <f>SUM(J127:L128)</f>
        <v>60595</v>
      </c>
      <c r="I127" s="1477"/>
      <c r="J127" s="1527">
        <v>60595</v>
      </c>
      <c r="K127" s="1522"/>
      <c r="L127" s="1522"/>
      <c r="M127" s="111"/>
    </row>
    <row r="128" spans="2:13" ht="22.8" x14ac:dyDescent="0.2">
      <c r="B128" s="1056"/>
      <c r="C128" s="1056"/>
      <c r="D128" s="1056"/>
      <c r="E128" s="1101" t="s">
        <v>171</v>
      </c>
      <c r="F128" s="1056" t="s">
        <v>1384</v>
      </c>
      <c r="G128" s="1057" t="s">
        <v>352</v>
      </c>
      <c r="H128" s="1520"/>
      <c r="I128" s="1477"/>
      <c r="J128" s="1527"/>
      <c r="K128" s="1523"/>
      <c r="L128" s="1523"/>
      <c r="M128" s="111"/>
    </row>
    <row r="129" spans="2:13" x14ac:dyDescent="0.2">
      <c r="B129" s="1056"/>
      <c r="C129" s="1056"/>
      <c r="D129" s="1056"/>
      <c r="E129" s="1101" t="s">
        <v>1101</v>
      </c>
      <c r="F129" s="1056" t="s">
        <v>1391</v>
      </c>
      <c r="G129" s="1064" t="s">
        <v>1391</v>
      </c>
      <c r="H129" s="1099">
        <f t="shared" ref="H129:H136" si="7">SUM(J129:L129)</f>
        <v>123185.60000000001</v>
      </c>
      <c r="I129" s="1139"/>
      <c r="J129" s="1099">
        <v>123185.60000000001</v>
      </c>
      <c r="K129" s="1099"/>
      <c r="L129" s="1099"/>
      <c r="M129" s="111"/>
    </row>
    <row r="130" spans="2:13" x14ac:dyDescent="0.2">
      <c r="B130" s="1056"/>
      <c r="C130" s="1056"/>
      <c r="D130" s="1056"/>
      <c r="E130" s="1101" t="s">
        <v>701</v>
      </c>
      <c r="F130" s="1056" t="s">
        <v>89</v>
      </c>
      <c r="G130" s="1056" t="s">
        <v>1387</v>
      </c>
      <c r="H130" s="1099">
        <f t="shared" si="7"/>
        <v>9000</v>
      </c>
      <c r="I130" s="1139"/>
      <c r="J130" s="1099">
        <v>9000</v>
      </c>
      <c r="K130" s="1099"/>
      <c r="L130" s="1099"/>
    </row>
    <row r="131" spans="2:13" ht="22.8" x14ac:dyDescent="0.2">
      <c r="B131" s="1056"/>
      <c r="C131" s="1056"/>
      <c r="D131" s="1056"/>
      <c r="E131" s="1101" t="s">
        <v>701</v>
      </c>
      <c r="F131" s="1056" t="s">
        <v>89</v>
      </c>
      <c r="G131" s="1057" t="s">
        <v>1388</v>
      </c>
      <c r="H131" s="1099">
        <f t="shared" si="7"/>
        <v>85000</v>
      </c>
      <c r="I131" s="1139"/>
      <c r="J131" s="1099">
        <v>85000</v>
      </c>
      <c r="K131" s="1099"/>
      <c r="L131" s="1099"/>
    </row>
    <row r="132" spans="2:13" x14ac:dyDescent="0.2">
      <c r="B132" s="1066">
        <f>500*4*10</f>
        <v>20000</v>
      </c>
      <c r="C132" s="1124" t="s">
        <v>1608</v>
      </c>
      <c r="D132" s="1056"/>
      <c r="E132" s="1101" t="s">
        <v>701</v>
      </c>
      <c r="F132" s="1056" t="s">
        <v>89</v>
      </c>
      <c r="G132" s="1057" t="s">
        <v>1551</v>
      </c>
      <c r="H132" s="1099">
        <f t="shared" si="7"/>
        <v>15000</v>
      </c>
      <c r="I132" s="1139"/>
      <c r="J132" s="1099">
        <v>15000</v>
      </c>
      <c r="K132" s="1099"/>
      <c r="L132" s="1099"/>
    </row>
    <row r="133" spans="2:13" x14ac:dyDescent="0.2">
      <c r="B133" s="1062"/>
      <c r="C133" s="1062"/>
      <c r="D133" s="1062"/>
      <c r="E133" s="1062"/>
      <c r="F133" s="1062"/>
      <c r="G133" s="1065" t="s">
        <v>1389</v>
      </c>
      <c r="H133" s="1478"/>
      <c r="I133" s="1479"/>
      <c r="J133" s="1480"/>
      <c r="K133" s="1480"/>
      <c r="L133" s="1480"/>
    </row>
    <row r="134" spans="2:13" x14ac:dyDescent="0.2">
      <c r="B134" s="1056"/>
      <c r="C134" s="1056"/>
      <c r="D134" s="1056"/>
      <c r="E134" s="1101" t="s">
        <v>701</v>
      </c>
      <c r="F134" s="1056" t="s">
        <v>89</v>
      </c>
      <c r="G134" s="1063" t="s">
        <v>232</v>
      </c>
      <c r="H134" s="1099">
        <f t="shared" si="7"/>
        <v>3000</v>
      </c>
      <c r="I134" s="1139"/>
      <c r="J134" s="1099">
        <v>3000</v>
      </c>
      <c r="K134" s="1099"/>
      <c r="L134" s="1099"/>
    </row>
    <row r="135" spans="2:13" x14ac:dyDescent="0.2">
      <c r="B135" s="1056"/>
      <c r="C135" s="1056"/>
      <c r="D135" s="1056"/>
      <c r="E135" s="1101" t="s">
        <v>701</v>
      </c>
      <c r="F135" s="1056" t="s">
        <v>89</v>
      </c>
      <c r="G135" s="1064" t="s">
        <v>372</v>
      </c>
      <c r="H135" s="1099">
        <f t="shared" si="7"/>
        <v>2500</v>
      </c>
      <c r="I135" s="1139"/>
      <c r="J135" s="1099">
        <v>2500</v>
      </c>
      <c r="K135" s="1099"/>
      <c r="L135" s="1099"/>
    </row>
    <row r="136" spans="2:13" x14ac:dyDescent="0.2">
      <c r="B136" s="1056"/>
      <c r="C136" s="1056"/>
      <c r="D136" s="1056"/>
      <c r="E136" s="1101" t="s">
        <v>701</v>
      </c>
      <c r="F136" s="1056" t="s">
        <v>89</v>
      </c>
      <c r="G136" s="1064" t="s">
        <v>279</v>
      </c>
      <c r="H136" s="1099">
        <f t="shared" si="7"/>
        <v>10000</v>
      </c>
      <c r="I136" s="1139"/>
      <c r="J136" s="1099">
        <v>10000</v>
      </c>
      <c r="K136" s="1099"/>
      <c r="L136" s="1099"/>
    </row>
    <row r="137" spans="2:13" x14ac:dyDescent="0.2">
      <c r="B137" s="1056"/>
      <c r="C137" s="1056"/>
      <c r="D137" s="1056"/>
      <c r="E137" s="1101" t="s">
        <v>701</v>
      </c>
      <c r="F137" s="1056" t="s">
        <v>89</v>
      </c>
      <c r="G137" s="1064" t="s">
        <v>311</v>
      </c>
      <c r="H137" s="1474">
        <f>SUM(J137:L137)</f>
        <v>10000</v>
      </c>
      <c r="I137" s="1139"/>
      <c r="J137" s="1099">
        <v>10000</v>
      </c>
      <c r="K137" s="1099"/>
      <c r="L137" s="1099"/>
    </row>
    <row r="138" spans="2:13" x14ac:dyDescent="0.2">
      <c r="B138" s="1056"/>
      <c r="C138" s="1056"/>
      <c r="D138" s="1056"/>
      <c r="E138" s="1101" t="s">
        <v>701</v>
      </c>
      <c r="F138" s="1056" t="s">
        <v>89</v>
      </c>
      <c r="G138" s="1064" t="s">
        <v>233</v>
      </c>
      <c r="H138" s="1474">
        <f>SUM(J138:L138)</f>
        <v>5000</v>
      </c>
      <c r="I138" s="1139"/>
      <c r="J138" s="1099">
        <v>5000</v>
      </c>
      <c r="K138" s="1099"/>
      <c r="L138" s="1099"/>
    </row>
    <row r="139" spans="2:13" x14ac:dyDescent="0.2">
      <c r="B139" s="1062"/>
      <c r="C139" s="1062"/>
      <c r="D139" s="1062"/>
      <c r="E139" s="1062"/>
      <c r="F139" s="1062"/>
      <c r="G139" s="1065" t="s">
        <v>312</v>
      </c>
      <c r="H139" s="1478"/>
      <c r="I139" s="1479"/>
      <c r="J139" s="1480"/>
      <c r="K139" s="1480"/>
      <c r="L139" s="1480"/>
    </row>
    <row r="140" spans="2:13" x14ac:dyDescent="0.2">
      <c r="B140" s="1056"/>
      <c r="C140" s="1056"/>
      <c r="D140" s="1056"/>
      <c r="E140" s="1101" t="s">
        <v>701</v>
      </c>
      <c r="F140" s="1056" t="s">
        <v>89</v>
      </c>
      <c r="G140" s="1063" t="s">
        <v>797</v>
      </c>
      <c r="H140" s="1474">
        <f t="shared" ref="H140:H167" si="8">SUM(J140:L140)</f>
        <v>200</v>
      </c>
      <c r="I140" s="1139"/>
      <c r="J140" s="1099">
        <v>200</v>
      </c>
      <c r="K140" s="1099"/>
      <c r="L140" s="1099"/>
    </row>
    <row r="141" spans="2:13" x14ac:dyDescent="0.2">
      <c r="B141" s="1056"/>
      <c r="C141" s="1056"/>
      <c r="D141" s="1056"/>
      <c r="E141" s="1101" t="s">
        <v>701</v>
      </c>
      <c r="F141" s="1056" t="s">
        <v>89</v>
      </c>
      <c r="G141" s="1063" t="s">
        <v>798</v>
      </c>
      <c r="H141" s="1474">
        <f t="shared" si="8"/>
        <v>200</v>
      </c>
      <c r="I141" s="1139"/>
      <c r="J141" s="1099">
        <v>200</v>
      </c>
      <c r="K141" s="1099"/>
      <c r="L141" s="1099"/>
    </row>
    <row r="142" spans="2:13" x14ac:dyDescent="0.2">
      <c r="B142" s="1056"/>
      <c r="C142" s="1056"/>
      <c r="D142" s="1056"/>
      <c r="E142" s="1101" t="s">
        <v>701</v>
      </c>
      <c r="F142" s="1056" t="s">
        <v>89</v>
      </c>
      <c r="G142" s="1063" t="s">
        <v>799</v>
      </c>
      <c r="H142" s="1474">
        <f t="shared" si="8"/>
        <v>200</v>
      </c>
      <c r="I142" s="1139"/>
      <c r="J142" s="1099">
        <v>200</v>
      </c>
      <c r="K142" s="1099"/>
      <c r="L142" s="1099"/>
    </row>
    <row r="143" spans="2:13" x14ac:dyDescent="0.2">
      <c r="B143" s="1056"/>
      <c r="C143" s="1056"/>
      <c r="D143" s="1056"/>
      <c r="E143" s="1101" t="s">
        <v>701</v>
      </c>
      <c r="F143" s="1056" t="s">
        <v>89</v>
      </c>
      <c r="G143" s="1063" t="s">
        <v>800</v>
      </c>
      <c r="H143" s="1474">
        <f t="shared" si="8"/>
        <v>200</v>
      </c>
      <c r="I143" s="1139"/>
      <c r="J143" s="1099">
        <v>200</v>
      </c>
      <c r="K143" s="1099"/>
      <c r="L143" s="1099"/>
    </row>
    <row r="144" spans="2:13" x14ac:dyDescent="0.2">
      <c r="B144" s="1056"/>
      <c r="C144" s="1056"/>
      <c r="D144" s="1056"/>
      <c r="E144" s="1101" t="s">
        <v>701</v>
      </c>
      <c r="F144" s="1056" t="s">
        <v>89</v>
      </c>
      <c r="G144" s="1063" t="s">
        <v>801</v>
      </c>
      <c r="H144" s="1474">
        <f t="shared" si="8"/>
        <v>200</v>
      </c>
      <c r="I144" s="1139"/>
      <c r="J144" s="1099">
        <v>200</v>
      </c>
      <c r="K144" s="1099"/>
      <c r="L144" s="1099"/>
    </row>
    <row r="145" spans="2:12" x14ac:dyDescent="0.2">
      <c r="B145" s="1056"/>
      <c r="C145" s="1056"/>
      <c r="D145" s="1056"/>
      <c r="E145" s="1101" t="s">
        <v>701</v>
      </c>
      <c r="F145" s="1056" t="s">
        <v>89</v>
      </c>
      <c r="G145" s="1063" t="s">
        <v>802</v>
      </c>
      <c r="H145" s="1474">
        <f t="shared" si="8"/>
        <v>300</v>
      </c>
      <c r="I145" s="1139"/>
      <c r="J145" s="1099">
        <v>300</v>
      </c>
      <c r="K145" s="1099"/>
      <c r="L145" s="1099"/>
    </row>
    <row r="146" spans="2:12" x14ac:dyDescent="0.2">
      <c r="B146" s="1056"/>
      <c r="C146" s="1056"/>
      <c r="D146" s="1056"/>
      <c r="E146" s="1101" t="s">
        <v>701</v>
      </c>
      <c r="F146" s="1056" t="s">
        <v>89</v>
      </c>
      <c r="G146" s="1063" t="s">
        <v>803</v>
      </c>
      <c r="H146" s="1474">
        <f t="shared" si="8"/>
        <v>300</v>
      </c>
      <c r="I146" s="1139"/>
      <c r="J146" s="1099">
        <v>300</v>
      </c>
      <c r="K146" s="1099"/>
      <c r="L146" s="1099"/>
    </row>
    <row r="147" spans="2:12" x14ac:dyDescent="0.2">
      <c r="B147" s="1056"/>
      <c r="C147" s="1056"/>
      <c r="D147" s="1056"/>
      <c r="E147" s="1101" t="s">
        <v>701</v>
      </c>
      <c r="F147" s="1056" t="s">
        <v>89</v>
      </c>
      <c r="G147" s="1063" t="s">
        <v>804</v>
      </c>
      <c r="H147" s="1474">
        <f t="shared" si="8"/>
        <v>200</v>
      </c>
      <c r="I147" s="1139"/>
      <c r="J147" s="1099">
        <v>200</v>
      </c>
      <c r="K147" s="1099"/>
      <c r="L147" s="1099"/>
    </row>
    <row r="148" spans="2:12" x14ac:dyDescent="0.2">
      <c r="B148" s="1056"/>
      <c r="C148" s="1056"/>
      <c r="D148" s="1056"/>
      <c r="E148" s="1101" t="s">
        <v>701</v>
      </c>
      <c r="F148" s="1056" t="s">
        <v>89</v>
      </c>
      <c r="G148" s="1063" t="s">
        <v>805</v>
      </c>
      <c r="H148" s="1474">
        <f t="shared" si="8"/>
        <v>1500</v>
      </c>
      <c r="I148" s="1139"/>
      <c r="J148" s="1099">
        <v>1500</v>
      </c>
      <c r="K148" s="1099"/>
      <c r="L148" s="1099"/>
    </row>
    <row r="149" spans="2:12" ht="23.4" customHeight="1" x14ac:dyDescent="0.2">
      <c r="B149" s="1056"/>
      <c r="C149" s="1056"/>
      <c r="D149" s="1056"/>
      <c r="E149" s="1101" t="s">
        <v>701</v>
      </c>
      <c r="F149" s="1056" t="s">
        <v>89</v>
      </c>
      <c r="G149" s="1064" t="s">
        <v>806</v>
      </c>
      <c r="H149" s="1474">
        <f t="shared" si="8"/>
        <v>600</v>
      </c>
      <c r="I149" s="1139"/>
      <c r="J149" s="1099">
        <v>600</v>
      </c>
      <c r="K149" s="1099"/>
      <c r="L149" s="1099"/>
    </row>
    <row r="150" spans="2:12" ht="22.8" x14ac:dyDescent="0.2">
      <c r="B150" s="1056"/>
      <c r="C150" s="1056"/>
      <c r="D150" s="1056"/>
      <c r="E150" s="1101" t="s">
        <v>701</v>
      </c>
      <c r="F150" s="1056" t="s">
        <v>89</v>
      </c>
      <c r="G150" s="1064" t="s">
        <v>807</v>
      </c>
      <c r="H150" s="1474">
        <f t="shared" si="8"/>
        <v>1500</v>
      </c>
      <c r="I150" s="1139"/>
      <c r="J150" s="1099">
        <v>1500</v>
      </c>
      <c r="K150" s="1099"/>
      <c r="L150" s="1099"/>
    </row>
    <row r="151" spans="2:12" x14ac:dyDescent="0.2">
      <c r="B151" s="1056"/>
      <c r="C151" s="1056"/>
      <c r="D151" s="1056"/>
      <c r="E151" s="1101" t="s">
        <v>694</v>
      </c>
      <c r="F151" s="1056" t="s">
        <v>386</v>
      </c>
      <c r="G151" s="1057" t="s">
        <v>1387</v>
      </c>
      <c r="H151" s="1099">
        <f>SUM(J151:L151)</f>
        <v>8000</v>
      </c>
      <c r="I151" s="1139"/>
      <c r="J151" s="1099">
        <v>8000</v>
      </c>
      <c r="K151" s="1099"/>
      <c r="L151" s="1099"/>
    </row>
    <row r="152" spans="2:12" ht="22.8" x14ac:dyDescent="0.2">
      <c r="B152" s="1056"/>
      <c r="C152" s="1056"/>
      <c r="D152" s="1056"/>
      <c r="E152" s="1101" t="s">
        <v>694</v>
      </c>
      <c r="F152" s="1056" t="s">
        <v>386</v>
      </c>
      <c r="G152" s="1057" t="s">
        <v>940</v>
      </c>
      <c r="H152" s="1099">
        <f t="shared" si="8"/>
        <v>15000</v>
      </c>
      <c r="I152" s="1139"/>
      <c r="J152" s="1099">
        <v>15000</v>
      </c>
      <c r="K152" s="1099"/>
      <c r="L152" s="1099"/>
    </row>
    <row r="153" spans="2:12" x14ac:dyDescent="0.2">
      <c r="B153" s="1056"/>
      <c r="C153" s="1056"/>
      <c r="D153" s="1056"/>
      <c r="E153" s="1101" t="s">
        <v>694</v>
      </c>
      <c r="F153" s="1056" t="s">
        <v>386</v>
      </c>
      <c r="G153" s="1057" t="s">
        <v>941</v>
      </c>
      <c r="H153" s="1099">
        <f t="shared" si="8"/>
        <v>1500</v>
      </c>
      <c r="I153" s="1139"/>
      <c r="J153" s="1099">
        <v>1500</v>
      </c>
      <c r="K153" s="1099"/>
      <c r="L153" s="1099"/>
    </row>
    <row r="154" spans="2:12" x14ac:dyDescent="0.2">
      <c r="B154" s="1056"/>
      <c r="C154" s="1056"/>
      <c r="D154" s="1056"/>
      <c r="E154" s="1101" t="s">
        <v>694</v>
      </c>
      <c r="F154" s="1056" t="s">
        <v>386</v>
      </c>
      <c r="G154" s="1057" t="s">
        <v>1665</v>
      </c>
      <c r="H154" s="1099">
        <f t="shared" si="8"/>
        <v>20000</v>
      </c>
      <c r="I154" s="1139"/>
      <c r="J154" s="1099">
        <v>20000</v>
      </c>
      <c r="K154" s="1099"/>
      <c r="L154" s="1099"/>
    </row>
    <row r="155" spans="2:12" x14ac:dyDescent="0.2">
      <c r="B155" s="1056"/>
      <c r="C155" s="1056"/>
      <c r="D155" s="1056"/>
      <c r="E155" s="1101" t="s">
        <v>694</v>
      </c>
      <c r="F155" s="1056" t="s">
        <v>386</v>
      </c>
      <c r="G155" s="1057" t="s">
        <v>680</v>
      </c>
      <c r="H155" s="1099">
        <f t="shared" si="8"/>
        <v>80000</v>
      </c>
      <c r="I155" s="1139"/>
      <c r="J155" s="1099">
        <v>80000</v>
      </c>
      <c r="K155" s="1099"/>
      <c r="L155" s="1099"/>
    </row>
    <row r="156" spans="2:12" x14ac:dyDescent="0.2">
      <c r="B156" s="1124"/>
      <c r="C156" s="1056"/>
      <c r="D156" s="1056"/>
      <c r="E156" s="1101" t="s">
        <v>694</v>
      </c>
      <c r="F156" s="1056" t="s">
        <v>386</v>
      </c>
      <c r="G156" s="1057" t="s">
        <v>942</v>
      </c>
      <c r="H156" s="1099">
        <f t="shared" si="8"/>
        <v>400</v>
      </c>
      <c r="I156" s="1139"/>
      <c r="J156" s="1099">
        <v>400</v>
      </c>
      <c r="K156" s="1099"/>
      <c r="L156" s="1099"/>
    </row>
    <row r="157" spans="2:12" x14ac:dyDescent="0.2">
      <c r="B157" s="1056"/>
      <c r="C157" s="1056"/>
      <c r="D157" s="1056"/>
      <c r="E157" s="1101" t="s">
        <v>694</v>
      </c>
      <c r="F157" s="1056" t="s">
        <v>386</v>
      </c>
      <c r="G157" s="1057" t="s">
        <v>943</v>
      </c>
      <c r="H157" s="1099">
        <f t="shared" si="8"/>
        <v>2000</v>
      </c>
      <c r="I157" s="1139"/>
      <c r="J157" s="1099">
        <v>2000</v>
      </c>
      <c r="K157" s="1099"/>
      <c r="L157" s="1099"/>
    </row>
    <row r="158" spans="2:12" x14ac:dyDescent="0.2">
      <c r="B158" s="1056"/>
      <c r="C158" s="1056"/>
      <c r="D158" s="1056"/>
      <c r="E158" s="1101" t="s">
        <v>694</v>
      </c>
      <c r="F158" s="1056" t="s">
        <v>386</v>
      </c>
      <c r="G158" s="1057" t="s">
        <v>944</v>
      </c>
      <c r="H158" s="1099">
        <f t="shared" si="8"/>
        <v>300</v>
      </c>
      <c r="I158" s="1139"/>
      <c r="J158" s="1099">
        <v>300</v>
      </c>
      <c r="K158" s="1099"/>
      <c r="L158" s="1099"/>
    </row>
    <row r="159" spans="2:12" x14ac:dyDescent="0.2">
      <c r="B159" s="1056"/>
      <c r="C159" s="1056"/>
      <c r="D159" s="1056"/>
      <c r="E159" s="1101" t="s">
        <v>694</v>
      </c>
      <c r="F159" s="1056" t="s">
        <v>386</v>
      </c>
      <c r="G159" s="1057" t="s">
        <v>945</v>
      </c>
      <c r="H159" s="1099">
        <f t="shared" si="8"/>
        <v>2000</v>
      </c>
      <c r="I159" s="1139"/>
      <c r="J159" s="1099">
        <v>2000</v>
      </c>
      <c r="K159" s="1099"/>
      <c r="L159" s="1099"/>
    </row>
    <row r="160" spans="2:12" x14ac:dyDescent="0.2">
      <c r="B160" s="1056"/>
      <c r="C160" s="1056"/>
      <c r="D160" s="1056"/>
      <c r="E160" s="1101" t="s">
        <v>694</v>
      </c>
      <c r="F160" s="1056" t="s">
        <v>386</v>
      </c>
      <c r="G160" s="1057" t="s">
        <v>946</v>
      </c>
      <c r="H160" s="1099">
        <f t="shared" si="8"/>
        <v>800</v>
      </c>
      <c r="I160" s="1139"/>
      <c r="J160" s="1099">
        <v>800</v>
      </c>
      <c r="K160" s="1099"/>
      <c r="L160" s="1099"/>
    </row>
    <row r="161" spans="2:13" x14ac:dyDescent="0.2">
      <c r="B161" s="1062"/>
      <c r="C161" s="1062"/>
      <c r="D161" s="1062"/>
      <c r="E161" s="1144"/>
      <c r="F161" s="1062"/>
      <c r="G161" s="1065" t="s">
        <v>165</v>
      </c>
      <c r="H161" s="1478"/>
      <c r="I161" s="1479"/>
      <c r="J161" s="1480"/>
      <c r="K161" s="1480"/>
      <c r="L161" s="1480"/>
    </row>
    <row r="162" spans="2:13" x14ac:dyDescent="0.2">
      <c r="B162" s="1056"/>
      <c r="C162" s="1056"/>
      <c r="D162" s="1056"/>
      <c r="E162" s="1101" t="s">
        <v>1101</v>
      </c>
      <c r="F162" s="1056" t="s">
        <v>1391</v>
      </c>
      <c r="G162" s="1064" t="s">
        <v>1084</v>
      </c>
      <c r="H162" s="1099">
        <f t="shared" si="8"/>
        <v>1320</v>
      </c>
      <c r="I162" s="1139"/>
      <c r="J162" s="1099">
        <v>1320</v>
      </c>
      <c r="K162" s="1099"/>
      <c r="L162" s="1099"/>
      <c r="M162" s="111"/>
    </row>
    <row r="163" spans="2:13" ht="23.4" x14ac:dyDescent="0.25">
      <c r="B163" s="1056"/>
      <c r="C163" s="1141"/>
      <c r="D163" s="1056"/>
      <c r="E163" s="1101" t="s">
        <v>1101</v>
      </c>
      <c r="F163" s="1056" t="s">
        <v>1391</v>
      </c>
      <c r="G163" s="1064" t="s">
        <v>1086</v>
      </c>
      <c r="H163" s="1099">
        <f t="shared" si="8"/>
        <v>1640</v>
      </c>
      <c r="I163" s="1139"/>
      <c r="J163" s="1099">
        <v>1640</v>
      </c>
      <c r="K163" s="1099"/>
      <c r="L163" s="1099"/>
      <c r="M163" s="111"/>
    </row>
    <row r="164" spans="2:13" x14ac:dyDescent="0.2">
      <c r="B164" s="1056"/>
      <c r="C164" s="1056"/>
      <c r="D164" s="1056"/>
      <c r="E164" s="1101" t="s">
        <v>1101</v>
      </c>
      <c r="F164" s="1056" t="s">
        <v>1391</v>
      </c>
      <c r="G164" s="1064" t="s">
        <v>1088</v>
      </c>
      <c r="H164" s="1099">
        <f t="shared" si="8"/>
        <v>1500</v>
      </c>
      <c r="I164" s="1139"/>
      <c r="J164" s="1099">
        <v>1500</v>
      </c>
      <c r="K164" s="1099"/>
      <c r="L164" s="1099"/>
      <c r="M164" s="111"/>
    </row>
    <row r="165" spans="2:13" x14ac:dyDescent="0.2">
      <c r="B165" s="1056"/>
      <c r="C165" s="1056"/>
      <c r="D165" s="1056"/>
      <c r="E165" s="1101" t="s">
        <v>1101</v>
      </c>
      <c r="F165" s="1056" t="s">
        <v>1391</v>
      </c>
      <c r="G165" s="1064" t="s">
        <v>1091</v>
      </c>
      <c r="H165" s="1099">
        <f t="shared" si="8"/>
        <v>3500</v>
      </c>
      <c r="I165" s="1139"/>
      <c r="J165" s="1099">
        <v>3500</v>
      </c>
      <c r="K165" s="1099"/>
      <c r="L165" s="1099"/>
      <c r="M165" s="111"/>
    </row>
    <row r="166" spans="2:13" x14ac:dyDescent="0.2">
      <c r="B166" s="1056"/>
      <c r="C166" s="1056"/>
      <c r="D166" s="1056"/>
      <c r="E166" s="1101" t="s">
        <v>1101</v>
      </c>
      <c r="F166" s="1056" t="s">
        <v>1391</v>
      </c>
      <c r="G166" s="1064" t="s">
        <v>1093</v>
      </c>
      <c r="H166" s="1099">
        <f t="shared" si="8"/>
        <v>2000</v>
      </c>
      <c r="I166" s="1139"/>
      <c r="J166" s="1099">
        <v>2000</v>
      </c>
      <c r="K166" s="1099"/>
      <c r="L166" s="1099"/>
      <c r="M166" s="111"/>
    </row>
    <row r="167" spans="2:13" x14ac:dyDescent="0.2">
      <c r="B167" s="1056"/>
      <c r="C167" s="1056"/>
      <c r="D167" s="1056"/>
      <c r="E167" s="1101" t="s">
        <v>1101</v>
      </c>
      <c r="F167" s="1056" t="s">
        <v>1391</v>
      </c>
      <c r="G167" s="1064" t="s">
        <v>1095</v>
      </c>
      <c r="H167" s="1099">
        <f t="shared" si="8"/>
        <v>2000</v>
      </c>
      <c r="I167" s="1139"/>
      <c r="J167" s="1099">
        <v>2000</v>
      </c>
      <c r="K167" s="1099"/>
      <c r="L167" s="1099"/>
      <c r="M167" s="111"/>
    </row>
    <row r="168" spans="2:13" x14ac:dyDescent="0.2">
      <c r="B168" s="1062"/>
      <c r="C168" s="1062"/>
      <c r="D168" s="1062"/>
      <c r="E168" s="1144"/>
      <c r="F168" s="1062"/>
      <c r="G168" s="1065" t="s">
        <v>1144</v>
      </c>
      <c r="H168" s="1478"/>
      <c r="I168" s="1479"/>
      <c r="J168" s="1480"/>
      <c r="K168" s="1480"/>
      <c r="L168" s="1480"/>
      <c r="M168" s="111"/>
    </row>
    <row r="169" spans="2:13" x14ac:dyDescent="0.2">
      <c r="B169" s="1056"/>
      <c r="C169" s="1056"/>
      <c r="D169" s="1056"/>
      <c r="E169" s="1101" t="s">
        <v>174</v>
      </c>
      <c r="F169" s="1056" t="s">
        <v>166</v>
      </c>
      <c r="G169" s="1064" t="s">
        <v>1145</v>
      </c>
      <c r="H169" s="1123">
        <f>SUM(J169:L169)</f>
        <v>400</v>
      </c>
      <c r="I169" s="1139"/>
      <c r="J169" s="1123">
        <v>400</v>
      </c>
      <c r="K169" s="1099"/>
      <c r="L169" s="1099"/>
    </row>
    <row r="170" spans="2:13" x14ac:dyDescent="0.2">
      <c r="B170" s="1056"/>
      <c r="C170" s="1056"/>
      <c r="D170" s="1056"/>
      <c r="E170" s="1101" t="s">
        <v>174</v>
      </c>
      <c r="F170" s="1056" t="s">
        <v>166</v>
      </c>
      <c r="G170" s="1064" t="s">
        <v>1146</v>
      </c>
      <c r="H170" s="1123">
        <f>SUM(J170:L170)</f>
        <v>1400</v>
      </c>
      <c r="I170" s="1139"/>
      <c r="J170" s="1123">
        <v>1400</v>
      </c>
      <c r="K170" s="1099"/>
      <c r="L170" s="1099"/>
    </row>
    <row r="171" spans="2:13" x14ac:dyDescent="0.2">
      <c r="B171" s="1056"/>
      <c r="C171" s="1056"/>
      <c r="D171" s="1056"/>
      <c r="E171" s="1101" t="s">
        <v>174</v>
      </c>
      <c r="F171" s="1056" t="s">
        <v>166</v>
      </c>
      <c r="G171" s="1064" t="s">
        <v>1147</v>
      </c>
      <c r="H171" s="1123">
        <f>SUM(J171:L171)</f>
        <v>1400</v>
      </c>
      <c r="I171" s="1139"/>
      <c r="J171" s="1123">
        <v>1400</v>
      </c>
      <c r="K171" s="1099"/>
      <c r="L171" s="1099"/>
    </row>
    <row r="172" spans="2:13" x14ac:dyDescent="0.2">
      <c r="B172" s="1056"/>
      <c r="C172" s="1056"/>
      <c r="D172" s="1056"/>
      <c r="E172" s="1101" t="s">
        <v>174</v>
      </c>
      <c r="F172" s="1056" t="s">
        <v>166</v>
      </c>
      <c r="G172" s="1064" t="s">
        <v>1148</v>
      </c>
      <c r="H172" s="1123">
        <f>SUM(J172:L172)</f>
        <v>300</v>
      </c>
      <c r="I172" s="1139"/>
      <c r="J172" s="1123">
        <v>300</v>
      </c>
      <c r="K172" s="1099"/>
      <c r="L172" s="1099"/>
    </row>
    <row r="173" spans="2:13" ht="22.8" x14ac:dyDescent="0.2">
      <c r="B173" s="1056"/>
      <c r="C173" s="1056"/>
      <c r="D173" s="1056"/>
      <c r="E173" s="1101" t="s">
        <v>174</v>
      </c>
      <c r="F173" s="1056" t="s">
        <v>166</v>
      </c>
      <c r="G173" s="1064" t="s">
        <v>1149</v>
      </c>
      <c r="H173" s="1123">
        <f>SUM(J173:L173)</f>
        <v>400</v>
      </c>
      <c r="I173" s="1139"/>
      <c r="J173" s="1123">
        <v>400</v>
      </c>
      <c r="K173" s="1099"/>
      <c r="L173" s="1099"/>
    </row>
    <row r="174" spans="2:13" ht="22.8" x14ac:dyDescent="0.2">
      <c r="B174" s="1056"/>
      <c r="C174" s="1056"/>
      <c r="D174" s="1056"/>
      <c r="E174" s="1101">
        <v>1010</v>
      </c>
      <c r="F174" s="1056" t="s">
        <v>95</v>
      </c>
      <c r="G174" s="1064" t="s">
        <v>1661</v>
      </c>
      <c r="H174" s="1123">
        <f t="shared" ref="H174:H177" si="9">SUM(J174:L174)</f>
        <v>0</v>
      </c>
      <c r="I174" s="1139"/>
      <c r="J174" s="1123">
        <f>102000-102000</f>
        <v>0</v>
      </c>
      <c r="K174" s="1099"/>
      <c r="L174" s="1099"/>
    </row>
    <row r="175" spans="2:13" x14ac:dyDescent="0.2">
      <c r="B175" s="1056"/>
      <c r="C175" s="1056"/>
      <c r="D175" s="1056"/>
      <c r="E175" s="1101">
        <v>1010</v>
      </c>
      <c r="F175" s="1056" t="s">
        <v>95</v>
      </c>
      <c r="G175" s="1064" t="s">
        <v>1662</v>
      </c>
      <c r="H175" s="1123">
        <f t="shared" si="9"/>
        <v>0</v>
      </c>
      <c r="I175" s="1139"/>
      <c r="J175" s="1123">
        <f>72000-72000</f>
        <v>0</v>
      </c>
      <c r="K175" s="1099"/>
      <c r="L175" s="1099"/>
    </row>
    <row r="176" spans="2:13" ht="22.8" x14ac:dyDescent="0.2">
      <c r="B176" s="1056"/>
      <c r="C176" s="1056"/>
      <c r="D176" s="1056"/>
      <c r="E176" s="1101">
        <v>1010</v>
      </c>
      <c r="F176" s="1056" t="s">
        <v>95</v>
      </c>
      <c r="G176" s="1064" t="s">
        <v>1663</v>
      </c>
      <c r="H176" s="1123">
        <f t="shared" si="9"/>
        <v>0</v>
      </c>
      <c r="I176" s="1139"/>
      <c r="J176" s="1123">
        <f>50000-50000</f>
        <v>0</v>
      </c>
      <c r="K176" s="1099"/>
      <c r="L176" s="1099"/>
    </row>
    <row r="177" spans="2:17" ht="22.8" x14ac:dyDescent="0.2">
      <c r="B177" s="1056"/>
      <c r="C177" s="1056"/>
      <c r="D177" s="1056"/>
      <c r="E177" s="1101">
        <v>1010</v>
      </c>
      <c r="F177" s="1056" t="s">
        <v>95</v>
      </c>
      <c r="G177" s="1064" t="s">
        <v>1666</v>
      </c>
      <c r="H177" s="1123">
        <f t="shared" si="9"/>
        <v>80000</v>
      </c>
      <c r="I177" s="1139"/>
      <c r="J177" s="1123">
        <f>1000*20*4</f>
        <v>80000</v>
      </c>
      <c r="K177" s="1099"/>
      <c r="L177" s="1099"/>
    </row>
    <row r="178" spans="2:17" x14ac:dyDescent="0.2">
      <c r="B178" s="1056"/>
      <c r="C178" s="1057"/>
      <c r="D178" s="1057"/>
      <c r="E178" s="1100" t="s">
        <v>697</v>
      </c>
      <c r="F178" s="1056" t="s">
        <v>1392</v>
      </c>
      <c r="G178" s="1057"/>
      <c r="H178" s="1123"/>
      <c r="I178" s="1475"/>
      <c r="J178" s="1474"/>
      <c r="K178" s="1099"/>
      <c r="L178" s="1474"/>
    </row>
    <row r="179" spans="2:17" ht="12" x14ac:dyDescent="0.25">
      <c r="C179" s="279"/>
      <c r="D179" s="279"/>
      <c r="E179" s="1061"/>
      <c r="F179" s="1061"/>
      <c r="G179" s="1068" t="s">
        <v>1570</v>
      </c>
      <c r="H179" s="1481">
        <f>SUM(H83:H178)</f>
        <v>4220382.0999999996</v>
      </c>
      <c r="I179" s="1482"/>
      <c r="J179" s="1481">
        <f t="shared" ref="J179:L179" si="10">SUM(J83:J178)</f>
        <v>2124131.1</v>
      </c>
      <c r="K179" s="1481">
        <f>SUM(K83:K178)</f>
        <v>695984</v>
      </c>
      <c r="L179" s="1481">
        <f t="shared" si="10"/>
        <v>1400267</v>
      </c>
      <c r="N179" s="111"/>
    </row>
    <row r="180" spans="2:17" ht="12" x14ac:dyDescent="0.25">
      <c r="C180" s="279"/>
      <c r="D180" s="279"/>
      <c r="E180" s="1061"/>
      <c r="F180" s="1061"/>
      <c r="G180" s="1505"/>
      <c r="H180" s="1505"/>
      <c r="I180" s="1505"/>
      <c r="J180" s="1505"/>
      <c r="K180" s="1505"/>
      <c r="L180" s="1505"/>
      <c r="N180" s="111"/>
    </row>
    <row r="181" spans="2:17" ht="12" x14ac:dyDescent="0.25">
      <c r="C181" s="279"/>
      <c r="D181" s="279"/>
      <c r="E181" s="1061"/>
      <c r="F181" s="1061"/>
      <c r="G181" s="1505"/>
      <c r="H181" s="1505"/>
      <c r="I181" s="1505"/>
      <c r="J181" s="1505"/>
      <c r="K181" s="1505"/>
      <c r="L181" s="1505"/>
      <c r="N181" s="111"/>
    </row>
    <row r="182" spans="2:17" ht="12" x14ac:dyDescent="0.25">
      <c r="E182" s="106" t="s">
        <v>1626</v>
      </c>
      <c r="G182" s="109" t="s">
        <v>1654</v>
      </c>
      <c r="H182" s="464"/>
      <c r="I182" s="1139"/>
      <c r="J182" s="464"/>
      <c r="K182" s="464"/>
      <c r="L182" s="464"/>
      <c r="M182" s="111"/>
    </row>
    <row r="183" spans="2:17" ht="12" x14ac:dyDescent="0.25">
      <c r="B183" s="1515" t="s">
        <v>389</v>
      </c>
      <c r="C183" s="1515" t="s">
        <v>290</v>
      </c>
      <c r="D183" s="1515" t="s">
        <v>291</v>
      </c>
      <c r="E183" s="1515" t="s">
        <v>1408</v>
      </c>
      <c r="F183" s="1515" t="s">
        <v>1363</v>
      </c>
      <c r="G183" s="1516" t="s">
        <v>1364</v>
      </c>
      <c r="H183" s="1518" t="s">
        <v>650</v>
      </c>
      <c r="I183" s="1473"/>
      <c r="J183" s="1514" t="s">
        <v>1373</v>
      </c>
      <c r="K183" s="1514"/>
      <c r="L183" s="1514"/>
    </row>
    <row r="184" spans="2:17" ht="24" x14ac:dyDescent="0.25">
      <c r="B184" s="1515"/>
      <c r="C184" s="1515"/>
      <c r="D184" s="1515"/>
      <c r="E184" s="1515"/>
      <c r="F184" s="1515"/>
      <c r="G184" s="1517"/>
      <c r="H184" s="1518"/>
      <c r="I184" s="1473"/>
      <c r="J184" s="1350" t="s">
        <v>185</v>
      </c>
      <c r="K184" s="1350" t="s">
        <v>649</v>
      </c>
      <c r="L184" s="1481" t="s">
        <v>390</v>
      </c>
    </row>
    <row r="185" spans="2:17" ht="25.2" customHeight="1" x14ac:dyDescent="0.2">
      <c r="B185" s="1056"/>
      <c r="C185" s="1057"/>
      <c r="D185" s="1057"/>
      <c r="E185" s="1100" t="s">
        <v>652</v>
      </c>
      <c r="F185" s="1056" t="s">
        <v>562</v>
      </c>
      <c r="G185" s="1057" t="s">
        <v>1158</v>
      </c>
      <c r="H185" s="1506">
        <f>SUM(J185:L185)</f>
        <v>8000</v>
      </c>
      <c r="I185" s="1475"/>
      <c r="J185" s="1506">
        <v>8000</v>
      </c>
      <c r="K185" s="1474"/>
      <c r="L185" s="1474"/>
      <c r="Q185">
        <v>8000</v>
      </c>
    </row>
    <row r="186" spans="2:17" ht="22.8" x14ac:dyDescent="0.2">
      <c r="B186" s="1056"/>
      <c r="C186" s="1057"/>
      <c r="D186" s="1057"/>
      <c r="E186" s="1100" t="s">
        <v>652</v>
      </c>
      <c r="F186" s="1056" t="s">
        <v>562</v>
      </c>
      <c r="G186" s="1057" t="s">
        <v>1343</v>
      </c>
      <c r="H186" s="1474">
        <f t="shared" ref="H186:H209" si="11">SUM(J186:L186)</f>
        <v>0</v>
      </c>
      <c r="I186" s="1475"/>
      <c r="J186" s="1474">
        <f>10000-10000</f>
        <v>0</v>
      </c>
      <c r="K186" s="1474"/>
      <c r="L186" s="1474"/>
      <c r="Q186">
        <v>10000</v>
      </c>
    </row>
    <row r="187" spans="2:17" x14ac:dyDescent="0.2">
      <c r="B187" s="1056"/>
      <c r="C187" s="1057"/>
      <c r="D187" s="1057"/>
      <c r="E187" s="1100" t="s">
        <v>169</v>
      </c>
      <c r="F187" s="1056" t="s">
        <v>158</v>
      </c>
      <c r="G187" s="1111" t="s">
        <v>280</v>
      </c>
      <c r="H187" s="1474">
        <f t="shared" si="11"/>
        <v>1000</v>
      </c>
      <c r="I187" s="1475"/>
      <c r="J187" s="1474">
        <f>1000-1000</f>
        <v>0</v>
      </c>
      <c r="K187" s="1474">
        <v>1000</v>
      </c>
      <c r="L187" s="1474"/>
      <c r="Q187">
        <v>1000</v>
      </c>
    </row>
    <row r="188" spans="2:17" ht="34.200000000000003" x14ac:dyDescent="0.2">
      <c r="B188" s="1124" t="s">
        <v>1585</v>
      </c>
      <c r="C188" s="1056"/>
      <c r="D188" s="1056"/>
      <c r="E188" s="1101" t="s">
        <v>170</v>
      </c>
      <c r="F188" s="1056" t="s">
        <v>1365</v>
      </c>
      <c r="G188" s="1057" t="s">
        <v>1547</v>
      </c>
      <c r="H188" s="1483">
        <f t="shared" ref="H188" si="12">SUM(J188:L188)</f>
        <v>0</v>
      </c>
      <c r="I188" s="1139"/>
      <c r="J188" s="1099">
        <f>17000+18000-35000</f>
        <v>0</v>
      </c>
      <c r="K188" s="1099"/>
      <c r="L188" s="1099"/>
      <c r="Q188">
        <v>35000</v>
      </c>
    </row>
    <row r="189" spans="2:17" x14ac:dyDescent="0.2">
      <c r="B189" s="1056"/>
      <c r="C189" s="1056"/>
      <c r="D189" s="1056"/>
      <c r="E189" s="1101" t="s">
        <v>171</v>
      </c>
      <c r="F189" s="1056" t="s">
        <v>1384</v>
      </c>
      <c r="G189" s="1056" t="s">
        <v>609</v>
      </c>
      <c r="H189" s="1474">
        <f>SUM(J189:L189)</f>
        <v>29874.9</v>
      </c>
      <c r="I189" s="1139"/>
      <c r="J189" s="1507">
        <v>29874.9</v>
      </c>
      <c r="K189" s="1099"/>
      <c r="L189" s="1099"/>
      <c r="M189" s="111"/>
      <c r="Q189">
        <v>29874.9</v>
      </c>
    </row>
    <row r="190" spans="2:17" x14ac:dyDescent="0.2">
      <c r="B190" s="1056"/>
      <c r="C190" s="1056"/>
      <c r="D190" s="1056"/>
      <c r="E190" s="1101" t="s">
        <v>171</v>
      </c>
      <c r="F190" s="1056" t="s">
        <v>1384</v>
      </c>
      <c r="G190" s="1056" t="s">
        <v>1282</v>
      </c>
      <c r="H190" s="1474">
        <f t="shared" si="11"/>
        <v>0</v>
      </c>
      <c r="I190" s="1139"/>
      <c r="J190" s="1099">
        <f>7048.25-7048.25</f>
        <v>0</v>
      </c>
      <c r="K190" s="1099"/>
      <c r="L190" s="1099"/>
      <c r="Q190">
        <v>7048.25</v>
      </c>
    </row>
    <row r="191" spans="2:17" x14ac:dyDescent="0.2">
      <c r="B191" s="1056"/>
      <c r="C191" s="1056"/>
      <c r="D191" s="1056"/>
      <c r="E191" s="1101" t="s">
        <v>171</v>
      </c>
      <c r="F191" s="1056" t="s">
        <v>1384</v>
      </c>
      <c r="G191" s="1056" t="s">
        <v>1038</v>
      </c>
      <c r="H191" s="1474">
        <f t="shared" si="11"/>
        <v>0</v>
      </c>
      <c r="I191" s="1139"/>
      <c r="J191" s="1123">
        <f>22723-22723</f>
        <v>0</v>
      </c>
      <c r="K191" s="1099"/>
      <c r="L191" s="1099"/>
      <c r="Q191">
        <v>22723</v>
      </c>
    </row>
    <row r="192" spans="2:17" ht="22.8" x14ac:dyDescent="0.2">
      <c r="B192" s="1056"/>
      <c r="C192" s="1056"/>
      <c r="D192" s="1056"/>
      <c r="E192" s="1101" t="s">
        <v>701</v>
      </c>
      <c r="F192" s="1056" t="s">
        <v>89</v>
      </c>
      <c r="G192" s="1057" t="s">
        <v>1586</v>
      </c>
      <c r="H192" s="1474">
        <f t="shared" si="11"/>
        <v>10000</v>
      </c>
      <c r="I192" s="1139"/>
      <c r="J192" s="1507">
        <f>20000-5000-5000</f>
        <v>10000</v>
      </c>
      <c r="K192" s="1099"/>
      <c r="L192" s="1099"/>
      <c r="Q192">
        <v>20000</v>
      </c>
    </row>
    <row r="193" spans="2:17" x14ac:dyDescent="0.2">
      <c r="B193" s="1062"/>
      <c r="C193" s="1062"/>
      <c r="D193" s="1062"/>
      <c r="E193" s="1486"/>
      <c r="F193" s="1062"/>
      <c r="G193" s="1065" t="s">
        <v>165</v>
      </c>
      <c r="H193" s="1478"/>
      <c r="I193" s="1479"/>
      <c r="J193" s="1480"/>
      <c r="K193" s="1480"/>
      <c r="L193" s="1480"/>
    </row>
    <row r="194" spans="2:17" x14ac:dyDescent="0.2">
      <c r="B194" s="1056"/>
      <c r="C194" s="1056"/>
      <c r="D194" s="1056"/>
      <c r="E194" s="1101" t="s">
        <v>701</v>
      </c>
      <c r="F194" s="1056" t="s">
        <v>89</v>
      </c>
      <c r="G194" s="1064" t="s">
        <v>808</v>
      </c>
      <c r="H194" s="1099">
        <f t="shared" si="11"/>
        <v>864</v>
      </c>
      <c r="I194" s="1139"/>
      <c r="J194" s="1507">
        <v>864</v>
      </c>
      <c r="K194" s="1099"/>
      <c r="L194" s="1099"/>
      <c r="Q194">
        <v>864</v>
      </c>
    </row>
    <row r="195" spans="2:17" ht="22.8" x14ac:dyDescent="0.2">
      <c r="B195" s="1056"/>
      <c r="C195" s="1056"/>
      <c r="D195" s="1056"/>
      <c r="E195" s="1101" t="s">
        <v>701</v>
      </c>
      <c r="F195" s="1056" t="s">
        <v>89</v>
      </c>
      <c r="G195" s="1064" t="s">
        <v>1490</v>
      </c>
      <c r="H195" s="1099">
        <f t="shared" si="11"/>
        <v>3708</v>
      </c>
      <c r="I195" s="1139"/>
      <c r="J195" s="1507">
        <v>3708</v>
      </c>
      <c r="K195" s="1099"/>
      <c r="L195" s="1099"/>
      <c r="Q195">
        <v>3708</v>
      </c>
    </row>
    <row r="196" spans="2:17" x14ac:dyDescent="0.2">
      <c r="B196" s="1056"/>
      <c r="C196" s="1056"/>
      <c r="D196" s="1056"/>
      <c r="E196" s="1101" t="s">
        <v>701</v>
      </c>
      <c r="F196" s="1056" t="s">
        <v>89</v>
      </c>
      <c r="G196" s="1064" t="s">
        <v>809</v>
      </c>
      <c r="H196" s="1099">
        <f t="shared" si="11"/>
        <v>460</v>
      </c>
      <c r="I196" s="1139"/>
      <c r="J196" s="1507">
        <v>460</v>
      </c>
      <c r="K196" s="1099"/>
      <c r="L196" s="1099"/>
      <c r="Q196">
        <v>460</v>
      </c>
    </row>
    <row r="197" spans="2:17" x14ac:dyDescent="0.2">
      <c r="B197" s="1056"/>
      <c r="C197" s="1056"/>
      <c r="D197" s="1056"/>
      <c r="E197" s="1101" t="s">
        <v>701</v>
      </c>
      <c r="F197" s="1056" t="s">
        <v>89</v>
      </c>
      <c r="G197" s="1064" t="s">
        <v>810</v>
      </c>
      <c r="H197" s="1099">
        <f t="shared" si="11"/>
        <v>430</v>
      </c>
      <c r="I197" s="1139"/>
      <c r="J197" s="1507">
        <v>430</v>
      </c>
      <c r="K197" s="1099"/>
      <c r="L197" s="1099"/>
      <c r="Q197">
        <v>430</v>
      </c>
    </row>
    <row r="198" spans="2:17" x14ac:dyDescent="0.2">
      <c r="B198" s="1056"/>
      <c r="C198" s="1056"/>
      <c r="D198" s="1056"/>
      <c r="E198" s="1101" t="s">
        <v>701</v>
      </c>
      <c r="F198" s="1056" t="s">
        <v>89</v>
      </c>
      <c r="G198" s="1064" t="s">
        <v>811</v>
      </c>
      <c r="H198" s="1099">
        <f t="shared" si="11"/>
        <v>0</v>
      </c>
      <c r="I198" s="1139"/>
      <c r="J198" s="1099">
        <f>360-360</f>
        <v>0</v>
      </c>
      <c r="K198" s="1099"/>
      <c r="L198" s="1099"/>
      <c r="Q198">
        <v>360</v>
      </c>
    </row>
    <row r="199" spans="2:17" x14ac:dyDescent="0.2">
      <c r="B199" s="1056"/>
      <c r="C199" s="1056"/>
      <c r="D199" s="1056"/>
      <c r="E199" s="1101" t="s">
        <v>701</v>
      </c>
      <c r="F199" s="1056" t="s">
        <v>89</v>
      </c>
      <c r="G199" s="1064" t="s">
        <v>1579</v>
      </c>
      <c r="H199" s="1099">
        <f t="shared" si="11"/>
        <v>0</v>
      </c>
      <c r="I199" s="1139"/>
      <c r="J199" s="1099">
        <f>2498-2498</f>
        <v>0</v>
      </c>
      <c r="K199" s="1099"/>
      <c r="L199" s="1099"/>
      <c r="Q199">
        <v>2498</v>
      </c>
    </row>
    <row r="200" spans="2:17" ht="22.8" x14ac:dyDescent="0.2">
      <c r="B200" s="1056"/>
      <c r="C200" s="1056"/>
      <c r="D200" s="1056"/>
      <c r="E200" s="1101" t="s">
        <v>694</v>
      </c>
      <c r="F200" s="1056" t="s">
        <v>386</v>
      </c>
      <c r="G200" s="1057" t="s">
        <v>947</v>
      </c>
      <c r="H200" s="1099">
        <f t="shared" si="11"/>
        <v>5000</v>
      </c>
      <c r="I200" s="1139"/>
      <c r="J200" s="1507">
        <v>5000</v>
      </c>
      <c r="K200" s="1099"/>
      <c r="L200" s="1099"/>
      <c r="Q200">
        <v>5000</v>
      </c>
    </row>
    <row r="201" spans="2:17" x14ac:dyDescent="0.2">
      <c r="B201" s="1056"/>
      <c r="C201" s="1056"/>
      <c r="D201" s="1056"/>
      <c r="E201" s="1101" t="s">
        <v>172</v>
      </c>
      <c r="F201" s="1056" t="s">
        <v>92</v>
      </c>
      <c r="G201" s="1057" t="s">
        <v>1393</v>
      </c>
      <c r="H201" s="1099">
        <f t="shared" si="11"/>
        <v>4000</v>
      </c>
      <c r="I201" s="1139"/>
      <c r="J201" s="1507">
        <v>4000</v>
      </c>
      <c r="K201" s="1099"/>
      <c r="L201" s="1099"/>
      <c r="Q201">
        <v>4000</v>
      </c>
    </row>
    <row r="202" spans="2:17" x14ac:dyDescent="0.2">
      <c r="B202" s="1056"/>
      <c r="C202" s="1056"/>
      <c r="D202" s="1056"/>
      <c r="E202" s="1101" t="s">
        <v>559</v>
      </c>
      <c r="F202" s="1056" t="s">
        <v>391</v>
      </c>
      <c r="G202" s="1057" t="s">
        <v>1040</v>
      </c>
      <c r="H202" s="1099">
        <f t="shared" si="11"/>
        <v>0</v>
      </c>
      <c r="I202" s="1139"/>
      <c r="J202" s="1099">
        <f>10000-10000</f>
        <v>0</v>
      </c>
      <c r="K202" s="1099"/>
      <c r="L202" s="1099"/>
      <c r="Q202">
        <v>10000</v>
      </c>
    </row>
    <row r="203" spans="2:17" x14ac:dyDescent="0.2">
      <c r="B203" s="1124" t="s">
        <v>1587</v>
      </c>
      <c r="C203" s="1056"/>
      <c r="D203" s="1056"/>
      <c r="E203" s="1101" t="s">
        <v>559</v>
      </c>
      <c r="F203" s="1056" t="s">
        <v>391</v>
      </c>
      <c r="G203" s="1057" t="s">
        <v>1041</v>
      </c>
      <c r="H203" s="1361">
        <f t="shared" si="11"/>
        <v>1000</v>
      </c>
      <c r="I203" s="1139"/>
      <c r="J203" s="1507">
        <f>10128-9128</f>
        <v>1000</v>
      </c>
      <c r="K203" s="1099"/>
      <c r="L203" s="1099"/>
      <c r="Q203">
        <v>10128</v>
      </c>
    </row>
    <row r="204" spans="2:17" ht="22.8" x14ac:dyDescent="0.2">
      <c r="B204" s="1124" t="s">
        <v>1588</v>
      </c>
      <c r="C204" s="1056"/>
      <c r="D204" s="1056"/>
      <c r="E204" s="1101" t="s">
        <v>663</v>
      </c>
      <c r="F204" s="1056" t="s">
        <v>1394</v>
      </c>
      <c r="G204" s="1057" t="s">
        <v>1042</v>
      </c>
      <c r="H204" s="1099">
        <f t="shared" si="11"/>
        <v>0</v>
      </c>
      <c r="I204" s="1139"/>
      <c r="J204" s="1099">
        <f>504-504</f>
        <v>0</v>
      </c>
      <c r="K204" s="1099"/>
      <c r="L204" s="1099"/>
      <c r="Q204">
        <v>504</v>
      </c>
    </row>
    <row r="205" spans="2:17" ht="22.8" x14ac:dyDescent="0.2">
      <c r="B205" s="1124" t="s">
        <v>1588</v>
      </c>
      <c r="C205" s="1056"/>
      <c r="D205" s="1056"/>
      <c r="E205" s="1101" t="s">
        <v>663</v>
      </c>
      <c r="F205" s="1056" t="s">
        <v>1394</v>
      </c>
      <c r="G205" s="1057" t="s">
        <v>1043</v>
      </c>
      <c r="H205" s="1099">
        <f t="shared" si="11"/>
        <v>0</v>
      </c>
      <c r="I205" s="1139"/>
      <c r="J205" s="1099">
        <f>578-578</f>
        <v>0</v>
      </c>
      <c r="K205" s="1099"/>
      <c r="L205" s="1099"/>
      <c r="Q205">
        <v>578</v>
      </c>
    </row>
    <row r="206" spans="2:17" ht="22.8" x14ac:dyDescent="0.2">
      <c r="B206" s="1124" t="s">
        <v>1588</v>
      </c>
      <c r="C206" s="1056"/>
      <c r="D206" s="1056"/>
      <c r="E206" s="1101" t="s">
        <v>663</v>
      </c>
      <c r="F206" s="1056" t="s">
        <v>1394</v>
      </c>
      <c r="G206" s="1057" t="s">
        <v>1044</v>
      </c>
      <c r="H206" s="1099">
        <f t="shared" si="11"/>
        <v>0</v>
      </c>
      <c r="I206" s="1139"/>
      <c r="J206" s="1099">
        <f>2352-2352</f>
        <v>0</v>
      </c>
      <c r="K206" s="1099"/>
      <c r="L206" s="1099"/>
      <c r="Q206">
        <v>2352</v>
      </c>
    </row>
    <row r="207" spans="2:17" ht="21.6" x14ac:dyDescent="0.2">
      <c r="B207" s="1124" t="s">
        <v>1588</v>
      </c>
      <c r="C207" s="1056"/>
      <c r="D207" s="1056"/>
      <c r="E207" s="1101" t="s">
        <v>663</v>
      </c>
      <c r="F207" s="1056" t="s">
        <v>1394</v>
      </c>
      <c r="G207" s="1057" t="s">
        <v>1045</v>
      </c>
      <c r="H207" s="1099">
        <f t="shared" si="11"/>
        <v>0</v>
      </c>
      <c r="I207" s="1139"/>
      <c r="J207" s="1099">
        <f>2*480-960</f>
        <v>0</v>
      </c>
      <c r="K207" s="1099"/>
      <c r="L207" s="1099"/>
      <c r="Q207">
        <v>960</v>
      </c>
    </row>
    <row r="208" spans="2:17" ht="22.8" x14ac:dyDescent="0.2">
      <c r="B208" s="1056"/>
      <c r="C208" s="1056"/>
      <c r="D208" s="1056"/>
      <c r="E208" s="1101" t="s">
        <v>663</v>
      </c>
      <c r="F208" s="1056" t="s">
        <v>1394</v>
      </c>
      <c r="G208" s="1057" t="s">
        <v>1589</v>
      </c>
      <c r="H208" s="1123">
        <f t="shared" ref="H208" si="13">SUM(J208:L208)</f>
        <v>13500</v>
      </c>
      <c r="I208" s="1139"/>
      <c r="J208" s="1507">
        <v>13500</v>
      </c>
      <c r="K208" s="1099"/>
      <c r="L208" s="1099"/>
      <c r="Q208">
        <v>13500</v>
      </c>
    </row>
    <row r="209" spans="2:20" x14ac:dyDescent="0.2">
      <c r="B209" s="1056"/>
      <c r="C209" s="1056"/>
      <c r="D209" s="1056"/>
      <c r="E209" s="1101" t="s">
        <v>173</v>
      </c>
      <c r="F209" s="1056" t="s">
        <v>1409</v>
      </c>
      <c r="G209" s="1057" t="s">
        <v>1267</v>
      </c>
      <c r="H209" s="1099">
        <f t="shared" si="11"/>
        <v>21500</v>
      </c>
      <c r="I209" s="1139"/>
      <c r="J209" s="1099">
        <v>21500</v>
      </c>
      <c r="K209" s="1099"/>
      <c r="L209" s="1099"/>
      <c r="Q209">
        <v>21500</v>
      </c>
    </row>
    <row r="210" spans="2:20" x14ac:dyDescent="0.2">
      <c r="B210" s="1056"/>
      <c r="C210" s="1056"/>
      <c r="D210" s="1056"/>
      <c r="E210" s="1101" t="s">
        <v>173</v>
      </c>
      <c r="F210" s="1056" t="s">
        <v>1409</v>
      </c>
      <c r="G210" s="1057" t="s">
        <v>1046</v>
      </c>
      <c r="H210" s="1099">
        <f t="shared" ref="H210:H224" si="14">SUM(J210:L210)</f>
        <v>22000</v>
      </c>
      <c r="I210" s="1139"/>
      <c r="J210" s="1099">
        <v>22000</v>
      </c>
      <c r="K210" s="1099"/>
      <c r="L210" s="1099"/>
      <c r="Q210">
        <v>22000</v>
      </c>
    </row>
    <row r="211" spans="2:20" x14ac:dyDescent="0.2">
      <c r="B211" s="1056"/>
      <c r="C211" s="1056"/>
      <c r="D211" s="1056"/>
      <c r="E211" s="1101" t="s">
        <v>173</v>
      </c>
      <c r="F211" s="1056" t="s">
        <v>1409</v>
      </c>
      <c r="G211" s="1057" t="s">
        <v>1047</v>
      </c>
      <c r="H211" s="1099">
        <f t="shared" si="14"/>
        <v>18300</v>
      </c>
      <c r="I211" s="1139"/>
      <c r="J211" s="1099">
        <v>18300</v>
      </c>
      <c r="K211" s="1099"/>
      <c r="L211" s="1099"/>
      <c r="Q211">
        <v>18300</v>
      </c>
    </row>
    <row r="212" spans="2:20" x14ac:dyDescent="0.2">
      <c r="B212" s="1056"/>
      <c r="C212" s="1056"/>
      <c r="D212" s="1056"/>
      <c r="E212" s="1101" t="s">
        <v>173</v>
      </c>
      <c r="F212" s="1056" t="s">
        <v>1409</v>
      </c>
      <c r="G212" s="1057" t="s">
        <v>1265</v>
      </c>
      <c r="H212" s="1099">
        <f t="shared" si="14"/>
        <v>0</v>
      </c>
      <c r="I212" s="1139"/>
      <c r="J212" s="1099">
        <f>11222-11222</f>
        <v>0</v>
      </c>
      <c r="K212" s="1099"/>
      <c r="L212" s="1099"/>
      <c r="Q212">
        <v>11222</v>
      </c>
    </row>
    <row r="213" spans="2:20" s="110" customFormat="1" x14ac:dyDescent="0.2">
      <c r="B213" s="1137"/>
      <c r="C213" s="1137"/>
      <c r="D213" s="1137"/>
      <c r="E213" s="1101" t="s">
        <v>173</v>
      </c>
      <c r="F213" s="1137" t="s">
        <v>1409</v>
      </c>
      <c r="G213" s="1111" t="s">
        <v>1266</v>
      </c>
      <c r="H213" s="1361">
        <f t="shared" si="14"/>
        <v>0</v>
      </c>
      <c r="I213" s="1139"/>
      <c r="J213" s="1099">
        <f>12902-12902</f>
        <v>0</v>
      </c>
      <c r="K213" s="1099"/>
      <c r="L213" s="1099"/>
      <c r="M213"/>
      <c r="N213"/>
      <c r="O213"/>
      <c r="P213"/>
      <c r="Q213">
        <v>0</v>
      </c>
      <c r="R213"/>
      <c r="S213"/>
      <c r="T213"/>
    </row>
    <row r="214" spans="2:20" x14ac:dyDescent="0.2">
      <c r="B214" s="1056"/>
      <c r="C214" s="1056"/>
      <c r="D214" s="1056"/>
      <c r="E214" s="1101" t="s">
        <v>173</v>
      </c>
      <c r="F214" s="1056" t="s">
        <v>1409</v>
      </c>
      <c r="G214" s="1057" t="s">
        <v>619</v>
      </c>
      <c r="H214" s="1099">
        <f t="shared" si="14"/>
        <v>0</v>
      </c>
      <c r="I214" s="1139"/>
      <c r="J214" s="1099">
        <f>20000-20000</f>
        <v>0</v>
      </c>
      <c r="K214" s="1099"/>
      <c r="L214" s="1099"/>
      <c r="M214" s="110" t="s">
        <v>661</v>
      </c>
      <c r="N214" s="110"/>
      <c r="O214" s="110"/>
      <c r="P214" s="110"/>
      <c r="Q214" s="110">
        <v>20000</v>
      </c>
      <c r="R214" s="110"/>
      <c r="S214" s="110"/>
      <c r="T214" s="110"/>
    </row>
    <row r="215" spans="2:20" x14ac:dyDescent="0.2">
      <c r="B215" s="1056"/>
      <c r="C215" s="1056"/>
      <c r="D215" s="1056"/>
      <c r="E215" s="1101" t="s">
        <v>173</v>
      </c>
      <c r="F215" s="1056" t="s">
        <v>1409</v>
      </c>
      <c r="G215" s="1057" t="s">
        <v>1590</v>
      </c>
      <c r="H215" s="1099">
        <f t="shared" si="14"/>
        <v>0</v>
      </c>
      <c r="I215" s="1139"/>
      <c r="J215" s="1099">
        <f>20000-20000</f>
        <v>0</v>
      </c>
      <c r="K215" s="1099"/>
      <c r="L215" s="1099"/>
      <c r="Q215">
        <v>20000</v>
      </c>
    </row>
    <row r="216" spans="2:20" x14ac:dyDescent="0.2">
      <c r="B216" s="1056"/>
      <c r="C216" s="1056"/>
      <c r="D216" s="1056"/>
      <c r="E216" s="1101" t="s">
        <v>173</v>
      </c>
      <c r="F216" s="1056" t="s">
        <v>1409</v>
      </c>
      <c r="G216" s="1057" t="s">
        <v>1048</v>
      </c>
      <c r="H216" s="1099">
        <f t="shared" si="14"/>
        <v>0</v>
      </c>
      <c r="I216" s="1139"/>
      <c r="J216" s="1099">
        <f>30000-30000</f>
        <v>0</v>
      </c>
      <c r="K216" s="1099"/>
      <c r="L216" s="1099"/>
      <c r="Q216">
        <v>30000</v>
      </c>
    </row>
    <row r="217" spans="2:20" ht="11.4" customHeight="1" x14ac:dyDescent="0.2">
      <c r="B217" s="1056"/>
      <c r="C217" s="1056"/>
      <c r="D217" s="1056"/>
      <c r="E217" s="1101" t="s">
        <v>189</v>
      </c>
      <c r="F217" s="1056" t="s">
        <v>190</v>
      </c>
      <c r="G217" s="1079" t="s">
        <v>1438</v>
      </c>
      <c r="H217" s="1099">
        <f t="shared" si="14"/>
        <v>1000</v>
      </c>
      <c r="I217" s="1139"/>
      <c r="J217" s="1099">
        <v>1000</v>
      </c>
      <c r="K217" s="1099"/>
      <c r="L217" s="1099"/>
      <c r="Q217">
        <v>1000</v>
      </c>
    </row>
    <row r="218" spans="2:20" x14ac:dyDescent="0.2">
      <c r="B218" s="1056"/>
      <c r="C218" s="1056"/>
      <c r="D218" s="1056"/>
      <c r="E218" s="1101" t="s">
        <v>189</v>
      </c>
      <c r="F218" s="1056" t="s">
        <v>190</v>
      </c>
      <c r="G218" s="1079" t="s">
        <v>620</v>
      </c>
      <c r="H218" s="1099">
        <f t="shared" si="14"/>
        <v>2000</v>
      </c>
      <c r="I218" s="1139"/>
      <c r="J218" s="1099">
        <v>2000</v>
      </c>
      <c r="K218" s="1099"/>
      <c r="L218" s="1099"/>
      <c r="Q218">
        <v>2000</v>
      </c>
    </row>
    <row r="219" spans="2:20" x14ac:dyDescent="0.2">
      <c r="B219" s="1056"/>
      <c r="C219" s="1056"/>
      <c r="D219" s="1056"/>
      <c r="E219" s="1101" t="s">
        <v>174</v>
      </c>
      <c r="F219" s="1056" t="s">
        <v>166</v>
      </c>
      <c r="G219" s="1057" t="s">
        <v>1142</v>
      </c>
      <c r="H219" s="1099">
        <f t="shared" si="14"/>
        <v>3000</v>
      </c>
      <c r="I219" s="1139"/>
      <c r="J219" s="1507">
        <f>6000-3000</f>
        <v>3000</v>
      </c>
      <c r="K219" s="1099"/>
      <c r="L219" s="1099"/>
      <c r="Q219">
        <v>6000</v>
      </c>
    </row>
    <row r="220" spans="2:20" x14ac:dyDescent="0.2">
      <c r="B220" s="1056"/>
      <c r="C220" s="1056"/>
      <c r="D220" s="1056"/>
      <c r="E220" s="1101" t="s">
        <v>174</v>
      </c>
      <c r="F220" s="1056" t="s">
        <v>166</v>
      </c>
      <c r="G220" s="1057" t="s">
        <v>1143</v>
      </c>
      <c r="H220" s="1099">
        <f t="shared" si="14"/>
        <v>5000</v>
      </c>
      <c r="I220" s="1139"/>
      <c r="J220" s="1507">
        <v>5000</v>
      </c>
      <c r="K220" s="1099"/>
      <c r="L220" s="1099"/>
      <c r="Q220">
        <v>5000</v>
      </c>
    </row>
    <row r="221" spans="2:20" ht="22.8" x14ac:dyDescent="0.2">
      <c r="B221" s="1056"/>
      <c r="C221" s="1056"/>
      <c r="D221" s="1056"/>
      <c r="E221" s="1101" t="s">
        <v>174</v>
      </c>
      <c r="F221" s="1056" t="s">
        <v>166</v>
      </c>
      <c r="G221" s="1057" t="s">
        <v>1398</v>
      </c>
      <c r="H221" s="1099">
        <f t="shared" si="14"/>
        <v>31500</v>
      </c>
      <c r="I221" s="1139"/>
      <c r="J221" s="1507">
        <v>31500</v>
      </c>
      <c r="K221" s="1099"/>
      <c r="L221" s="1099"/>
      <c r="Q221">
        <v>31500</v>
      </c>
    </row>
    <row r="222" spans="2:20" ht="22.8" x14ac:dyDescent="0.2">
      <c r="B222" s="1056"/>
      <c r="C222" s="1056"/>
      <c r="D222" s="1056"/>
      <c r="E222" s="1101" t="s">
        <v>174</v>
      </c>
      <c r="F222" s="1056" t="s">
        <v>166</v>
      </c>
      <c r="G222" s="1057" t="s">
        <v>1399</v>
      </c>
      <c r="H222" s="1099">
        <f t="shared" si="14"/>
        <v>0</v>
      </c>
      <c r="I222" s="1139"/>
      <c r="J222" s="1099">
        <f>9000-9000</f>
        <v>0</v>
      </c>
      <c r="K222" s="1099"/>
      <c r="L222" s="1099"/>
      <c r="Q222">
        <v>9000</v>
      </c>
    </row>
    <row r="223" spans="2:20" ht="22.8" x14ac:dyDescent="0.2">
      <c r="B223" s="1056"/>
      <c r="C223" s="1056"/>
      <c r="D223" s="1056"/>
      <c r="E223" s="1101" t="s">
        <v>174</v>
      </c>
      <c r="F223" s="1056" t="s">
        <v>166</v>
      </c>
      <c r="G223" s="1057" t="s">
        <v>1150</v>
      </c>
      <c r="H223" s="1099">
        <f t="shared" si="14"/>
        <v>7900</v>
      </c>
      <c r="I223" s="1139"/>
      <c r="J223" s="1507">
        <v>7900</v>
      </c>
      <c r="K223" s="1099"/>
      <c r="L223" s="1099"/>
      <c r="Q223">
        <v>7900</v>
      </c>
    </row>
    <row r="224" spans="2:20" ht="34.200000000000003" x14ac:dyDescent="0.2">
      <c r="B224" s="1056"/>
      <c r="C224" s="1056"/>
      <c r="D224" s="1056"/>
      <c r="E224" s="1101" t="s">
        <v>174</v>
      </c>
      <c r="F224" s="1056" t="s">
        <v>166</v>
      </c>
      <c r="G224" s="1057" t="s">
        <v>1400</v>
      </c>
      <c r="H224" s="1099">
        <f t="shared" si="14"/>
        <v>0</v>
      </c>
      <c r="I224" s="1139"/>
      <c r="J224" s="1099">
        <f>21750-21750</f>
        <v>0</v>
      </c>
      <c r="K224" s="1099"/>
      <c r="L224" s="1099"/>
      <c r="Q224">
        <v>21750</v>
      </c>
    </row>
    <row r="225" spans="2:17" x14ac:dyDescent="0.2">
      <c r="B225" s="1056"/>
      <c r="C225" s="1056"/>
      <c r="D225" s="1056"/>
      <c r="E225" s="1101" t="s">
        <v>175</v>
      </c>
      <c r="F225" s="1056" t="s">
        <v>1410</v>
      </c>
      <c r="G225" s="1057" t="s">
        <v>1417</v>
      </c>
      <c r="H225" s="1099">
        <f t="shared" ref="H225:H228" si="15">SUM(J225:L225)</f>
        <v>6000</v>
      </c>
      <c r="I225" s="1139"/>
      <c r="J225" s="1507">
        <v>6000</v>
      </c>
      <c r="K225" s="1099"/>
      <c r="L225" s="1099"/>
      <c r="Q225">
        <v>6000</v>
      </c>
    </row>
    <row r="226" spans="2:17" x14ac:dyDescent="0.2">
      <c r="B226" s="1056"/>
      <c r="C226" s="1056"/>
      <c r="D226" s="1056"/>
      <c r="E226" s="1101" t="s">
        <v>234</v>
      </c>
      <c r="F226" s="1056" t="s">
        <v>1402</v>
      </c>
      <c r="G226" s="1057" t="s">
        <v>1151</v>
      </c>
      <c r="H226" s="1099">
        <f t="shared" si="15"/>
        <v>3000</v>
      </c>
      <c r="I226" s="1139"/>
      <c r="J226" s="1507">
        <v>3000</v>
      </c>
      <c r="K226" s="1099"/>
      <c r="L226" s="1099"/>
      <c r="Q226">
        <v>3000</v>
      </c>
    </row>
    <row r="227" spans="2:17" x14ac:dyDescent="0.2">
      <c r="B227" s="1056"/>
      <c r="C227" s="1056"/>
      <c r="D227" s="1056"/>
      <c r="E227" s="1101" t="s">
        <v>234</v>
      </c>
      <c r="F227" s="1056" t="s">
        <v>1402</v>
      </c>
      <c r="G227" s="1057" t="s">
        <v>1403</v>
      </c>
      <c r="H227" s="1099">
        <f t="shared" si="15"/>
        <v>0</v>
      </c>
      <c r="I227" s="1139"/>
      <c r="J227" s="1099">
        <f>1500-1500</f>
        <v>0</v>
      </c>
      <c r="K227" s="1099"/>
      <c r="L227" s="1099"/>
      <c r="Q227">
        <v>1500</v>
      </c>
    </row>
    <row r="228" spans="2:17" ht="22.8" x14ac:dyDescent="0.2">
      <c r="B228" s="1056"/>
      <c r="C228" s="1056"/>
      <c r="D228" s="1056"/>
      <c r="E228" s="1101" t="s">
        <v>557</v>
      </c>
      <c r="F228" s="1056" t="s">
        <v>387</v>
      </c>
      <c r="G228" s="1057" t="s">
        <v>1264</v>
      </c>
      <c r="H228" s="1099">
        <f t="shared" si="15"/>
        <v>0</v>
      </c>
      <c r="I228" s="1139"/>
      <c r="J228" s="1099">
        <f>16500-16500</f>
        <v>0</v>
      </c>
      <c r="K228" s="1099"/>
      <c r="L228" s="1099"/>
      <c r="Q228">
        <v>16500</v>
      </c>
    </row>
    <row r="229" spans="2:17" x14ac:dyDescent="0.2">
      <c r="B229" s="1062"/>
      <c r="C229" s="1062"/>
      <c r="D229" s="1062"/>
      <c r="E229" s="1144"/>
      <c r="F229" s="1062"/>
      <c r="G229" s="1065" t="s">
        <v>1516</v>
      </c>
      <c r="H229" s="1478"/>
      <c r="I229" s="1479"/>
      <c r="J229" s="1480"/>
      <c r="K229" s="1480"/>
      <c r="L229" s="1480"/>
    </row>
    <row r="230" spans="2:17" x14ac:dyDescent="0.2">
      <c r="B230" s="1056"/>
      <c r="C230" s="1056"/>
      <c r="D230" s="1056"/>
      <c r="E230" s="1137" t="s">
        <v>383</v>
      </c>
      <c r="F230" s="1137" t="s">
        <v>383</v>
      </c>
      <c r="G230" s="1057" t="s">
        <v>1349</v>
      </c>
      <c r="H230" s="1099">
        <f t="shared" ref="H230:H252" si="16">SUM(J230:L230)</f>
        <v>6800</v>
      </c>
      <c r="I230" s="1139"/>
      <c r="J230" s="1099">
        <v>6800</v>
      </c>
      <c r="K230" s="1099"/>
      <c r="L230" s="1099"/>
      <c r="Q230">
        <v>6800</v>
      </c>
    </row>
    <row r="231" spans="2:17" x14ac:dyDescent="0.2">
      <c r="B231" s="1056"/>
      <c r="C231" s="1056"/>
      <c r="D231" s="1056"/>
      <c r="E231" s="1137" t="s">
        <v>383</v>
      </c>
      <c r="F231" s="1137" t="s">
        <v>383</v>
      </c>
      <c r="G231" s="1057" t="s">
        <v>1406</v>
      </c>
      <c r="H231" s="1099">
        <f t="shared" si="16"/>
        <v>3600</v>
      </c>
      <c r="I231" s="1139"/>
      <c r="J231" s="1099">
        <v>3600</v>
      </c>
      <c r="K231" s="1099"/>
      <c r="L231" s="1099"/>
      <c r="Q231">
        <v>3600</v>
      </c>
    </row>
    <row r="232" spans="2:17" x14ac:dyDescent="0.2">
      <c r="B232" s="1124" t="s">
        <v>1492</v>
      </c>
      <c r="C232" s="1056"/>
      <c r="D232" s="1056"/>
      <c r="E232" s="1137" t="s">
        <v>383</v>
      </c>
      <c r="F232" s="1137" t="s">
        <v>383</v>
      </c>
      <c r="G232" s="1111" t="s">
        <v>1353</v>
      </c>
      <c r="H232" s="1484">
        <f t="shared" si="16"/>
        <v>9000</v>
      </c>
      <c r="I232" s="1139"/>
      <c r="J232" s="1099">
        <v>9000</v>
      </c>
      <c r="K232" s="1099"/>
      <c r="L232" s="1099"/>
      <c r="Q232">
        <v>9000</v>
      </c>
    </row>
    <row r="233" spans="2:17" x14ac:dyDescent="0.2">
      <c r="B233" s="1062"/>
      <c r="C233" s="1062"/>
      <c r="D233" s="1062"/>
      <c r="E233" s="1062"/>
      <c r="F233" s="1062"/>
      <c r="G233" s="1065" t="s">
        <v>1503</v>
      </c>
      <c r="H233" s="1478"/>
      <c r="I233" s="1479"/>
      <c r="J233" s="1480"/>
      <c r="K233" s="1480"/>
      <c r="L233" s="1480"/>
    </row>
    <row r="234" spans="2:17" x14ac:dyDescent="0.2">
      <c r="B234" s="1124" t="s">
        <v>1594</v>
      </c>
      <c r="C234" s="1056"/>
      <c r="D234" s="1056"/>
      <c r="E234" s="1137" t="s">
        <v>383</v>
      </c>
      <c r="F234" s="1137" t="s">
        <v>383</v>
      </c>
      <c r="G234" s="1057" t="s">
        <v>1459</v>
      </c>
      <c r="H234" s="1099">
        <f t="shared" si="16"/>
        <v>19200</v>
      </c>
      <c r="I234" s="1139"/>
      <c r="J234" s="1099">
        <v>19200</v>
      </c>
      <c r="K234" s="1099"/>
      <c r="L234" s="1099"/>
      <c r="Q234">
        <v>19200</v>
      </c>
    </row>
    <row r="235" spans="2:17" x14ac:dyDescent="0.2">
      <c r="B235" s="1056"/>
      <c r="C235" s="1056"/>
      <c r="D235" s="1056"/>
      <c r="E235" s="1137" t="s">
        <v>383</v>
      </c>
      <c r="F235" s="1137" t="s">
        <v>383</v>
      </c>
      <c r="G235" s="1057" t="s">
        <v>1461</v>
      </c>
      <c r="H235" s="1099">
        <f t="shared" si="16"/>
        <v>645000</v>
      </c>
      <c r="I235" s="1139"/>
      <c r="J235" s="1476">
        <f>645000-SUM(K235:L235)</f>
        <v>0</v>
      </c>
      <c r="K235" s="1476"/>
      <c r="L235" s="1476">
        <v>645000</v>
      </c>
      <c r="Q235">
        <v>600000</v>
      </c>
    </row>
    <row r="236" spans="2:17" x14ac:dyDescent="0.2">
      <c r="B236" s="1056"/>
      <c r="C236" s="1056"/>
      <c r="D236" s="1056"/>
      <c r="E236" s="1137" t="s">
        <v>383</v>
      </c>
      <c r="F236" s="1137" t="s">
        <v>383</v>
      </c>
      <c r="G236" s="1057" t="s">
        <v>1348</v>
      </c>
      <c r="H236" s="1099">
        <f t="shared" si="16"/>
        <v>0</v>
      </c>
      <c r="I236" s="1139"/>
      <c r="J236" s="1099">
        <f>5000-5000</f>
        <v>0</v>
      </c>
      <c r="K236" s="1099"/>
      <c r="L236" s="1099"/>
      <c r="M236" t="s">
        <v>1469</v>
      </c>
      <c r="N236" t="s">
        <v>1471</v>
      </c>
      <c r="O236" t="s">
        <v>1592</v>
      </c>
      <c r="P236" t="s">
        <v>1593</v>
      </c>
      <c r="Q236">
        <v>5000</v>
      </c>
    </row>
    <row r="237" spans="2:17" ht="22.8" x14ac:dyDescent="0.2">
      <c r="B237" s="1056"/>
      <c r="C237" s="1056"/>
      <c r="D237" s="1056"/>
      <c r="E237" s="1137" t="s">
        <v>383</v>
      </c>
      <c r="F237" s="1137" t="s">
        <v>383</v>
      </c>
      <c r="G237" s="1057" t="s">
        <v>1357</v>
      </c>
      <c r="H237" s="1099">
        <f t="shared" si="16"/>
        <v>48431</v>
      </c>
      <c r="I237" s="1139"/>
      <c r="J237" s="1099">
        <v>48431</v>
      </c>
      <c r="K237" s="1099"/>
      <c r="L237" s="1099"/>
      <c r="Q237">
        <v>48431</v>
      </c>
    </row>
    <row r="238" spans="2:17" x14ac:dyDescent="0.2">
      <c r="B238" s="1056"/>
      <c r="C238" s="1056"/>
      <c r="D238" s="1056"/>
      <c r="E238" s="1137" t="s">
        <v>383</v>
      </c>
      <c r="F238" s="1137" t="s">
        <v>383</v>
      </c>
      <c r="G238" s="1057" t="s">
        <v>1468</v>
      </c>
      <c r="H238" s="1099">
        <f t="shared" si="16"/>
        <v>50000</v>
      </c>
      <c r="I238" s="1139"/>
      <c r="J238" s="1099">
        <v>50000</v>
      </c>
      <c r="K238" s="1099"/>
      <c r="L238" s="1099"/>
      <c r="Q238">
        <v>50000</v>
      </c>
    </row>
    <row r="239" spans="2:17" x14ac:dyDescent="0.2">
      <c r="B239" s="1056"/>
      <c r="C239" s="1056"/>
      <c r="D239" s="1056"/>
      <c r="E239" s="1137" t="s">
        <v>383</v>
      </c>
      <c r="F239" s="1137" t="s">
        <v>383</v>
      </c>
      <c r="G239" s="1057" t="s">
        <v>1356</v>
      </c>
      <c r="H239" s="1099">
        <f t="shared" si="16"/>
        <v>0</v>
      </c>
      <c r="I239" s="1139"/>
      <c r="J239" s="1099">
        <f>9750-9750</f>
        <v>0</v>
      </c>
      <c r="K239" s="1099"/>
      <c r="L239" s="1099"/>
      <c r="Q239">
        <v>9750</v>
      </c>
    </row>
    <row r="240" spans="2:17" x14ac:dyDescent="0.2">
      <c r="B240" s="1124"/>
      <c r="C240" s="1056"/>
      <c r="D240" s="1056"/>
      <c r="E240" s="1137" t="s">
        <v>383</v>
      </c>
      <c r="F240" s="1137" t="s">
        <v>383</v>
      </c>
      <c r="G240" s="1057" t="s">
        <v>1355</v>
      </c>
      <c r="H240" s="1484">
        <f t="shared" si="16"/>
        <v>0</v>
      </c>
      <c r="I240" s="1139"/>
      <c r="J240" s="1099">
        <f>11000-11000</f>
        <v>0</v>
      </c>
      <c r="K240" s="1099"/>
      <c r="L240" s="1099"/>
      <c r="Q240">
        <v>11000</v>
      </c>
    </row>
    <row r="241" spans="2:17" x14ac:dyDescent="0.2">
      <c r="B241" s="1124" t="s">
        <v>1279</v>
      </c>
      <c r="C241" s="1056"/>
      <c r="D241" s="1056"/>
      <c r="E241" s="1137" t="s">
        <v>383</v>
      </c>
      <c r="F241" s="1137" t="s">
        <v>383</v>
      </c>
      <c r="G241" s="1057" t="s">
        <v>1347</v>
      </c>
      <c r="H241" s="1099">
        <f t="shared" si="16"/>
        <v>10000</v>
      </c>
      <c r="I241" s="1139"/>
      <c r="J241" s="1099">
        <f>20000/2</f>
        <v>10000</v>
      </c>
      <c r="K241" s="1099"/>
      <c r="L241" s="1099"/>
      <c r="Q241">
        <v>20000</v>
      </c>
    </row>
    <row r="242" spans="2:17" x14ac:dyDescent="0.2">
      <c r="B242" s="1056"/>
      <c r="C242" s="1056"/>
      <c r="D242" s="1056"/>
      <c r="E242" s="1137" t="s">
        <v>383</v>
      </c>
      <c r="F242" s="1137" t="s">
        <v>383</v>
      </c>
      <c r="G242" s="1057" t="s">
        <v>1491</v>
      </c>
      <c r="H242" s="1099">
        <f t="shared" si="16"/>
        <v>14811</v>
      </c>
      <c r="I242" s="1139"/>
      <c r="J242" s="1099">
        <v>14811</v>
      </c>
      <c r="K242" s="1099"/>
      <c r="L242" s="1099"/>
      <c r="Q242">
        <v>14811</v>
      </c>
    </row>
    <row r="243" spans="2:17" x14ac:dyDescent="0.2">
      <c r="B243" s="1056"/>
      <c r="C243" s="1056"/>
      <c r="D243" s="1056"/>
      <c r="E243" s="1137" t="s">
        <v>383</v>
      </c>
      <c r="F243" s="1137" t="s">
        <v>383</v>
      </c>
      <c r="G243" s="1057" t="s">
        <v>1351</v>
      </c>
      <c r="H243" s="1099">
        <f t="shared" si="16"/>
        <v>18500</v>
      </c>
      <c r="I243" s="1139"/>
      <c r="J243" s="1099">
        <v>18500</v>
      </c>
      <c r="K243" s="1099"/>
      <c r="L243" s="1099"/>
      <c r="Q243">
        <v>18500</v>
      </c>
    </row>
    <row r="244" spans="2:17" x14ac:dyDescent="0.2">
      <c r="B244" s="1056"/>
      <c r="C244" s="1056"/>
      <c r="D244" s="1056"/>
      <c r="E244" s="1137" t="s">
        <v>383</v>
      </c>
      <c r="F244" s="1137" t="s">
        <v>383</v>
      </c>
      <c r="G244" s="1057" t="s">
        <v>1352</v>
      </c>
      <c r="H244" s="1099">
        <f t="shared" si="16"/>
        <v>12000</v>
      </c>
      <c r="I244" s="1139"/>
      <c r="J244" s="1099">
        <v>12000</v>
      </c>
      <c r="K244" s="1099"/>
      <c r="L244" s="1099"/>
      <c r="Q244">
        <v>12000</v>
      </c>
    </row>
    <row r="245" spans="2:17" x14ac:dyDescent="0.2">
      <c r="B245" s="1062"/>
      <c r="C245" s="1062"/>
      <c r="D245" s="1062"/>
      <c r="E245" s="1062"/>
      <c r="F245" s="1062"/>
      <c r="G245" s="1065" t="s">
        <v>1504</v>
      </c>
      <c r="H245" s="1478"/>
      <c r="I245" s="1479"/>
      <c r="J245" s="1480"/>
      <c r="K245" s="1480"/>
      <c r="L245" s="1480"/>
    </row>
    <row r="246" spans="2:17" x14ac:dyDescent="0.2">
      <c r="B246" s="1056"/>
      <c r="C246" s="1056"/>
      <c r="D246" s="1056"/>
      <c r="E246" s="1137" t="s">
        <v>383</v>
      </c>
      <c r="F246" s="1137" t="s">
        <v>383</v>
      </c>
      <c r="G246" s="1508" t="s">
        <v>1482</v>
      </c>
      <c r="H246" s="1099">
        <f t="shared" si="16"/>
        <v>60000</v>
      </c>
      <c r="I246" s="1139"/>
      <c r="J246" s="1099">
        <v>60000</v>
      </c>
      <c r="K246" s="1099"/>
      <c r="L246" s="1099"/>
      <c r="Q246">
        <v>60000</v>
      </c>
    </row>
    <row r="247" spans="2:17" x14ac:dyDescent="0.2">
      <c r="B247" s="1056"/>
      <c r="C247" s="1056"/>
      <c r="D247" s="1056"/>
      <c r="E247" s="1137" t="s">
        <v>383</v>
      </c>
      <c r="F247" s="1137" t="s">
        <v>383</v>
      </c>
      <c r="G247" s="1508" t="s">
        <v>1483</v>
      </c>
      <c r="H247" s="1099">
        <f t="shared" si="16"/>
        <v>38000</v>
      </c>
      <c r="I247" s="1139"/>
      <c r="J247" s="1099">
        <v>38000</v>
      </c>
      <c r="K247" s="1099"/>
      <c r="L247" s="1099"/>
      <c r="Q247">
        <v>38000</v>
      </c>
    </row>
    <row r="248" spans="2:17" x14ac:dyDescent="0.2">
      <c r="B248" s="1056"/>
      <c r="C248" s="1056"/>
      <c r="D248" s="1056"/>
      <c r="E248" s="1137" t="s">
        <v>383</v>
      </c>
      <c r="F248" s="1137" t="s">
        <v>383</v>
      </c>
      <c r="G248" s="1057" t="s">
        <v>1484</v>
      </c>
      <c r="H248" s="1099">
        <f t="shared" si="16"/>
        <v>10000</v>
      </c>
      <c r="I248" s="1139"/>
      <c r="J248" s="1099">
        <f>30000-20000</f>
        <v>10000</v>
      </c>
      <c r="K248" s="1099"/>
      <c r="L248" s="1099"/>
      <c r="Q248">
        <v>30000</v>
      </c>
    </row>
    <row r="249" spans="2:17" x14ac:dyDescent="0.2">
      <c r="B249" s="1056"/>
      <c r="C249" s="1056"/>
      <c r="D249" s="1056"/>
      <c r="E249" s="1137" t="s">
        <v>383</v>
      </c>
      <c r="F249" s="1137" t="s">
        <v>383</v>
      </c>
      <c r="G249" s="1057" t="s">
        <v>1485</v>
      </c>
      <c r="H249" s="1507">
        <f t="shared" si="16"/>
        <v>180000</v>
      </c>
      <c r="I249" s="1139"/>
      <c r="J249" s="1099">
        <f>180000*0.3</f>
        <v>54000</v>
      </c>
      <c r="K249" s="1099"/>
      <c r="L249" s="1099">
        <f>180000-J249-K249</f>
        <v>126000</v>
      </c>
      <c r="M249" t="s">
        <v>1667</v>
      </c>
      <c r="Q249">
        <v>180000</v>
      </c>
    </row>
    <row r="250" spans="2:17" x14ac:dyDescent="0.2">
      <c r="B250" s="1056"/>
      <c r="C250" s="1056"/>
      <c r="D250" s="1056"/>
      <c r="E250" s="1137" t="s">
        <v>383</v>
      </c>
      <c r="F250" s="1137" t="s">
        <v>383</v>
      </c>
      <c r="G250" s="1057" t="s">
        <v>1486</v>
      </c>
      <c r="H250" s="1099">
        <f t="shared" si="16"/>
        <v>80000</v>
      </c>
      <c r="I250" s="1139"/>
      <c r="J250" s="1099">
        <v>80000</v>
      </c>
      <c r="K250" s="1099"/>
      <c r="L250" s="1099"/>
      <c r="Q250">
        <v>80000</v>
      </c>
    </row>
    <row r="251" spans="2:17" ht="22.8" x14ac:dyDescent="0.2">
      <c r="B251" s="1056"/>
      <c r="C251" s="1056"/>
      <c r="D251" s="1056"/>
      <c r="E251" s="1137" t="s">
        <v>383</v>
      </c>
      <c r="F251" s="1137" t="s">
        <v>383</v>
      </c>
      <c r="G251" s="1057" t="s">
        <v>1487</v>
      </c>
      <c r="H251" s="1507">
        <f t="shared" si="16"/>
        <v>200000</v>
      </c>
      <c r="I251" s="1139"/>
      <c r="J251" s="1099">
        <f>200000*0.3</f>
        <v>60000</v>
      </c>
      <c r="K251" s="1099"/>
      <c r="L251" s="1099">
        <f>200000-J251-K251</f>
        <v>140000</v>
      </c>
      <c r="M251" t="s">
        <v>1667</v>
      </c>
      <c r="Q251">
        <v>200000</v>
      </c>
    </row>
    <row r="252" spans="2:17" x14ac:dyDescent="0.2">
      <c r="B252" s="1056"/>
      <c r="C252" s="1056"/>
      <c r="D252" s="1056"/>
      <c r="E252" s="1137" t="s">
        <v>383</v>
      </c>
      <c r="F252" s="1137" t="s">
        <v>383</v>
      </c>
      <c r="G252" s="1508" t="s">
        <v>1488</v>
      </c>
      <c r="H252" s="1099">
        <f t="shared" si="16"/>
        <v>55000</v>
      </c>
      <c r="I252" s="1139"/>
      <c r="J252" s="1099">
        <v>55000</v>
      </c>
      <c r="K252" s="1099"/>
      <c r="L252" s="1099"/>
      <c r="Q252">
        <v>55000</v>
      </c>
    </row>
    <row r="253" spans="2:17" ht="12" x14ac:dyDescent="0.25">
      <c r="G253" s="1080" t="s">
        <v>1407</v>
      </c>
      <c r="H253" s="1485">
        <f>SUM(H185:H252)</f>
        <v>1659378.9</v>
      </c>
      <c r="I253" s="1139">
        <f>SUM(I185:I247)</f>
        <v>0</v>
      </c>
      <c r="J253" s="1485">
        <f>SUM(J185:J252)</f>
        <v>747378.9</v>
      </c>
      <c r="K253" s="1485">
        <f>SUM(K185:K252)</f>
        <v>1000</v>
      </c>
      <c r="L253" s="1470">
        <f>SUM(L185:L252)</f>
        <v>911000</v>
      </c>
    </row>
    <row r="256" spans="2:17" x14ac:dyDescent="0.2">
      <c r="G256" s="158"/>
    </row>
    <row r="257" spans="7:11" x14ac:dyDescent="0.2">
      <c r="G257" s="158"/>
      <c r="H257" s="111"/>
      <c r="I257" s="111"/>
    </row>
    <row r="258" spans="7:11" x14ac:dyDescent="0.2">
      <c r="G258" s="158"/>
      <c r="H258" s="111"/>
      <c r="I258" s="111"/>
    </row>
    <row r="259" spans="7:11" x14ac:dyDescent="0.2">
      <c r="G259" s="158"/>
      <c r="H259" s="111"/>
      <c r="I259" s="111"/>
      <c r="K259" s="111"/>
    </row>
    <row r="260" spans="7:11" x14ac:dyDescent="0.2">
      <c r="K260" s="111"/>
    </row>
    <row r="274" spans="8:8" x14ac:dyDescent="0.2">
      <c r="H274" s="111"/>
    </row>
  </sheetData>
  <mergeCells count="31">
    <mergeCell ref="K127:K128"/>
    <mergeCell ref="L127:L128"/>
    <mergeCell ref="C2:C5"/>
    <mergeCell ref="C8:C10"/>
    <mergeCell ref="C14:C15"/>
    <mergeCell ref="C44:C45"/>
    <mergeCell ref="J44:L44"/>
    <mergeCell ref="J81:L81"/>
    <mergeCell ref="J127:J128"/>
    <mergeCell ref="B44:B45"/>
    <mergeCell ref="B81:B82"/>
    <mergeCell ref="C81:C82"/>
    <mergeCell ref="D81:D82"/>
    <mergeCell ref="H127:H128"/>
    <mergeCell ref="H44:H45"/>
    <mergeCell ref="G44:G45"/>
    <mergeCell ref="F44:F45"/>
    <mergeCell ref="F81:F82"/>
    <mergeCell ref="G81:G82"/>
    <mergeCell ref="H81:H82"/>
    <mergeCell ref="E44:E45"/>
    <mergeCell ref="D44:D45"/>
    <mergeCell ref="E81:E82"/>
    <mergeCell ref="J183:L183"/>
    <mergeCell ref="B183:B184"/>
    <mergeCell ref="C183:C184"/>
    <mergeCell ref="D183:D184"/>
    <mergeCell ref="G183:G184"/>
    <mergeCell ref="E183:E184"/>
    <mergeCell ref="F183:F184"/>
    <mergeCell ref="H183:H184"/>
  </mergeCells>
  <phoneticPr fontId="73" type="noConversion"/>
  <pageMargins left="0.23622047244094491" right="0.23622047244094491" top="0.15748031496062992" bottom="0.15748031496062992" header="0.31496062992125984" footer="0.31496062992125984"/>
  <pageSetup paperSize="9" scale="24"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apa13">
    <tabColor rgb="FF00B050"/>
    <pageSetUpPr fitToPage="1"/>
  </sheetPr>
  <dimension ref="A1:DP226"/>
  <sheetViews>
    <sheetView zoomScale="122" zoomScaleNormal="122" workbookViewId="0">
      <pane ySplit="9" topLeftCell="A10" activePane="bottomLeft" state="frozen"/>
      <selection activeCell="A4" sqref="A4"/>
      <selection pane="bottomLeft" activeCell="A138" sqref="A138:XFD138"/>
    </sheetView>
  </sheetViews>
  <sheetFormatPr defaultColWidth="9.125" defaultRowHeight="13.2" outlineLevelRow="1" outlineLevelCol="1" x14ac:dyDescent="0.25"/>
  <cols>
    <col min="1" max="1" width="5.375" style="367" customWidth="1"/>
    <col min="2" max="2" width="26.75" style="3" customWidth="1"/>
    <col min="3" max="3" width="9" style="3" customWidth="1" outlineLevel="1"/>
    <col min="4" max="4" width="9.375" style="3" customWidth="1" outlineLevel="1" collapsed="1"/>
    <col min="5" max="5" width="0.25" style="171" customWidth="1" outlineLevel="1"/>
    <col min="6" max="6" width="9.375" style="4" customWidth="1"/>
    <col min="7" max="7" width="9.375" style="3" customWidth="1"/>
    <col min="8" max="8" width="11" style="10" hidden="1" customWidth="1" outlineLevel="1"/>
    <col min="9" max="9" width="11" style="11" customWidth="1" collapsed="1"/>
    <col min="10" max="10" width="9.625" style="10" hidden="1" customWidth="1" outlineLevel="1"/>
    <col min="11" max="11" width="11.25" style="11" hidden="1" customWidth="1" outlineLevel="1"/>
    <col min="12" max="12" width="10.625" style="3" customWidth="1" collapsed="1"/>
    <col min="13" max="13" width="9.375" style="3" customWidth="1"/>
    <col min="14" max="14" width="9.375" style="3" hidden="1" customWidth="1" outlineLevel="1"/>
    <col min="15" max="15" width="9.375" style="172" hidden="1" customWidth="1" outlineLevel="1"/>
    <col min="16" max="16" width="9.375" style="173" hidden="1" customWidth="1" outlineLevel="1"/>
    <col min="17" max="18" width="11.375" style="3" hidden="1" customWidth="1" outlineLevel="1"/>
    <col min="19" max="19" width="6.25" style="3" customWidth="1" collapsed="1"/>
    <col min="20" max="20" width="11.75" style="268" hidden="1" customWidth="1" outlineLevel="1"/>
    <col min="21" max="23" width="11.75" style="9" hidden="1" customWidth="1" outlineLevel="1"/>
    <col min="24" max="24" width="11.75" style="9" customWidth="1" collapsed="1"/>
    <col min="25" max="26" width="11.75" style="9" customWidth="1"/>
    <col min="27" max="32" width="11" style="9" customWidth="1"/>
    <col min="33" max="34" width="9.125" style="850"/>
    <col min="35" max="35" width="14.375" style="3" customWidth="1"/>
    <col min="36" max="16384" width="9.125" style="3"/>
  </cols>
  <sheetData>
    <row r="1" spans="1:42" ht="17.25" hidden="1" customHeight="1" outlineLevel="1" x14ac:dyDescent="0.3">
      <c r="D1" s="4"/>
      <c r="E1" s="166"/>
      <c r="F1" s="3"/>
      <c r="G1" s="5"/>
      <c r="H1" s="6"/>
      <c r="I1" s="5"/>
      <c r="J1" s="7"/>
      <c r="K1" s="5"/>
      <c r="N1" s="8"/>
      <c r="O1" s="167"/>
      <c r="P1" s="168"/>
      <c r="T1" s="267"/>
      <c r="U1" s="3"/>
      <c r="V1" s="3"/>
      <c r="W1" s="3"/>
      <c r="X1" s="3"/>
      <c r="Y1" s="3"/>
      <c r="Z1" s="3"/>
      <c r="AA1" s="169"/>
      <c r="AB1" s="169"/>
      <c r="AC1" s="169"/>
      <c r="AD1" s="169"/>
      <c r="AE1" s="495"/>
      <c r="AF1" s="495" t="s">
        <v>106</v>
      </c>
    </row>
    <row r="2" spans="1:42" ht="17.25" hidden="1" customHeight="1" outlineLevel="1" x14ac:dyDescent="0.3">
      <c r="D2" s="4"/>
      <c r="E2" s="166"/>
      <c r="F2" s="3"/>
      <c r="G2" s="5"/>
      <c r="H2" s="6"/>
      <c r="I2" s="5"/>
      <c r="J2" s="7"/>
      <c r="K2" s="5"/>
      <c r="N2" s="8"/>
      <c r="O2" s="167"/>
      <c r="P2" s="168"/>
      <c r="T2" s="267"/>
      <c r="U2" s="3"/>
      <c r="V2" s="3"/>
      <c r="W2" s="3"/>
      <c r="X2" s="3"/>
      <c r="Y2" s="3"/>
      <c r="Z2" s="3"/>
      <c r="AA2" s="281"/>
      <c r="AB2" s="281"/>
      <c r="AC2" s="281"/>
      <c r="AD2" s="281"/>
      <c r="AE2" s="495"/>
      <c r="AF2" s="495" t="s">
        <v>292</v>
      </c>
    </row>
    <row r="3" spans="1:42" ht="17.25" hidden="1" customHeight="1" outlineLevel="1" x14ac:dyDescent="0.3">
      <c r="D3" s="4"/>
      <c r="E3" s="166"/>
      <c r="F3" s="3"/>
      <c r="G3" s="5"/>
      <c r="H3" s="6"/>
      <c r="I3" s="5"/>
      <c r="J3" s="7"/>
      <c r="K3" s="5"/>
      <c r="N3" s="8"/>
      <c r="O3" s="167"/>
      <c r="P3" s="168"/>
      <c r="T3" s="267"/>
      <c r="U3" s="3"/>
      <c r="V3" s="3"/>
      <c r="W3" s="3"/>
      <c r="X3" s="3"/>
      <c r="Y3" s="3"/>
      <c r="Z3" s="3"/>
      <c r="AA3" s="210"/>
      <c r="AB3" s="210"/>
      <c r="AC3" s="210"/>
      <c r="AD3" s="210"/>
      <c r="AE3" s="495"/>
      <c r="AF3" s="495" t="s">
        <v>682</v>
      </c>
    </row>
    <row r="4" spans="1:42" ht="17.399999999999999" collapsed="1" x14ac:dyDescent="0.3">
      <c r="B4" s="170" t="s">
        <v>686</v>
      </c>
    </row>
    <row r="5" spans="1:42" ht="14.4" x14ac:dyDescent="0.3">
      <c r="A5" s="368" t="s">
        <v>107</v>
      </c>
      <c r="B5" s="368"/>
      <c r="H5" s="174"/>
      <c r="I5" s="175"/>
      <c r="J5" s="174"/>
      <c r="K5" s="176"/>
      <c r="N5" s="176"/>
      <c r="O5" s="177"/>
      <c r="P5" s="177"/>
      <c r="S5" s="176"/>
      <c r="AE5" s="496"/>
    </row>
    <row r="6" spans="1:42" ht="14.4" x14ac:dyDescent="0.3">
      <c r="A6" s="368"/>
      <c r="H6" s="174"/>
      <c r="I6" s="175"/>
      <c r="J6" s="174"/>
      <c r="K6" s="176"/>
      <c r="N6" s="176"/>
      <c r="O6" s="177"/>
      <c r="P6" s="177"/>
      <c r="S6" s="176"/>
      <c r="AE6" s="496"/>
    </row>
    <row r="7" spans="1:42" ht="12.75" customHeight="1" x14ac:dyDescent="0.25">
      <c r="L7" s="1239">
        <v>1.6580000000000001E-2</v>
      </c>
      <c r="M7" s="1240">
        <v>2.5000000000000001E-3</v>
      </c>
      <c r="R7" s="92"/>
    </row>
    <row r="8" spans="1:42" ht="4.5" customHeight="1" thickBot="1" x14ac:dyDescent="0.3">
      <c r="H8" s="6"/>
      <c r="I8" s="5"/>
      <c r="J8" s="6"/>
      <c r="K8" s="5"/>
      <c r="L8" s="1241"/>
      <c r="M8" s="1238"/>
      <c r="O8" s="1237"/>
      <c r="P8" s="167"/>
      <c r="R8" s="92"/>
    </row>
    <row r="9" spans="1:42" s="20" customFormat="1" ht="36.75" customHeight="1" thickBot="1" x14ac:dyDescent="0.3">
      <c r="A9" s="1543" t="s">
        <v>108</v>
      </c>
      <c r="B9" s="1544"/>
      <c r="C9" s="356" t="s">
        <v>109</v>
      </c>
      <c r="D9" s="14" t="s">
        <v>110</v>
      </c>
      <c r="E9" s="178" t="s">
        <v>111</v>
      </c>
      <c r="F9" s="14" t="s">
        <v>111</v>
      </c>
      <c r="G9" s="14" t="s">
        <v>112</v>
      </c>
      <c r="H9" s="179" t="s">
        <v>113</v>
      </c>
      <c r="I9" s="15" t="s">
        <v>114</v>
      </c>
      <c r="J9" s="179" t="s">
        <v>115</v>
      </c>
      <c r="K9" s="15" t="s">
        <v>116</v>
      </c>
      <c r="L9" s="165" t="s">
        <v>1156</v>
      </c>
      <c r="M9" s="165" t="s">
        <v>117</v>
      </c>
      <c r="N9" s="165" t="s">
        <v>118</v>
      </c>
      <c r="O9" s="16" t="s">
        <v>119</v>
      </c>
      <c r="P9" s="17" t="s">
        <v>120</v>
      </c>
      <c r="Q9" s="18" t="s">
        <v>121</v>
      </c>
      <c r="R9" s="389" t="s">
        <v>191</v>
      </c>
      <c r="S9" s="19" t="s">
        <v>122</v>
      </c>
      <c r="T9" s="1168" t="s">
        <v>335</v>
      </c>
      <c r="U9" s="1169" t="s">
        <v>124</v>
      </c>
      <c r="V9" s="1169" t="s">
        <v>125</v>
      </c>
      <c r="W9" s="1169" t="s">
        <v>217</v>
      </c>
      <c r="X9" s="397" t="s">
        <v>273</v>
      </c>
      <c r="Y9" s="397" t="s">
        <v>274</v>
      </c>
      <c r="Z9" s="397" t="s">
        <v>314</v>
      </c>
      <c r="AA9" s="397" t="s">
        <v>336</v>
      </c>
      <c r="AB9" s="397" t="s">
        <v>374</v>
      </c>
      <c r="AC9" s="397" t="s">
        <v>681</v>
      </c>
      <c r="AD9" s="397" t="s">
        <v>1152</v>
      </c>
      <c r="AE9" s="397" t="s">
        <v>1153</v>
      </c>
      <c r="AF9" s="1234" t="s">
        <v>1154</v>
      </c>
      <c r="AG9" s="851"/>
      <c r="AH9" s="854"/>
    </row>
    <row r="10" spans="1:42" s="26" customFormat="1" x14ac:dyDescent="0.2">
      <c r="A10" s="1264">
        <v>1</v>
      </c>
      <c r="B10" s="286" t="s">
        <v>127</v>
      </c>
      <c r="C10" s="22" t="s">
        <v>128</v>
      </c>
      <c r="D10" s="21" t="s">
        <v>129</v>
      </c>
      <c r="E10" s="181" t="s">
        <v>130</v>
      </c>
      <c r="F10" s="36" t="s">
        <v>131</v>
      </c>
      <c r="G10" s="36" t="s">
        <v>243</v>
      </c>
      <c r="H10" s="182">
        <f>(2100000)*0.702804-8</f>
        <v>1475880.4</v>
      </c>
      <c r="I10" s="366">
        <f>H10/0.702804</f>
        <v>2099988.6170255151</v>
      </c>
      <c r="J10" s="182">
        <f>H10</f>
        <v>1475880.4</v>
      </c>
      <c r="K10" s="23">
        <f>J10/0.702804</f>
        <v>2099988.6170255151</v>
      </c>
      <c r="L10" s="24">
        <f>0.101%+$L$7</f>
        <v>1.7590000000000001E-2</v>
      </c>
      <c r="M10" s="39">
        <f>M7</f>
        <v>2.5000000000000001E-3</v>
      </c>
      <c r="N10" s="35">
        <v>4</v>
      </c>
      <c r="O10" s="59"/>
      <c r="P10" s="37">
        <v>0</v>
      </c>
      <c r="Q10" s="25">
        <v>2082913</v>
      </c>
      <c r="R10" s="390">
        <v>2065839</v>
      </c>
      <c r="S10" s="60" t="s">
        <v>126</v>
      </c>
      <c r="T10" s="285">
        <v>1686634</v>
      </c>
      <c r="U10" s="57">
        <v>97944.803956721938</v>
      </c>
      <c r="V10" s="57">
        <v>97944.803956721938</v>
      </c>
      <c r="W10" s="57">
        <v>97944.8</v>
      </c>
      <c r="X10" s="57">
        <v>97945.803956721895</v>
      </c>
      <c r="Y10" s="57">
        <v>97946.803956721895</v>
      </c>
      <c r="Z10" s="57">
        <v>97946.803956721895</v>
      </c>
      <c r="AA10" s="57">
        <v>97946.803956721895</v>
      </c>
      <c r="AB10" s="57">
        <v>97946.803956721895</v>
      </c>
      <c r="AC10" s="57">
        <v>97946.803956721895</v>
      </c>
      <c r="AD10" s="57">
        <v>97946.803956721895</v>
      </c>
      <c r="AE10" s="57">
        <v>707172.96438950277</v>
      </c>
      <c r="AF10" s="1170">
        <f t="shared" ref="AF10:AF41" si="0">SUM(X10:AE10)</f>
        <v>1392799.5920865559</v>
      </c>
      <c r="AG10" s="83"/>
      <c r="AH10" s="83"/>
    </row>
    <row r="11" spans="1:42" s="42" customFormat="1" ht="13.8" thickBot="1" x14ac:dyDescent="0.25">
      <c r="A11" s="1265"/>
      <c r="B11" s="287" t="s">
        <v>132</v>
      </c>
      <c r="C11" s="28"/>
      <c r="D11" s="28"/>
      <c r="E11" s="185"/>
      <c r="F11" s="40"/>
      <c r="G11" s="30"/>
      <c r="H11" s="180"/>
      <c r="I11" s="376"/>
      <c r="J11" s="180"/>
      <c r="K11" s="29"/>
      <c r="L11" s="28"/>
      <c r="M11" s="28"/>
      <c r="N11" s="28"/>
      <c r="O11" s="31"/>
      <c r="P11" s="29"/>
      <c r="Q11" s="186"/>
      <c r="R11" s="391"/>
      <c r="S11" s="33" t="s">
        <v>2</v>
      </c>
      <c r="T11" s="269"/>
      <c r="U11" s="1164">
        <f>((SUM(U10:$AE10))*($L10+$M10))</f>
        <v>33884.477059999997</v>
      </c>
      <c r="V11" s="1164">
        <f>((SUM(V10:$AE10))*($L10+$M10))</f>
        <v>31916.765948509455</v>
      </c>
      <c r="W11" s="1164">
        <f>((SUM(W10:$AE10))*($L10+$M10))</f>
        <v>29949.054837018914</v>
      </c>
      <c r="X11" s="1164">
        <f>((SUM(X10:$AE10))*($L10+$M10))</f>
        <v>27981.343805018907</v>
      </c>
      <c r="Y11" s="1164">
        <f>((SUM(Y10:$AE10))*($L10+$M10))</f>
        <v>26013.612603528367</v>
      </c>
      <c r="Z11" s="1164">
        <f>((SUM(Z10:$AE10))*($L10+$M10))</f>
        <v>24045.861312037825</v>
      </c>
      <c r="AA11" s="1164">
        <f>((SUM(AA10:$AE10))*($L10+$M10))</f>
        <v>22078.110020547283</v>
      </c>
      <c r="AB11" s="1164">
        <f>((SUM(AB10:$AE10))*($L10+$M10))</f>
        <v>20110.358729056741</v>
      </c>
      <c r="AC11" s="1164">
        <f>((SUM(AC10:$AE10))*($L10+$M10))</f>
        <v>18142.607437566196</v>
      </c>
      <c r="AD11" s="1164">
        <f>((SUM(AD10:$AE10))*($L10+$M10))</f>
        <v>16174.856146075654</v>
      </c>
      <c r="AE11" s="1164">
        <f>(((SUM(AE10:$AE10))*($L10+$M10)))*6.5</f>
        <v>92346.181554803217</v>
      </c>
      <c r="AF11" s="1171">
        <f t="shared" si="0"/>
        <v>246892.93160863419</v>
      </c>
      <c r="AG11" s="83"/>
      <c r="AH11" s="83"/>
    </row>
    <row r="12" spans="1:42" s="26" customFormat="1" x14ac:dyDescent="0.2">
      <c r="A12" s="1266">
        <v>2</v>
      </c>
      <c r="B12" s="288" t="s">
        <v>127</v>
      </c>
      <c r="C12" s="22" t="s">
        <v>133</v>
      </c>
      <c r="D12" s="52" t="s">
        <v>134</v>
      </c>
      <c r="E12" s="45">
        <v>40808</v>
      </c>
      <c r="F12" s="45">
        <v>40808</v>
      </c>
      <c r="G12" s="45" t="s">
        <v>135</v>
      </c>
      <c r="H12" s="187">
        <f>5383766.44*0.702804+874986</f>
        <v>4658718.5890977606</v>
      </c>
      <c r="I12" s="366">
        <f>H12/0.702804+1</f>
        <v>6628760.3540983843</v>
      </c>
      <c r="J12" s="187">
        <f>H12</f>
        <v>4658718.5890977606</v>
      </c>
      <c r="K12" s="23">
        <f>J12/0.702804</f>
        <v>6628759.3540983843</v>
      </c>
      <c r="L12" s="24">
        <f>0.101%+$L$7</f>
        <v>1.7590000000000001E-2</v>
      </c>
      <c r="M12" s="53">
        <f>M7</f>
        <v>2.5000000000000001E-3</v>
      </c>
      <c r="N12" s="47">
        <v>4</v>
      </c>
      <c r="O12" s="54"/>
      <c r="P12" s="55">
        <v>0</v>
      </c>
      <c r="Q12" s="25">
        <v>6355568</v>
      </c>
      <c r="R12" s="390">
        <v>6281579</v>
      </c>
      <c r="S12" s="49" t="s">
        <v>126</v>
      </c>
      <c r="T12" s="312">
        <v>4711184</v>
      </c>
      <c r="U12" s="50">
        <v>392598.78998981224</v>
      </c>
      <c r="V12" s="50">
        <v>392598.78998981224</v>
      </c>
      <c r="W12" s="50">
        <v>392598.8</v>
      </c>
      <c r="X12" s="50">
        <v>392598.78998981224</v>
      </c>
      <c r="Y12" s="50">
        <v>392598.78998981224</v>
      </c>
      <c r="Z12" s="50">
        <v>392598.78998981224</v>
      </c>
      <c r="AA12" s="50">
        <v>392598.78998981201</v>
      </c>
      <c r="AB12" s="50">
        <v>392598.78998981224</v>
      </c>
      <c r="AC12" s="50">
        <v>392598.78998981224</v>
      </c>
      <c r="AD12" s="50">
        <v>392598.78998981224</v>
      </c>
      <c r="AE12" s="50">
        <v>785196.09009168996</v>
      </c>
      <c r="AF12" s="1172">
        <f t="shared" si="0"/>
        <v>3533387.6200203756</v>
      </c>
      <c r="AG12" s="83"/>
      <c r="AH12" s="83"/>
      <c r="AI12" s="83"/>
      <c r="AJ12" s="83"/>
      <c r="AK12" s="83"/>
      <c r="AL12" s="83"/>
      <c r="AM12" s="83"/>
      <c r="AN12" s="83"/>
      <c r="AO12" s="83"/>
      <c r="AP12" s="83"/>
    </row>
    <row r="13" spans="1:42" s="42" customFormat="1" ht="13.8" thickBot="1" x14ac:dyDescent="0.25">
      <c r="A13" s="1265"/>
      <c r="B13" s="287" t="s">
        <v>136</v>
      </c>
      <c r="C13" s="28"/>
      <c r="D13" s="28"/>
      <c r="E13" s="185"/>
      <c r="F13" s="40"/>
      <c r="G13" s="30"/>
      <c r="H13" s="180"/>
      <c r="I13" s="376"/>
      <c r="J13" s="180"/>
      <c r="K13" s="29"/>
      <c r="L13" s="28"/>
      <c r="M13" s="28"/>
      <c r="N13" s="28"/>
      <c r="O13" s="31"/>
      <c r="P13" s="29"/>
      <c r="Q13" s="32"/>
      <c r="R13" s="392"/>
      <c r="S13" s="33" t="s">
        <v>2</v>
      </c>
      <c r="T13" s="269"/>
      <c r="U13" s="1164">
        <f>((SUM(U12:$AE12))*($L12+$M12))</f>
        <v>94647.686560000002</v>
      </c>
      <c r="V13" s="1164">
        <f>((SUM(V12:$AE12))*($L12+$M12))</f>
        <v>86760.376869104672</v>
      </c>
      <c r="W13" s="1164">
        <f>((SUM(W12:$AE12))*($L12+$M12))</f>
        <v>78873.067178209341</v>
      </c>
      <c r="X13" s="1164">
        <f>((SUM(X12:$AE12))*($L12+$M12))</f>
        <v>70985.757286209351</v>
      </c>
      <c r="Y13" s="1164">
        <f>((SUM(Y12:$AE12))*($L12+$M12))</f>
        <v>63098.447595314014</v>
      </c>
      <c r="Z13" s="1164">
        <f>((SUM(Z12:$AE12))*($L12+$M12))</f>
        <v>55211.137904418691</v>
      </c>
      <c r="AA13" s="1164">
        <f>((SUM(AA12:$AE12))*($L12+$M12))</f>
        <v>47323.82821352336</v>
      </c>
      <c r="AB13" s="1164">
        <f>((SUM(AB12:$AE12))*($L12+$M12))</f>
        <v>39436.518522628037</v>
      </c>
      <c r="AC13" s="1164">
        <f>((SUM(AC12:$AE12))*($L12+$M12))</f>
        <v>31549.208831732711</v>
      </c>
      <c r="AD13" s="1164">
        <f>((SUM(AD12:$AE12))*($L12+$M12))</f>
        <v>23661.89914083738</v>
      </c>
      <c r="AE13" s="1164">
        <f>((SUM(AE12:$AE12))*($L12+$M12))</f>
        <v>15774.589449942052</v>
      </c>
      <c r="AF13" s="1171">
        <f t="shared" si="0"/>
        <v>347041.38694460556</v>
      </c>
      <c r="AG13" s="83"/>
      <c r="AH13" s="83"/>
    </row>
    <row r="14" spans="1:42" s="26" customFormat="1" x14ac:dyDescent="0.2">
      <c r="A14" s="1264">
        <v>3</v>
      </c>
      <c r="B14" s="286" t="s">
        <v>137</v>
      </c>
      <c r="C14" s="22" t="s">
        <v>138</v>
      </c>
      <c r="D14" s="38" t="s">
        <v>139</v>
      </c>
      <c r="E14" s="188">
        <v>2012</v>
      </c>
      <c r="F14" s="45">
        <v>41096</v>
      </c>
      <c r="G14" s="45" t="s">
        <v>244</v>
      </c>
      <c r="H14" s="182">
        <v>612196</v>
      </c>
      <c r="I14" s="366">
        <f>H14/0.702804</f>
        <v>871076.43098217994</v>
      </c>
      <c r="J14" s="182">
        <f>H14</f>
        <v>612196</v>
      </c>
      <c r="K14" s="23">
        <f>J14/0.702804</f>
        <v>871076.43098217994</v>
      </c>
      <c r="L14" s="24">
        <f>0.105%+$L$7</f>
        <v>1.763E-2</v>
      </c>
      <c r="M14" s="39">
        <f>M7</f>
        <v>2.5000000000000001E-3</v>
      </c>
      <c r="N14" s="35">
        <v>4</v>
      </c>
      <c r="O14" s="59"/>
      <c r="P14" s="37">
        <v>0</v>
      </c>
      <c r="Q14" s="25">
        <v>856768</v>
      </c>
      <c r="R14" s="390">
        <v>828311</v>
      </c>
      <c r="S14" s="60" t="s">
        <v>126</v>
      </c>
      <c r="T14" s="285">
        <v>639883</v>
      </c>
      <c r="U14" s="57">
        <v>53323.543975276181</v>
      </c>
      <c r="V14" s="57">
        <v>53323.543975276181</v>
      </c>
      <c r="W14" s="57">
        <v>53323.56</v>
      </c>
      <c r="X14" s="57">
        <v>53323.543975276181</v>
      </c>
      <c r="Y14" s="57">
        <v>53323.543975276181</v>
      </c>
      <c r="Z14" s="57">
        <v>53323.543975276181</v>
      </c>
      <c r="AA14" s="57">
        <v>53323.543975276181</v>
      </c>
      <c r="AB14" s="57">
        <v>53323.543975276181</v>
      </c>
      <c r="AC14" s="57">
        <v>53323.543975276181</v>
      </c>
      <c r="AD14" s="57">
        <v>53323.543975276181</v>
      </c>
      <c r="AE14" s="57">
        <v>106647.54422251438</v>
      </c>
      <c r="AF14" s="1170">
        <f t="shared" si="0"/>
        <v>479912.35204944765</v>
      </c>
      <c r="AG14" s="83"/>
      <c r="AH14" s="83"/>
    </row>
    <row r="15" spans="1:42" s="42" customFormat="1" ht="13.8" thickBot="1" x14ac:dyDescent="0.25">
      <c r="A15" s="1265"/>
      <c r="B15" s="287" t="s">
        <v>140</v>
      </c>
      <c r="C15" s="28"/>
      <c r="D15" s="28"/>
      <c r="E15" s="185"/>
      <c r="F15" s="40"/>
      <c r="G15" s="30"/>
      <c r="H15" s="180"/>
      <c r="I15" s="376"/>
      <c r="J15" s="180"/>
      <c r="K15" s="29"/>
      <c r="L15" s="28"/>
      <c r="M15" s="28"/>
      <c r="N15" s="28"/>
      <c r="O15" s="31"/>
      <c r="P15" s="29"/>
      <c r="Q15" s="32"/>
      <c r="R15" s="392"/>
      <c r="S15" s="33" t="s">
        <v>2</v>
      </c>
      <c r="T15" s="269"/>
      <c r="U15" s="1164">
        <f>((SUM(U14:$AE14))*($L14+$M14))</f>
        <v>12880.844789999999</v>
      </c>
      <c r="V15" s="1164">
        <f>((SUM(V14:$AE14))*($L14+$M14))</f>
        <v>11807.44184977769</v>
      </c>
      <c r="W15" s="1164">
        <f>((SUM(W14:$AE14))*($L14+$M14))</f>
        <v>10734.03890955538</v>
      </c>
      <c r="X15" s="1164">
        <f>((SUM(X14:$AE14))*($L14+$M14))</f>
        <v>9660.6356467553815</v>
      </c>
      <c r="Y15" s="1164">
        <f>((SUM(Y14:$AE14))*($L14+$M14))</f>
        <v>8587.2327065330719</v>
      </c>
      <c r="Z15" s="1164">
        <f>((SUM(Z14:$AE14))*($L14+$M14))</f>
        <v>7513.8297663107624</v>
      </c>
      <c r="AA15" s="1164">
        <f>((SUM(AA14:$AE14))*($L14+$M14))</f>
        <v>6440.4268260884519</v>
      </c>
      <c r="AB15" s="1164">
        <f>((SUM(AB14:$AE14))*($L14+$M14))</f>
        <v>5367.0238858661423</v>
      </c>
      <c r="AC15" s="1164">
        <f>((SUM(AC14:$AE14))*($L14+$M14))</f>
        <v>4293.6209456438328</v>
      </c>
      <c r="AD15" s="1164">
        <f>((SUM(AD14:$AE14))*($L14+$M14))</f>
        <v>3220.2180054215237</v>
      </c>
      <c r="AE15" s="1164">
        <f>((SUM(AE14:$AE14))*($L14+$M14))*3</f>
        <v>6440.4451955976419</v>
      </c>
      <c r="AF15" s="1171">
        <f t="shared" si="0"/>
        <v>51523.432978216799</v>
      </c>
      <c r="AG15" s="83"/>
      <c r="AH15" s="83"/>
    </row>
    <row r="16" spans="1:42" s="26" customFormat="1" x14ac:dyDescent="0.2">
      <c r="A16" s="1264">
        <v>4</v>
      </c>
      <c r="B16" s="286" t="s">
        <v>141</v>
      </c>
      <c r="C16" s="22" t="s">
        <v>142</v>
      </c>
      <c r="D16" s="38" t="s">
        <v>143</v>
      </c>
      <c r="E16" s="188">
        <v>2012</v>
      </c>
      <c r="F16" s="45">
        <v>41604</v>
      </c>
      <c r="G16" s="51" t="s">
        <v>245</v>
      </c>
      <c r="H16" s="182">
        <v>366106</v>
      </c>
      <c r="I16" s="366">
        <f>H16/0.702804</f>
        <v>520921.90710354527</v>
      </c>
      <c r="J16" s="182">
        <f>H16</f>
        <v>366106</v>
      </c>
      <c r="K16" s="23">
        <f>J16/0.702804</f>
        <v>520921.90710354527</v>
      </c>
      <c r="L16" s="24">
        <f>0.055%+$L$7</f>
        <v>1.7129999999999999E-2</v>
      </c>
      <c r="M16" s="39">
        <f>M7</f>
        <v>2.5000000000000001E-3</v>
      </c>
      <c r="N16" s="35">
        <v>4</v>
      </c>
      <c r="O16" s="59"/>
      <c r="P16" s="37">
        <v>0</v>
      </c>
      <c r="Q16" s="25">
        <v>520922</v>
      </c>
      <c r="R16" s="390">
        <v>463059</v>
      </c>
      <c r="S16" s="60" t="s">
        <v>126</v>
      </c>
      <c r="T16" s="285">
        <v>231528</v>
      </c>
      <c r="U16" s="57">
        <v>57882.425256543786</v>
      </c>
      <c r="V16" s="57">
        <v>57882.425256543786</v>
      </c>
      <c r="W16" s="57">
        <v>57882.44</v>
      </c>
      <c r="X16" s="57">
        <v>57881</v>
      </c>
      <c r="Y16" s="184">
        <v>0</v>
      </c>
      <c r="Z16" s="184">
        <v>0</v>
      </c>
      <c r="AA16" s="184">
        <v>0</v>
      </c>
      <c r="AB16" s="184">
        <v>0</v>
      </c>
      <c r="AC16" s="184">
        <v>0</v>
      </c>
      <c r="AD16" s="184">
        <v>0</v>
      </c>
      <c r="AE16" s="184">
        <v>0</v>
      </c>
      <c r="AF16" s="1173">
        <f t="shared" si="0"/>
        <v>57881</v>
      </c>
      <c r="AG16" s="83"/>
      <c r="AH16" s="83"/>
    </row>
    <row r="17" spans="1:34" s="42" customFormat="1" ht="15" thickBot="1" x14ac:dyDescent="0.35">
      <c r="A17" s="1265"/>
      <c r="B17" s="287" t="s">
        <v>144</v>
      </c>
      <c r="C17" s="28"/>
      <c r="D17" s="28"/>
      <c r="E17" s="185"/>
      <c r="F17" s="40"/>
      <c r="G17" s="30"/>
      <c r="H17" s="180"/>
      <c r="I17" s="377"/>
      <c r="J17" s="189"/>
      <c r="K17" s="61"/>
      <c r="L17" s="28"/>
      <c r="M17" s="28"/>
      <c r="N17" s="28"/>
      <c r="O17" s="31"/>
      <c r="P17" s="29"/>
      <c r="Q17" s="32"/>
      <c r="R17" s="392"/>
      <c r="S17" s="33" t="s">
        <v>2</v>
      </c>
      <c r="T17" s="269"/>
      <c r="U17" s="1164">
        <f>((SUM(U16:$AE16))*($L16+$M16))</f>
        <v>4544.900342771909</v>
      </c>
      <c r="V17" s="1164">
        <f>((SUM(V16:$AE16))*($L16+$M16))</f>
        <v>3408.6683349859545</v>
      </c>
      <c r="W17" s="1164">
        <f>((SUM(W16:$AE16))*($L16+$M16))</f>
        <v>2272.4363272000001</v>
      </c>
      <c r="X17" s="1164">
        <f>((SUM(X16:$AE16))*($L16+$M16))</f>
        <v>1136.2040299999999</v>
      </c>
      <c r="Y17" s="1165">
        <f>((SUM(Y16:$AE16))*($L16+$M16))</f>
        <v>0</v>
      </c>
      <c r="Z17" s="1165">
        <f>((SUM(Z16:$AE16))*($L16+$M16))</f>
        <v>0</v>
      </c>
      <c r="AA17" s="1165">
        <f>((SUM(AA16:$AE16))*($L16+$M16))</f>
        <v>0</v>
      </c>
      <c r="AB17" s="1165">
        <f>((SUM(AB16:$AE16))*($L16+$M16))</f>
        <v>0</v>
      </c>
      <c r="AC17" s="1165">
        <f>((SUM(AC16:$AE16))*($L16+$M16))</f>
        <v>0</v>
      </c>
      <c r="AD17" s="1165">
        <f>((SUM(AD16:$AE16))*($L16+$M16))</f>
        <v>0</v>
      </c>
      <c r="AE17" s="1165">
        <f>((SUM(AE16:$AE16))*($L16+$M16))</f>
        <v>0</v>
      </c>
      <c r="AF17" s="1171">
        <f t="shared" si="0"/>
        <v>1136.2040299999999</v>
      </c>
      <c r="AG17" s="83"/>
      <c r="AH17" s="83"/>
    </row>
    <row r="18" spans="1:34" s="242" customFormat="1" x14ac:dyDescent="0.2">
      <c r="A18" s="1264">
        <v>5</v>
      </c>
      <c r="B18" s="286" t="s">
        <v>249</v>
      </c>
      <c r="C18" s="228" t="s">
        <v>255</v>
      </c>
      <c r="D18" s="229" t="s">
        <v>252</v>
      </c>
      <c r="E18" s="230" t="s">
        <v>253</v>
      </c>
      <c r="F18" s="231" t="s">
        <v>253</v>
      </c>
      <c r="G18" s="232" t="s">
        <v>254</v>
      </c>
      <c r="H18" s="233"/>
      <c r="I18" s="378">
        <v>1925611</v>
      </c>
      <c r="J18" s="233"/>
      <c r="K18" s="234">
        <f>J18/0.702804</f>
        <v>0</v>
      </c>
      <c r="L18" s="24">
        <f>0.105%+$L$7</f>
        <v>1.763E-2</v>
      </c>
      <c r="M18" s="235">
        <f>M7</f>
        <v>2.5000000000000001E-3</v>
      </c>
      <c r="N18" s="236">
        <v>4</v>
      </c>
      <c r="O18" s="237"/>
      <c r="P18" s="238">
        <v>0</v>
      </c>
      <c r="Q18" s="239"/>
      <c r="R18" s="393"/>
      <c r="S18" s="240" t="s">
        <v>126</v>
      </c>
      <c r="T18" s="313">
        <v>1660050</v>
      </c>
      <c r="U18" s="241">
        <v>132804</v>
      </c>
      <c r="V18" s="241">
        <v>132804</v>
      </c>
      <c r="W18" s="241">
        <v>132804</v>
      </c>
      <c r="X18" s="241">
        <v>132804</v>
      </c>
      <c r="Y18" s="241">
        <v>132804</v>
      </c>
      <c r="Z18" s="241">
        <v>132804</v>
      </c>
      <c r="AA18" s="241">
        <v>132804</v>
      </c>
      <c r="AB18" s="241">
        <v>132804</v>
      </c>
      <c r="AC18" s="241">
        <v>132804</v>
      </c>
      <c r="AD18" s="241">
        <v>132804</v>
      </c>
      <c r="AE18" s="241">
        <v>332010</v>
      </c>
      <c r="AF18" s="1170">
        <f t="shared" si="0"/>
        <v>1261638</v>
      </c>
      <c r="AG18" s="83"/>
      <c r="AH18" s="83"/>
    </row>
    <row r="19" spans="1:34" s="254" customFormat="1" ht="15" thickBot="1" x14ac:dyDescent="0.35">
      <c r="A19" s="1265"/>
      <c r="B19" s="287" t="s">
        <v>250</v>
      </c>
      <c r="C19" s="243"/>
      <c r="D19" s="243"/>
      <c r="E19" s="244"/>
      <c r="F19" s="245"/>
      <c r="G19" s="246"/>
      <c r="H19" s="247"/>
      <c r="I19" s="379"/>
      <c r="J19" s="248"/>
      <c r="K19" s="249"/>
      <c r="L19" s="243"/>
      <c r="M19" s="243"/>
      <c r="N19" s="243"/>
      <c r="O19" s="250"/>
      <c r="P19" s="251"/>
      <c r="Q19" s="252"/>
      <c r="R19" s="394"/>
      <c r="S19" s="253" t="s">
        <v>2</v>
      </c>
      <c r="T19" s="284"/>
      <c r="U19" s="1164">
        <f>((SUM(U18:$AE18))*($L18+$M18))</f>
        <v>33416.806499999999</v>
      </c>
      <c r="V19" s="1164">
        <f>((SUM(V18:$AE18))*($L18+$M18))</f>
        <v>30743.461979999996</v>
      </c>
      <c r="W19" s="1164">
        <f>((SUM(W18:$AE18))*($L18+$M18))</f>
        <v>28070.117459999998</v>
      </c>
      <c r="X19" s="1164">
        <f>((SUM(X18:$AE18))*($L18+$M18))</f>
        <v>25396.772939999999</v>
      </c>
      <c r="Y19" s="1164">
        <f>((SUM(Y18:$AE18))*($L18+$M18))</f>
        <v>22723.42842</v>
      </c>
      <c r="Z19" s="1164">
        <f>((SUM(Z18:$AE18))*($L18+$M18))</f>
        <v>20050.083899999998</v>
      </c>
      <c r="AA19" s="1164">
        <f>((SUM(AA18:$AE18))*($L18+$M18))</f>
        <v>17376.739379999999</v>
      </c>
      <c r="AB19" s="1164">
        <f>((SUM(AB18:$AE18))*($L18+$M18))</f>
        <v>14703.394859999999</v>
      </c>
      <c r="AC19" s="1164">
        <f>((SUM(AC18:$AE18))*($L18+$M18))</f>
        <v>12030.05034</v>
      </c>
      <c r="AD19" s="1164">
        <f>((SUM(AD18:$AE18))*($L18+$M18))</f>
        <v>9356.7058199999992</v>
      </c>
      <c r="AE19" s="1164">
        <f>((SUM(AE18:$AE18))*($L18+$M18))*3</f>
        <v>20050.083899999998</v>
      </c>
      <c r="AF19" s="1171">
        <f t="shared" si="0"/>
        <v>141687.25956000001</v>
      </c>
      <c r="AG19" s="83"/>
      <c r="AH19" s="83"/>
    </row>
    <row r="20" spans="1:34" s="26" customFormat="1" x14ac:dyDescent="0.2">
      <c r="A20" s="1264">
        <v>6</v>
      </c>
      <c r="B20" s="286" t="s">
        <v>215</v>
      </c>
      <c r="C20" s="228" t="s">
        <v>269</v>
      </c>
      <c r="D20" s="229" t="s">
        <v>270</v>
      </c>
      <c r="E20" s="260" t="s">
        <v>271</v>
      </c>
      <c r="F20" s="260" t="s">
        <v>271</v>
      </c>
      <c r="G20" s="211" t="s">
        <v>272</v>
      </c>
      <c r="H20" s="182"/>
      <c r="I20" s="366">
        <v>154450.12</v>
      </c>
      <c r="J20" s="182"/>
      <c r="K20" s="23">
        <f>J20/0.702804</f>
        <v>0</v>
      </c>
      <c r="L20" s="24">
        <f>0.055%+$L$7</f>
        <v>1.7129999999999999E-2</v>
      </c>
      <c r="M20" s="39">
        <f>M7</f>
        <v>2.5000000000000001E-3</v>
      </c>
      <c r="N20" s="35">
        <v>4</v>
      </c>
      <c r="O20" s="59"/>
      <c r="P20" s="37">
        <v>0</v>
      </c>
      <c r="Q20" s="25"/>
      <c r="R20" s="390"/>
      <c r="S20" s="60" t="s">
        <v>126</v>
      </c>
      <c r="T20" s="285">
        <v>133518</v>
      </c>
      <c r="U20" s="57">
        <v>10472</v>
      </c>
      <c r="V20" s="57">
        <v>10472</v>
      </c>
      <c r="W20" s="57">
        <v>10472</v>
      </c>
      <c r="X20" s="57">
        <v>10472</v>
      </c>
      <c r="Y20" s="57">
        <v>10472</v>
      </c>
      <c r="Z20" s="57">
        <v>10472</v>
      </c>
      <c r="AA20" s="57">
        <v>10472</v>
      </c>
      <c r="AB20" s="57">
        <v>10472</v>
      </c>
      <c r="AC20" s="57">
        <v>10472</v>
      </c>
      <c r="AD20" s="57">
        <v>10472</v>
      </c>
      <c r="AE20" s="57">
        <v>28798</v>
      </c>
      <c r="AF20" s="1170">
        <f t="shared" si="0"/>
        <v>102102</v>
      </c>
      <c r="AG20" s="83"/>
      <c r="AH20" s="83"/>
    </row>
    <row r="21" spans="1:34" s="42" customFormat="1" ht="15" thickBot="1" x14ac:dyDescent="0.35">
      <c r="A21" s="1265"/>
      <c r="B21" s="287" t="s">
        <v>251</v>
      </c>
      <c r="C21" s="28"/>
      <c r="D21" s="28"/>
      <c r="E21" s="185"/>
      <c r="F21" s="40"/>
      <c r="G21" s="30"/>
      <c r="H21" s="180"/>
      <c r="I21" s="377"/>
      <c r="J21" s="189"/>
      <c r="K21" s="61"/>
      <c r="L21" s="28"/>
      <c r="M21" s="28"/>
      <c r="N21" s="28"/>
      <c r="O21" s="31"/>
      <c r="P21" s="29"/>
      <c r="Q21" s="32"/>
      <c r="R21" s="392"/>
      <c r="S21" s="33" t="s">
        <v>2</v>
      </c>
      <c r="T21" s="269"/>
      <c r="U21" s="1164">
        <f>((SUM(U20:$AE20))*($L20+$M20))</f>
        <v>2620.9583399999997</v>
      </c>
      <c r="V21" s="1164">
        <f>((SUM(V20:$AE20))*($L20+$M20))</f>
        <v>2415.3929799999996</v>
      </c>
      <c r="W21" s="1164">
        <f>((SUM(W20:$AE20))*($L20+$M20))</f>
        <v>2209.8276199999996</v>
      </c>
      <c r="X21" s="1164">
        <f>((SUM(X20:$AE20))*($L20+$M20))</f>
        <v>2004.2622599999997</v>
      </c>
      <c r="Y21" s="1164">
        <f>((SUM(Y20:$AE20))*($L20+$M20))</f>
        <v>1798.6968999999999</v>
      </c>
      <c r="Z21" s="1164">
        <f>((SUM(Z20:$AE20))*($L20+$M20))</f>
        <v>1593.1315399999999</v>
      </c>
      <c r="AA21" s="1164">
        <f>((SUM(AA20:$AE20))*($L20+$M20))</f>
        <v>1387.5661799999998</v>
      </c>
      <c r="AB21" s="1164">
        <f>((SUM(AB20:$AE20))*($L20+$M20))</f>
        <v>1182.00082</v>
      </c>
      <c r="AC21" s="1164">
        <f>((SUM(AC20:$AE20))*($L20+$M20))</f>
        <v>976.43545999999992</v>
      </c>
      <c r="AD21" s="1164">
        <f>((SUM(AD20:$AE20))*($L20+$M20))</f>
        <v>770.87009999999998</v>
      </c>
      <c r="AE21" s="1164">
        <f>((SUM(AE20:$AE20))*($L20+$M20))*3</f>
        <v>1695.9142199999997</v>
      </c>
      <c r="AF21" s="1171">
        <f t="shared" si="0"/>
        <v>11408.877479999999</v>
      </c>
      <c r="AG21" s="83"/>
      <c r="AH21" s="83"/>
    </row>
    <row r="22" spans="1:34" s="42" customFormat="1" ht="14.4" x14ac:dyDescent="0.3">
      <c r="A22" s="1266">
        <v>7</v>
      </c>
      <c r="B22" s="288" t="s">
        <v>240</v>
      </c>
      <c r="C22" s="47" t="s">
        <v>263</v>
      </c>
      <c r="D22" s="47" t="s">
        <v>257</v>
      </c>
      <c r="E22" s="255" t="s">
        <v>256</v>
      </c>
      <c r="F22" s="56" t="s">
        <v>256</v>
      </c>
      <c r="G22" s="211" t="s">
        <v>268</v>
      </c>
      <c r="H22" s="187"/>
      <c r="I22" s="380">
        <f>46627+88266</f>
        <v>134893</v>
      </c>
      <c r="J22" s="256"/>
      <c r="K22" s="61"/>
      <c r="L22" s="24">
        <f>0.055%+$L$7</f>
        <v>1.7129999999999999E-2</v>
      </c>
      <c r="M22" s="39">
        <f>M7</f>
        <v>2.5000000000000001E-3</v>
      </c>
      <c r="N22" s="47"/>
      <c r="O22" s="54"/>
      <c r="P22" s="55"/>
      <c r="Q22" s="48"/>
      <c r="R22" s="395"/>
      <c r="S22" s="60" t="s">
        <v>126</v>
      </c>
      <c r="T22" s="314">
        <v>89936</v>
      </c>
      <c r="U22" s="257">
        <v>25696</v>
      </c>
      <c r="V22" s="257">
        <v>25696</v>
      </c>
      <c r="W22" s="257">
        <v>25696</v>
      </c>
      <c r="X22" s="257">
        <v>12848</v>
      </c>
      <c r="Y22" s="184">
        <v>0</v>
      </c>
      <c r="Z22" s="184">
        <v>0</v>
      </c>
      <c r="AA22" s="184">
        <v>0</v>
      </c>
      <c r="AB22" s="184">
        <v>0</v>
      </c>
      <c r="AC22" s="184">
        <v>0</v>
      </c>
      <c r="AD22" s="184">
        <v>0</v>
      </c>
      <c r="AE22" s="184">
        <v>0</v>
      </c>
      <c r="AF22" s="1170">
        <f t="shared" si="0"/>
        <v>12848</v>
      </c>
      <c r="AG22" s="83"/>
      <c r="AH22" s="1306"/>
    </row>
    <row r="23" spans="1:34" s="42" customFormat="1" ht="15" thickBot="1" x14ac:dyDescent="0.35">
      <c r="A23" s="1265"/>
      <c r="B23" s="287"/>
      <c r="C23" s="28"/>
      <c r="D23" s="28"/>
      <c r="E23" s="185"/>
      <c r="F23" s="40" t="s">
        <v>265</v>
      </c>
      <c r="G23" s="30"/>
      <c r="H23" s="180"/>
      <c r="I23" s="376" t="s">
        <v>260</v>
      </c>
      <c r="J23" s="258"/>
      <c r="K23" s="259"/>
      <c r="L23" s="28"/>
      <c r="M23" s="28"/>
      <c r="N23" s="28"/>
      <c r="O23" s="31"/>
      <c r="P23" s="29"/>
      <c r="Q23" s="32"/>
      <c r="R23" s="392"/>
      <c r="S23" s="33" t="s">
        <v>2</v>
      </c>
      <c r="T23" s="269"/>
      <c r="U23" s="1164">
        <f>((SUM(U22:$AE22))*($L22+$M22))</f>
        <v>1765.4436799999999</v>
      </c>
      <c r="V23" s="1164">
        <f>((SUM(V22:$AE22))*($L22+$M22))</f>
        <v>1261.0311999999999</v>
      </c>
      <c r="W23" s="1164">
        <f>((SUM(W22:$AE22))*($L22+$M22))</f>
        <v>756.61871999999994</v>
      </c>
      <c r="X23" s="1164">
        <f>((SUM(X22:$AE22))*($L22+$M22))</f>
        <v>252.20623999999998</v>
      </c>
      <c r="Y23" s="1165">
        <f>((SUM(Y22:$AE22))*($L22+$M22))</f>
        <v>0</v>
      </c>
      <c r="Z23" s="1165">
        <f>((SUM(Z22:$AE22))*($L22+$M22))</f>
        <v>0</v>
      </c>
      <c r="AA23" s="1165">
        <f>((SUM(AA22:$AE22))*($L22+$M22))</f>
        <v>0</v>
      </c>
      <c r="AB23" s="1165">
        <f>((SUM(AB22:$AE22))*($L22+$M22))</f>
        <v>0</v>
      </c>
      <c r="AC23" s="1165">
        <f>((SUM(AC22:$AE22))*($L22+$M22))</f>
        <v>0</v>
      </c>
      <c r="AD23" s="1165">
        <f>((SUM(AD22:$AE22))*($L22+$M22))</f>
        <v>0</v>
      </c>
      <c r="AE23" s="1165">
        <f>((SUM(AE22:$AE22))*($L22+$M22))</f>
        <v>0</v>
      </c>
      <c r="AF23" s="1171">
        <f t="shared" si="0"/>
        <v>252.20623999999998</v>
      </c>
      <c r="AG23" s="83"/>
      <c r="AH23" s="83"/>
    </row>
    <row r="24" spans="1:34" s="26" customFormat="1" ht="13.8" hidden="1" outlineLevel="1" thickBot="1" x14ac:dyDescent="0.25">
      <c r="A24" s="1267"/>
      <c r="B24" s="286" t="s">
        <v>214</v>
      </c>
      <c r="C24" s="22" t="s">
        <v>247</v>
      </c>
      <c r="D24" s="38" t="s">
        <v>248</v>
      </c>
      <c r="E24" s="45" t="s">
        <v>224</v>
      </c>
      <c r="F24" s="45" t="s">
        <v>224</v>
      </c>
      <c r="G24" s="211" t="s">
        <v>246</v>
      </c>
      <c r="H24" s="182"/>
      <c r="I24" s="366">
        <v>330753</v>
      </c>
      <c r="J24" s="182"/>
      <c r="K24" s="23">
        <f>J24/0.702804</f>
        <v>0</v>
      </c>
      <c r="L24" s="58">
        <f>0.101%+L7</f>
        <v>1.7590000000000001E-2</v>
      </c>
      <c r="M24" s="39">
        <f>M7</f>
        <v>2.5000000000000001E-3</v>
      </c>
      <c r="N24" s="35">
        <v>4</v>
      </c>
      <c r="O24" s="59"/>
      <c r="P24" s="37">
        <v>0</v>
      </c>
      <c r="Q24" s="25"/>
      <c r="R24" s="390"/>
      <c r="S24" s="60" t="s">
        <v>126</v>
      </c>
      <c r="T24" s="285">
        <v>164592</v>
      </c>
      <c r="U24" s="57">
        <v>82296</v>
      </c>
      <c r="V24" s="57">
        <v>82296</v>
      </c>
      <c r="W24" s="184">
        <v>0</v>
      </c>
      <c r="X24" s="184">
        <v>0</v>
      </c>
      <c r="Y24" s="184">
        <v>0</v>
      </c>
      <c r="Z24" s="184">
        <v>0</v>
      </c>
      <c r="AA24" s="184">
        <v>0</v>
      </c>
      <c r="AB24" s="184">
        <v>0</v>
      </c>
      <c r="AC24" s="184">
        <v>0</v>
      </c>
      <c r="AD24" s="184">
        <v>0</v>
      </c>
      <c r="AE24" s="184">
        <v>0</v>
      </c>
      <c r="AF24" s="1170">
        <f t="shared" si="0"/>
        <v>0</v>
      </c>
      <c r="AG24" s="83"/>
      <c r="AH24" s="83"/>
    </row>
    <row r="25" spans="1:34" s="42" customFormat="1" ht="15" hidden="1" outlineLevel="1" thickBot="1" x14ac:dyDescent="0.35">
      <c r="A25" s="1265"/>
      <c r="B25" s="212" t="s">
        <v>219</v>
      </c>
      <c r="C25" s="28"/>
      <c r="D25" s="28"/>
      <c r="E25" s="185"/>
      <c r="F25" s="40"/>
      <c r="G25" s="30"/>
      <c r="H25" s="180"/>
      <c r="I25" s="377"/>
      <c r="J25" s="189"/>
      <c r="K25" s="61"/>
      <c r="L25" s="28"/>
      <c r="M25" s="28"/>
      <c r="N25" s="28"/>
      <c r="O25" s="31"/>
      <c r="P25" s="29"/>
      <c r="Q25" s="32"/>
      <c r="R25" s="392"/>
      <c r="S25" s="33" t="s">
        <v>2</v>
      </c>
      <c r="T25" s="269"/>
      <c r="U25" s="1164">
        <f>((SUM(U24:$AE24))*($L24+$M24))</f>
        <v>3306.65328</v>
      </c>
      <c r="V25" s="1164">
        <f>((SUM(V24:$AE24))*($L24+$M24))</f>
        <v>1653.32664</v>
      </c>
      <c r="W25" s="1165">
        <f>((SUM(W24:$AE24))*($L24+$M24))</f>
        <v>0</v>
      </c>
      <c r="X25" s="1165">
        <f>((SUM(X24:$AE24))*($L24+$M24))</f>
        <v>0</v>
      </c>
      <c r="Y25" s="1165">
        <f>((SUM(Y24:$AE24))*($L24+$M24))</f>
        <v>0</v>
      </c>
      <c r="Z25" s="1165">
        <f>((SUM(Z24:$AE24))*($L24+$M24))</f>
        <v>0</v>
      </c>
      <c r="AA25" s="1165">
        <f>((SUM(AA24:$AE24))*($L24+$M24))</f>
        <v>0</v>
      </c>
      <c r="AB25" s="1165">
        <f>((SUM(AB24:$AE24))*($L24+$M24))</f>
        <v>0</v>
      </c>
      <c r="AC25" s="1165">
        <f>((SUM(AC24:$AE24))*($L24+$M24))</f>
        <v>0</v>
      </c>
      <c r="AD25" s="1165">
        <f>((SUM(AD24:$AE24))*($L24+$M24))</f>
        <v>0</v>
      </c>
      <c r="AE25" s="1165">
        <f>((SUM(AE24:$AE24))*($L24+$M24))</f>
        <v>0</v>
      </c>
      <c r="AF25" s="1171">
        <f t="shared" si="0"/>
        <v>0</v>
      </c>
      <c r="AG25" s="83"/>
      <c r="AH25" s="83"/>
    </row>
    <row r="26" spans="1:34" s="42" customFormat="1" ht="13.8" hidden="1" outlineLevel="1" thickBot="1" x14ac:dyDescent="0.25">
      <c r="A26" s="1267" t="s">
        <v>34</v>
      </c>
      <c r="B26" s="288" t="s">
        <v>214</v>
      </c>
      <c r="C26" s="47" t="s">
        <v>276</v>
      </c>
      <c r="D26" s="47" t="s">
        <v>264</v>
      </c>
      <c r="E26" s="56" t="s">
        <v>275</v>
      </c>
      <c r="F26" s="56" t="s">
        <v>275</v>
      </c>
      <c r="G26" s="211" t="s">
        <v>267</v>
      </c>
      <c r="H26" s="187"/>
      <c r="I26" s="380">
        <v>32850</v>
      </c>
      <c r="J26" s="187"/>
      <c r="K26" s="61"/>
      <c r="L26" s="58">
        <f>0.101%+L7</f>
        <v>1.7590000000000001E-2</v>
      </c>
      <c r="M26" s="39">
        <f>M7</f>
        <v>2.5000000000000001E-3</v>
      </c>
      <c r="N26" s="47"/>
      <c r="O26" s="54"/>
      <c r="P26" s="55"/>
      <c r="Q26" s="48"/>
      <c r="R26" s="395"/>
      <c r="S26" s="49" t="s">
        <v>126</v>
      </c>
      <c r="T26" s="315">
        <v>20075</v>
      </c>
      <c r="U26" s="257">
        <v>7300</v>
      </c>
      <c r="V26" s="257">
        <v>7300</v>
      </c>
      <c r="W26" s="257">
        <v>5475</v>
      </c>
      <c r="X26" s="184">
        <v>0</v>
      </c>
      <c r="Y26" s="184">
        <v>0</v>
      </c>
      <c r="Z26" s="184">
        <v>0</v>
      </c>
      <c r="AA26" s="184">
        <v>0</v>
      </c>
      <c r="AB26" s="184">
        <v>0</v>
      </c>
      <c r="AC26" s="184">
        <v>0</v>
      </c>
      <c r="AD26" s="184">
        <v>0</v>
      </c>
      <c r="AE26" s="184">
        <v>0</v>
      </c>
      <c r="AF26" s="1170">
        <f t="shared" si="0"/>
        <v>0</v>
      </c>
      <c r="AG26" s="83"/>
      <c r="AH26" s="83"/>
    </row>
    <row r="27" spans="1:34" s="42" customFormat="1" ht="15" hidden="1" outlineLevel="1" thickBot="1" x14ac:dyDescent="0.35">
      <c r="A27" s="1265"/>
      <c r="B27" s="212" t="s">
        <v>293</v>
      </c>
      <c r="C27" s="28"/>
      <c r="D27" s="28"/>
      <c r="E27" s="185"/>
      <c r="F27" s="40"/>
      <c r="G27" s="30"/>
      <c r="H27" s="180"/>
      <c r="I27" s="376"/>
      <c r="J27" s="258"/>
      <c r="K27" s="259"/>
      <c r="L27" s="28"/>
      <c r="M27" s="28"/>
      <c r="N27" s="28"/>
      <c r="O27" s="31"/>
      <c r="P27" s="29"/>
      <c r="Q27" s="32"/>
      <c r="R27" s="392"/>
      <c r="S27" s="33" t="s">
        <v>2</v>
      </c>
      <c r="T27" s="269"/>
      <c r="U27" s="1164">
        <f>((SUM(U26:$AE26))*($L26+$M26))</f>
        <v>403.30675000000002</v>
      </c>
      <c r="V27" s="1164">
        <f>((SUM(V26:$AE26))*($L26+$M26))</f>
        <v>256.64974999999998</v>
      </c>
      <c r="W27" s="1164">
        <f>((SUM(W26:$AE26))*($L26+$M26))</f>
        <v>109.99275</v>
      </c>
      <c r="X27" s="1165">
        <f>((SUM(X26:$AE26))*($L26+$M26))</f>
        <v>0</v>
      </c>
      <c r="Y27" s="1165">
        <f>((SUM(Y26:$AE26))*($L26+$M26))</f>
        <v>0</v>
      </c>
      <c r="Z27" s="1165">
        <f>((SUM(Z26:$AE26))*($L26+$M26))</f>
        <v>0</v>
      </c>
      <c r="AA27" s="1165">
        <f>((SUM(AA26:$AE26))*($L26+$M26))</f>
        <v>0</v>
      </c>
      <c r="AB27" s="1165">
        <f>((SUM(AB26:$AE26))*($L26+$M26))</f>
        <v>0</v>
      </c>
      <c r="AC27" s="1165">
        <f>((SUM(AC26:$AE26))*($L26+$M26))</f>
        <v>0</v>
      </c>
      <c r="AD27" s="1165">
        <f>((SUM(AD26:$AE26))*($L26+$M26))</f>
        <v>0</v>
      </c>
      <c r="AE27" s="1165">
        <f>((SUM(AE26:$AE26))*($L26+$M26))</f>
        <v>0</v>
      </c>
      <c r="AF27" s="1171">
        <f t="shared" si="0"/>
        <v>0</v>
      </c>
      <c r="AG27" s="83"/>
      <c r="AH27" s="83"/>
    </row>
    <row r="28" spans="1:34" s="42" customFormat="1" collapsed="1" x14ac:dyDescent="0.2">
      <c r="A28" s="1266" t="s">
        <v>35</v>
      </c>
      <c r="B28" s="286" t="s">
        <v>214</v>
      </c>
      <c r="C28" s="35" t="s">
        <v>295</v>
      </c>
      <c r="D28" s="35" t="s">
        <v>296</v>
      </c>
      <c r="E28" s="183" t="s">
        <v>294</v>
      </c>
      <c r="F28" s="183" t="s">
        <v>294</v>
      </c>
      <c r="G28" s="283" t="s">
        <v>308</v>
      </c>
      <c r="H28" s="182"/>
      <c r="I28" s="381">
        <v>11123368</v>
      </c>
      <c r="J28" s="182"/>
      <c r="K28" s="23">
        <f>J28/0.702804</f>
        <v>0</v>
      </c>
      <c r="L28" s="58">
        <f>0.055%+$L$7</f>
        <v>1.7129999999999999E-2</v>
      </c>
      <c r="M28" s="39">
        <f>M7</f>
        <v>2.5000000000000001E-3</v>
      </c>
      <c r="N28" s="35">
        <v>4</v>
      </c>
      <c r="O28" s="59"/>
      <c r="P28" s="37">
        <v>0</v>
      </c>
      <c r="Q28" s="25"/>
      <c r="R28" s="390"/>
      <c r="S28" s="60" t="s">
        <v>126</v>
      </c>
      <c r="T28" s="285">
        <v>10791159</v>
      </c>
      <c r="U28" s="57">
        <v>0</v>
      </c>
      <c r="V28" s="57">
        <v>824409</v>
      </c>
      <c r="W28" s="57">
        <v>379984</v>
      </c>
      <c r="X28" s="57">
        <v>379984</v>
      </c>
      <c r="Y28" s="57">
        <v>379984</v>
      </c>
      <c r="Z28" s="57">
        <v>379984</v>
      </c>
      <c r="AA28" s="57">
        <v>379984</v>
      </c>
      <c r="AB28" s="57">
        <v>379984</v>
      </c>
      <c r="AC28" s="57">
        <v>379984</v>
      </c>
      <c r="AD28" s="57">
        <v>379984</v>
      </c>
      <c r="AE28" s="57">
        <v>6926878</v>
      </c>
      <c r="AF28" s="1170">
        <f t="shared" si="0"/>
        <v>9586766</v>
      </c>
      <c r="AG28" s="83"/>
      <c r="AH28" s="83"/>
    </row>
    <row r="29" spans="1:34" s="42" customFormat="1" ht="15" thickBot="1" x14ac:dyDescent="0.35">
      <c r="A29" s="1265"/>
      <c r="B29" s="212" t="s">
        <v>301</v>
      </c>
      <c r="C29" s="28" t="s">
        <v>300</v>
      </c>
      <c r="D29" s="28"/>
      <c r="E29" s="185"/>
      <c r="F29" s="40"/>
      <c r="G29" s="30"/>
      <c r="H29" s="180"/>
      <c r="I29" s="377"/>
      <c r="J29" s="258"/>
      <c r="K29" s="259"/>
      <c r="L29" s="28"/>
      <c r="M29" s="28"/>
      <c r="N29" s="28"/>
      <c r="O29" s="31"/>
      <c r="P29" s="29"/>
      <c r="Q29" s="32"/>
      <c r="R29" s="392"/>
      <c r="S29" s="33" t="s">
        <v>2</v>
      </c>
      <c r="T29" s="269"/>
      <c r="U29" s="34"/>
      <c r="V29" s="1164">
        <f>((SUM(V28:$AE28))*($L28+$M28))</f>
        <v>211830.45116999999</v>
      </c>
      <c r="W29" s="1164">
        <f>((SUM(W28:$AE28))*($L28+$M28))</f>
        <v>195647.30249999999</v>
      </c>
      <c r="X29" s="1164">
        <f>((SUM(X28:$AE28))*($L28+$M28))</f>
        <v>188188.21657999998</v>
      </c>
      <c r="Y29" s="1164">
        <f>((SUM(Y28:$AE28))*($L28+$M28))</f>
        <v>180729.13066</v>
      </c>
      <c r="Z29" s="1164">
        <f>((SUM(Z28:$AE28))*($L28+$M28))</f>
        <v>173270.04473999998</v>
      </c>
      <c r="AA29" s="1164">
        <f>((SUM(AA28:$AE28))*($L28+$M28))</f>
        <v>165810.95881999997</v>
      </c>
      <c r="AB29" s="1164">
        <f>((SUM(AB28:$AE28))*($L28+$M28))</f>
        <v>158351.87289999999</v>
      </c>
      <c r="AC29" s="1164">
        <f>((SUM(AC28:$AE28))*($L28+$M28))</f>
        <v>150892.78697999998</v>
      </c>
      <c r="AD29" s="1164">
        <f>((SUM(AD28:$AE28))*($L28+$M28))</f>
        <v>143433.70105999999</v>
      </c>
      <c r="AE29" s="1164">
        <f>((SUM(AE28:$AE28))*($L28+$M28))*18</f>
        <v>2447543.0725199995</v>
      </c>
      <c r="AF29" s="1171">
        <f t="shared" si="0"/>
        <v>3608219.7842599992</v>
      </c>
      <c r="AG29" s="83"/>
      <c r="AH29" s="83"/>
    </row>
    <row r="30" spans="1:34" s="42" customFormat="1" x14ac:dyDescent="0.2">
      <c r="A30" s="1264" t="s">
        <v>36</v>
      </c>
      <c r="B30" s="286" t="s">
        <v>214</v>
      </c>
      <c r="C30" s="35" t="s">
        <v>338</v>
      </c>
      <c r="D30" s="35" t="s">
        <v>339</v>
      </c>
      <c r="E30" s="316"/>
      <c r="F30" s="183" t="s">
        <v>344</v>
      </c>
      <c r="G30" s="283" t="s">
        <v>345</v>
      </c>
      <c r="H30" s="182"/>
      <c r="I30" s="381">
        <f>2405442+170925.8</f>
        <v>2576367.7999999998</v>
      </c>
      <c r="J30" s="182"/>
      <c r="K30" s="23">
        <f>J30/0.702804</f>
        <v>0</v>
      </c>
      <c r="L30" s="24">
        <f>0.105%+$L$7</f>
        <v>1.763E-2</v>
      </c>
      <c r="M30" s="39">
        <f>M7</f>
        <v>2.5000000000000001E-3</v>
      </c>
      <c r="N30" s="35">
        <v>4</v>
      </c>
      <c r="O30" s="59"/>
      <c r="P30" s="37">
        <v>0</v>
      </c>
      <c r="Q30" s="25"/>
      <c r="R30" s="390"/>
      <c r="S30" s="60" t="s">
        <v>126</v>
      </c>
      <c r="T30" s="57"/>
      <c r="U30" s="57">
        <v>0</v>
      </c>
      <c r="V30" s="57">
        <v>23994</v>
      </c>
      <c r="W30" s="57">
        <v>96316</v>
      </c>
      <c r="X30" s="57">
        <v>89924</v>
      </c>
      <c r="Y30" s="57">
        <v>89924</v>
      </c>
      <c r="Z30" s="57">
        <v>89924</v>
      </c>
      <c r="AA30" s="57">
        <v>96316</v>
      </c>
      <c r="AB30" s="57">
        <v>96316</v>
      </c>
      <c r="AC30" s="57">
        <v>96316</v>
      </c>
      <c r="AD30" s="57">
        <v>96316</v>
      </c>
      <c r="AE30" s="57">
        <v>1801021.7999999998</v>
      </c>
      <c r="AF30" s="1170">
        <f t="shared" si="0"/>
        <v>2456057.7999999998</v>
      </c>
      <c r="AG30" s="83"/>
      <c r="AH30" s="83"/>
    </row>
    <row r="31" spans="1:34" s="42" customFormat="1" ht="15" thickBot="1" x14ac:dyDescent="0.35">
      <c r="A31" s="1265"/>
      <c r="B31" s="212" t="s">
        <v>340</v>
      </c>
      <c r="C31" s="28"/>
      <c r="D31" s="28"/>
      <c r="E31" s="185"/>
      <c r="F31" s="40"/>
      <c r="G31" s="30"/>
      <c r="H31" s="180"/>
      <c r="I31" s="377"/>
      <c r="J31" s="258"/>
      <c r="K31" s="259"/>
      <c r="L31" s="1236" t="s">
        <v>1518</v>
      </c>
      <c r="M31" s="28"/>
      <c r="N31" s="28"/>
      <c r="O31" s="31"/>
      <c r="P31" s="29"/>
      <c r="Q31" s="32"/>
      <c r="R31" s="392"/>
      <c r="S31" s="33" t="s">
        <v>2</v>
      </c>
      <c r="T31" s="34"/>
      <c r="U31" s="1164">
        <v>4191</v>
      </c>
      <c r="V31" s="1164">
        <v>10135</v>
      </c>
      <c r="W31" s="1164">
        <f>((SUM(W30:$AE30))*($L30+$M30))</f>
        <v>51379.28459399999</v>
      </c>
      <c r="X31" s="1164">
        <f>((SUM(X30:$AE30))*($L30+$M30))</f>
        <v>49440.443513999991</v>
      </c>
      <c r="Y31" s="1164">
        <f>((SUM(Y30:$AE30))*($L30+$M30))</f>
        <v>47630.273393999996</v>
      </c>
      <c r="Z31" s="1164">
        <f>((SUM(Z30:$AE30))*($L30+$M30))</f>
        <v>45820.103273999994</v>
      </c>
      <c r="AA31" s="1164">
        <f>((SUM(AA30:$AE30))*($L30+$M30))</f>
        <v>44009.933153999991</v>
      </c>
      <c r="AB31" s="1164">
        <f>((SUM(AB30:$AE30))*($L30+$M30))</f>
        <v>42071.092073999993</v>
      </c>
      <c r="AC31" s="1164">
        <f>((SUM(AC30:$AE30))*($L30+$M30))</f>
        <v>40132.250993999995</v>
      </c>
      <c r="AD31" s="1164">
        <f>((SUM(AD30:$AE30))*($L30+$M30))</f>
        <v>38193.409913999996</v>
      </c>
      <c r="AE31" s="1164">
        <f>((SUM(AE30:$AE30))*($L30+$M30))*18</f>
        <v>652582.2390119998</v>
      </c>
      <c r="AF31" s="1171">
        <f t="shared" si="0"/>
        <v>959879.74532999983</v>
      </c>
      <c r="AG31" s="83"/>
      <c r="AH31" s="83"/>
    </row>
    <row r="32" spans="1:34" s="42" customFormat="1" ht="14.4" x14ac:dyDescent="0.3">
      <c r="A32" s="1264">
        <v>9</v>
      </c>
      <c r="B32" s="286" t="s">
        <v>375</v>
      </c>
      <c r="C32" s="47" t="s">
        <v>1534</v>
      </c>
      <c r="D32" s="47" t="s">
        <v>1535</v>
      </c>
      <c r="E32" s="255"/>
      <c r="F32" s="35" t="s">
        <v>729</v>
      </c>
      <c r="G32" s="35" t="s">
        <v>730</v>
      </c>
      <c r="H32" s="187"/>
      <c r="I32" s="544">
        <v>166837</v>
      </c>
      <c r="J32" s="256"/>
      <c r="K32" s="61"/>
      <c r="L32" s="58">
        <f>0.101%+L7</f>
        <v>1.7590000000000001E-2</v>
      </c>
      <c r="M32" s="39">
        <f>M7</f>
        <v>2.5000000000000001E-3</v>
      </c>
      <c r="N32" s="35">
        <v>4</v>
      </c>
      <c r="O32" s="54"/>
      <c r="P32" s="55"/>
      <c r="Q32" s="48"/>
      <c r="R32" s="395"/>
      <c r="S32" s="60" t="s">
        <v>126</v>
      </c>
      <c r="T32" s="257"/>
      <c r="U32" s="257">
        <v>0</v>
      </c>
      <c r="V32" s="257">
        <v>0</v>
      </c>
      <c r="W32" s="257">
        <v>0</v>
      </c>
      <c r="X32" s="257">
        <v>37071</v>
      </c>
      <c r="Y32" s="257">
        <v>37076</v>
      </c>
      <c r="Z32" s="257">
        <v>37076</v>
      </c>
      <c r="AA32" s="257">
        <v>37076</v>
      </c>
      <c r="AB32" s="257">
        <v>18538</v>
      </c>
      <c r="AC32" s="184">
        <v>0</v>
      </c>
      <c r="AD32" s="184">
        <v>0</v>
      </c>
      <c r="AE32" s="184">
        <v>0</v>
      </c>
      <c r="AF32" s="1170">
        <f t="shared" si="0"/>
        <v>166837</v>
      </c>
      <c r="AG32" s="83"/>
      <c r="AH32" s="83"/>
    </row>
    <row r="33" spans="1:120" s="42" customFormat="1" ht="15" thickBot="1" x14ac:dyDescent="0.35">
      <c r="A33" s="1265"/>
      <c r="B33" s="212"/>
      <c r="C33" s="28"/>
      <c r="D33" s="28"/>
      <c r="E33" s="185"/>
      <c r="F33" s="28"/>
      <c r="G33" s="28"/>
      <c r="H33" s="180"/>
      <c r="I33" s="377"/>
      <c r="J33" s="256"/>
      <c r="K33" s="61"/>
      <c r="L33" s="28"/>
      <c r="M33" s="28"/>
      <c r="N33" s="28"/>
      <c r="O33" s="54"/>
      <c r="P33" s="55"/>
      <c r="Q33" s="48"/>
      <c r="R33" s="395"/>
      <c r="S33" s="33" t="s">
        <v>2</v>
      </c>
      <c r="T33" s="34"/>
      <c r="U33" s="1164">
        <v>2000</v>
      </c>
      <c r="V33" s="34"/>
      <c r="W33" s="34"/>
      <c r="X33" s="1164">
        <f>((SUM(X32:$AE32))*($L32+$M32))</f>
        <v>3351.75533</v>
      </c>
      <c r="Y33" s="1164">
        <f>((SUM(Y32:$AE32))*($L32+$M32))</f>
        <v>2606.9989399999999</v>
      </c>
      <c r="Z33" s="1164">
        <f>((SUM(Z32:$AE32))*($L32+$M32))</f>
        <v>1862.1421</v>
      </c>
      <c r="AA33" s="1164">
        <f>((SUM(AA32:$AE32))*($L32+$M32))</f>
        <v>1117.2852600000001</v>
      </c>
      <c r="AB33" s="1164">
        <f>((SUM(AB32:$AE32))*($L32+$M32))</f>
        <v>372.42842000000002</v>
      </c>
      <c r="AC33" s="1165">
        <f>((SUM(AC32:$AE32))*($L32+$M32))</f>
        <v>0</v>
      </c>
      <c r="AD33" s="1165">
        <f>((SUM(AD32:$AE32))*($L32+$M32))</f>
        <v>0</v>
      </c>
      <c r="AE33" s="1165">
        <f>((SUM(AE32:$AE32))*($L32+$M32))</f>
        <v>0</v>
      </c>
      <c r="AF33" s="1171">
        <f t="shared" si="0"/>
        <v>9310.6100499999993</v>
      </c>
      <c r="AG33" s="83"/>
      <c r="AH33" s="83"/>
    </row>
    <row r="34" spans="1:120" s="26" customFormat="1" x14ac:dyDescent="0.2">
      <c r="A34" s="1264">
        <v>10</v>
      </c>
      <c r="B34" s="286" t="s">
        <v>236</v>
      </c>
      <c r="C34" s="22" t="s">
        <v>316</v>
      </c>
      <c r="D34" s="38" t="s">
        <v>305</v>
      </c>
      <c r="E34" s="260" t="str">
        <f>F34</f>
        <v>10.10.2018.</v>
      </c>
      <c r="F34" s="289" t="s">
        <v>309</v>
      </c>
      <c r="G34" s="51" t="s">
        <v>310</v>
      </c>
      <c r="H34" s="182"/>
      <c r="I34" s="366">
        <f>389405-1272.49</f>
        <v>388132.51</v>
      </c>
      <c r="J34" s="182"/>
      <c r="K34" s="23">
        <f>J34/0.702804</f>
        <v>0</v>
      </c>
      <c r="L34" s="58">
        <f>0.101%+L7</f>
        <v>1.7590000000000001E-2</v>
      </c>
      <c r="M34" s="39">
        <f>M7</f>
        <v>2.5000000000000001E-3</v>
      </c>
      <c r="N34" s="35">
        <v>4</v>
      </c>
      <c r="O34" s="59"/>
      <c r="P34" s="37">
        <v>0</v>
      </c>
      <c r="Q34" s="25"/>
      <c r="R34" s="390"/>
      <c r="S34" s="60" t="s">
        <v>126</v>
      </c>
      <c r="T34" s="285">
        <v>340950</v>
      </c>
      <c r="U34" s="1166">
        <v>38948.58</v>
      </c>
      <c r="V34" s="57">
        <v>125098.51</v>
      </c>
      <c r="W34" s="57">
        <v>38968</v>
      </c>
      <c r="X34" s="57">
        <v>38968</v>
      </c>
      <c r="Y34" s="57">
        <v>38968</v>
      </c>
      <c r="Z34" s="57">
        <v>38968</v>
      </c>
      <c r="AA34" s="57">
        <v>38968</v>
      </c>
      <c r="AB34" s="57">
        <v>38968</v>
      </c>
      <c r="AC34" s="57">
        <v>29226</v>
      </c>
      <c r="AD34" s="184">
        <v>0</v>
      </c>
      <c r="AE34" s="184">
        <v>0</v>
      </c>
      <c r="AF34" s="1170">
        <f t="shared" si="0"/>
        <v>224066</v>
      </c>
      <c r="AG34" s="83"/>
      <c r="AH34" s="83"/>
    </row>
    <row r="35" spans="1:120" s="42" customFormat="1" ht="15" thickBot="1" x14ac:dyDescent="0.35">
      <c r="A35" s="1265"/>
      <c r="B35" s="287"/>
      <c r="C35" s="28"/>
      <c r="D35" s="28"/>
      <c r="E35" s="185"/>
      <c r="F35" s="40"/>
      <c r="G35" s="30"/>
      <c r="H35" s="180"/>
      <c r="I35" s="377"/>
      <c r="J35" s="189"/>
      <c r="K35" s="61"/>
      <c r="L35" s="28"/>
      <c r="M35" s="28"/>
      <c r="N35" s="28"/>
      <c r="O35" s="31"/>
      <c r="P35" s="29"/>
      <c r="Q35" s="32"/>
      <c r="R35" s="392"/>
      <c r="S35" s="33" t="s">
        <v>2</v>
      </c>
      <c r="T35" s="269"/>
      <c r="U35" s="1164">
        <f>((SUM(U34:$AE34))*($L34+$M34))</f>
        <v>8580.0590980999987</v>
      </c>
      <c r="V35" s="1164">
        <f>((SUM(V34:$AE34))*($L34+$M34))</f>
        <v>7797.5821259000004</v>
      </c>
      <c r="W35" s="1164">
        <f>((SUM(W34:$AE34))*($L34+$M34))</f>
        <v>5284.3530600000004</v>
      </c>
      <c r="X35" s="1164">
        <f>((SUM(X34:$AE34))*($L34+$M34))</f>
        <v>4501.4859400000005</v>
      </c>
      <c r="Y35" s="1164">
        <f>((SUM(Y34:$AE34))*($L34+$M34))</f>
        <v>3718.6188200000001</v>
      </c>
      <c r="Z35" s="1164">
        <f>((SUM(Z34:$AE34))*($L34+$M34))</f>
        <v>2935.7517000000003</v>
      </c>
      <c r="AA35" s="1164">
        <f>((SUM(AA34:$AE34))*($L34+$M34))</f>
        <v>2152.8845799999999</v>
      </c>
      <c r="AB35" s="1164">
        <f>((SUM(AB34:$AE34))*($L34+$M34))</f>
        <v>1370.01746</v>
      </c>
      <c r="AC35" s="1164">
        <f>((SUM(AC34:$AE34))*($L34+$M34))</f>
        <v>587.15034000000003</v>
      </c>
      <c r="AD35" s="1165">
        <f>((SUM(AD34:$AE34))*($L34+$M34))</f>
        <v>0</v>
      </c>
      <c r="AE35" s="1165">
        <f>((SUM(AE34:$AE34))*($L34+$M34))</f>
        <v>0</v>
      </c>
      <c r="AF35" s="1171">
        <f t="shared" si="0"/>
        <v>15265.90884</v>
      </c>
      <c r="AG35" s="83"/>
      <c r="AH35" s="83"/>
    </row>
    <row r="36" spans="1:120" s="26" customFormat="1" x14ac:dyDescent="0.2">
      <c r="A36" s="1264">
        <v>11</v>
      </c>
      <c r="B36" s="286" t="s">
        <v>235</v>
      </c>
      <c r="C36" s="22" t="s">
        <v>342</v>
      </c>
      <c r="D36" s="38" t="s">
        <v>343</v>
      </c>
      <c r="E36" s="260"/>
      <c r="F36" s="44">
        <v>44020</v>
      </c>
      <c r="G36" s="51">
        <v>49480</v>
      </c>
      <c r="H36" s="182"/>
      <c r="I36" s="366">
        <f>1290674+120109</f>
        <v>1410783</v>
      </c>
      <c r="J36" s="182"/>
      <c r="K36" s="23">
        <f>J36/0.702804</f>
        <v>0</v>
      </c>
      <c r="L36" s="58">
        <f>0.101%+L7</f>
        <v>1.7590000000000001E-2</v>
      </c>
      <c r="M36" s="39">
        <v>2.5000000000000001E-3</v>
      </c>
      <c r="N36" s="35">
        <v>4</v>
      </c>
      <c r="O36" s="59"/>
      <c r="P36" s="37">
        <v>0</v>
      </c>
      <c r="Q36" s="25"/>
      <c r="R36" s="390"/>
      <c r="S36" s="60" t="s">
        <v>126</v>
      </c>
      <c r="T36" s="57"/>
      <c r="U36" s="57"/>
      <c r="V36" s="57">
        <v>218949</v>
      </c>
      <c r="W36" s="57">
        <v>88284</v>
      </c>
      <c r="X36" s="57">
        <v>88284</v>
      </c>
      <c r="Y36" s="57">
        <v>88284</v>
      </c>
      <c r="Z36" s="57">
        <v>88284</v>
      </c>
      <c r="AA36" s="57">
        <v>88284</v>
      </c>
      <c r="AB36" s="57">
        <v>88284</v>
      </c>
      <c r="AC36" s="57">
        <v>88284</v>
      </c>
      <c r="AD36" s="57">
        <v>88284</v>
      </c>
      <c r="AE36" s="57">
        <v>485562</v>
      </c>
      <c r="AF36" s="1170">
        <f t="shared" si="0"/>
        <v>1103550</v>
      </c>
      <c r="AG36" s="83"/>
      <c r="AH36" s="83"/>
    </row>
    <row r="37" spans="1:120" s="42" customFormat="1" ht="15" thickBot="1" x14ac:dyDescent="0.35">
      <c r="A37" s="1265"/>
      <c r="B37" s="287"/>
      <c r="C37" s="28"/>
      <c r="D37" s="28"/>
      <c r="E37" s="40"/>
      <c r="F37" s="40"/>
      <c r="G37" s="30"/>
      <c r="H37" s="180"/>
      <c r="I37" s="377"/>
      <c r="J37" s="189"/>
      <c r="K37" s="61"/>
      <c r="L37" s="28"/>
      <c r="M37" s="28"/>
      <c r="N37" s="28"/>
      <c r="O37" s="31"/>
      <c r="P37" s="29"/>
      <c r="Q37" s="32"/>
      <c r="R37" s="392"/>
      <c r="S37" s="33" t="s">
        <v>2</v>
      </c>
      <c r="T37" s="34"/>
      <c r="U37" s="34"/>
      <c r="V37" s="1164">
        <f>((SUM(V36:$AE36))*($L36+$M36))</f>
        <v>28342.63047</v>
      </c>
      <c r="W37" s="1164">
        <f>((SUM(W36:$AE36))*($L36+$M36))</f>
        <v>23943.945060000002</v>
      </c>
      <c r="X37" s="1164">
        <f>((SUM(X36:$AE36))*($L36+$M36))</f>
        <v>22170.319500000001</v>
      </c>
      <c r="Y37" s="1164">
        <f>((SUM(Y36:$AE36))*($L36+$M36))</f>
        <v>20396.693940000001</v>
      </c>
      <c r="Z37" s="1164">
        <f>((SUM(Z36:$AE36))*($L36+$M36))</f>
        <v>18623.068380000001</v>
      </c>
      <c r="AA37" s="1164">
        <f>((SUM(AA36:$AE36))*($L36+$M36))</f>
        <v>16849.44282</v>
      </c>
      <c r="AB37" s="1164">
        <f>((SUM(AB36:$AE36))*($L36+$M36))</f>
        <v>15075.81726</v>
      </c>
      <c r="AC37" s="1164">
        <f>((SUM(AC36:$AE36))*($L36+$M36))</f>
        <v>13302.191699999999</v>
      </c>
      <c r="AD37" s="1164">
        <f>((SUM(AD36:$AE36))*($L36+$M36))</f>
        <v>11528.566140000001</v>
      </c>
      <c r="AE37" s="1164">
        <f>((SUM(AE36:$AE36))*($L36+$M36))*4.5</f>
        <v>43897.232609999999</v>
      </c>
      <c r="AF37" s="1171">
        <f t="shared" si="0"/>
        <v>161843.33234999998</v>
      </c>
      <c r="AG37" s="83"/>
      <c r="AH37" s="83"/>
    </row>
    <row r="38" spans="1:120" s="26" customFormat="1" outlineLevel="1" x14ac:dyDescent="0.2">
      <c r="A38" s="1264" t="s">
        <v>50</v>
      </c>
      <c r="B38" s="286" t="s">
        <v>218</v>
      </c>
      <c r="C38" s="22" t="s">
        <v>262</v>
      </c>
      <c r="D38" s="38" t="s">
        <v>261</v>
      </c>
      <c r="E38" s="260" t="s">
        <v>258</v>
      </c>
      <c r="F38" s="56" t="s">
        <v>258</v>
      </c>
      <c r="G38" s="51" t="s">
        <v>259</v>
      </c>
      <c r="H38" s="182"/>
      <c r="I38" s="366">
        <v>20933</v>
      </c>
      <c r="J38" s="182"/>
      <c r="K38" s="23">
        <f>J38/0.702804</f>
        <v>0</v>
      </c>
      <c r="L38" s="58">
        <f>0.101%+L7</f>
        <v>1.7590000000000001E-2</v>
      </c>
      <c r="M38" s="39">
        <v>2.5000000000000001E-3</v>
      </c>
      <c r="N38" s="35">
        <v>4</v>
      </c>
      <c r="O38" s="59"/>
      <c r="P38" s="37">
        <v>0</v>
      </c>
      <c r="Q38" s="25"/>
      <c r="R38" s="390"/>
      <c r="S38" s="60" t="s">
        <v>126</v>
      </c>
      <c r="T38" s="285">
        <v>11630</v>
      </c>
      <c r="U38" s="57">
        <v>4652</v>
      </c>
      <c r="V38" s="57">
        <v>4652</v>
      </c>
      <c r="W38" s="57">
        <v>2326</v>
      </c>
      <c r="X38" s="184">
        <v>0</v>
      </c>
      <c r="Y38" s="184">
        <v>0</v>
      </c>
      <c r="Z38" s="184">
        <v>0</v>
      </c>
      <c r="AA38" s="184">
        <v>0</v>
      </c>
      <c r="AB38" s="184">
        <v>0</v>
      </c>
      <c r="AC38" s="184">
        <v>0</v>
      </c>
      <c r="AD38" s="184">
        <v>0</v>
      </c>
      <c r="AE38" s="184">
        <v>0</v>
      </c>
      <c r="AF38" s="1173">
        <f t="shared" si="0"/>
        <v>0</v>
      </c>
      <c r="AG38" s="83"/>
      <c r="AH38" s="83"/>
    </row>
    <row r="39" spans="1:120" s="226" customFormat="1" ht="15" outlineLevel="1" thickBot="1" x14ac:dyDescent="0.35">
      <c r="A39" s="1265"/>
      <c r="B39" s="287" t="s">
        <v>278</v>
      </c>
      <c r="C39" s="28"/>
      <c r="D39" s="28"/>
      <c r="E39" s="40"/>
      <c r="F39" s="40"/>
      <c r="G39" s="30"/>
      <c r="H39" s="180"/>
      <c r="I39" s="377"/>
      <c r="J39" s="261"/>
      <c r="K39" s="262"/>
      <c r="L39" s="263"/>
      <c r="M39" s="263"/>
      <c r="N39" s="263"/>
      <c r="O39" s="264"/>
      <c r="P39" s="265"/>
      <c r="Q39" s="266"/>
      <c r="R39" s="396"/>
      <c r="S39" s="33" t="s">
        <v>2</v>
      </c>
      <c r="T39" s="269"/>
      <c r="U39" s="1164">
        <f>((SUM(U38:$AE38))*($L38+$M38))</f>
        <v>233.64670000000001</v>
      </c>
      <c r="V39" s="1164">
        <f>((SUM(V38:$AE38))*($L38+$M38))</f>
        <v>140.18801999999999</v>
      </c>
      <c r="W39" s="1164">
        <f>((SUM(W38:$AE38))*($L38+$M38))</f>
        <v>46.729340000000001</v>
      </c>
      <c r="X39" s="1165">
        <f>((SUM(X38:$AE38))*($L38+$M38))</f>
        <v>0</v>
      </c>
      <c r="Y39" s="1165">
        <f>((SUM(Y38:$AE38))*($L38+$M38))</f>
        <v>0</v>
      </c>
      <c r="Z39" s="1165">
        <f>((SUM(Z38:$AE38))*($L38+$M38))</f>
        <v>0</v>
      </c>
      <c r="AA39" s="1165">
        <f>((SUM(AA38:$AE38))*($L38+$M38))</f>
        <v>0</v>
      </c>
      <c r="AB39" s="1165">
        <f>((SUM(AB38:$AE38))*($L38+$M38))</f>
        <v>0</v>
      </c>
      <c r="AC39" s="1165">
        <f>((SUM(AC38:$AE38))*($L38+$M38))</f>
        <v>0</v>
      </c>
      <c r="AD39" s="1165">
        <f>((SUM(AD38:$AE38))*($L38+$M38))</f>
        <v>0</v>
      </c>
      <c r="AE39" s="1165">
        <f>((SUM(AE38:$AE38))*($L38+$M38))</f>
        <v>0</v>
      </c>
      <c r="AF39" s="1174">
        <f t="shared" si="0"/>
        <v>0</v>
      </c>
      <c r="AG39" s="83"/>
      <c r="AH39" s="83"/>
    </row>
    <row r="40" spans="1:120" s="26" customFormat="1" x14ac:dyDescent="0.2">
      <c r="A40" s="1264" t="s">
        <v>55</v>
      </c>
      <c r="B40" s="286" t="s">
        <v>218</v>
      </c>
      <c r="C40" s="22" t="s">
        <v>319</v>
      </c>
      <c r="D40" s="38" t="s">
        <v>320</v>
      </c>
      <c r="E40" s="260"/>
      <c r="F40" s="56" t="s">
        <v>321</v>
      </c>
      <c r="G40" s="51" t="s">
        <v>322</v>
      </c>
      <c r="H40" s="182"/>
      <c r="I40" s="366">
        <v>531484</v>
      </c>
      <c r="J40" s="182"/>
      <c r="K40" s="23"/>
      <c r="L40" s="58">
        <f>0.101%+L7</f>
        <v>1.7590000000000001E-2</v>
      </c>
      <c r="M40" s="39">
        <v>2.5000000000000001E-3</v>
      </c>
      <c r="N40" s="35">
        <v>4</v>
      </c>
      <c r="O40" s="59"/>
      <c r="P40" s="37"/>
      <c r="Q40" s="25"/>
      <c r="R40" s="390"/>
      <c r="S40" s="60" t="s">
        <v>126</v>
      </c>
      <c r="T40" s="285">
        <v>519616</v>
      </c>
      <c r="U40" s="57">
        <v>27464</v>
      </c>
      <c r="V40" s="57">
        <v>36656</v>
      </c>
      <c r="W40" s="57">
        <v>36656</v>
      </c>
      <c r="X40" s="57">
        <v>36656</v>
      </c>
      <c r="Y40" s="57">
        <v>36656</v>
      </c>
      <c r="Z40" s="57">
        <v>36656</v>
      </c>
      <c r="AA40" s="57">
        <v>36656</v>
      </c>
      <c r="AB40" s="57">
        <v>36656</v>
      </c>
      <c r="AC40" s="57">
        <v>36656</v>
      </c>
      <c r="AD40" s="57">
        <v>36656</v>
      </c>
      <c r="AE40" s="57">
        <v>162248</v>
      </c>
      <c r="AF40" s="1170">
        <f t="shared" si="0"/>
        <v>418840</v>
      </c>
      <c r="AG40" s="83"/>
      <c r="AH40" s="83"/>
    </row>
    <row r="41" spans="1:120" s="42" customFormat="1" ht="15" thickBot="1" x14ac:dyDescent="0.35">
      <c r="A41" s="1265"/>
      <c r="B41" s="287" t="s">
        <v>284</v>
      </c>
      <c r="C41" s="28"/>
      <c r="D41" s="28"/>
      <c r="E41" s="40"/>
      <c r="F41" s="40"/>
      <c r="G41" s="30"/>
      <c r="H41" s="180"/>
      <c r="I41" s="377"/>
      <c r="J41" s="189"/>
      <c r="K41" s="61"/>
      <c r="L41" s="28"/>
      <c r="M41" s="28"/>
      <c r="N41" s="28"/>
      <c r="O41" s="31"/>
      <c r="P41" s="29"/>
      <c r="Q41" s="32"/>
      <c r="R41" s="392"/>
      <c r="S41" s="33" t="s">
        <v>2</v>
      </c>
      <c r="T41" s="269"/>
      <c r="U41" s="1164">
        <f>((SUM(U40:$AE40))*($L40+$M40))</f>
        <v>10439.085440000001</v>
      </c>
      <c r="V41" s="1164">
        <f>((SUM(V40:$AE40))*($L40+$M40))</f>
        <v>9887.3336799999997</v>
      </c>
      <c r="W41" s="1164">
        <f>((SUM(W40:$AE40))*($L40+$M40))</f>
        <v>9150.9146400000009</v>
      </c>
      <c r="X41" s="1164">
        <f>((SUM(X40:$AE40))*($L40+$M40))</f>
        <v>8414.4956000000002</v>
      </c>
      <c r="Y41" s="1164">
        <f>((SUM(Y40:$AE40))*($L40+$M40))</f>
        <v>7678.0765600000004</v>
      </c>
      <c r="Z41" s="1164">
        <f>((SUM(Z40:$AE40))*($L40+$M40))</f>
        <v>6941.6575199999997</v>
      </c>
      <c r="AA41" s="1164">
        <f>((SUM(AA40:$AE40))*($L40+$M40))</f>
        <v>6205.23848</v>
      </c>
      <c r="AB41" s="1164">
        <f>((SUM(AB40:$AE40))*($L40+$M40))</f>
        <v>5468.8194400000002</v>
      </c>
      <c r="AC41" s="1164">
        <f>((SUM(AC40:$AE40))*($L40+$M40))</f>
        <v>4732.4004000000004</v>
      </c>
      <c r="AD41" s="1164">
        <f>((SUM(AD40:$AE40))*($L40+$M40))</f>
        <v>3995.9813600000002</v>
      </c>
      <c r="AE41" s="1164">
        <f>((SUM(AE40:$AE40))*($L40+$M40))*4</f>
        <v>13038.24928</v>
      </c>
      <c r="AF41" s="1171">
        <f t="shared" si="0"/>
        <v>56474.918640000004</v>
      </c>
      <c r="AG41" s="83"/>
      <c r="AH41" s="83"/>
    </row>
    <row r="42" spans="1:120" s="26" customFormat="1" ht="13.2" customHeight="1" outlineLevel="1" x14ac:dyDescent="0.2">
      <c r="A42" s="1264">
        <v>12</v>
      </c>
      <c r="B42" s="286" t="s">
        <v>222</v>
      </c>
      <c r="C42" s="22" t="s">
        <v>315</v>
      </c>
      <c r="D42" s="38" t="s">
        <v>297</v>
      </c>
      <c r="E42" s="260" t="s">
        <v>298</v>
      </c>
      <c r="F42" s="260" t="s">
        <v>298</v>
      </c>
      <c r="G42" s="51" t="s">
        <v>299</v>
      </c>
      <c r="H42" s="182"/>
      <c r="I42" s="366">
        <v>145533</v>
      </c>
      <c r="J42" s="182"/>
      <c r="K42" s="23">
        <f>J42/0.702804</f>
        <v>0</v>
      </c>
      <c r="L42" s="58">
        <f>0.101%+L7</f>
        <v>1.7590000000000001E-2</v>
      </c>
      <c r="M42" s="39">
        <v>2.5000000000000001E-3</v>
      </c>
      <c r="N42" s="35">
        <v>4</v>
      </c>
      <c r="O42" s="59"/>
      <c r="P42" s="37">
        <v>0</v>
      </c>
      <c r="Q42" s="25"/>
      <c r="R42" s="390"/>
      <c r="S42" s="60" t="s">
        <v>126</v>
      </c>
      <c r="T42" s="285">
        <v>0</v>
      </c>
      <c r="U42" s="57"/>
      <c r="V42" s="184">
        <v>0</v>
      </c>
      <c r="W42" s="184">
        <v>0</v>
      </c>
      <c r="X42" s="184">
        <v>0</v>
      </c>
      <c r="Y42" s="184">
        <v>0</v>
      </c>
      <c r="Z42" s="184">
        <v>0</v>
      </c>
      <c r="AA42" s="184">
        <v>0</v>
      </c>
      <c r="AB42" s="184">
        <v>0</v>
      </c>
      <c r="AC42" s="184">
        <v>0</v>
      </c>
      <c r="AD42" s="184">
        <v>0</v>
      </c>
      <c r="AE42" s="184">
        <v>0</v>
      </c>
      <c r="AF42" s="1173">
        <f t="shared" ref="AF42:AF75" si="1">SUM(X42:AE42)</f>
        <v>0</v>
      </c>
      <c r="AG42" s="83"/>
      <c r="AH42" s="83"/>
    </row>
    <row r="43" spans="1:120" s="42" customFormat="1" ht="15" customHeight="1" outlineLevel="1" thickBot="1" x14ac:dyDescent="0.35">
      <c r="A43" s="1265"/>
      <c r="B43" s="287"/>
      <c r="C43" s="28"/>
      <c r="D43" s="28"/>
      <c r="E43" s="40"/>
      <c r="F43" s="40"/>
      <c r="G43" s="30"/>
      <c r="H43" s="180"/>
      <c r="I43" s="377"/>
      <c r="J43" s="189"/>
      <c r="K43" s="61"/>
      <c r="L43" s="28"/>
      <c r="M43" s="28"/>
      <c r="N43" s="28"/>
      <c r="O43" s="31"/>
      <c r="P43" s="29"/>
      <c r="Q43" s="32"/>
      <c r="R43" s="392"/>
      <c r="S43" s="33" t="s">
        <v>2</v>
      </c>
      <c r="T43" s="269"/>
      <c r="U43" s="34"/>
      <c r="V43" s="1165">
        <v>0</v>
      </c>
      <c r="W43" s="1165">
        <v>0</v>
      </c>
      <c r="X43" s="1165">
        <v>0</v>
      </c>
      <c r="Y43" s="1165">
        <v>0</v>
      </c>
      <c r="Z43" s="1165">
        <v>0</v>
      </c>
      <c r="AA43" s="1165">
        <v>0</v>
      </c>
      <c r="AB43" s="1165">
        <v>0</v>
      </c>
      <c r="AC43" s="1165">
        <v>0</v>
      </c>
      <c r="AD43" s="1165">
        <v>0</v>
      </c>
      <c r="AE43" s="1165">
        <v>0</v>
      </c>
      <c r="AF43" s="1174">
        <f t="shared" si="1"/>
        <v>0</v>
      </c>
      <c r="AG43" s="83"/>
      <c r="AH43" s="83"/>
    </row>
    <row r="44" spans="1:120" s="26" customFormat="1" outlineLevel="1" x14ac:dyDescent="0.2">
      <c r="A44" s="1264" t="s">
        <v>65</v>
      </c>
      <c r="B44" s="286" t="s">
        <v>237</v>
      </c>
      <c r="C44" s="22" t="s">
        <v>277</v>
      </c>
      <c r="D44" s="38" t="s">
        <v>266</v>
      </c>
      <c r="E44" s="260" t="s">
        <v>265</v>
      </c>
      <c r="F44" s="260" t="s">
        <v>265</v>
      </c>
      <c r="G44" s="51" t="s">
        <v>267</v>
      </c>
      <c r="H44" s="182"/>
      <c r="I44" s="366">
        <v>109384</v>
      </c>
      <c r="J44" s="182"/>
      <c r="K44" s="23">
        <f>J44/0.702804</f>
        <v>0</v>
      </c>
      <c r="L44" s="58">
        <f>0.101%+L7</f>
        <v>1.7590000000000001E-2</v>
      </c>
      <c r="M44" s="39">
        <v>2.5000000000000001E-3</v>
      </c>
      <c r="N44" s="35">
        <v>4</v>
      </c>
      <c r="O44" s="59"/>
      <c r="P44" s="37">
        <v>0</v>
      </c>
      <c r="Q44" s="25"/>
      <c r="R44" s="390"/>
      <c r="S44" s="60" t="s">
        <v>126</v>
      </c>
      <c r="T44" s="285">
        <v>68651</v>
      </c>
      <c r="U44" s="57">
        <v>24964</v>
      </c>
      <c r="V44" s="57">
        <v>24964</v>
      </c>
      <c r="W44" s="57">
        <v>18723</v>
      </c>
      <c r="X44" s="184">
        <v>0</v>
      </c>
      <c r="Y44" s="184">
        <v>0</v>
      </c>
      <c r="Z44" s="184">
        <v>0</v>
      </c>
      <c r="AA44" s="184">
        <v>0</v>
      </c>
      <c r="AB44" s="184">
        <v>0</v>
      </c>
      <c r="AC44" s="184">
        <v>0</v>
      </c>
      <c r="AD44" s="184">
        <v>0</v>
      </c>
      <c r="AE44" s="184">
        <v>0</v>
      </c>
      <c r="AF44" s="1173">
        <f t="shared" si="1"/>
        <v>0</v>
      </c>
      <c r="AG44" s="83"/>
      <c r="AH44" s="83"/>
    </row>
    <row r="45" spans="1:120" s="226" customFormat="1" ht="15" outlineLevel="1" thickBot="1" x14ac:dyDescent="0.35">
      <c r="A45" s="1265"/>
      <c r="B45" s="287" t="s">
        <v>285</v>
      </c>
      <c r="C45" s="357" t="s">
        <v>304</v>
      </c>
      <c r="D45" s="28"/>
      <c r="E45" s="40"/>
      <c r="F45" s="40"/>
      <c r="G45" s="30"/>
      <c r="H45" s="180"/>
      <c r="I45" s="377"/>
      <c r="J45" s="261"/>
      <c r="K45" s="262"/>
      <c r="L45" s="263"/>
      <c r="M45" s="263"/>
      <c r="N45" s="263"/>
      <c r="O45" s="264"/>
      <c r="P45" s="265"/>
      <c r="Q45" s="266"/>
      <c r="R45" s="396"/>
      <c r="S45" s="33" t="s">
        <v>2</v>
      </c>
      <c r="T45" s="269"/>
      <c r="U45" s="1164">
        <f>((SUM(U44:$AE44))*($L44+$M44))</f>
        <v>1379.19859</v>
      </c>
      <c r="V45" s="1164">
        <f>((SUM(V44:$AE44))*($L44+$M44))</f>
        <v>877.67183</v>
      </c>
      <c r="W45" s="1164">
        <f>((SUM(W44:$AE44))*($L44+$M44))</f>
        <v>376.14507000000003</v>
      </c>
      <c r="X45" s="1165">
        <f>((SUM(X44:$AE44))*($L44+$M44))</f>
        <v>0</v>
      </c>
      <c r="Y45" s="1165">
        <f>((SUM(Y44:$AE44))*($L44+$M44))</f>
        <v>0</v>
      </c>
      <c r="Z45" s="1165">
        <f>((SUM(Z44:$AE44))*($L44+$M44))</f>
        <v>0</v>
      </c>
      <c r="AA45" s="1165">
        <f>((SUM(AA44:$AE44))*($L44+$M44))</f>
        <v>0</v>
      </c>
      <c r="AB45" s="1165">
        <f>((SUM(AB44:$AE44))*($L44+$M44))</f>
        <v>0</v>
      </c>
      <c r="AC45" s="1165">
        <f>((SUM(AC44:$AE44))*($L44+$M44))</f>
        <v>0</v>
      </c>
      <c r="AD45" s="1165">
        <f>((SUM(AD44:$AE44))*($L44+$M44))</f>
        <v>0</v>
      </c>
      <c r="AE45" s="1165">
        <f>((SUM(AE44:$AE44))*($L44+$M44))</f>
        <v>0</v>
      </c>
      <c r="AF45" s="1174">
        <f t="shared" si="1"/>
        <v>0</v>
      </c>
      <c r="AG45" s="83"/>
      <c r="AH45" s="83"/>
    </row>
    <row r="46" spans="1:120" s="26" customFormat="1" outlineLevel="1" x14ac:dyDescent="0.2">
      <c r="A46" s="1264" t="s">
        <v>66</v>
      </c>
      <c r="B46" s="286" t="s">
        <v>237</v>
      </c>
      <c r="C46" s="22" t="s">
        <v>326</v>
      </c>
      <c r="D46" s="38" t="s">
        <v>327</v>
      </c>
      <c r="E46" s="260"/>
      <c r="F46" s="56" t="s">
        <v>328</v>
      </c>
      <c r="G46" s="51" t="s">
        <v>329</v>
      </c>
      <c r="H46" s="182"/>
      <c r="I46" s="366">
        <v>179713</v>
      </c>
      <c r="J46" s="182"/>
      <c r="K46" s="23"/>
      <c r="L46" s="58">
        <f>0.101%+L7</f>
        <v>1.7590000000000001E-2</v>
      </c>
      <c r="M46" s="39">
        <v>2.5000000000000001E-3</v>
      </c>
      <c r="N46" s="35">
        <v>4</v>
      </c>
      <c r="O46" s="59"/>
      <c r="P46" s="37"/>
      <c r="Q46" s="25"/>
      <c r="R46" s="390"/>
      <c r="S46" s="49" t="s">
        <v>126</v>
      </c>
      <c r="T46" s="285">
        <v>157328</v>
      </c>
      <c r="U46" s="57">
        <v>23146</v>
      </c>
      <c r="V46" s="57">
        <v>92652</v>
      </c>
      <c r="W46" s="57">
        <v>63915</v>
      </c>
      <c r="X46" s="184">
        <v>0</v>
      </c>
      <c r="Y46" s="184">
        <v>0</v>
      </c>
      <c r="Z46" s="184">
        <v>0</v>
      </c>
      <c r="AA46" s="184">
        <v>0</v>
      </c>
      <c r="AB46" s="184">
        <v>0</v>
      </c>
      <c r="AC46" s="184">
        <v>0</v>
      </c>
      <c r="AD46" s="184">
        <v>0</v>
      </c>
      <c r="AE46" s="184">
        <v>0</v>
      </c>
      <c r="AF46" s="1173">
        <f t="shared" si="1"/>
        <v>0</v>
      </c>
      <c r="AG46" s="83"/>
      <c r="AH46" s="83"/>
    </row>
    <row r="47" spans="1:120" s="42" customFormat="1" ht="15" outlineLevel="1" thickBot="1" x14ac:dyDescent="0.35">
      <c r="A47" s="1265"/>
      <c r="B47" s="287" t="s">
        <v>317</v>
      </c>
      <c r="C47" s="28"/>
      <c r="D47" s="28"/>
      <c r="E47" s="40"/>
      <c r="F47" s="40"/>
      <c r="G47" s="30"/>
      <c r="H47" s="180"/>
      <c r="I47" s="377"/>
      <c r="J47" s="189"/>
      <c r="K47" s="61"/>
      <c r="L47" s="28"/>
      <c r="M47" s="28"/>
      <c r="N47" s="28"/>
      <c r="O47" s="31"/>
      <c r="P47" s="29"/>
      <c r="Q47" s="32"/>
      <c r="R47" s="392"/>
      <c r="S47" s="33" t="s">
        <v>2</v>
      </c>
      <c r="T47" s="34"/>
      <c r="U47" s="1164">
        <f>((SUM(U46:$AE46))*($L46+$M46))</f>
        <v>3610.43417</v>
      </c>
      <c r="V47" s="1164">
        <f>((SUM(V46:$AE46))*($L46+$M46))</f>
        <v>3145.4310300000002</v>
      </c>
      <c r="W47" s="1164">
        <f>((SUM(W46:$AE46))*($L46+$M46))</f>
        <v>1284.0523499999999</v>
      </c>
      <c r="X47" s="1165">
        <f>((SUM(X46:$AE46))*($L46+$M46))</f>
        <v>0</v>
      </c>
      <c r="Y47" s="1165">
        <f>((SUM(Y46:$AE46))*($L46+$M46))</f>
        <v>0</v>
      </c>
      <c r="Z47" s="1165">
        <f>((SUM(Z46:$AE46))*($L46+$M46))</f>
        <v>0</v>
      </c>
      <c r="AA47" s="1165">
        <f>((SUM(AA46:$AE46))*($L46+$M46))</f>
        <v>0</v>
      </c>
      <c r="AB47" s="1165">
        <f>((SUM(AB46:$AE46))*($L46+$M46))</f>
        <v>0</v>
      </c>
      <c r="AC47" s="1165">
        <f>((SUM(AC46:$AE46))*($L46+$M46))</f>
        <v>0</v>
      </c>
      <c r="AD47" s="1165">
        <f>((SUM(AD46:$AE46))*($L46+$M46))</f>
        <v>0</v>
      </c>
      <c r="AE47" s="1165">
        <f>((SUM(AE46:$AE46))*($L46+$M46))</f>
        <v>0</v>
      </c>
      <c r="AF47" s="1174">
        <f t="shared" si="1"/>
        <v>0</v>
      </c>
      <c r="AG47" s="83"/>
      <c r="AH47" s="83"/>
    </row>
    <row r="48" spans="1:120" s="360" customFormat="1" x14ac:dyDescent="0.2">
      <c r="A48" s="1264" t="s">
        <v>406</v>
      </c>
      <c r="B48" s="286" t="s">
        <v>237</v>
      </c>
      <c r="C48" s="444" t="s">
        <v>710</v>
      </c>
      <c r="D48" s="38" t="s">
        <v>711</v>
      </c>
      <c r="E48" s="260"/>
      <c r="F48" s="56" t="s">
        <v>712</v>
      </c>
      <c r="G48" s="51" t="s">
        <v>713</v>
      </c>
      <c r="H48" s="182"/>
      <c r="I48" s="366">
        <v>1230506</v>
      </c>
      <c r="J48" s="182"/>
      <c r="K48" s="23"/>
      <c r="L48" s="58">
        <f>0.101%+$L$7</f>
        <v>1.7590000000000001E-2</v>
      </c>
      <c r="M48" s="39">
        <v>2.5000000000000001E-3</v>
      </c>
      <c r="N48" s="35">
        <v>4</v>
      </c>
      <c r="O48" s="59"/>
      <c r="P48" s="37"/>
      <c r="Q48" s="25"/>
      <c r="R48" s="390"/>
      <c r="S48" s="49" t="s">
        <v>126</v>
      </c>
      <c r="T48" s="285">
        <v>157328</v>
      </c>
      <c r="U48" s="57">
        <v>23146</v>
      </c>
      <c r="V48" s="57">
        <v>0</v>
      </c>
      <c r="W48" s="57">
        <v>20000</v>
      </c>
      <c r="X48" s="57">
        <v>64754</v>
      </c>
      <c r="Y48" s="57">
        <v>86352</v>
      </c>
      <c r="Z48" s="57">
        <v>86352</v>
      </c>
      <c r="AA48" s="57">
        <v>86352</v>
      </c>
      <c r="AB48" s="57">
        <v>86352</v>
      </c>
      <c r="AC48" s="57">
        <v>86352</v>
      </c>
      <c r="AD48" s="57">
        <v>86352</v>
      </c>
      <c r="AE48" s="57">
        <f>-SUM(W48:AD48)+I48</f>
        <v>627640</v>
      </c>
      <c r="AF48" s="1170">
        <f t="shared" si="1"/>
        <v>1210506</v>
      </c>
      <c r="AG48" s="83"/>
      <c r="AH48" s="83"/>
      <c r="AI48" s="26"/>
      <c r="AJ48" s="26"/>
      <c r="AK48" s="26"/>
      <c r="AL48" s="26"/>
      <c r="AM48" s="26"/>
      <c r="AN48" s="26"/>
      <c r="AO48" s="26"/>
      <c r="AP48" s="26"/>
      <c r="AQ48" s="26"/>
      <c r="AR48" s="26"/>
      <c r="AS48" s="26"/>
      <c r="AT48" s="26"/>
      <c r="AU48" s="26"/>
      <c r="AV48" s="26"/>
      <c r="AW48" s="26"/>
      <c r="AX48" s="26"/>
      <c r="AY48" s="26"/>
      <c r="AZ48" s="26"/>
      <c r="BA48" s="26"/>
      <c r="BB48" s="26"/>
      <c r="BC48" s="26"/>
      <c r="BD48" s="26"/>
      <c r="BE48" s="26"/>
      <c r="BF48" s="26"/>
      <c r="BG48" s="26"/>
      <c r="BH48" s="26"/>
      <c r="BI48" s="26"/>
      <c r="BJ48" s="26"/>
      <c r="BK48" s="26"/>
      <c r="BL48" s="26"/>
      <c r="BM48" s="26"/>
      <c r="BN48" s="26"/>
      <c r="BO48" s="26"/>
      <c r="BP48" s="26"/>
      <c r="BQ48" s="26"/>
      <c r="BR48" s="26"/>
      <c r="BS48" s="26"/>
      <c r="BT48" s="26"/>
      <c r="BU48" s="26"/>
      <c r="BV48" s="26"/>
      <c r="BW48" s="26"/>
      <c r="BX48" s="26"/>
      <c r="BY48" s="26"/>
      <c r="BZ48" s="26"/>
      <c r="CA48" s="26"/>
      <c r="CB48" s="26"/>
      <c r="CC48" s="26"/>
      <c r="CD48" s="26"/>
      <c r="CE48" s="26"/>
      <c r="CF48" s="26"/>
      <c r="CG48" s="26"/>
      <c r="CH48" s="26"/>
      <c r="CI48" s="26"/>
      <c r="CJ48" s="26"/>
      <c r="CK48" s="26"/>
      <c r="CL48" s="26"/>
      <c r="CM48" s="26"/>
      <c r="CN48" s="26"/>
      <c r="CO48" s="26"/>
      <c r="CP48" s="26"/>
      <c r="CQ48" s="26"/>
      <c r="CR48" s="26"/>
      <c r="CS48" s="26"/>
      <c r="CT48" s="26"/>
      <c r="CU48" s="26"/>
      <c r="CV48" s="26"/>
      <c r="CW48" s="26"/>
      <c r="CX48" s="26"/>
      <c r="CY48" s="26"/>
      <c r="CZ48" s="26"/>
      <c r="DA48" s="26"/>
      <c r="DB48" s="26"/>
      <c r="DC48" s="26"/>
      <c r="DD48" s="26"/>
      <c r="DE48" s="26"/>
      <c r="DF48" s="26"/>
      <c r="DG48" s="26"/>
      <c r="DH48" s="26"/>
      <c r="DI48" s="26"/>
      <c r="DJ48" s="26"/>
      <c r="DK48" s="26"/>
      <c r="DL48" s="26"/>
      <c r="DM48" s="26"/>
      <c r="DN48" s="26"/>
      <c r="DO48" s="26"/>
      <c r="DP48" s="26"/>
    </row>
    <row r="49" spans="1:120" s="361" customFormat="1" ht="15" thickBot="1" x14ac:dyDescent="0.35">
      <c r="A49" s="1265"/>
      <c r="B49" s="287" t="s">
        <v>317</v>
      </c>
      <c r="C49" s="28"/>
      <c r="D49" s="28"/>
      <c r="E49" s="40"/>
      <c r="F49" s="40"/>
      <c r="G49" s="30"/>
      <c r="H49" s="180"/>
      <c r="I49" s="382"/>
      <c r="J49" s="189"/>
      <c r="K49" s="61"/>
      <c r="L49" s="28"/>
      <c r="M49" s="28"/>
      <c r="N49" s="28"/>
      <c r="O49" s="31"/>
      <c r="P49" s="29"/>
      <c r="Q49" s="32"/>
      <c r="R49" s="392"/>
      <c r="S49" s="33" t="s">
        <v>2</v>
      </c>
      <c r="T49" s="269"/>
      <c r="U49" s="1164">
        <f>((SUM(U48:$AE48))*($L48+$M48))</f>
        <v>25185.86868</v>
      </c>
      <c r="V49" s="1164">
        <f>((SUM(V48:$AE48))*($L48+$M48))</f>
        <v>24720.865539999999</v>
      </c>
      <c r="W49" s="1164">
        <f>((SUM(W48:$AE48))*($L48+$M48))</f>
        <v>24720.865539999999</v>
      </c>
      <c r="X49" s="1164">
        <f>((SUM(X48:$AE48))*($L48+$M48))</f>
        <v>24319.06554</v>
      </c>
      <c r="Y49" s="1164">
        <f>((SUM(Y48:$AE48))*($L48+$M48))</f>
        <v>23018.15768</v>
      </c>
      <c r="Z49" s="1164">
        <f>((SUM(Z48:$AE48))*($L48+$M48))</f>
        <v>21283.346000000001</v>
      </c>
      <c r="AA49" s="1164">
        <f>((SUM(AA48:$AE48))*($L48+$M48))</f>
        <v>19548.534319999999</v>
      </c>
      <c r="AB49" s="1164">
        <f>((SUM(AB48:$AE48))*($L48+$M48))</f>
        <v>17813.72264</v>
      </c>
      <c r="AC49" s="1164">
        <f>((SUM(AC48:$AE48))*($L48+$M48))</f>
        <v>16078.910960000001</v>
      </c>
      <c r="AD49" s="1164">
        <f>((SUM(AD48:$AE48))*($L48+$M48))</f>
        <v>14344.09928</v>
      </c>
      <c r="AE49" s="1164">
        <f>((SUM(AE48:$AE48))*($L48+$M48))*6</f>
        <v>75655.725600000005</v>
      </c>
      <c r="AF49" s="1171">
        <f t="shared" si="1"/>
        <v>212061.56202000001</v>
      </c>
      <c r="AG49" s="83"/>
      <c r="AH49" s="83"/>
      <c r="AI49" s="42"/>
      <c r="AJ49" s="42"/>
      <c r="AK49" s="42"/>
      <c r="AL49" s="42"/>
      <c r="AM49" s="42"/>
      <c r="AN49" s="42"/>
      <c r="AO49" s="42"/>
      <c r="AP49" s="42"/>
      <c r="AQ49" s="42"/>
      <c r="AR49" s="42"/>
      <c r="AS49" s="42"/>
      <c r="AT49" s="42"/>
      <c r="AU49" s="42"/>
      <c r="AV49" s="42"/>
      <c r="AW49" s="42"/>
      <c r="AX49" s="42"/>
      <c r="AY49" s="42"/>
      <c r="AZ49" s="42"/>
      <c r="BA49" s="42"/>
      <c r="BB49" s="42"/>
      <c r="BC49" s="42"/>
      <c r="BD49" s="42"/>
      <c r="BE49" s="42"/>
      <c r="BF49" s="42"/>
      <c r="BG49" s="42"/>
      <c r="BH49" s="42"/>
      <c r="BI49" s="42"/>
      <c r="BJ49" s="42"/>
      <c r="BK49" s="42"/>
      <c r="BL49" s="42"/>
      <c r="BM49" s="42"/>
      <c r="BN49" s="42"/>
      <c r="BO49" s="42"/>
      <c r="BP49" s="42"/>
      <c r="BQ49" s="42"/>
      <c r="BR49" s="42"/>
      <c r="BS49" s="42"/>
      <c r="BT49" s="42"/>
      <c r="BU49" s="42"/>
      <c r="BV49" s="42"/>
      <c r="BW49" s="42"/>
      <c r="BX49" s="42"/>
      <c r="BY49" s="42"/>
      <c r="BZ49" s="42"/>
      <c r="CA49" s="42"/>
      <c r="CB49" s="42"/>
      <c r="CC49" s="42"/>
      <c r="CD49" s="42"/>
      <c r="CE49" s="42"/>
      <c r="CF49" s="42"/>
      <c r="CG49" s="42"/>
      <c r="CH49" s="42"/>
      <c r="CI49" s="42"/>
      <c r="CJ49" s="42"/>
      <c r="CK49" s="42"/>
      <c r="CL49" s="42"/>
      <c r="CM49" s="42"/>
      <c r="CN49" s="42"/>
      <c r="CO49" s="42"/>
      <c r="CP49" s="42"/>
      <c r="CQ49" s="42"/>
      <c r="CR49" s="42"/>
      <c r="CS49" s="42"/>
      <c r="CT49" s="42"/>
      <c r="CU49" s="42"/>
      <c r="CV49" s="42"/>
      <c r="CW49" s="42"/>
      <c r="CX49" s="42"/>
      <c r="CY49" s="42"/>
      <c r="CZ49" s="42"/>
      <c r="DA49" s="42"/>
      <c r="DB49" s="42"/>
      <c r="DC49" s="42"/>
      <c r="DD49" s="42"/>
      <c r="DE49" s="42"/>
      <c r="DF49" s="42"/>
      <c r="DG49" s="42"/>
      <c r="DH49" s="42"/>
      <c r="DI49" s="42"/>
      <c r="DJ49" s="42"/>
      <c r="DK49" s="42"/>
      <c r="DL49" s="42"/>
      <c r="DM49" s="42"/>
      <c r="DN49" s="42"/>
      <c r="DO49" s="42"/>
      <c r="DP49" s="42"/>
    </row>
    <row r="50" spans="1:120" s="361" customFormat="1" ht="25.2" customHeight="1" x14ac:dyDescent="0.3">
      <c r="A50" s="1341" t="s">
        <v>1538</v>
      </c>
      <c r="B50" s="1342" t="s">
        <v>1539</v>
      </c>
      <c r="C50" s="1343" t="s">
        <v>1541</v>
      </c>
      <c r="D50" s="1344" t="s">
        <v>1542</v>
      </c>
      <c r="E50" s="289"/>
      <c r="F50" s="289" t="s">
        <v>1543</v>
      </c>
      <c r="G50" s="51" t="s">
        <v>1544</v>
      </c>
      <c r="H50" s="1335"/>
      <c r="I50" s="366">
        <v>292889</v>
      </c>
      <c r="J50" s="1337"/>
      <c r="K50" s="61"/>
      <c r="L50" s="58">
        <f>0.101%+$L$7</f>
        <v>1.7590000000000001E-2</v>
      </c>
      <c r="M50" s="39">
        <v>2.5000000000000001E-3</v>
      </c>
      <c r="N50" s="1333"/>
      <c r="O50" s="1338"/>
      <c r="P50" s="1339"/>
      <c r="Q50" s="48"/>
      <c r="R50" s="395"/>
      <c r="S50" s="49" t="s">
        <v>126</v>
      </c>
      <c r="T50" s="315"/>
      <c r="U50" s="1340"/>
      <c r="V50" s="1340"/>
      <c r="W50" s="1340"/>
      <c r="X50" s="57">
        <v>10099</v>
      </c>
      <c r="Y50" s="57">
        <v>20200</v>
      </c>
      <c r="Z50" s="57">
        <v>20200</v>
      </c>
      <c r="AA50" s="57">
        <v>20200</v>
      </c>
      <c r="AB50" s="57">
        <v>20200</v>
      </c>
      <c r="AC50" s="57">
        <v>20200</v>
      </c>
      <c r="AD50" s="57">
        <v>20200</v>
      </c>
      <c r="AE50" s="57">
        <f>-SUM(X50:AD50)+I50</f>
        <v>161590</v>
      </c>
      <c r="AF50" s="1170">
        <f>SUM(X50:AE50)</f>
        <v>292889</v>
      </c>
      <c r="AG50" s="83"/>
      <c r="AH50" s="83"/>
      <c r="AI50" s="42"/>
      <c r="AJ50" s="42"/>
      <c r="AK50" s="42"/>
      <c r="AL50" s="42"/>
      <c r="AM50" s="42"/>
      <c r="AN50" s="42"/>
      <c r="AO50" s="42"/>
      <c r="AP50" s="42"/>
      <c r="AQ50" s="42"/>
      <c r="AR50" s="42"/>
      <c r="AS50" s="42"/>
      <c r="AT50" s="42"/>
      <c r="AU50" s="42"/>
      <c r="AV50" s="42"/>
      <c r="AW50" s="42"/>
      <c r="AX50" s="42"/>
      <c r="AY50" s="42"/>
      <c r="AZ50" s="42"/>
      <c r="BA50" s="42"/>
      <c r="BB50" s="42"/>
      <c r="BC50" s="42"/>
      <c r="BD50" s="42"/>
      <c r="BE50" s="42"/>
      <c r="BF50" s="42"/>
      <c r="BG50" s="42"/>
      <c r="BH50" s="42"/>
      <c r="BI50" s="42"/>
      <c r="BJ50" s="42"/>
      <c r="BK50" s="42"/>
      <c r="BL50" s="42"/>
      <c r="BM50" s="42"/>
      <c r="BN50" s="42"/>
      <c r="BO50" s="42"/>
      <c r="BP50" s="42"/>
      <c r="BQ50" s="42"/>
      <c r="BR50" s="42"/>
      <c r="BS50" s="42"/>
      <c r="BT50" s="42"/>
      <c r="BU50" s="42"/>
      <c r="BV50" s="42"/>
      <c r="BW50" s="42"/>
      <c r="BX50" s="42"/>
      <c r="BY50" s="42"/>
      <c r="BZ50" s="42"/>
      <c r="CA50" s="42"/>
      <c r="CB50" s="42"/>
      <c r="CC50" s="42"/>
      <c r="CD50" s="42"/>
      <c r="CE50" s="42"/>
      <c r="CF50" s="42"/>
      <c r="CG50" s="42"/>
      <c r="CH50" s="42"/>
      <c r="CI50" s="42"/>
      <c r="CJ50" s="42"/>
      <c r="CK50" s="42"/>
      <c r="CL50" s="42"/>
      <c r="CM50" s="42"/>
      <c r="CN50" s="42"/>
      <c r="CO50" s="42"/>
      <c r="CP50" s="42"/>
      <c r="CQ50" s="42"/>
      <c r="CR50" s="42"/>
      <c r="CS50" s="42"/>
      <c r="CT50" s="42"/>
      <c r="CU50" s="42"/>
      <c r="CV50" s="42"/>
      <c r="CW50" s="42"/>
      <c r="CX50" s="42"/>
      <c r="CY50" s="42"/>
      <c r="CZ50" s="42"/>
      <c r="DA50" s="42"/>
      <c r="DB50" s="42"/>
      <c r="DC50" s="42"/>
      <c r="DD50" s="42"/>
      <c r="DE50" s="42"/>
      <c r="DF50" s="42"/>
      <c r="DG50" s="42"/>
      <c r="DH50" s="42"/>
      <c r="DI50" s="42"/>
      <c r="DJ50" s="42"/>
      <c r="DK50" s="42"/>
      <c r="DL50" s="42"/>
      <c r="DM50" s="42"/>
      <c r="DN50" s="42"/>
      <c r="DO50" s="42"/>
      <c r="DP50" s="42"/>
    </row>
    <row r="51" spans="1:120" s="361" customFormat="1" ht="21" thickBot="1" x14ac:dyDescent="0.35">
      <c r="A51" s="1266"/>
      <c r="B51" s="1345" t="s">
        <v>1540</v>
      </c>
      <c r="C51" s="1333"/>
      <c r="D51" s="1333"/>
      <c r="E51" s="289"/>
      <c r="F51" s="40"/>
      <c r="G51" s="1334"/>
      <c r="H51" s="1335"/>
      <c r="I51" s="1336"/>
      <c r="J51" s="1337"/>
      <c r="K51" s="61"/>
      <c r="L51" s="1333"/>
      <c r="M51" s="1333"/>
      <c r="N51" s="1333"/>
      <c r="O51" s="1338"/>
      <c r="P51" s="1339"/>
      <c r="Q51" s="48"/>
      <c r="R51" s="395"/>
      <c r="S51" s="33" t="s">
        <v>2</v>
      </c>
      <c r="T51" s="315"/>
      <c r="U51" s="1340"/>
      <c r="V51" s="1340"/>
      <c r="W51" s="1340"/>
      <c r="X51" s="1164">
        <f>((SUM(X50:$AE50))*($L50+$M50))</f>
        <v>5884.1400100000001</v>
      </c>
      <c r="Y51" s="1164">
        <f>((SUM(Y50:$AE50))*($L50+$M50))</f>
        <v>5681.2511000000004</v>
      </c>
      <c r="Z51" s="1164">
        <f>((SUM(Z50:$AE50))*($L50+$M50))</f>
        <v>5275.4331000000002</v>
      </c>
      <c r="AA51" s="1164">
        <f>((SUM(AA50:$AE50))*($L50+$M50))</f>
        <v>4869.6151</v>
      </c>
      <c r="AB51" s="1164">
        <f>((SUM(AB50:$AE50))*($L50+$M50))</f>
        <v>4463.7970999999998</v>
      </c>
      <c r="AC51" s="1164">
        <f>((SUM(AC50:$AE50))*($L50+$M50))</f>
        <v>4057.9791</v>
      </c>
      <c r="AD51" s="1164">
        <f>((SUM(AD50:$AE50))*($L50+$M50))</f>
        <v>3652.1611000000003</v>
      </c>
      <c r="AE51" s="1164">
        <f>((SUM(AE50:$AE50))*($L50+$M50))*7</f>
        <v>22724.401700000002</v>
      </c>
      <c r="AF51" s="1171">
        <f t="shared" si="1"/>
        <v>56608.778310000002</v>
      </c>
      <c r="AG51" s="83"/>
      <c r="AH51" s="83"/>
      <c r="AI51" s="42"/>
      <c r="AJ51" s="42"/>
      <c r="AK51" s="42"/>
      <c r="AL51" s="42"/>
      <c r="AM51" s="42"/>
      <c r="AN51" s="42"/>
      <c r="AO51" s="42"/>
      <c r="AP51" s="42"/>
      <c r="AQ51" s="42"/>
      <c r="AR51" s="42"/>
      <c r="AS51" s="42"/>
      <c r="AT51" s="42"/>
      <c r="AU51" s="42"/>
      <c r="AV51" s="42"/>
      <c r="AW51" s="42"/>
      <c r="AX51" s="42"/>
      <c r="AY51" s="42"/>
      <c r="AZ51" s="42"/>
      <c r="BA51" s="42"/>
      <c r="BB51" s="42"/>
      <c r="BC51" s="42"/>
      <c r="BD51" s="42"/>
      <c r="BE51" s="42"/>
      <c r="BF51" s="42"/>
      <c r="BG51" s="42"/>
      <c r="BH51" s="42"/>
      <c r="BI51" s="42"/>
      <c r="BJ51" s="42"/>
      <c r="BK51" s="42"/>
      <c r="BL51" s="42"/>
      <c r="BM51" s="42"/>
      <c r="BN51" s="42"/>
      <c r="BO51" s="42"/>
      <c r="BP51" s="42"/>
      <c r="BQ51" s="42"/>
      <c r="BR51" s="42"/>
      <c r="BS51" s="42"/>
      <c r="BT51" s="42"/>
      <c r="BU51" s="42"/>
      <c r="BV51" s="42"/>
      <c r="BW51" s="42"/>
      <c r="BX51" s="42"/>
      <c r="BY51" s="42"/>
      <c r="BZ51" s="42"/>
      <c r="CA51" s="42"/>
      <c r="CB51" s="42"/>
      <c r="CC51" s="42"/>
      <c r="CD51" s="42"/>
      <c r="CE51" s="42"/>
      <c r="CF51" s="42"/>
      <c r="CG51" s="42"/>
      <c r="CH51" s="42"/>
      <c r="CI51" s="42"/>
      <c r="CJ51" s="42"/>
      <c r="CK51" s="42"/>
      <c r="CL51" s="42"/>
      <c r="CM51" s="42"/>
      <c r="CN51" s="42"/>
      <c r="CO51" s="42"/>
      <c r="CP51" s="42"/>
      <c r="CQ51" s="42"/>
      <c r="CR51" s="42"/>
      <c r="CS51" s="42"/>
      <c r="CT51" s="42"/>
      <c r="CU51" s="42"/>
      <c r="CV51" s="42"/>
      <c r="CW51" s="42"/>
      <c r="CX51" s="42"/>
      <c r="CY51" s="42"/>
      <c r="CZ51" s="42"/>
      <c r="DA51" s="42"/>
      <c r="DB51" s="42"/>
      <c r="DC51" s="42"/>
      <c r="DD51" s="42"/>
      <c r="DE51" s="42"/>
      <c r="DF51" s="42"/>
      <c r="DG51" s="42"/>
      <c r="DH51" s="42"/>
      <c r="DI51" s="42"/>
      <c r="DJ51" s="42"/>
      <c r="DK51" s="42"/>
      <c r="DL51" s="42"/>
      <c r="DM51" s="42"/>
      <c r="DN51" s="42"/>
      <c r="DO51" s="42"/>
      <c r="DP51" s="42"/>
    </row>
    <row r="52" spans="1:120" s="42" customFormat="1" x14ac:dyDescent="0.2">
      <c r="A52" s="1264">
        <v>14</v>
      </c>
      <c r="B52" s="286" t="s">
        <v>283</v>
      </c>
      <c r="C52" s="22" t="s">
        <v>306</v>
      </c>
      <c r="D52" s="38" t="s">
        <v>307</v>
      </c>
      <c r="E52" s="260"/>
      <c r="F52" s="56" t="s">
        <v>302</v>
      </c>
      <c r="G52" s="51" t="s">
        <v>303</v>
      </c>
      <c r="H52" s="182"/>
      <c r="I52" s="366">
        <v>1174140</v>
      </c>
      <c r="J52" s="182"/>
      <c r="K52" s="61"/>
      <c r="L52" s="58">
        <f>0.101%+L7</f>
        <v>1.7590000000000001E-2</v>
      </c>
      <c r="M52" s="39">
        <v>2.5000000000000001E-3</v>
      </c>
      <c r="N52" s="35">
        <v>4</v>
      </c>
      <c r="O52" s="54"/>
      <c r="P52" s="55"/>
      <c r="Q52" s="48"/>
      <c r="R52" s="395"/>
      <c r="S52" s="49" t="s">
        <v>126</v>
      </c>
      <c r="T52" s="285">
        <v>1113420</v>
      </c>
      <c r="U52" s="57">
        <v>80976</v>
      </c>
      <c r="V52" s="57">
        <v>80976</v>
      </c>
      <c r="W52" s="57">
        <v>80976</v>
      </c>
      <c r="X52" s="57">
        <v>80976</v>
      </c>
      <c r="Y52" s="57">
        <v>80976</v>
      </c>
      <c r="Z52" s="57">
        <v>80976</v>
      </c>
      <c r="AA52" s="57">
        <v>80976</v>
      </c>
      <c r="AB52" s="57">
        <v>80976</v>
      </c>
      <c r="AC52" s="57">
        <v>80976</v>
      </c>
      <c r="AD52" s="57">
        <v>80976</v>
      </c>
      <c r="AE52" s="57">
        <v>303660</v>
      </c>
      <c r="AF52" s="1170">
        <f t="shared" si="1"/>
        <v>870492</v>
      </c>
      <c r="AG52" s="83"/>
      <c r="AH52" s="83"/>
    </row>
    <row r="53" spans="1:120" s="42" customFormat="1" ht="15" thickBot="1" x14ac:dyDescent="0.35">
      <c r="A53" s="1265"/>
      <c r="B53" s="287"/>
      <c r="C53" s="28"/>
      <c r="D53" s="28"/>
      <c r="E53" s="40"/>
      <c r="F53" s="40"/>
      <c r="G53" s="30"/>
      <c r="H53" s="180"/>
      <c r="I53" s="383"/>
      <c r="J53" s="189"/>
      <c r="K53" s="61"/>
      <c r="L53" s="28"/>
      <c r="M53" s="28"/>
      <c r="N53" s="28"/>
      <c r="O53" s="54"/>
      <c r="P53" s="55"/>
      <c r="Q53" s="48"/>
      <c r="R53" s="395"/>
      <c r="S53" s="33" t="s">
        <v>2</v>
      </c>
      <c r="T53" s="269"/>
      <c r="U53" s="1164">
        <f>((SUM(U52:$AE52))*($L52+$M52))</f>
        <v>22368.607800000002</v>
      </c>
      <c r="V53" s="1164">
        <f>((SUM(V52:$AE52))*($L52+$M52))</f>
        <v>20741.79996</v>
      </c>
      <c r="W53" s="1164">
        <f>((SUM(W52:$AE52))*($L52+$M52))</f>
        <v>19114.992119999999</v>
      </c>
      <c r="X53" s="1164">
        <f>((SUM(X52:$AE52))*($L52+$M52))</f>
        <v>17488.184280000001</v>
      </c>
      <c r="Y53" s="1164">
        <f>((SUM(Y52:$AE52))*($L52+$M52))</f>
        <v>15861.37644</v>
      </c>
      <c r="Z53" s="1164">
        <f>((SUM(Z52:$AE52))*($L52+$M52))</f>
        <v>14234.568600000001</v>
      </c>
      <c r="AA53" s="1164">
        <f>((SUM(AA52:$AE52))*($L52+$M52))</f>
        <v>12607.760760000001</v>
      </c>
      <c r="AB53" s="1164">
        <f>((SUM(AB52:$AE52))*($L52+$M52))</f>
        <v>10980.95292</v>
      </c>
      <c r="AC53" s="1164">
        <f>((SUM(AC52:$AE52))*($L52+$M52))</f>
        <v>9354.1450800000002</v>
      </c>
      <c r="AD53" s="1164">
        <f>((SUM(AD52:$AE52))*($L52+$M52))</f>
        <v>7727.3372399999998</v>
      </c>
      <c r="AE53" s="1164">
        <f>((SUM(AE52:$AE52))*($L52+$M52))*4</f>
        <v>24402.117600000001</v>
      </c>
      <c r="AF53" s="1171">
        <f t="shared" si="1"/>
        <v>112656.44291999999</v>
      </c>
      <c r="AG53" s="83"/>
      <c r="AH53" s="83"/>
    </row>
    <row r="54" spans="1:120" s="42" customFormat="1" x14ac:dyDescent="0.2">
      <c r="A54" s="1264">
        <v>15</v>
      </c>
      <c r="B54" s="286" t="s">
        <v>286</v>
      </c>
      <c r="C54" s="22" t="s">
        <v>637</v>
      </c>
      <c r="D54" s="38" t="s">
        <v>639</v>
      </c>
      <c r="E54" s="260"/>
      <c r="F54" s="56" t="s">
        <v>638</v>
      </c>
      <c r="G54" s="51" t="s">
        <v>640</v>
      </c>
      <c r="H54" s="182"/>
      <c r="I54" s="366">
        <v>186392</v>
      </c>
      <c r="J54" s="182"/>
      <c r="K54" s="23">
        <f>J54/0.702804</f>
        <v>0</v>
      </c>
      <c r="L54" s="58">
        <f>0.101%+$L$7</f>
        <v>1.7590000000000001E-2</v>
      </c>
      <c r="M54" s="39">
        <v>2.5000000000000001E-3</v>
      </c>
      <c r="N54" s="35">
        <v>4</v>
      </c>
      <c r="O54" s="59"/>
      <c r="P54" s="37">
        <v>0</v>
      </c>
      <c r="Q54" s="25"/>
      <c r="R54" s="390"/>
      <c r="S54" s="49" t="s">
        <v>126</v>
      </c>
      <c r="T54" s="285"/>
      <c r="U54" s="57">
        <v>16907.599999999999</v>
      </c>
      <c r="V54" s="57">
        <v>0</v>
      </c>
      <c r="W54" s="57">
        <v>12992</v>
      </c>
      <c r="X54" s="57">
        <v>17360</v>
      </c>
      <c r="Y54" s="57">
        <v>17360</v>
      </c>
      <c r="Z54" s="57">
        <v>15080</v>
      </c>
      <c r="AA54" s="57">
        <v>8240</v>
      </c>
      <c r="AB54" s="57">
        <v>8240</v>
      </c>
      <c r="AC54" s="57">
        <v>8240</v>
      </c>
      <c r="AD54" s="57">
        <v>8240</v>
      </c>
      <c r="AE54" s="57">
        <v>73732.399999999994</v>
      </c>
      <c r="AF54" s="1170">
        <f t="shared" si="1"/>
        <v>156492.4</v>
      </c>
      <c r="AG54" s="83"/>
      <c r="AH54" s="83"/>
    </row>
    <row r="55" spans="1:120" s="42" customFormat="1" ht="15" thickBot="1" x14ac:dyDescent="0.35">
      <c r="A55" s="1265"/>
      <c r="B55" s="287" t="s">
        <v>287</v>
      </c>
      <c r="C55" s="28"/>
      <c r="D55" s="28"/>
      <c r="E55" s="40"/>
      <c r="F55" s="40"/>
      <c r="G55" s="30"/>
      <c r="H55" s="180"/>
      <c r="I55" s="377"/>
      <c r="J55" s="189"/>
      <c r="K55" s="61"/>
      <c r="L55" s="28"/>
      <c r="M55" s="28"/>
      <c r="N55" s="28"/>
      <c r="O55" s="31"/>
      <c r="P55" s="29"/>
      <c r="Q55" s="32"/>
      <c r="R55" s="392"/>
      <c r="S55" s="49" t="s">
        <v>2</v>
      </c>
      <c r="T55" s="269"/>
      <c r="U55" s="1164">
        <f>((SUM(U54:$AE54))*($L54+$M54))</f>
        <v>3744.61528</v>
      </c>
      <c r="V55" s="1164">
        <f>((SUM(V54:$AE54))*($L54+$M54))</f>
        <v>3404.9415960000001</v>
      </c>
      <c r="W55" s="1164">
        <f>((SUM(W54:$AE54))*($L54+$M54))</f>
        <v>3404.9415960000001</v>
      </c>
      <c r="X55" s="1164">
        <f>((SUM(X54:$AE54))*($L54+$M54))</f>
        <v>3143.9323159999999</v>
      </c>
      <c r="Y55" s="1164">
        <f>((SUM(Y54:$AE54))*($L54+$M54))</f>
        <v>2795.1699159999998</v>
      </c>
      <c r="Z55" s="1164">
        <f>((SUM(Z54:$AE54))*($L54+$M54))</f>
        <v>2446.4075159999998</v>
      </c>
      <c r="AA55" s="1164">
        <f>((SUM(AA54:$AE54))*($L54+$M54))</f>
        <v>2143.4503159999999</v>
      </c>
      <c r="AB55" s="1164">
        <f>((SUM(AB54:$AE54))*($L54+$M54))</f>
        <v>1977.9087159999999</v>
      </c>
      <c r="AC55" s="1164">
        <f>((SUM(AC54:$AE54))*($L54+$M54))</f>
        <v>1812.3671159999999</v>
      </c>
      <c r="AD55" s="1164">
        <f>((SUM(AD54:$AE54))*($L54+$M54))</f>
        <v>1646.8255159999999</v>
      </c>
      <c r="AE55" s="1164">
        <f>((SUM(AE54:$AE54))*($L54+$M54))*10</f>
        <v>14812.83916</v>
      </c>
      <c r="AF55" s="1171">
        <f t="shared" si="1"/>
        <v>30778.900571999999</v>
      </c>
      <c r="AG55" s="83"/>
      <c r="AH55" s="83"/>
    </row>
    <row r="56" spans="1:120" s="42" customFormat="1" x14ac:dyDescent="0.2">
      <c r="A56" s="1264">
        <v>16</v>
      </c>
      <c r="B56" s="21" t="s">
        <v>683</v>
      </c>
      <c r="C56" s="22" t="s">
        <v>358</v>
      </c>
      <c r="D56" s="38" t="s">
        <v>348</v>
      </c>
      <c r="E56" s="260"/>
      <c r="F56" s="56" t="s">
        <v>350</v>
      </c>
      <c r="G56" s="51" t="s">
        <v>351</v>
      </c>
      <c r="H56" s="182"/>
      <c r="I56" s="366">
        <v>46991.33</v>
      </c>
      <c r="J56" s="182"/>
      <c r="K56" s="23">
        <f>J56/0.702804</f>
        <v>0</v>
      </c>
      <c r="L56" s="58">
        <f>0.101%+$L$7</f>
        <v>1.7590000000000001E-2</v>
      </c>
      <c r="M56" s="39">
        <v>2.5000000000000001E-3</v>
      </c>
      <c r="N56" s="35">
        <v>4</v>
      </c>
      <c r="O56" s="59"/>
      <c r="P56" s="37">
        <v>0</v>
      </c>
      <c r="Q56" s="25"/>
      <c r="R56" s="390"/>
      <c r="S56" s="60" t="s">
        <v>126</v>
      </c>
      <c r="T56" s="57"/>
      <c r="U56" s="57"/>
      <c r="V56" s="57">
        <v>9883</v>
      </c>
      <c r="W56" s="57">
        <v>9896</v>
      </c>
      <c r="X56" s="57">
        <v>9896</v>
      </c>
      <c r="Y56" s="57">
        <v>9896</v>
      </c>
      <c r="Z56" s="57">
        <v>7420.33</v>
      </c>
      <c r="AA56" s="184">
        <v>0</v>
      </c>
      <c r="AB56" s="184">
        <v>0</v>
      </c>
      <c r="AC56" s="184">
        <v>0</v>
      </c>
      <c r="AD56" s="184">
        <v>0</v>
      </c>
      <c r="AE56" s="184">
        <v>0</v>
      </c>
      <c r="AF56" s="1170">
        <f t="shared" si="1"/>
        <v>27212.33</v>
      </c>
      <c r="AG56" s="83"/>
      <c r="AH56" s="83"/>
    </row>
    <row r="57" spans="1:120" s="42" customFormat="1" ht="15" thickBot="1" x14ac:dyDescent="0.35">
      <c r="A57" s="1265"/>
      <c r="B57" s="287"/>
      <c r="C57" s="28"/>
      <c r="D57" s="28"/>
      <c r="E57" s="40"/>
      <c r="F57" s="40" t="s">
        <v>356</v>
      </c>
      <c r="G57" s="30"/>
      <c r="H57" s="180"/>
      <c r="I57" s="377"/>
      <c r="J57" s="189"/>
      <c r="K57" s="61"/>
      <c r="L57" s="28"/>
      <c r="M57" s="28"/>
      <c r="N57" s="28"/>
      <c r="O57" s="31"/>
      <c r="P57" s="29"/>
      <c r="Q57" s="32"/>
      <c r="R57" s="392"/>
      <c r="S57" s="33" t="s">
        <v>2</v>
      </c>
      <c r="T57" s="34"/>
      <c r="U57" s="34"/>
      <c r="V57" s="1164">
        <f>((SUM(V56:$AE56))*($L56+$M56))</f>
        <v>944.05581970000003</v>
      </c>
      <c r="W57" s="1164">
        <f>((SUM(W56:$AE56))*($L56+$M56))</f>
        <v>745.50634969999999</v>
      </c>
      <c r="X57" s="1164">
        <f>((SUM(X56:$AE56))*($L56+$M56))</f>
        <v>546.69570970000007</v>
      </c>
      <c r="Y57" s="1164">
        <f>((SUM(Y56:$AE56))*($L56+$M56))</f>
        <v>347.88506970000003</v>
      </c>
      <c r="Z57" s="1164">
        <f>((SUM(Z56:$AE56))*($L56+$M56))</f>
        <v>149.0744297</v>
      </c>
      <c r="AA57" s="1165">
        <f>((SUM(AA56:$AE56))*($L56+$M56))</f>
        <v>0</v>
      </c>
      <c r="AB57" s="1165">
        <f>((SUM(AB56:$AE56))*($L56+$M56))</f>
        <v>0</v>
      </c>
      <c r="AC57" s="1165">
        <f>((SUM(AC56:$AE56))*($L56+$M56))</f>
        <v>0</v>
      </c>
      <c r="AD57" s="1165">
        <f>((SUM(AD56:$AE56))*($L56+$M56))</f>
        <v>0</v>
      </c>
      <c r="AE57" s="1165">
        <f>((SUM(AE56:$AE56))*($L56+$M56))</f>
        <v>0</v>
      </c>
      <c r="AF57" s="1171">
        <f t="shared" si="1"/>
        <v>1043.6552091000001</v>
      </c>
      <c r="AG57" s="83"/>
      <c r="AH57" s="83"/>
    </row>
    <row r="58" spans="1:120" s="317" customFormat="1" x14ac:dyDescent="0.2">
      <c r="A58" s="1264">
        <v>17</v>
      </c>
      <c r="B58" s="21" t="s">
        <v>341</v>
      </c>
      <c r="C58" s="22" t="s">
        <v>641</v>
      </c>
      <c r="D58" s="38" t="s">
        <v>642</v>
      </c>
      <c r="E58" s="398"/>
      <c r="F58" s="56" t="s">
        <v>638</v>
      </c>
      <c r="G58" s="51" t="s">
        <v>643</v>
      </c>
      <c r="H58" s="182"/>
      <c r="I58" s="366">
        <v>581242</v>
      </c>
      <c r="J58" s="182"/>
      <c r="K58" s="23">
        <f>J58/0.702804</f>
        <v>0</v>
      </c>
      <c r="L58" s="58">
        <f>0.101%+$L$7</f>
        <v>1.7590000000000001E-2</v>
      </c>
      <c r="M58" s="39">
        <v>2.5000000000000001E-3</v>
      </c>
      <c r="N58" s="35">
        <v>4</v>
      </c>
      <c r="O58" s="59"/>
      <c r="P58" s="37">
        <v>0</v>
      </c>
      <c r="Q58" s="25"/>
      <c r="R58" s="390"/>
      <c r="S58" s="49" t="s">
        <v>126</v>
      </c>
      <c r="T58" s="399"/>
      <c r="U58" s="57"/>
      <c r="V58" s="57"/>
      <c r="W58" s="57">
        <v>58880</v>
      </c>
      <c r="X58" s="57">
        <v>58116</v>
      </c>
      <c r="Y58" s="57">
        <v>58116</v>
      </c>
      <c r="Z58" s="57">
        <v>58116</v>
      </c>
      <c r="AA58" s="57">
        <v>58116</v>
      </c>
      <c r="AB58" s="57">
        <v>58116</v>
      </c>
      <c r="AC58" s="57">
        <v>58116</v>
      </c>
      <c r="AD58" s="57">
        <v>58116</v>
      </c>
      <c r="AE58" s="57">
        <v>115550.12</v>
      </c>
      <c r="AF58" s="1170">
        <f t="shared" si="1"/>
        <v>522362.12</v>
      </c>
      <c r="AG58" s="83"/>
      <c r="AH58" s="83"/>
    </row>
    <row r="59" spans="1:120" s="317" customFormat="1" ht="15" thickBot="1" x14ac:dyDescent="0.35">
      <c r="A59" s="1265"/>
      <c r="B59" s="27"/>
      <c r="C59" s="28"/>
      <c r="D59" s="400"/>
      <c r="E59" s="401"/>
      <c r="F59" s="40"/>
      <c r="G59" s="30"/>
      <c r="H59" s="180"/>
      <c r="I59" s="377"/>
      <c r="J59" s="189"/>
      <c r="K59" s="61"/>
      <c r="L59" s="28"/>
      <c r="M59" s="28"/>
      <c r="N59" s="28"/>
      <c r="O59" s="31"/>
      <c r="P59" s="29"/>
      <c r="Q59" s="32"/>
      <c r="R59" s="392"/>
      <c r="S59" s="33" t="s">
        <v>2</v>
      </c>
      <c r="T59" s="402"/>
      <c r="U59" s="34"/>
      <c r="V59" s="34"/>
      <c r="W59" s="1164">
        <f>((SUM(W58:$AE58))*($L58+$M58))</f>
        <v>11677.1541908</v>
      </c>
      <c r="X59" s="1164">
        <f>((SUM(X58:$AE58))*($L58+$M58))</f>
        <v>10494.2549908</v>
      </c>
      <c r="Y59" s="1164">
        <f>((SUM(Y58:$AE58))*($L58+$M58))</f>
        <v>9326.7045507999992</v>
      </c>
      <c r="Z59" s="1164">
        <f>((SUM(Z58:$AE58))*($L58+$M58))</f>
        <v>8159.1541108000001</v>
      </c>
      <c r="AA59" s="1164">
        <f>((SUM(AA58:$AE58))*($L58+$M58))</f>
        <v>6991.6036708000001</v>
      </c>
      <c r="AB59" s="1164">
        <f>((SUM(AB58:$AE58))*($L58+$M58))</f>
        <v>5824.0532308000002</v>
      </c>
      <c r="AC59" s="1164">
        <f>((SUM(AC58:$AE58))*($L58+$M58))</f>
        <v>4656.5027908000002</v>
      </c>
      <c r="AD59" s="1164">
        <f>((SUM(AD58:$AE58))*($L58+$M58))</f>
        <v>3488.9523507999997</v>
      </c>
      <c r="AE59" s="1164">
        <f>((SUM(AE58:$AE58))*($L58+$M58))*3</f>
        <v>6964.2057323999998</v>
      </c>
      <c r="AF59" s="1171">
        <f t="shared" si="1"/>
        <v>55905.431427999996</v>
      </c>
      <c r="AG59" s="83"/>
      <c r="AH59" s="83"/>
    </row>
    <row r="60" spans="1:120" s="317" customFormat="1" x14ac:dyDescent="0.2">
      <c r="A60" s="1264">
        <v>18</v>
      </c>
      <c r="B60" s="21" t="s">
        <v>376</v>
      </c>
      <c r="C60" s="22" t="s">
        <v>546</v>
      </c>
      <c r="D60" s="38" t="s">
        <v>544</v>
      </c>
      <c r="E60" s="398"/>
      <c r="F60" s="56" t="s">
        <v>547</v>
      </c>
      <c r="G60" s="51" t="s">
        <v>545</v>
      </c>
      <c r="H60" s="182"/>
      <c r="I60" s="366">
        <v>141294</v>
      </c>
      <c r="J60" s="182"/>
      <c r="K60" s="23">
        <f>J60/0.702804</f>
        <v>0</v>
      </c>
      <c r="L60" s="58">
        <f>0.101%+$L$7</f>
        <v>1.7590000000000001E-2</v>
      </c>
      <c r="M60" s="39">
        <v>2.5000000000000001E-3</v>
      </c>
      <c r="N60" s="35">
        <v>4</v>
      </c>
      <c r="O60" s="59"/>
      <c r="P60" s="37">
        <v>0</v>
      </c>
      <c r="Q60" s="25"/>
      <c r="R60" s="390"/>
      <c r="S60" s="49" t="s">
        <v>126</v>
      </c>
      <c r="T60" s="399"/>
      <c r="U60" s="57"/>
      <c r="V60" s="57"/>
      <c r="W60" s="57">
        <v>29739</v>
      </c>
      <c r="X60" s="57">
        <v>29748</v>
      </c>
      <c r="Y60" s="57">
        <v>29748</v>
      </c>
      <c r="Z60" s="57">
        <v>29748</v>
      </c>
      <c r="AA60" s="57">
        <v>22311</v>
      </c>
      <c r="AB60" s="184">
        <v>0</v>
      </c>
      <c r="AC60" s="184">
        <v>0</v>
      </c>
      <c r="AD60" s="184">
        <v>0</v>
      </c>
      <c r="AE60" s="184">
        <v>0</v>
      </c>
      <c r="AF60" s="1170">
        <f t="shared" si="1"/>
        <v>111555</v>
      </c>
      <c r="AG60" s="83"/>
      <c r="AH60" s="83"/>
    </row>
    <row r="61" spans="1:120" s="317" customFormat="1" ht="15" thickBot="1" x14ac:dyDescent="0.35">
      <c r="A61" s="1265"/>
      <c r="B61" s="27"/>
      <c r="C61" s="28"/>
      <c r="D61" s="400"/>
      <c r="E61" s="401"/>
      <c r="F61" s="40"/>
      <c r="G61" s="30"/>
      <c r="H61" s="180"/>
      <c r="I61" s="377"/>
      <c r="J61" s="189"/>
      <c r="K61" s="61"/>
      <c r="L61" s="28"/>
      <c r="M61" s="28"/>
      <c r="N61" s="28"/>
      <c r="O61" s="31"/>
      <c r="P61" s="29"/>
      <c r="Q61" s="32"/>
      <c r="R61" s="392"/>
      <c r="S61" s="33" t="s">
        <v>2</v>
      </c>
      <c r="T61" s="402"/>
      <c r="U61" s="34"/>
      <c r="V61" s="34"/>
      <c r="W61" s="1164">
        <f>((SUM(W60:$AE60))*($L60+$M60))</f>
        <v>2838.5964600000002</v>
      </c>
      <c r="X61" s="1164">
        <f>((SUM(X60:$AE60))*($L60+$M60))</f>
        <v>2241.1399500000002</v>
      </c>
      <c r="Y61" s="1164">
        <f>((SUM(Y60:$AE60))*($L60+$M60))</f>
        <v>1643.50263</v>
      </c>
      <c r="Z61" s="1164">
        <f>((SUM(Z60:$AE60))*($L60+$M60))</f>
        <v>1045.8653099999999</v>
      </c>
      <c r="AA61" s="1164">
        <f>((SUM(AA60:$AE60))*($L60+$M60))</f>
        <v>448.22798999999998</v>
      </c>
      <c r="AB61" s="1165">
        <f>((SUM(AB60:$AE60))*($L60+$M60))</f>
        <v>0</v>
      </c>
      <c r="AC61" s="1165">
        <f>((SUM(AC60:$AE60))*($L60+$M60))</f>
        <v>0</v>
      </c>
      <c r="AD61" s="1165">
        <f>((SUM(AD60:$AE60))*($L60+$M60))</f>
        <v>0</v>
      </c>
      <c r="AE61" s="1165">
        <f>((SUM(AE60:$AE60))*($L60+$M60))</f>
        <v>0</v>
      </c>
      <c r="AF61" s="1171">
        <f t="shared" si="1"/>
        <v>5378.7358800000002</v>
      </c>
      <c r="AG61" s="83"/>
      <c r="AH61" s="83"/>
    </row>
    <row r="62" spans="1:120" s="317" customFormat="1" x14ac:dyDescent="0.2">
      <c r="A62" s="1264">
        <v>19</v>
      </c>
      <c r="B62" s="21" t="s">
        <v>542</v>
      </c>
      <c r="C62" s="22" t="s">
        <v>644</v>
      </c>
      <c r="D62" s="38" t="s">
        <v>645</v>
      </c>
      <c r="E62" s="398"/>
      <c r="F62" s="56" t="s">
        <v>638</v>
      </c>
      <c r="G62" s="51" t="s">
        <v>643</v>
      </c>
      <c r="H62" s="182"/>
      <c r="I62" s="366">
        <v>697002</v>
      </c>
      <c r="J62" s="182"/>
      <c r="K62" s="23">
        <f>J62/0.702804</f>
        <v>0</v>
      </c>
      <c r="L62" s="58">
        <f>0.101%+$L$7</f>
        <v>1.7590000000000001E-2</v>
      </c>
      <c r="M62" s="39">
        <v>2.5000000000000001E-3</v>
      </c>
      <c r="N62" s="35">
        <v>4</v>
      </c>
      <c r="O62" s="59"/>
      <c r="P62" s="37">
        <v>0</v>
      </c>
      <c r="Q62" s="25"/>
      <c r="R62" s="390"/>
      <c r="S62" s="49" t="s">
        <v>126</v>
      </c>
      <c r="T62" s="399"/>
      <c r="U62" s="57"/>
      <c r="V62" s="57"/>
      <c r="W62" s="57">
        <v>36654</v>
      </c>
      <c r="X62" s="57">
        <f>73372</f>
        <v>73372</v>
      </c>
      <c r="Y62" s="57">
        <v>73372</v>
      </c>
      <c r="Z62" s="57">
        <v>73372</v>
      </c>
      <c r="AA62" s="57">
        <v>73372</v>
      </c>
      <c r="AB62" s="57">
        <v>73372</v>
      </c>
      <c r="AC62" s="57">
        <v>73372</v>
      </c>
      <c r="AD62" s="57">
        <v>73372</v>
      </c>
      <c r="AE62" s="57">
        <f>146744</f>
        <v>146744</v>
      </c>
      <c r="AF62" s="1170">
        <f t="shared" si="1"/>
        <v>660348</v>
      </c>
      <c r="AG62" s="83"/>
      <c r="AH62" s="83"/>
    </row>
    <row r="63" spans="1:120" s="317" customFormat="1" ht="15" thickBot="1" x14ac:dyDescent="0.35">
      <c r="A63" s="1265"/>
      <c r="B63" s="27"/>
      <c r="C63" s="28"/>
      <c r="D63" s="400"/>
      <c r="E63" s="401"/>
      <c r="F63" s="40"/>
      <c r="G63" s="30"/>
      <c r="H63" s="180"/>
      <c r="I63" s="377"/>
      <c r="J63" s="189"/>
      <c r="K63" s="61"/>
      <c r="L63" s="28"/>
      <c r="M63" s="28"/>
      <c r="N63" s="28"/>
      <c r="O63" s="31"/>
      <c r="P63" s="29"/>
      <c r="Q63" s="32"/>
      <c r="R63" s="392"/>
      <c r="S63" s="33" t="s">
        <v>2</v>
      </c>
      <c r="T63" s="402"/>
      <c r="U63" s="34"/>
      <c r="V63" s="34"/>
      <c r="W63" s="1164">
        <f>((SUM(W62:$AE62))*($L62+$M62))</f>
        <v>14002.77018</v>
      </c>
      <c r="X63" s="1164">
        <f>((SUM(X62:$AE62))*($L62+$M62))</f>
        <v>13266.391320000001</v>
      </c>
      <c r="Y63" s="1164">
        <f>((SUM(Y62:$AE62))*($L62+$M62))</f>
        <v>11792.34784</v>
      </c>
      <c r="Z63" s="1164">
        <f>((SUM(Z62:$AE62))*($L62+$M62))</f>
        <v>10318.30436</v>
      </c>
      <c r="AA63" s="1164">
        <f>((SUM(AA62:$AE62))*($L62+$M62))</f>
        <v>8844.2608799999998</v>
      </c>
      <c r="AB63" s="1164">
        <f>((SUM(AB62:$AE62))*($L62+$M62))</f>
        <v>7370.2174000000005</v>
      </c>
      <c r="AC63" s="1164">
        <f>((SUM(AC62:$AE62))*($L62+$M62))</f>
        <v>5896.1739200000002</v>
      </c>
      <c r="AD63" s="1164">
        <f>((SUM(AD62:$AE62))*($L62+$M62))</f>
        <v>4422.1304399999999</v>
      </c>
      <c r="AE63" s="1164">
        <f>((SUM(AE62:$AE62))*($L62+$M62))*4</f>
        <v>11792.34784</v>
      </c>
      <c r="AF63" s="1171">
        <f t="shared" si="1"/>
        <v>73702.173999999999</v>
      </c>
      <c r="AG63" s="83"/>
      <c r="AH63" s="83"/>
    </row>
    <row r="64" spans="1:120" s="42" customFormat="1" ht="12.6" customHeight="1" x14ac:dyDescent="0.2">
      <c r="A64" s="1264">
        <v>20</v>
      </c>
      <c r="B64" s="21" t="s">
        <v>684</v>
      </c>
      <c r="C64" s="22" t="s">
        <v>359</v>
      </c>
      <c r="D64" s="38" t="s">
        <v>349</v>
      </c>
      <c r="E64" s="260"/>
      <c r="F64" s="56" t="s">
        <v>350</v>
      </c>
      <c r="G64" s="51" t="s">
        <v>351</v>
      </c>
      <c r="H64" s="182"/>
      <c r="I64" s="366">
        <f>53218</f>
        <v>53218</v>
      </c>
      <c r="J64" s="182"/>
      <c r="K64" s="23">
        <f>J64/0.702804</f>
        <v>0</v>
      </c>
      <c r="L64" s="58">
        <f>0.101%+$L$7</f>
        <v>1.7590000000000001E-2</v>
      </c>
      <c r="M64" s="39">
        <v>2.5000000000000001E-3</v>
      </c>
      <c r="N64" s="35">
        <v>4</v>
      </c>
      <c r="O64" s="59"/>
      <c r="P64" s="37">
        <v>0</v>
      </c>
      <c r="Q64" s="25"/>
      <c r="R64" s="390"/>
      <c r="S64" s="49" t="s">
        <v>126</v>
      </c>
      <c r="T64" s="57"/>
      <c r="U64" s="57"/>
      <c r="V64" s="57">
        <v>11430</v>
      </c>
      <c r="W64" s="57">
        <v>11448</v>
      </c>
      <c r="X64" s="57">
        <v>11448</v>
      </c>
      <c r="Y64" s="57">
        <v>11448</v>
      </c>
      <c r="Z64" s="57">
        <v>7444</v>
      </c>
      <c r="AA64" s="184">
        <v>0</v>
      </c>
      <c r="AB64" s="184">
        <v>0</v>
      </c>
      <c r="AC64" s="184">
        <v>0</v>
      </c>
      <c r="AD64" s="184">
        <v>0</v>
      </c>
      <c r="AE64" s="184">
        <v>0</v>
      </c>
      <c r="AF64" s="1170">
        <f t="shared" si="1"/>
        <v>30340</v>
      </c>
      <c r="AG64" s="83"/>
      <c r="AH64" s="83"/>
    </row>
    <row r="65" spans="1:34" s="42" customFormat="1" ht="15" thickBot="1" x14ac:dyDescent="0.35">
      <c r="A65" s="1265"/>
      <c r="B65" s="27"/>
      <c r="C65" s="28"/>
      <c r="D65" s="28"/>
      <c r="E65" s="40"/>
      <c r="F65" s="40"/>
      <c r="G65" s="30"/>
      <c r="H65" s="180"/>
      <c r="I65" s="377"/>
      <c r="J65" s="189"/>
      <c r="K65" s="61"/>
      <c r="L65" s="28"/>
      <c r="M65" s="28"/>
      <c r="N65" s="28"/>
      <c r="O65" s="31"/>
      <c r="P65" s="29"/>
      <c r="Q65" s="32"/>
      <c r="R65" s="392"/>
      <c r="S65" s="33" t="s">
        <v>2</v>
      </c>
      <c r="T65" s="34"/>
      <c r="U65" s="34"/>
      <c r="V65" s="1164">
        <f>((SUM(V64:$AE64))*($L64+$M64))</f>
        <v>1069.1496199999999</v>
      </c>
      <c r="W65" s="1164">
        <f>((SUM(W64:$AE64))*($L64+$M64))</f>
        <v>839.52092000000005</v>
      </c>
      <c r="X65" s="1164">
        <f>((SUM(X64:$AE64))*($L64+$M64))</f>
        <v>609.53060000000005</v>
      </c>
      <c r="Y65" s="1164">
        <f>((SUM(Y64:$AE64))*($L64+$M64))</f>
        <v>379.54028</v>
      </c>
      <c r="Z65" s="1164">
        <f>((SUM(Z64:$AE64))*($L64+$M64))</f>
        <v>149.54996</v>
      </c>
      <c r="AA65" s="1165">
        <f>((SUM(AA64:$AE64))*($L64+$M64))</f>
        <v>0</v>
      </c>
      <c r="AB65" s="1165">
        <f>((SUM(AB64:$AE64))*($L64+$M64))</f>
        <v>0</v>
      </c>
      <c r="AC65" s="1165">
        <f>((SUM(AC64:$AE64))*($L64+$M64))</f>
        <v>0</v>
      </c>
      <c r="AD65" s="1165">
        <f>((SUM(AD64:$AE64))*($L64+$M64))</f>
        <v>0</v>
      </c>
      <c r="AE65" s="1165">
        <f>((SUM(AE64:$AE64))*($L64+$M64))</f>
        <v>0</v>
      </c>
      <c r="AF65" s="1171">
        <f t="shared" si="1"/>
        <v>1138.62084</v>
      </c>
      <c r="AG65" s="83"/>
      <c r="AH65" s="83"/>
    </row>
    <row r="66" spans="1:34" s="42" customFormat="1" ht="12.6" customHeight="1" x14ac:dyDescent="0.2">
      <c r="A66" s="1264">
        <v>21</v>
      </c>
      <c r="B66" s="21" t="s">
        <v>715</v>
      </c>
      <c r="C66" s="22" t="s">
        <v>1531</v>
      </c>
      <c r="D66" s="38" t="s">
        <v>1532</v>
      </c>
      <c r="E66" s="260"/>
      <c r="F66" s="56" t="s">
        <v>733</v>
      </c>
      <c r="G66" s="51" t="s">
        <v>734</v>
      </c>
      <c r="H66" s="182"/>
      <c r="I66" s="366">
        <v>496340</v>
      </c>
      <c r="J66" s="182"/>
      <c r="K66" s="23">
        <f>J66/0.702804</f>
        <v>0</v>
      </c>
      <c r="L66" s="58">
        <f>0.101%+$L$7</f>
        <v>1.7590000000000001E-2</v>
      </c>
      <c r="M66" s="39">
        <v>2.5000000000000001E-3</v>
      </c>
      <c r="N66" s="35">
        <v>4</v>
      </c>
      <c r="O66" s="59"/>
      <c r="P66" s="37">
        <v>0</v>
      </c>
      <c r="Q66" s="25"/>
      <c r="R66" s="390"/>
      <c r="S66" s="49" t="s">
        <v>126</v>
      </c>
      <c r="T66" s="57"/>
      <c r="U66" s="57"/>
      <c r="V66" s="57"/>
      <c r="W66" s="57"/>
      <c r="X66" s="57">
        <v>26815</v>
      </c>
      <c r="Y66" s="57">
        <v>47782.7</v>
      </c>
      <c r="Z66" s="57">
        <v>47782.7</v>
      </c>
      <c r="AA66" s="57">
        <v>47782.7</v>
      </c>
      <c r="AB66" s="57">
        <v>47782.7</v>
      </c>
      <c r="AC66" s="57">
        <v>47782.7</v>
      </c>
      <c r="AD66" s="57">
        <v>47782.7</v>
      </c>
      <c r="AE66" s="57">
        <v>182828.79999999999</v>
      </c>
      <c r="AF66" s="1170">
        <f t="shared" si="1"/>
        <v>496340</v>
      </c>
      <c r="AG66" s="83"/>
      <c r="AH66" s="83"/>
    </row>
    <row r="67" spans="1:34" s="42" customFormat="1" ht="15" thickBot="1" x14ac:dyDescent="0.35">
      <c r="A67" s="1265"/>
      <c r="B67" s="27" t="s">
        <v>716</v>
      </c>
      <c r="C67" s="28"/>
      <c r="D67" s="28" t="s">
        <v>1533</v>
      </c>
      <c r="E67" s="40"/>
      <c r="F67" s="40"/>
      <c r="G67" s="30"/>
      <c r="H67" s="180"/>
      <c r="I67" s="377"/>
      <c r="J67" s="189"/>
      <c r="K67" s="61"/>
      <c r="L67" s="28"/>
      <c r="M67" s="28"/>
      <c r="N67" s="28"/>
      <c r="O67" s="31"/>
      <c r="P67" s="29"/>
      <c r="Q67" s="32"/>
      <c r="R67" s="392"/>
      <c r="S67" s="33" t="s">
        <v>2</v>
      </c>
      <c r="T67" s="34"/>
      <c r="U67" s="34"/>
      <c r="V67" s="34"/>
      <c r="W67" s="34"/>
      <c r="X67" s="1164">
        <f>((SUM(X66:$AE66))*($L66+$M66))</f>
        <v>9971.4706000000006</v>
      </c>
      <c r="Y67" s="1164">
        <f>((SUM(Y66:$AE66))*($L66+$M66))</f>
        <v>9432.7572500000006</v>
      </c>
      <c r="Z67" s="1164">
        <f>((SUM(Z66:$AE66))*($L66+$M66))</f>
        <v>8472.802807</v>
      </c>
      <c r="AA67" s="1164">
        <f>((SUM(AA66:$AE66))*($L66+$M66))</f>
        <v>7512.8483639999995</v>
      </c>
      <c r="AB67" s="1164">
        <f>((SUM(AB66:$AE66))*($L66+$M66))</f>
        <v>6552.893920999999</v>
      </c>
      <c r="AC67" s="1164">
        <f>((SUM(AC66:$AE66))*($L66+$M66))</f>
        <v>5592.9394779999993</v>
      </c>
      <c r="AD67" s="1164">
        <f>((SUM(AD66:$AE66))*($L66+$M66))</f>
        <v>4632.9850349999997</v>
      </c>
      <c r="AE67" s="1164">
        <f>((SUM(AE66:$AE66))*($L66+$M66))*3</f>
        <v>11019.091775999999</v>
      </c>
      <c r="AF67" s="1171">
        <f t="shared" si="1"/>
        <v>63187.789230999995</v>
      </c>
      <c r="AG67" s="83"/>
      <c r="AH67" s="83"/>
    </row>
    <row r="68" spans="1:34" s="42" customFormat="1" ht="12.6" customHeight="1" x14ac:dyDescent="0.2">
      <c r="A68" s="1264">
        <v>22</v>
      </c>
      <c r="B68" s="21" t="s">
        <v>687</v>
      </c>
      <c r="C68" s="22" t="s">
        <v>725</v>
      </c>
      <c r="D68" s="38" t="s">
        <v>726</v>
      </c>
      <c r="E68" s="260"/>
      <c r="F68" s="56" t="s">
        <v>727</v>
      </c>
      <c r="G68" s="51" t="s">
        <v>728</v>
      </c>
      <c r="H68" s="182"/>
      <c r="I68" s="366">
        <v>96800</v>
      </c>
      <c r="J68" s="182"/>
      <c r="K68" s="23">
        <f>J68/0.702804</f>
        <v>0</v>
      </c>
      <c r="L68" s="58">
        <f>0.101%+$L$7</f>
        <v>1.7590000000000001E-2</v>
      </c>
      <c r="M68" s="39">
        <v>2.5000000000000001E-3</v>
      </c>
      <c r="N68" s="35">
        <v>4</v>
      </c>
      <c r="O68" s="59"/>
      <c r="P68" s="37">
        <v>0</v>
      </c>
      <c r="Q68" s="25"/>
      <c r="R68" s="390"/>
      <c r="S68" s="49" t="s">
        <v>126</v>
      </c>
      <c r="T68" s="57"/>
      <c r="U68" s="57"/>
      <c r="V68" s="57"/>
      <c r="W68" s="57"/>
      <c r="X68" s="57">
        <v>20375</v>
      </c>
      <c r="Y68" s="57">
        <v>20380</v>
      </c>
      <c r="Z68" s="57">
        <v>20380</v>
      </c>
      <c r="AA68" s="57">
        <v>20380</v>
      </c>
      <c r="AB68" s="57">
        <v>15285</v>
      </c>
      <c r="AC68" s="184">
        <v>0</v>
      </c>
      <c r="AD68" s="184">
        <v>0</v>
      </c>
      <c r="AE68" s="184">
        <v>0</v>
      </c>
      <c r="AF68" s="1170">
        <f t="shared" si="1"/>
        <v>96800</v>
      </c>
      <c r="AG68" s="83"/>
      <c r="AH68" s="83"/>
    </row>
    <row r="69" spans="1:34" s="42" customFormat="1" ht="15" thickBot="1" x14ac:dyDescent="0.35">
      <c r="A69" s="1265"/>
      <c r="B69" s="27" t="s">
        <v>688</v>
      </c>
      <c r="C69" s="28"/>
      <c r="D69" s="28"/>
      <c r="E69" s="40"/>
      <c r="F69" s="40"/>
      <c r="G69" s="30"/>
      <c r="H69" s="180"/>
      <c r="I69" s="377"/>
      <c r="J69" s="189"/>
      <c r="K69" s="61"/>
      <c r="L69" s="28"/>
      <c r="M69" s="28"/>
      <c r="N69" s="28"/>
      <c r="O69" s="31"/>
      <c r="P69" s="29"/>
      <c r="Q69" s="32"/>
      <c r="R69" s="392"/>
      <c r="S69" s="33" t="s">
        <v>2</v>
      </c>
      <c r="T69" s="34"/>
      <c r="U69" s="34"/>
      <c r="V69" s="34"/>
      <c r="W69" s="34"/>
      <c r="X69" s="1164">
        <f>((SUM(X68:$AE68))*($L68+$M68))</f>
        <v>1944.712</v>
      </c>
      <c r="Y69" s="1164">
        <f>((SUM(Y68:$AE68))*($L68+$M68))</f>
        <v>1535.37825</v>
      </c>
      <c r="Z69" s="1164">
        <f>((SUM(Z68:$AE68))*($L68+$M68))</f>
        <v>1125.9440500000001</v>
      </c>
      <c r="AA69" s="1164">
        <f>((SUM(AA68:$AE68))*($L68+$M68))</f>
        <v>716.50985000000003</v>
      </c>
      <c r="AB69" s="1164">
        <f>((SUM(AB68:$AE68))*($L68+$M68))</f>
        <v>307.07565</v>
      </c>
      <c r="AC69" s="1165">
        <f>((SUM(AC68:$AE68))*($L68+$M68))</f>
        <v>0</v>
      </c>
      <c r="AD69" s="1165">
        <f>((SUM(AD68:$AE68))*($L68+$M68))</f>
        <v>0</v>
      </c>
      <c r="AE69" s="1165">
        <f>((SUM(AE68:$AE68))*($L68+$M68))</f>
        <v>0</v>
      </c>
      <c r="AF69" s="1171">
        <f t="shared" si="1"/>
        <v>5629.6198000000004</v>
      </c>
      <c r="AG69" s="83"/>
      <c r="AH69" s="83"/>
    </row>
    <row r="70" spans="1:34" s="42" customFormat="1" ht="13.2" customHeight="1" x14ac:dyDescent="0.2">
      <c r="A70" s="1162">
        <v>23</v>
      </c>
      <c r="B70" s="1540" t="s">
        <v>407</v>
      </c>
      <c r="C70" s="1534" t="s">
        <v>456</v>
      </c>
      <c r="D70" s="1546" t="s">
        <v>455</v>
      </c>
      <c r="E70" s="260"/>
      <c r="F70" s="1557" t="s">
        <v>408</v>
      </c>
      <c r="G70" s="1555" t="s">
        <v>519</v>
      </c>
      <c r="H70" s="182"/>
      <c r="I70" s="1536">
        <v>5678344.2000000002</v>
      </c>
      <c r="J70" s="182"/>
      <c r="K70" s="23"/>
      <c r="L70" s="58">
        <f>$L$7</f>
        <v>1.6580000000000001E-2</v>
      </c>
      <c r="M70" s="39">
        <f>$M$7</f>
        <v>2.5000000000000001E-3</v>
      </c>
      <c r="N70" s="35"/>
      <c r="O70" s="59"/>
      <c r="P70" s="37"/>
      <c r="Q70" s="25"/>
      <c r="R70" s="390"/>
      <c r="S70" s="49" t="s">
        <v>126</v>
      </c>
      <c r="T70" s="57">
        <v>3976000</v>
      </c>
      <c r="U70" s="57"/>
      <c r="V70" s="57">
        <v>552592</v>
      </c>
      <c r="W70" s="57">
        <v>508856</v>
      </c>
      <c r="X70" s="57">
        <v>434960</v>
      </c>
      <c r="Y70" s="57">
        <v>395316</v>
      </c>
      <c r="Z70" s="57">
        <v>363420</v>
      </c>
      <c r="AA70" s="57">
        <v>344336</v>
      </c>
      <c r="AB70" s="57">
        <v>314856</v>
      </c>
      <c r="AC70" s="57">
        <v>305080</v>
      </c>
      <c r="AD70" s="57">
        <v>279984</v>
      </c>
      <c r="AE70" s="57">
        <v>1029192</v>
      </c>
      <c r="AF70" s="1268">
        <f t="shared" si="1"/>
        <v>3467144</v>
      </c>
      <c r="AG70" s="83"/>
      <c r="AH70" s="83"/>
    </row>
    <row r="71" spans="1:34" s="42" customFormat="1" ht="15" thickBot="1" x14ac:dyDescent="0.35">
      <c r="A71" s="1163"/>
      <c r="B71" s="1550"/>
      <c r="C71" s="1535"/>
      <c r="D71" s="1539"/>
      <c r="E71" s="40"/>
      <c r="F71" s="1535"/>
      <c r="G71" s="1535"/>
      <c r="H71" s="180"/>
      <c r="I71" s="1560"/>
      <c r="J71" s="189"/>
      <c r="K71" s="61"/>
      <c r="L71" s="28"/>
      <c r="M71" s="28"/>
      <c r="N71" s="28"/>
      <c r="O71" s="31"/>
      <c r="P71" s="29"/>
      <c r="Q71" s="32"/>
      <c r="R71" s="392"/>
      <c r="S71" s="33" t="s">
        <v>2</v>
      </c>
      <c r="T71" s="34"/>
      <c r="U71" s="34"/>
      <c r="V71" s="1164">
        <v>6000</v>
      </c>
      <c r="W71" s="1164">
        <v>9940</v>
      </c>
      <c r="X71" s="1164">
        <f>((SUM(X70:$AE70))*($L70+$M70))</f>
        <v>66153.107520000005</v>
      </c>
      <c r="Y71" s="1164">
        <f>((SUM(Y70:$AE70))*($L70+$M70))</f>
        <v>57854.070719999996</v>
      </c>
      <c r="Z71" s="1164">
        <f>((SUM(Z70:$AE70))*($L70+$M70))</f>
        <v>50311.441440000002</v>
      </c>
      <c r="AA71" s="1164">
        <f>((SUM(AA70:$AE70))*($L70+$M70))</f>
        <v>43377.387839999996</v>
      </c>
      <c r="AB71" s="1164">
        <f>((SUM(AB70:$AE70))*($L70+$M70))</f>
        <v>36807.456959999996</v>
      </c>
      <c r="AC71" s="1164">
        <f>((SUM(AC70:$AE70))*($L70+$M70))</f>
        <v>30800.00448</v>
      </c>
      <c r="AD71" s="1164">
        <f>((SUM(AD70:$AE70))*($L70+$M70))</f>
        <v>24979.078079999999</v>
      </c>
      <c r="AE71" s="1164">
        <f>((SUM(AE70:$AE70))*($L70+$M70))*6</f>
        <v>117821.90015999999</v>
      </c>
      <c r="AF71" s="1269">
        <f t="shared" si="1"/>
        <v>428104.44719999994</v>
      </c>
      <c r="AG71" s="83"/>
      <c r="AH71" s="83"/>
    </row>
    <row r="72" spans="1:34" s="42" customFormat="1" ht="13.2" customHeight="1" x14ac:dyDescent="0.2">
      <c r="A72" s="1162">
        <v>24</v>
      </c>
      <c r="B72" s="1551" t="s">
        <v>409</v>
      </c>
      <c r="C72" s="1546" t="s">
        <v>458</v>
      </c>
      <c r="D72" s="1546" t="s">
        <v>457</v>
      </c>
      <c r="E72" s="260"/>
      <c r="F72" s="1556" t="s">
        <v>410</v>
      </c>
      <c r="G72" s="1546" t="s">
        <v>520</v>
      </c>
      <c r="H72" s="182"/>
      <c r="I72" s="1536">
        <v>2075409</v>
      </c>
      <c r="J72" s="182"/>
      <c r="K72" s="23"/>
      <c r="L72" s="58">
        <f>$L$7</f>
        <v>1.6580000000000001E-2</v>
      </c>
      <c r="M72" s="39">
        <f>$M$7</f>
        <v>2.5000000000000001E-3</v>
      </c>
      <c r="N72" s="35"/>
      <c r="O72" s="59"/>
      <c r="P72" s="37"/>
      <c r="Q72" s="25"/>
      <c r="R72" s="390"/>
      <c r="S72" s="49" t="s">
        <v>126</v>
      </c>
      <c r="T72" s="57">
        <v>1809890</v>
      </c>
      <c r="U72" s="57"/>
      <c r="V72" s="57">
        <v>265519</v>
      </c>
      <c r="W72" s="57">
        <v>248648</v>
      </c>
      <c r="X72" s="57">
        <v>150040</v>
      </c>
      <c r="Y72" s="57">
        <v>128252</v>
      </c>
      <c r="Z72" s="57">
        <v>123200</v>
      </c>
      <c r="AA72" s="57">
        <v>121648</v>
      </c>
      <c r="AB72" s="57">
        <v>117000</v>
      </c>
      <c r="AC72" s="57">
        <v>117000</v>
      </c>
      <c r="AD72" s="57">
        <v>117000</v>
      </c>
      <c r="AE72" s="57">
        <v>687102</v>
      </c>
      <c r="AF72" s="1268">
        <f t="shared" si="1"/>
        <v>1561242</v>
      </c>
      <c r="AG72" s="83"/>
      <c r="AH72" s="83"/>
    </row>
    <row r="73" spans="1:34" s="42" customFormat="1" ht="15" thickBot="1" x14ac:dyDescent="0.35">
      <c r="A73" s="1163"/>
      <c r="B73" s="1552"/>
      <c r="C73" s="1547"/>
      <c r="D73" s="1547"/>
      <c r="E73" s="40"/>
      <c r="F73" s="1549"/>
      <c r="G73" s="1547"/>
      <c r="H73" s="180"/>
      <c r="I73" s="1560"/>
      <c r="J73" s="189"/>
      <c r="K73" s="61"/>
      <c r="L73" s="28"/>
      <c r="M73" s="28"/>
      <c r="N73" s="28"/>
      <c r="O73" s="31"/>
      <c r="P73" s="29"/>
      <c r="Q73" s="32"/>
      <c r="R73" s="392"/>
      <c r="S73" s="33" t="s">
        <v>2</v>
      </c>
      <c r="T73" s="34"/>
      <c r="U73" s="34"/>
      <c r="V73" s="1164">
        <v>5500</v>
      </c>
      <c r="W73" s="1164">
        <v>4524.7250000000004</v>
      </c>
      <c r="X73" s="1164">
        <f>((SUM(X72:$AE72))*($L72+$M72))</f>
        <v>29788.497360000001</v>
      </c>
      <c r="Y73" s="1164">
        <f>((SUM(Y72:$AE72))*($L72+$M72))</f>
        <v>26925.73416</v>
      </c>
      <c r="Z73" s="1164">
        <f>((SUM(Z72:$AE72))*($L72+$M72))</f>
        <v>24478.685999999998</v>
      </c>
      <c r="AA73" s="1164">
        <f>((SUM(AA72:$AE72))*($L72+$M72))</f>
        <v>22128.03</v>
      </c>
      <c r="AB73" s="1164">
        <f>((SUM(AB72:$AE72))*($L72+$M72))</f>
        <v>19806.98616</v>
      </c>
      <c r="AC73" s="1164">
        <f>((SUM(AC72:$AE72))*($L72+$M72))</f>
        <v>17574.62616</v>
      </c>
      <c r="AD73" s="1164">
        <f>((SUM(AD72:$AE72))*($L72+$M72))</f>
        <v>15342.266159999999</v>
      </c>
      <c r="AE73" s="1164">
        <f>((SUM(AE72:$AE72))*($L72+$M72))*8.5</f>
        <v>111434.20236000001</v>
      </c>
      <c r="AF73" s="1269">
        <f t="shared" si="1"/>
        <v>267479.02836</v>
      </c>
      <c r="AG73" s="83"/>
      <c r="AH73" s="83"/>
    </row>
    <row r="74" spans="1:34" s="42" customFormat="1" ht="13.2" customHeight="1" x14ac:dyDescent="0.2">
      <c r="A74" s="1162">
        <v>25</v>
      </c>
      <c r="B74" s="1540" t="s">
        <v>411</v>
      </c>
      <c r="C74" s="1546" t="s">
        <v>460</v>
      </c>
      <c r="D74" s="1546" t="s">
        <v>459</v>
      </c>
      <c r="E74" s="260"/>
      <c r="F74" s="1548" t="s">
        <v>412</v>
      </c>
      <c r="G74" s="1534" t="s">
        <v>521</v>
      </c>
      <c r="H74" s="182"/>
      <c r="I74" s="1536">
        <v>484935.32</v>
      </c>
      <c r="J74" s="182"/>
      <c r="K74" s="23"/>
      <c r="L74" s="58">
        <f>$L$7</f>
        <v>1.6580000000000001E-2</v>
      </c>
      <c r="M74" s="39">
        <f>$M$7</f>
        <v>2.5000000000000001E-3</v>
      </c>
      <c r="N74" s="35"/>
      <c r="O74" s="59"/>
      <c r="P74" s="37"/>
      <c r="Q74" s="25"/>
      <c r="R74" s="390"/>
      <c r="S74" s="49" t="s">
        <v>126</v>
      </c>
      <c r="T74" s="57">
        <v>330070</v>
      </c>
      <c r="U74" s="57"/>
      <c r="V74" s="57">
        <v>20312</v>
      </c>
      <c r="W74" s="57">
        <v>20312</v>
      </c>
      <c r="X74" s="57">
        <v>20312</v>
      </c>
      <c r="Y74" s="57">
        <v>20312</v>
      </c>
      <c r="Z74" s="57">
        <v>20312</v>
      </c>
      <c r="AA74" s="57">
        <v>20312</v>
      </c>
      <c r="AB74" s="57">
        <v>20312</v>
      </c>
      <c r="AC74" s="57">
        <v>20312</v>
      </c>
      <c r="AD74" s="57">
        <v>20312</v>
      </c>
      <c r="AE74" s="57">
        <v>167574</v>
      </c>
      <c r="AF74" s="1268">
        <f t="shared" si="1"/>
        <v>309758</v>
      </c>
      <c r="AG74" s="83"/>
      <c r="AH74" s="83"/>
    </row>
    <row r="75" spans="1:34" s="42" customFormat="1" ht="15" thickBot="1" x14ac:dyDescent="0.35">
      <c r="A75" s="1163"/>
      <c r="B75" s="1541"/>
      <c r="C75" s="1547"/>
      <c r="D75" s="1547"/>
      <c r="E75" s="40"/>
      <c r="F75" s="1549"/>
      <c r="G75" s="1535"/>
      <c r="H75" s="180"/>
      <c r="I75" s="1560"/>
      <c r="J75" s="189"/>
      <c r="K75" s="61"/>
      <c r="L75" s="28"/>
      <c r="M75" s="28"/>
      <c r="N75" s="28"/>
      <c r="O75" s="31"/>
      <c r="P75" s="29"/>
      <c r="Q75" s="32"/>
      <c r="R75" s="392"/>
      <c r="S75" s="33" t="s">
        <v>2</v>
      </c>
      <c r="T75" s="34"/>
      <c r="U75" s="34"/>
      <c r="V75" s="1164">
        <v>1000</v>
      </c>
      <c r="W75" s="1164">
        <v>841.6785000000001</v>
      </c>
      <c r="X75" s="1164">
        <f>((SUM(X74:$AE74))*($L74+$M74))</f>
        <v>5910.18264</v>
      </c>
      <c r="Y75" s="1164">
        <f>((SUM(Y74:$AE74))*($L74+$M74))</f>
        <v>5522.62968</v>
      </c>
      <c r="Z75" s="1164">
        <f>((SUM(Z74:$AE74))*($L74+$M74))</f>
        <v>5135.07672</v>
      </c>
      <c r="AA75" s="1164">
        <f>((SUM(AA74:$AE74))*($L74+$M74))</f>
        <v>4747.52376</v>
      </c>
      <c r="AB75" s="1164">
        <f>((SUM(AB74:$AE74))*($L74+$M74))</f>
        <v>4359.9708000000001</v>
      </c>
      <c r="AC75" s="1164">
        <f>((SUM(AC74:$AE74))*($L74+$M74))</f>
        <v>3972.4178400000001</v>
      </c>
      <c r="AD75" s="1164">
        <f>((SUM(AD74:$AE74))*($L74+$M74))</f>
        <v>3584.8648800000001</v>
      </c>
      <c r="AE75" s="1164">
        <f>((SUM(AE74:$AE74))*($L74+$M74))*8.3</f>
        <v>26537.688936000002</v>
      </c>
      <c r="AF75" s="1269">
        <f t="shared" si="1"/>
        <v>59770.35525600001</v>
      </c>
      <c r="AG75" s="83"/>
      <c r="AH75" s="83"/>
    </row>
    <row r="76" spans="1:34" s="42" customFormat="1" ht="13.2" customHeight="1" x14ac:dyDescent="0.2">
      <c r="A76" s="1162">
        <v>26</v>
      </c>
      <c r="B76" s="1540" t="s">
        <v>413</v>
      </c>
      <c r="C76" s="1546" t="s">
        <v>462</v>
      </c>
      <c r="D76" s="1546" t="s">
        <v>461</v>
      </c>
      <c r="E76" s="260"/>
      <c r="F76" s="1548" t="s">
        <v>414</v>
      </c>
      <c r="G76" s="1534" t="s">
        <v>522</v>
      </c>
      <c r="H76" s="182"/>
      <c r="I76" s="1536">
        <v>55899</v>
      </c>
      <c r="J76" s="182"/>
      <c r="K76" s="23"/>
      <c r="L76" s="58">
        <f>$L$7</f>
        <v>1.6580000000000001E-2</v>
      </c>
      <c r="M76" s="39">
        <f>$M$7</f>
        <v>2.5000000000000001E-3</v>
      </c>
      <c r="N76" s="35"/>
      <c r="O76" s="59"/>
      <c r="P76" s="37"/>
      <c r="Q76" s="25"/>
      <c r="R76" s="390"/>
      <c r="S76" s="49" t="s">
        <v>126</v>
      </c>
      <c r="T76" s="57">
        <v>31304</v>
      </c>
      <c r="U76" s="57"/>
      <c r="V76" s="57">
        <v>8944</v>
      </c>
      <c r="W76" s="57">
        <v>8944</v>
      </c>
      <c r="X76" s="57">
        <v>8944</v>
      </c>
      <c r="Y76" s="57">
        <v>8944</v>
      </c>
      <c r="Z76" s="57">
        <v>4472</v>
      </c>
      <c r="AA76" s="184">
        <v>0</v>
      </c>
      <c r="AB76" s="184">
        <v>0</v>
      </c>
      <c r="AC76" s="184">
        <v>0</v>
      </c>
      <c r="AD76" s="184">
        <v>0</v>
      </c>
      <c r="AE76" s="184">
        <v>0</v>
      </c>
      <c r="AF76" s="1268">
        <f t="shared" ref="AF76:AF107" si="2">SUM(X76:AE76)</f>
        <v>22360</v>
      </c>
      <c r="AG76" s="83"/>
      <c r="AH76" s="83"/>
    </row>
    <row r="77" spans="1:34" s="42" customFormat="1" ht="15" thickBot="1" x14ac:dyDescent="0.35">
      <c r="A77" s="1163"/>
      <c r="B77" s="1541"/>
      <c r="C77" s="1547"/>
      <c r="D77" s="1547"/>
      <c r="E77" s="40"/>
      <c r="F77" s="1549"/>
      <c r="G77" s="1535"/>
      <c r="H77" s="180"/>
      <c r="I77" s="1560"/>
      <c r="J77" s="189"/>
      <c r="K77" s="61"/>
      <c r="L77" s="28"/>
      <c r="M77" s="28"/>
      <c r="N77" s="28"/>
      <c r="O77" s="31"/>
      <c r="P77" s="29"/>
      <c r="Q77" s="32"/>
      <c r="R77" s="392"/>
      <c r="S77" s="33" t="s">
        <v>2</v>
      </c>
      <c r="T77" s="34"/>
      <c r="U77" s="34"/>
      <c r="V77" s="1164">
        <v>120</v>
      </c>
      <c r="W77" s="1164">
        <v>79.825200000000009</v>
      </c>
      <c r="X77" s="1164">
        <f>((SUM(X76:$AE76))*($L76+$M76))</f>
        <v>426.62880000000001</v>
      </c>
      <c r="Y77" s="1164">
        <f>((SUM(Y76:$AE76))*($L76+$M76))</f>
        <v>255.97728000000001</v>
      </c>
      <c r="Z77" s="1164">
        <f>((SUM(Z76:$AE76))*($L76+$M76))</f>
        <v>85.325760000000002</v>
      </c>
      <c r="AA77" s="1165">
        <f>((SUM(AA76:$AE76))*($L76+$M76))</f>
        <v>0</v>
      </c>
      <c r="AB77" s="1165">
        <f>((SUM(AB76:$AE76))*($L76+$M76))</f>
        <v>0</v>
      </c>
      <c r="AC77" s="1165">
        <f>((SUM(AC76:$AE76))*($L76+$M76))</f>
        <v>0</v>
      </c>
      <c r="AD77" s="1165">
        <f>((SUM(AD76:$AE76))*($L76+$M76))</f>
        <v>0</v>
      </c>
      <c r="AE77" s="1165">
        <f>((SUM(AE76:$AE76))*($L76+$M76))</f>
        <v>0</v>
      </c>
      <c r="AF77" s="1269">
        <f t="shared" si="2"/>
        <v>767.93183999999997</v>
      </c>
      <c r="AG77" s="83"/>
      <c r="AH77" s="83"/>
    </row>
    <row r="78" spans="1:34" s="42" customFormat="1" ht="13.2" customHeight="1" x14ac:dyDescent="0.2">
      <c r="A78" s="1162">
        <v>27</v>
      </c>
      <c r="B78" s="1540" t="s">
        <v>415</v>
      </c>
      <c r="C78" s="1546" t="s">
        <v>464</v>
      </c>
      <c r="D78" s="1546" t="s">
        <v>463</v>
      </c>
      <c r="E78" s="260"/>
      <c r="F78" s="1534" t="s">
        <v>414</v>
      </c>
      <c r="G78" s="1534" t="s">
        <v>523</v>
      </c>
      <c r="H78" s="182"/>
      <c r="I78" s="1561">
        <v>8518.4</v>
      </c>
      <c r="J78" s="182"/>
      <c r="K78" s="23"/>
      <c r="L78" s="58">
        <f>$L$7</f>
        <v>1.6580000000000001E-2</v>
      </c>
      <c r="M78" s="39">
        <f>$M$7</f>
        <v>2.5000000000000001E-3</v>
      </c>
      <c r="N78" s="35"/>
      <c r="O78" s="59"/>
      <c r="P78" s="37"/>
      <c r="Q78" s="25"/>
      <c r="R78" s="390"/>
      <c r="S78" s="49" t="s">
        <v>126</v>
      </c>
      <c r="T78" s="57">
        <v>2844</v>
      </c>
      <c r="U78" s="57"/>
      <c r="V78" s="57">
        <v>1896</v>
      </c>
      <c r="W78" s="57">
        <v>1896</v>
      </c>
      <c r="X78" s="57">
        <v>948</v>
      </c>
      <c r="Y78" s="184">
        <v>0</v>
      </c>
      <c r="Z78" s="184">
        <v>0</v>
      </c>
      <c r="AA78" s="184">
        <v>0</v>
      </c>
      <c r="AB78" s="184">
        <v>0</v>
      </c>
      <c r="AC78" s="184">
        <v>0</v>
      </c>
      <c r="AD78" s="184">
        <v>0</v>
      </c>
      <c r="AE78" s="184">
        <v>0</v>
      </c>
      <c r="AF78" s="1268">
        <f t="shared" si="2"/>
        <v>948</v>
      </c>
      <c r="AG78" s="83"/>
      <c r="AH78" s="83"/>
    </row>
    <row r="79" spans="1:34" s="42" customFormat="1" ht="15" thickBot="1" x14ac:dyDescent="0.35">
      <c r="A79" s="1163"/>
      <c r="B79" s="1545"/>
      <c r="C79" s="1547"/>
      <c r="D79" s="1547"/>
      <c r="E79" s="40"/>
      <c r="F79" s="1539"/>
      <c r="G79" s="1535"/>
      <c r="H79" s="180"/>
      <c r="I79" s="1560"/>
      <c r="J79" s="189"/>
      <c r="K79" s="61"/>
      <c r="L79" s="28"/>
      <c r="M79" s="28"/>
      <c r="N79" s="28"/>
      <c r="O79" s="31"/>
      <c r="P79" s="29"/>
      <c r="Q79" s="32"/>
      <c r="R79" s="392"/>
      <c r="S79" s="33" t="s">
        <v>2</v>
      </c>
      <c r="T79" s="34"/>
      <c r="U79" s="34"/>
      <c r="V79" s="1164">
        <v>125</v>
      </c>
      <c r="W79" s="1164">
        <v>7.2522000000000002</v>
      </c>
      <c r="X79" s="1164">
        <f>((SUM(X78:$AE78))*($L78+$M78))</f>
        <v>18.08784</v>
      </c>
      <c r="Y79" s="1165">
        <f>((SUM(Y78:$AE78))*($L78+$M78))</f>
        <v>0</v>
      </c>
      <c r="Z79" s="1165">
        <f>((SUM(Z78:$AE78))*($L78+$M78))</f>
        <v>0</v>
      </c>
      <c r="AA79" s="1165">
        <f>((SUM(AA78:$AE78))*($L78+$M78))</f>
        <v>0</v>
      </c>
      <c r="AB79" s="1165">
        <f>((SUM(AB78:$AE78))*($L78+$M78))</f>
        <v>0</v>
      </c>
      <c r="AC79" s="1165">
        <f>((SUM(AC78:$AE78))*($L78+$M78))</f>
        <v>0</v>
      </c>
      <c r="AD79" s="1165">
        <f>((SUM(AD78:$AE78))*($L78+$M78))</f>
        <v>0</v>
      </c>
      <c r="AE79" s="1165">
        <f>((SUM(AE78:$AE78))*($L78+$M78))</f>
        <v>0</v>
      </c>
      <c r="AF79" s="1269">
        <f t="shared" si="2"/>
        <v>18.08784</v>
      </c>
      <c r="AG79" s="83"/>
      <c r="AH79" s="83"/>
    </row>
    <row r="80" spans="1:34" s="42" customFormat="1" ht="13.2" customHeight="1" x14ac:dyDescent="0.2">
      <c r="A80" s="1162">
        <v>28</v>
      </c>
      <c r="B80" s="1540" t="s">
        <v>416</v>
      </c>
      <c r="C80" s="1546" t="s">
        <v>466</v>
      </c>
      <c r="D80" s="1546" t="s">
        <v>465</v>
      </c>
      <c r="E80" s="260"/>
      <c r="F80" s="1548" t="s">
        <v>414</v>
      </c>
      <c r="G80" s="1534" t="s">
        <v>524</v>
      </c>
      <c r="H80" s="182"/>
      <c r="I80" s="1536">
        <v>238897.15</v>
      </c>
      <c r="J80" s="182"/>
      <c r="K80" s="23"/>
      <c r="L80" s="58">
        <f>$L$7</f>
        <v>1.6580000000000001E-2</v>
      </c>
      <c r="M80" s="39">
        <f>$M$7</f>
        <v>2.5000000000000001E-3</v>
      </c>
      <c r="N80" s="35"/>
      <c r="O80" s="59"/>
      <c r="P80" s="37"/>
      <c r="Q80" s="25"/>
      <c r="R80" s="390"/>
      <c r="S80" s="49" t="s">
        <v>126</v>
      </c>
      <c r="T80" s="57">
        <v>174900</v>
      </c>
      <c r="U80" s="57"/>
      <c r="V80" s="57">
        <v>10600</v>
      </c>
      <c r="W80" s="57">
        <v>10600</v>
      </c>
      <c r="X80" s="57">
        <v>10600</v>
      </c>
      <c r="Y80" s="57">
        <v>10600</v>
      </c>
      <c r="Z80" s="57">
        <v>10600</v>
      </c>
      <c r="AA80" s="57">
        <v>10600</v>
      </c>
      <c r="AB80" s="57">
        <v>10600</v>
      </c>
      <c r="AC80" s="57">
        <v>10600</v>
      </c>
      <c r="AD80" s="57">
        <v>10600</v>
      </c>
      <c r="AE80" s="57">
        <v>90100</v>
      </c>
      <c r="AF80" s="1268">
        <f t="shared" si="2"/>
        <v>164300</v>
      </c>
      <c r="AG80" s="83"/>
      <c r="AH80" s="83"/>
    </row>
    <row r="81" spans="1:34" s="42" customFormat="1" ht="15" thickBot="1" x14ac:dyDescent="0.35">
      <c r="A81" s="1163"/>
      <c r="B81" s="1541"/>
      <c r="C81" s="1547"/>
      <c r="D81" s="1547"/>
      <c r="E81" s="40"/>
      <c r="F81" s="1549"/>
      <c r="G81" s="1535"/>
      <c r="H81" s="180"/>
      <c r="I81" s="1560"/>
      <c r="J81" s="189"/>
      <c r="K81" s="61"/>
      <c r="L81" s="28"/>
      <c r="M81" s="28"/>
      <c r="N81" s="28"/>
      <c r="O81" s="31"/>
      <c r="P81" s="29"/>
      <c r="Q81" s="32"/>
      <c r="R81" s="392"/>
      <c r="S81" s="33" t="s">
        <v>2</v>
      </c>
      <c r="T81" s="34"/>
      <c r="U81" s="34"/>
      <c r="V81" s="1164">
        <v>1000</v>
      </c>
      <c r="W81" s="1164">
        <v>445.995</v>
      </c>
      <c r="X81" s="1164">
        <f>((SUM(X80:$AE80))*($L80+$M80))</f>
        <v>3134.8440000000001</v>
      </c>
      <c r="Y81" s="1164">
        <f>((SUM(Y80:$AE80))*($L80+$M80))</f>
        <v>2932.596</v>
      </c>
      <c r="Z81" s="1164">
        <f>((SUM(Z80:$AE80))*($L80+$M80))</f>
        <v>2730.348</v>
      </c>
      <c r="AA81" s="1164">
        <f>((SUM(AA80:$AE80))*($L80+$M80))</f>
        <v>2528.1</v>
      </c>
      <c r="AB81" s="1164">
        <f>((SUM(AB80:$AE80))*($L80+$M80))</f>
        <v>2325.8519999999999</v>
      </c>
      <c r="AC81" s="1164">
        <f>((SUM(AC80:$AE80))*($L80+$M80))</f>
        <v>2123.6039999999998</v>
      </c>
      <c r="AD81" s="1164">
        <f>((SUM(AD80:$AE80))*($L80+$M80))</f>
        <v>1921.356</v>
      </c>
      <c r="AE81" s="1164">
        <f>((SUM(AE80:$AE80))*($L80+$M80))*8.5</f>
        <v>14612.418</v>
      </c>
      <c r="AF81" s="1269">
        <f t="shared" si="2"/>
        <v>32309.118000000002</v>
      </c>
      <c r="AG81" s="83"/>
      <c r="AH81" s="83"/>
    </row>
    <row r="82" spans="1:34" s="42" customFormat="1" ht="13.2" customHeight="1" x14ac:dyDescent="0.2">
      <c r="A82" s="1162">
        <v>29</v>
      </c>
      <c r="B82" s="1540" t="s">
        <v>417</v>
      </c>
      <c r="C82" s="1546" t="s">
        <v>468</v>
      </c>
      <c r="D82" s="1546" t="s">
        <v>467</v>
      </c>
      <c r="E82" s="260"/>
      <c r="F82" s="1548" t="s">
        <v>414</v>
      </c>
      <c r="G82" s="1534" t="s">
        <v>525</v>
      </c>
      <c r="H82" s="182"/>
      <c r="I82" s="1536">
        <v>49472</v>
      </c>
      <c r="J82" s="182"/>
      <c r="K82" s="23"/>
      <c r="L82" s="58">
        <f>$L$7</f>
        <v>1.6580000000000001E-2</v>
      </c>
      <c r="M82" s="39">
        <f>$M$7</f>
        <v>2.5000000000000001E-3</v>
      </c>
      <c r="N82" s="35"/>
      <c r="O82" s="59"/>
      <c r="P82" s="37"/>
      <c r="Q82" s="25"/>
      <c r="R82" s="390"/>
      <c r="S82" s="49" t="s">
        <v>126</v>
      </c>
      <c r="T82" s="57">
        <v>39928</v>
      </c>
      <c r="U82" s="57"/>
      <c r="V82" s="57">
        <v>3472</v>
      </c>
      <c r="W82" s="57">
        <v>3472</v>
      </c>
      <c r="X82" s="57">
        <v>3472</v>
      </c>
      <c r="Y82" s="57">
        <v>3472</v>
      </c>
      <c r="Z82" s="57">
        <v>3472</v>
      </c>
      <c r="AA82" s="57">
        <v>3472</v>
      </c>
      <c r="AB82" s="57">
        <v>3472</v>
      </c>
      <c r="AC82" s="57">
        <v>3472</v>
      </c>
      <c r="AD82" s="57">
        <v>3472</v>
      </c>
      <c r="AE82" s="57">
        <v>12152</v>
      </c>
      <c r="AF82" s="1268">
        <f t="shared" si="2"/>
        <v>36456</v>
      </c>
      <c r="AG82" s="83"/>
      <c r="AH82" s="83"/>
    </row>
    <row r="83" spans="1:34" s="42" customFormat="1" ht="15" thickBot="1" x14ac:dyDescent="0.35">
      <c r="A83" s="1163"/>
      <c r="B83" s="1541"/>
      <c r="C83" s="1547"/>
      <c r="D83" s="1547"/>
      <c r="E83" s="40"/>
      <c r="F83" s="1549"/>
      <c r="G83" s="1535"/>
      <c r="H83" s="180"/>
      <c r="I83" s="1560"/>
      <c r="J83" s="189"/>
      <c r="K83" s="61"/>
      <c r="L83" s="28"/>
      <c r="M83" s="28"/>
      <c r="N83" s="28"/>
      <c r="O83" s="31"/>
      <c r="P83" s="29"/>
      <c r="Q83" s="32"/>
      <c r="R83" s="392"/>
      <c r="S83" s="33" t="s">
        <v>2</v>
      </c>
      <c r="T83" s="34"/>
      <c r="U83" s="34"/>
      <c r="V83" s="1164">
        <v>125</v>
      </c>
      <c r="W83" s="1164">
        <v>101.8164</v>
      </c>
      <c r="X83" s="1164">
        <f>((SUM(X82:$AE82))*($L82+$M82))</f>
        <v>695.58047999999997</v>
      </c>
      <c r="Y83" s="1164">
        <f>((SUM(Y82:$AE82))*($L82+$M82))</f>
        <v>629.33471999999995</v>
      </c>
      <c r="Z83" s="1164">
        <f>((SUM(Z82:$AE82))*($L82+$M82))</f>
        <v>563.08896000000004</v>
      </c>
      <c r="AA83" s="1164">
        <f>((SUM(AA82:$AE82))*($L82+$M82))</f>
        <v>496.84319999999997</v>
      </c>
      <c r="AB83" s="1164">
        <f>((SUM(AB82:$AE82))*($L82+$M82))</f>
        <v>430.59744000000001</v>
      </c>
      <c r="AC83" s="1164">
        <f>((SUM(AC82:$AE82))*($L82+$M82))</f>
        <v>364.35167999999999</v>
      </c>
      <c r="AD83" s="1164">
        <f>((SUM(AD82:$AE82))*($L82+$M82))</f>
        <v>298.10591999999997</v>
      </c>
      <c r="AE83" s="1164">
        <f>((SUM(AE82:$AE82))*($L82+$M82))*3.5</f>
        <v>811.51056000000005</v>
      </c>
      <c r="AF83" s="1269">
        <f t="shared" si="2"/>
        <v>4289.4129599999997</v>
      </c>
      <c r="AG83" s="83"/>
      <c r="AH83" s="83"/>
    </row>
    <row r="84" spans="1:34" s="42" customFormat="1" ht="13.2" customHeight="1" x14ac:dyDescent="0.2">
      <c r="A84" s="1162">
        <v>30</v>
      </c>
      <c r="B84" s="1540" t="s">
        <v>418</v>
      </c>
      <c r="C84" s="1546" t="s">
        <v>470</v>
      </c>
      <c r="D84" s="1546" t="s">
        <v>469</v>
      </c>
      <c r="E84" s="260"/>
      <c r="F84" s="1548" t="s">
        <v>414</v>
      </c>
      <c r="G84" s="1534" t="s">
        <v>524</v>
      </c>
      <c r="H84" s="182"/>
      <c r="I84" s="1536">
        <v>278611.39</v>
      </c>
      <c r="J84" s="182"/>
      <c r="K84" s="23"/>
      <c r="L84" s="58">
        <f>$L$7</f>
        <v>1.6580000000000001E-2</v>
      </c>
      <c r="M84" s="39">
        <f>$M$7</f>
        <v>2.5000000000000001E-3</v>
      </c>
      <c r="N84" s="35"/>
      <c r="O84" s="59"/>
      <c r="P84" s="37"/>
      <c r="Q84" s="25"/>
      <c r="R84" s="390"/>
      <c r="S84" s="49" t="s">
        <v>126</v>
      </c>
      <c r="T84" s="57">
        <v>238854</v>
      </c>
      <c r="U84" s="57"/>
      <c r="V84" s="57">
        <v>14476</v>
      </c>
      <c r="W84" s="57">
        <v>14476</v>
      </c>
      <c r="X84" s="57">
        <v>14476</v>
      </c>
      <c r="Y84" s="57">
        <v>14476</v>
      </c>
      <c r="Z84" s="57">
        <v>14476</v>
      </c>
      <c r="AA84" s="57">
        <v>14476</v>
      </c>
      <c r="AB84" s="57">
        <v>14476</v>
      </c>
      <c r="AC84" s="57">
        <v>14476</v>
      </c>
      <c r="AD84" s="57">
        <v>14476</v>
      </c>
      <c r="AE84" s="57">
        <v>123046</v>
      </c>
      <c r="AF84" s="1268">
        <f t="shared" si="2"/>
        <v>224378</v>
      </c>
      <c r="AG84" s="83"/>
      <c r="AH84" s="83"/>
    </row>
    <row r="85" spans="1:34" s="42" customFormat="1" ht="15" thickBot="1" x14ac:dyDescent="0.35">
      <c r="A85" s="1163"/>
      <c r="B85" s="1541"/>
      <c r="C85" s="1547"/>
      <c r="D85" s="1547"/>
      <c r="E85" s="40"/>
      <c r="F85" s="1549"/>
      <c r="G85" s="1535"/>
      <c r="H85" s="180"/>
      <c r="I85" s="1560"/>
      <c r="J85" s="189"/>
      <c r="K85" s="61"/>
      <c r="L85" s="28"/>
      <c r="M85" s="28"/>
      <c r="N85" s="28"/>
      <c r="O85" s="31"/>
      <c r="P85" s="29"/>
      <c r="Q85" s="32"/>
      <c r="R85" s="392"/>
      <c r="S85" s="33" t="s">
        <v>2</v>
      </c>
      <c r="T85" s="34"/>
      <c r="U85" s="34"/>
      <c r="V85" s="1164">
        <v>120</v>
      </c>
      <c r="W85" s="1164">
        <v>609.07770000000005</v>
      </c>
      <c r="X85" s="1164">
        <f>((SUM(X84:$AE84))*($L84+$M84))</f>
        <v>4281.1322399999999</v>
      </c>
      <c r="Y85" s="1164">
        <f>((SUM(Y84:$AE84))*($L84+$M84))</f>
        <v>4004.9301599999999</v>
      </c>
      <c r="Z85" s="1164">
        <f>((SUM(Z84:$AE84))*($L84+$M84))</f>
        <v>3728.7280799999999</v>
      </c>
      <c r="AA85" s="1164">
        <f>((SUM(AA84:$AE84))*($L84+$M84))</f>
        <v>3452.5259999999998</v>
      </c>
      <c r="AB85" s="1164">
        <f>((SUM(AB84:$AE84))*($L84+$M84))</f>
        <v>3176.3239199999998</v>
      </c>
      <c r="AC85" s="1164">
        <f>((SUM(AC84:$AE84))*($L84+$M84))</f>
        <v>2900.1218399999998</v>
      </c>
      <c r="AD85" s="1164">
        <f>((SUM(AD84:$AE84))*($L84+$M84))</f>
        <v>2623.9197599999998</v>
      </c>
      <c r="AE85" s="1164">
        <f>((SUM(AE84:$AE84))*($L84+$M84))*8.5</f>
        <v>19955.600279999999</v>
      </c>
      <c r="AF85" s="1269">
        <f t="shared" si="2"/>
        <v>44123.282279999999</v>
      </c>
      <c r="AG85" s="83"/>
      <c r="AH85" s="83"/>
    </row>
    <row r="86" spans="1:34" s="42" customFormat="1" ht="13.2" customHeight="1" x14ac:dyDescent="0.2">
      <c r="A86" s="1162">
        <v>31</v>
      </c>
      <c r="B86" s="1540" t="s">
        <v>419</v>
      </c>
      <c r="C86" s="1546" t="s">
        <v>472</v>
      </c>
      <c r="D86" s="1546" t="s">
        <v>471</v>
      </c>
      <c r="E86" s="260"/>
      <c r="F86" s="1548" t="s">
        <v>420</v>
      </c>
      <c r="G86" s="1534" t="s">
        <v>526</v>
      </c>
      <c r="H86" s="182"/>
      <c r="I86" s="1536">
        <v>34291</v>
      </c>
      <c r="J86" s="182"/>
      <c r="K86" s="23"/>
      <c r="L86" s="58">
        <f>$L$7</f>
        <v>1.6580000000000001E-2</v>
      </c>
      <c r="M86" s="39">
        <f>$M$7</f>
        <v>2.5000000000000001E-3</v>
      </c>
      <c r="N86" s="35"/>
      <c r="O86" s="59"/>
      <c r="P86" s="37"/>
      <c r="Q86" s="25"/>
      <c r="R86" s="390"/>
      <c r="S86" s="49" t="s">
        <v>126</v>
      </c>
      <c r="T86" s="57">
        <v>23266</v>
      </c>
      <c r="U86" s="57"/>
      <c r="V86" s="57">
        <v>3684</v>
      </c>
      <c r="W86" s="57">
        <v>3684</v>
      </c>
      <c r="X86" s="57">
        <v>3616</v>
      </c>
      <c r="Y86" s="57">
        <v>3548</v>
      </c>
      <c r="Z86" s="57">
        <v>3548</v>
      </c>
      <c r="AA86" s="57">
        <v>3548</v>
      </c>
      <c r="AB86" s="57">
        <v>3548</v>
      </c>
      <c r="AC86" s="57">
        <v>1774</v>
      </c>
      <c r="AD86" s="184">
        <v>0</v>
      </c>
      <c r="AE86" s="184">
        <v>0</v>
      </c>
      <c r="AF86" s="1268">
        <f t="shared" si="2"/>
        <v>19582</v>
      </c>
      <c r="AG86" s="83"/>
      <c r="AH86" s="83"/>
    </row>
    <row r="87" spans="1:34" s="42" customFormat="1" ht="15" thickBot="1" x14ac:dyDescent="0.35">
      <c r="A87" s="1163"/>
      <c r="B87" s="1541"/>
      <c r="C87" s="1547"/>
      <c r="D87" s="1547"/>
      <c r="E87" s="40"/>
      <c r="F87" s="1549"/>
      <c r="G87" s="1535"/>
      <c r="H87" s="180"/>
      <c r="I87" s="1560"/>
      <c r="J87" s="189"/>
      <c r="K87" s="61"/>
      <c r="L87" s="28"/>
      <c r="M87" s="28"/>
      <c r="N87" s="28"/>
      <c r="O87" s="31"/>
      <c r="P87" s="29"/>
      <c r="Q87" s="32"/>
      <c r="R87" s="392"/>
      <c r="S87" s="33" t="s">
        <v>2</v>
      </c>
      <c r="T87" s="34"/>
      <c r="U87" s="34"/>
      <c r="V87" s="1164">
        <v>250</v>
      </c>
      <c r="W87" s="1164">
        <v>59.328300000000006</v>
      </c>
      <c r="X87" s="1164">
        <f>((SUM(X86:$AE86))*($L86+$M86))</f>
        <v>373.62455999999997</v>
      </c>
      <c r="Y87" s="1164">
        <f>((SUM(Y86:$AE86))*($L86+$M86))</f>
        <v>304.63128</v>
      </c>
      <c r="Z87" s="1164">
        <f>((SUM(Z86:$AE86))*($L86+$M86))</f>
        <v>236.93544</v>
      </c>
      <c r="AA87" s="1164">
        <f>((SUM(AA86:$AE86))*($L86+$M86))</f>
        <v>169.2396</v>
      </c>
      <c r="AB87" s="1164">
        <f>((SUM(AB86:$AE86))*($L86+$M86))</f>
        <v>101.54375999999999</v>
      </c>
      <c r="AC87" s="1164">
        <f>((SUM(AC86:$AE86))*($L86+$M86))</f>
        <v>33.847920000000002</v>
      </c>
      <c r="AD87" s="1165">
        <f>((SUM(AD86:$AE86))*($L86+$M86))</f>
        <v>0</v>
      </c>
      <c r="AE87" s="1165">
        <f>((SUM(AE86:$AE86))*($L86+$M86))</f>
        <v>0</v>
      </c>
      <c r="AF87" s="1269">
        <f t="shared" si="2"/>
        <v>1219.8225599999998</v>
      </c>
      <c r="AG87" s="83"/>
      <c r="AH87" s="83"/>
    </row>
    <row r="88" spans="1:34" s="42" customFormat="1" ht="13.2" customHeight="1" x14ac:dyDescent="0.2">
      <c r="A88" s="1162">
        <v>32</v>
      </c>
      <c r="B88" s="1540" t="s">
        <v>421</v>
      </c>
      <c r="C88" s="1546" t="s">
        <v>474</v>
      </c>
      <c r="D88" s="1546" t="s">
        <v>473</v>
      </c>
      <c r="E88" s="260"/>
      <c r="F88" s="1548" t="s">
        <v>422</v>
      </c>
      <c r="G88" s="1534" t="s">
        <v>527</v>
      </c>
      <c r="H88" s="182"/>
      <c r="I88" s="1536">
        <v>3496295</v>
      </c>
      <c r="J88" s="182"/>
      <c r="K88" s="23"/>
      <c r="L88" s="58">
        <f>$L$7</f>
        <v>1.6580000000000001E-2</v>
      </c>
      <c r="M88" s="39">
        <f>$M$7</f>
        <v>2.5000000000000001E-3</v>
      </c>
      <c r="N88" s="35"/>
      <c r="O88" s="59"/>
      <c r="P88" s="37"/>
      <c r="Q88" s="25"/>
      <c r="R88" s="390"/>
      <c r="S88" s="49" t="s">
        <v>126</v>
      </c>
      <c r="T88" s="57">
        <v>3370393</v>
      </c>
      <c r="U88" s="57"/>
      <c r="V88" s="57">
        <v>125902</v>
      </c>
      <c r="W88" s="57">
        <v>125996</v>
      </c>
      <c r="X88" s="57">
        <v>125996</v>
      </c>
      <c r="Y88" s="57">
        <v>125996</v>
      </c>
      <c r="Z88" s="57">
        <v>125996</v>
      </c>
      <c r="AA88" s="57">
        <v>125996</v>
      </c>
      <c r="AB88" s="57">
        <v>125996</v>
      </c>
      <c r="AC88" s="57">
        <v>125996</v>
      </c>
      <c r="AD88" s="57">
        <v>125996</v>
      </c>
      <c r="AE88" s="57">
        <v>2362425</v>
      </c>
      <c r="AF88" s="1268">
        <f t="shared" si="2"/>
        <v>3244397</v>
      </c>
      <c r="AG88" s="83"/>
      <c r="AH88" s="83"/>
    </row>
    <row r="89" spans="1:34" s="42" customFormat="1" ht="15" thickBot="1" x14ac:dyDescent="0.35">
      <c r="A89" s="1163"/>
      <c r="B89" s="1541"/>
      <c r="C89" s="1547"/>
      <c r="D89" s="1547"/>
      <c r="E89" s="40"/>
      <c r="F89" s="1549"/>
      <c r="G89" s="1535"/>
      <c r="H89" s="180"/>
      <c r="I89" s="1560"/>
      <c r="J89" s="189"/>
      <c r="K89" s="61"/>
      <c r="L89" s="28"/>
      <c r="M89" s="28"/>
      <c r="N89" s="28"/>
      <c r="O89" s="31"/>
      <c r="P89" s="29"/>
      <c r="Q89" s="32"/>
      <c r="R89" s="392"/>
      <c r="S89" s="33" t="s">
        <v>2</v>
      </c>
      <c r="T89" s="34"/>
      <c r="U89" s="34"/>
      <c r="V89" s="1164">
        <v>10000</v>
      </c>
      <c r="W89" s="1164">
        <v>8493.3903600000012</v>
      </c>
      <c r="X89" s="1164">
        <f>((SUM(X88:$AE88))*($L88+$M88))</f>
        <v>61903.09476</v>
      </c>
      <c r="Y89" s="1164">
        <f>((SUM(Y88:$AE88))*($L88+$M88))</f>
        <v>59499.091079999998</v>
      </c>
      <c r="Z89" s="1164">
        <f>((SUM(Z88:$AE88))*($L88+$M88))</f>
        <v>57095.087399999997</v>
      </c>
      <c r="AA89" s="1164">
        <f>((SUM(AA88:$AE88))*($L88+$M88))</f>
        <v>54691.083720000002</v>
      </c>
      <c r="AB89" s="1164">
        <f>((SUM(AB88:$AE88))*($L88+$M88))</f>
        <v>52287.080040000001</v>
      </c>
      <c r="AC89" s="1164">
        <f>((SUM(AC88:$AE88))*($L88+$M88))</f>
        <v>49883.076359999999</v>
      </c>
      <c r="AD89" s="1164">
        <f>((SUM(AD88:$AE88))*($L88+$M88))</f>
        <v>47479.072679999997</v>
      </c>
      <c r="AE89" s="1164">
        <f>((SUM(AE88:$AE88))*($L88+$M88))*18</f>
        <v>811351.24199999997</v>
      </c>
      <c r="AF89" s="1269">
        <f t="shared" si="2"/>
        <v>1194188.8280400001</v>
      </c>
      <c r="AG89" s="83"/>
      <c r="AH89" s="83"/>
    </row>
    <row r="90" spans="1:34" s="42" customFormat="1" ht="13.2" customHeight="1" x14ac:dyDescent="0.2">
      <c r="A90" s="1162">
        <v>33</v>
      </c>
      <c r="B90" s="1540" t="s">
        <v>423</v>
      </c>
      <c r="C90" s="1546" t="s">
        <v>476</v>
      </c>
      <c r="D90" s="1546" t="s">
        <v>475</v>
      </c>
      <c r="E90" s="260"/>
      <c r="F90" s="1548" t="s">
        <v>422</v>
      </c>
      <c r="G90" s="1534" t="s">
        <v>527</v>
      </c>
      <c r="H90" s="182"/>
      <c r="I90" s="1536">
        <v>2614009</v>
      </c>
      <c r="J90" s="182"/>
      <c r="K90" s="23"/>
      <c r="L90" s="58">
        <f>$L$7</f>
        <v>1.6580000000000001E-2</v>
      </c>
      <c r="M90" s="39">
        <f>$M$7</f>
        <v>2.5000000000000001E-3</v>
      </c>
      <c r="N90" s="35"/>
      <c r="O90" s="59"/>
      <c r="P90" s="37"/>
      <c r="Q90" s="25"/>
      <c r="R90" s="390"/>
      <c r="S90" s="49" t="s">
        <v>126</v>
      </c>
      <c r="T90" s="57">
        <v>2519850</v>
      </c>
      <c r="U90" s="57"/>
      <c r="V90" s="57">
        <v>94159</v>
      </c>
      <c r="W90" s="57">
        <v>94200</v>
      </c>
      <c r="X90" s="57">
        <v>94200</v>
      </c>
      <c r="Y90" s="57">
        <v>94200</v>
      </c>
      <c r="Z90" s="57">
        <v>94200</v>
      </c>
      <c r="AA90" s="57">
        <v>94200</v>
      </c>
      <c r="AB90" s="57">
        <v>94200</v>
      </c>
      <c r="AC90" s="57">
        <v>94200</v>
      </c>
      <c r="AD90" s="57">
        <v>94200</v>
      </c>
      <c r="AE90" s="57">
        <v>1766250</v>
      </c>
      <c r="AF90" s="1268">
        <f t="shared" si="2"/>
        <v>2425650</v>
      </c>
      <c r="AG90" s="83"/>
      <c r="AH90" s="83"/>
    </row>
    <row r="91" spans="1:34" s="42" customFormat="1" ht="15" thickBot="1" x14ac:dyDescent="0.35">
      <c r="A91" s="1163"/>
      <c r="B91" s="1541"/>
      <c r="C91" s="1547"/>
      <c r="D91" s="1547"/>
      <c r="E91" s="40"/>
      <c r="F91" s="1549"/>
      <c r="G91" s="1535"/>
      <c r="H91" s="180"/>
      <c r="I91" s="1560"/>
      <c r="J91" s="189"/>
      <c r="K91" s="61"/>
      <c r="L91" s="28"/>
      <c r="M91" s="28"/>
      <c r="N91" s="28"/>
      <c r="O91" s="31"/>
      <c r="P91" s="29"/>
      <c r="Q91" s="32"/>
      <c r="R91" s="392"/>
      <c r="S91" s="33" t="s">
        <v>2</v>
      </c>
      <c r="T91" s="34"/>
      <c r="U91" s="34"/>
      <c r="V91" s="1165">
        <v>0</v>
      </c>
      <c r="W91" s="1164">
        <v>6350.0219999999999</v>
      </c>
      <c r="X91" s="1164">
        <f>((SUM(X90:$AE90))*($L90+$M90))</f>
        <v>46281.402000000002</v>
      </c>
      <c r="Y91" s="1164">
        <f>((SUM(Y90:$AE90))*($L90+$M90))</f>
        <v>44484.065999999999</v>
      </c>
      <c r="Z91" s="1164">
        <f>((SUM(Z90:$AE90))*($L90+$M90))</f>
        <v>42686.729999999996</v>
      </c>
      <c r="AA91" s="1164">
        <f>((SUM(AA90:$AE90))*($L90+$M90))</f>
        <v>40889.394</v>
      </c>
      <c r="AB91" s="1164">
        <f>((SUM(AB90:$AE90))*($L90+$M90))</f>
        <v>39092.057999999997</v>
      </c>
      <c r="AC91" s="1164">
        <f>((SUM(AC90:$AE90))*($L90+$M90))</f>
        <v>37294.722000000002</v>
      </c>
      <c r="AD91" s="1164">
        <f>((SUM(AD90:$AE90))*($L90+$M90))</f>
        <v>35497.385999999999</v>
      </c>
      <c r="AE91" s="1164">
        <f>((SUM(AE90:$AE90))*($L90+$M90))*18</f>
        <v>606600.9</v>
      </c>
      <c r="AF91" s="1269">
        <f t="shared" si="2"/>
        <v>892826.65800000005</v>
      </c>
      <c r="AG91" s="83"/>
      <c r="AH91" s="83"/>
    </row>
    <row r="92" spans="1:34" s="42" customFormat="1" ht="13.2" customHeight="1" x14ac:dyDescent="0.2">
      <c r="A92" s="1162">
        <v>34</v>
      </c>
      <c r="B92" s="1540" t="s">
        <v>424</v>
      </c>
      <c r="C92" s="1534" t="s">
        <v>478</v>
      </c>
      <c r="D92" s="1534" t="s">
        <v>477</v>
      </c>
      <c r="E92" s="260"/>
      <c r="F92" s="1532" t="s">
        <v>425</v>
      </c>
      <c r="G92" s="1534" t="s">
        <v>528</v>
      </c>
      <c r="H92" s="182"/>
      <c r="I92" s="1536">
        <v>190128</v>
      </c>
      <c r="J92" s="182"/>
      <c r="K92" s="23"/>
      <c r="L92" s="58">
        <f>$L$7</f>
        <v>1.6580000000000001E-2</v>
      </c>
      <c r="M92" s="39">
        <f>$M$7</f>
        <v>2.5000000000000001E-3</v>
      </c>
      <c r="N92" s="35"/>
      <c r="O92" s="59"/>
      <c r="P92" s="37"/>
      <c r="Q92" s="25"/>
      <c r="R92" s="390"/>
      <c r="S92" s="49" t="s">
        <v>126</v>
      </c>
      <c r="T92" s="57">
        <v>163346</v>
      </c>
      <c r="U92" s="57"/>
      <c r="V92" s="57">
        <v>9752</v>
      </c>
      <c r="W92" s="57">
        <v>9752</v>
      </c>
      <c r="X92" s="57">
        <v>9752</v>
      </c>
      <c r="Y92" s="57">
        <v>9752</v>
      </c>
      <c r="Z92" s="57">
        <v>9752</v>
      </c>
      <c r="AA92" s="57">
        <v>9752</v>
      </c>
      <c r="AB92" s="57">
        <v>9752</v>
      </c>
      <c r="AC92" s="57">
        <v>9752</v>
      </c>
      <c r="AD92" s="57">
        <v>9752</v>
      </c>
      <c r="AE92" s="57">
        <v>85330</v>
      </c>
      <c r="AF92" s="1268">
        <f t="shared" si="2"/>
        <v>153594</v>
      </c>
      <c r="AG92" s="83"/>
      <c r="AH92" s="83"/>
    </row>
    <row r="93" spans="1:34" s="42" customFormat="1" ht="15" thickBot="1" x14ac:dyDescent="0.35">
      <c r="A93" s="1163"/>
      <c r="B93" s="1545"/>
      <c r="C93" s="1539"/>
      <c r="D93" s="1539"/>
      <c r="E93" s="40"/>
      <c r="F93" s="1556"/>
      <c r="G93" s="1535"/>
      <c r="H93" s="180"/>
      <c r="I93" s="1560"/>
      <c r="J93" s="189"/>
      <c r="K93" s="61"/>
      <c r="L93" s="28"/>
      <c r="M93" s="28"/>
      <c r="N93" s="28"/>
      <c r="O93" s="31"/>
      <c r="P93" s="29"/>
      <c r="Q93" s="32"/>
      <c r="R93" s="392"/>
      <c r="S93" s="33" t="s">
        <v>2</v>
      </c>
      <c r="T93" s="34"/>
      <c r="U93" s="34"/>
      <c r="V93" s="1164">
        <v>400</v>
      </c>
      <c r="W93" s="1164">
        <v>411.63192000000004</v>
      </c>
      <c r="X93" s="1164">
        <f>((SUM(X92:$AE92))*($L92+$M92))</f>
        <v>2930.5735199999999</v>
      </c>
      <c r="Y93" s="1164">
        <f>((SUM(Y92:$AE92))*($L92+$M92))</f>
        <v>2744.5053600000001</v>
      </c>
      <c r="Z93" s="1164">
        <f>((SUM(Z92:$AE92))*($L92+$M92))</f>
        <v>2558.4371999999998</v>
      </c>
      <c r="AA93" s="1164">
        <f>((SUM(AA92:$AE92))*($L92+$M92))</f>
        <v>2372.36904</v>
      </c>
      <c r="AB93" s="1164">
        <f>((SUM(AB92:$AE92))*($L92+$M92))</f>
        <v>2186.3008799999998</v>
      </c>
      <c r="AC93" s="1164">
        <f>((SUM(AC92:$AE92))*($L92+$M92))</f>
        <v>2000.23272</v>
      </c>
      <c r="AD93" s="1164">
        <f>((SUM(AD92:$AE92))*($L92+$M92))</f>
        <v>1814.1645599999999</v>
      </c>
      <c r="AE93" s="1164">
        <f>((SUM(AE92:$AE92))*($L92+$M92))*8.8</f>
        <v>14327.248320000001</v>
      </c>
      <c r="AF93" s="1269">
        <f t="shared" si="2"/>
        <v>30933.831599999998</v>
      </c>
      <c r="AG93" s="83"/>
      <c r="AH93" s="83"/>
    </row>
    <row r="94" spans="1:34" s="42" customFormat="1" ht="13.2" customHeight="1" x14ac:dyDescent="0.2">
      <c r="A94" s="1162">
        <v>35</v>
      </c>
      <c r="B94" s="1540" t="s">
        <v>426</v>
      </c>
      <c r="C94" s="1546" t="s">
        <v>480</v>
      </c>
      <c r="D94" s="1546" t="s">
        <v>479</v>
      </c>
      <c r="E94" s="260"/>
      <c r="F94" s="1548" t="s">
        <v>302</v>
      </c>
      <c r="G94" s="1534" t="s">
        <v>528</v>
      </c>
      <c r="H94" s="182"/>
      <c r="I94" s="1536">
        <v>177076.43</v>
      </c>
      <c r="J94" s="182"/>
      <c r="K94" s="23"/>
      <c r="L94" s="58">
        <f>$L$7</f>
        <v>1.6580000000000001E-2</v>
      </c>
      <c r="M94" s="39">
        <f>$M$7</f>
        <v>2.5000000000000001E-3</v>
      </c>
      <c r="N94" s="35"/>
      <c r="O94" s="59"/>
      <c r="P94" s="37"/>
      <c r="Q94" s="25"/>
      <c r="R94" s="390"/>
      <c r="S94" s="49" t="s">
        <v>126</v>
      </c>
      <c r="T94" s="57">
        <v>154100</v>
      </c>
      <c r="U94" s="57"/>
      <c r="V94" s="57">
        <v>9200</v>
      </c>
      <c r="W94" s="57">
        <v>9200</v>
      </c>
      <c r="X94" s="57">
        <v>9200</v>
      </c>
      <c r="Y94" s="57">
        <v>9200</v>
      </c>
      <c r="Z94" s="57">
        <v>9200</v>
      </c>
      <c r="AA94" s="57">
        <v>9200</v>
      </c>
      <c r="AB94" s="57">
        <v>9200</v>
      </c>
      <c r="AC94" s="57">
        <v>9200</v>
      </c>
      <c r="AD94" s="57">
        <v>9200</v>
      </c>
      <c r="AE94" s="57">
        <v>80500</v>
      </c>
      <c r="AF94" s="1268">
        <f t="shared" si="2"/>
        <v>144900</v>
      </c>
      <c r="AG94" s="83"/>
      <c r="AH94" s="83"/>
    </row>
    <row r="95" spans="1:34" s="42" customFormat="1" ht="15" thickBot="1" x14ac:dyDescent="0.35">
      <c r="A95" s="1163"/>
      <c r="B95" s="1541"/>
      <c r="C95" s="1547"/>
      <c r="D95" s="1547"/>
      <c r="E95" s="40"/>
      <c r="F95" s="1555"/>
      <c r="G95" s="1535"/>
      <c r="H95" s="180"/>
      <c r="I95" s="1560"/>
      <c r="J95" s="189"/>
      <c r="K95" s="61"/>
      <c r="L95" s="28"/>
      <c r="M95" s="28"/>
      <c r="N95" s="28"/>
      <c r="O95" s="31"/>
      <c r="P95" s="29"/>
      <c r="Q95" s="32"/>
      <c r="R95" s="392"/>
      <c r="S95" s="33" t="s">
        <v>2</v>
      </c>
      <c r="T95" s="34"/>
      <c r="U95" s="34"/>
      <c r="V95" s="1164">
        <v>400</v>
      </c>
      <c r="W95" s="1164">
        <v>385.25</v>
      </c>
      <c r="X95" s="1164">
        <f>((SUM(X94:$AE94))*($L94+$M94))</f>
        <v>2764.692</v>
      </c>
      <c r="Y95" s="1164">
        <f>((SUM(Y94:$AE94))*($L94+$M94))</f>
        <v>2589.1559999999999</v>
      </c>
      <c r="Z95" s="1164">
        <f>((SUM(Z94:$AE94))*($L94+$M94))</f>
        <v>2413.62</v>
      </c>
      <c r="AA95" s="1164">
        <f>((SUM(AA94:$AE94))*($L94+$M94))</f>
        <v>2238.0839999999998</v>
      </c>
      <c r="AB95" s="1164">
        <f>((SUM(AB94:$AE94))*($L94+$M94))</f>
        <v>2062.5479999999998</v>
      </c>
      <c r="AC95" s="1164">
        <f>((SUM(AC94:$AE94))*($L94+$M94))</f>
        <v>1887.0119999999999</v>
      </c>
      <c r="AD95" s="1164">
        <f>((SUM(AD94:$AE94))*($L94+$M94))</f>
        <v>1711.4759999999999</v>
      </c>
      <c r="AE95" s="1164">
        <f>((SUM(AE94:$AE94))*($L94+$M94))*8.8</f>
        <v>13516.272000000001</v>
      </c>
      <c r="AF95" s="1269">
        <f t="shared" si="2"/>
        <v>29182.86</v>
      </c>
      <c r="AG95" s="83"/>
      <c r="AH95" s="83"/>
    </row>
    <row r="96" spans="1:34" s="42" customFormat="1" ht="13.2" customHeight="1" x14ac:dyDescent="0.2">
      <c r="A96" s="1162">
        <v>36</v>
      </c>
      <c r="B96" s="1540" t="s">
        <v>427</v>
      </c>
      <c r="C96" s="1546" t="s">
        <v>482</v>
      </c>
      <c r="D96" s="1546" t="s">
        <v>481</v>
      </c>
      <c r="E96" s="260"/>
      <c r="F96" s="1548" t="s">
        <v>428</v>
      </c>
      <c r="G96" s="1534" t="s">
        <v>529</v>
      </c>
      <c r="H96" s="182"/>
      <c r="I96" s="1536">
        <v>160577.24</v>
      </c>
      <c r="J96" s="182"/>
      <c r="K96" s="23"/>
      <c r="L96" s="58">
        <f>$L$7</f>
        <v>1.6580000000000001E-2</v>
      </c>
      <c r="M96" s="39">
        <f>$M$7</f>
        <v>2.5000000000000001E-3</v>
      </c>
      <c r="N96" s="35"/>
      <c r="O96" s="59"/>
      <c r="P96" s="37"/>
      <c r="Q96" s="25"/>
      <c r="R96" s="390"/>
      <c r="S96" s="49" t="s">
        <v>126</v>
      </c>
      <c r="T96" s="57">
        <v>140012</v>
      </c>
      <c r="U96" s="57"/>
      <c r="V96" s="57">
        <v>8236</v>
      </c>
      <c r="W96" s="57">
        <v>8236</v>
      </c>
      <c r="X96" s="57">
        <v>8236</v>
      </c>
      <c r="Y96" s="57">
        <v>8236</v>
      </c>
      <c r="Z96" s="57">
        <v>8236</v>
      </c>
      <c r="AA96" s="57">
        <v>8236</v>
      </c>
      <c r="AB96" s="57">
        <v>8236</v>
      </c>
      <c r="AC96" s="57">
        <v>8236</v>
      </c>
      <c r="AD96" s="57">
        <v>8236</v>
      </c>
      <c r="AE96" s="57">
        <v>74124</v>
      </c>
      <c r="AF96" s="1268">
        <f t="shared" si="2"/>
        <v>131776</v>
      </c>
      <c r="AG96" s="83"/>
      <c r="AH96" s="83"/>
    </row>
    <row r="97" spans="1:34" s="42" customFormat="1" ht="15" thickBot="1" x14ac:dyDescent="0.35">
      <c r="A97" s="1163"/>
      <c r="B97" s="1541"/>
      <c r="C97" s="1547"/>
      <c r="D97" s="1547"/>
      <c r="E97" s="40"/>
      <c r="F97" s="1558"/>
      <c r="G97" s="1535"/>
      <c r="H97" s="180"/>
      <c r="I97" s="1560"/>
      <c r="J97" s="189"/>
      <c r="K97" s="61"/>
      <c r="L97" s="28"/>
      <c r="M97" s="28"/>
      <c r="N97" s="28"/>
      <c r="O97" s="31"/>
      <c r="P97" s="29"/>
      <c r="Q97" s="32"/>
      <c r="R97" s="392"/>
      <c r="S97" s="33" t="s">
        <v>2</v>
      </c>
      <c r="T97" s="34"/>
      <c r="U97" s="34"/>
      <c r="V97" s="1164">
        <v>250</v>
      </c>
      <c r="W97" s="1164">
        <v>350.03000000000003</v>
      </c>
      <c r="X97" s="1164">
        <f>((SUM(X96:$AE96))*($L96+$M96))</f>
        <v>2514.2860799999999</v>
      </c>
      <c r="Y97" s="1164">
        <f>((SUM(Y96:$AE96))*($L96+$M96))</f>
        <v>2357.1432</v>
      </c>
      <c r="Z97" s="1164">
        <f>((SUM(Z96:$AE96))*($L96+$M96))</f>
        <v>2200.0003200000001</v>
      </c>
      <c r="AA97" s="1164">
        <f>((SUM(AA96:$AE96))*($L96+$M96))</f>
        <v>2042.85744</v>
      </c>
      <c r="AB97" s="1164">
        <f>((SUM(AB96:$AE96))*($L96+$M96))</f>
        <v>1885.7145599999999</v>
      </c>
      <c r="AC97" s="1164">
        <f>((SUM(AC96:$AE96))*($L96+$M96))</f>
        <v>1728.57168</v>
      </c>
      <c r="AD97" s="1164">
        <f>((SUM(AD96:$AE96))*($L96+$M96))</f>
        <v>1571.4287999999999</v>
      </c>
      <c r="AE97" s="1164">
        <f>((SUM(AE96:$AE96))*($L96+$M96))*8.8</f>
        <v>12445.716096000002</v>
      </c>
      <c r="AF97" s="1269">
        <f t="shared" si="2"/>
        <v>26745.718176000002</v>
      </c>
      <c r="AG97" s="83"/>
      <c r="AH97" s="83"/>
    </row>
    <row r="98" spans="1:34" s="42" customFormat="1" ht="13.2" customHeight="1" x14ac:dyDescent="0.2">
      <c r="A98" s="1162">
        <v>37</v>
      </c>
      <c r="B98" s="1528" t="s">
        <v>429</v>
      </c>
      <c r="C98" s="1530" t="s">
        <v>484</v>
      </c>
      <c r="D98" s="1530" t="s">
        <v>483</v>
      </c>
      <c r="E98" s="260"/>
      <c r="F98" s="1548" t="s">
        <v>430</v>
      </c>
      <c r="G98" s="1534" t="s">
        <v>530</v>
      </c>
      <c r="H98" s="182"/>
      <c r="I98" s="1561">
        <v>131127</v>
      </c>
      <c r="J98" s="182"/>
      <c r="K98" s="23"/>
      <c r="L98" s="58">
        <f>$L$7</f>
        <v>1.6580000000000001E-2</v>
      </c>
      <c r="M98" s="39">
        <f>$M$7</f>
        <v>2.5000000000000001E-3</v>
      </c>
      <c r="N98" s="35"/>
      <c r="O98" s="59"/>
      <c r="P98" s="37"/>
      <c r="Q98" s="25"/>
      <c r="R98" s="390"/>
      <c r="S98" s="49" t="s">
        <v>126</v>
      </c>
      <c r="T98" s="57">
        <v>114376</v>
      </c>
      <c r="U98" s="57"/>
      <c r="V98" s="57">
        <v>6728</v>
      </c>
      <c r="W98" s="57">
        <v>6728</v>
      </c>
      <c r="X98" s="57">
        <v>6728</v>
      </c>
      <c r="Y98" s="57">
        <v>6728</v>
      </c>
      <c r="Z98" s="57">
        <v>6728</v>
      </c>
      <c r="AA98" s="57">
        <v>6728</v>
      </c>
      <c r="AB98" s="57">
        <v>6728</v>
      </c>
      <c r="AC98" s="57">
        <v>6728</v>
      </c>
      <c r="AD98" s="57">
        <v>6728</v>
      </c>
      <c r="AE98" s="57">
        <v>60552</v>
      </c>
      <c r="AF98" s="1268">
        <f t="shared" si="2"/>
        <v>107648</v>
      </c>
      <c r="AG98" s="83"/>
      <c r="AH98" s="83"/>
    </row>
    <row r="99" spans="1:34" s="42" customFormat="1" ht="15" thickBot="1" x14ac:dyDescent="0.35">
      <c r="A99" s="1163"/>
      <c r="B99" s="1542"/>
      <c r="C99" s="1559"/>
      <c r="D99" s="1559"/>
      <c r="E99" s="40"/>
      <c r="F99" s="1558"/>
      <c r="G99" s="1535"/>
      <c r="H99" s="180"/>
      <c r="I99" s="1564"/>
      <c r="J99" s="189"/>
      <c r="K99" s="61"/>
      <c r="L99" s="28"/>
      <c r="M99" s="28"/>
      <c r="N99" s="28"/>
      <c r="O99" s="31"/>
      <c r="P99" s="29"/>
      <c r="Q99" s="32"/>
      <c r="R99" s="392"/>
      <c r="S99" s="33" t="s">
        <v>2</v>
      </c>
      <c r="T99" s="34"/>
      <c r="U99" s="34"/>
      <c r="V99" s="1164">
        <v>360</v>
      </c>
      <c r="W99" s="1164">
        <v>285.94</v>
      </c>
      <c r="X99" s="1164">
        <f>((SUM(X98:$AE98))*($L98+$M98))</f>
        <v>2053.9238399999999</v>
      </c>
      <c r="Y99" s="1164">
        <f>((SUM(Y98:$AE98))*($L98+$M98))</f>
        <v>1925.5536</v>
      </c>
      <c r="Z99" s="1164">
        <f>((SUM(Z98:$AE98))*($L98+$M98))</f>
        <v>1797.18336</v>
      </c>
      <c r="AA99" s="1164">
        <f>((SUM(AA98:$AE98))*($L98+$M98))</f>
        <v>1668.81312</v>
      </c>
      <c r="AB99" s="1164">
        <f>((SUM(AB98:$AE98))*($L98+$M98))</f>
        <v>1540.4428800000001</v>
      </c>
      <c r="AC99" s="1164">
        <f>((SUM(AC98:$AE98))*($L98+$M98))</f>
        <v>1412.0726400000001</v>
      </c>
      <c r="AD99" s="1164">
        <f>((SUM(AD98:$AE98))*($L98+$M98))</f>
        <v>1283.7023999999999</v>
      </c>
      <c r="AE99" s="1164">
        <f>((SUM(AE98:$AE98))*($L98+$M98))*9</f>
        <v>10397.989439999999</v>
      </c>
      <c r="AF99" s="1269">
        <f t="shared" si="2"/>
        <v>22079.681279999997</v>
      </c>
      <c r="AG99" s="83"/>
      <c r="AH99" s="83"/>
    </row>
    <row r="100" spans="1:34" s="42" customFormat="1" ht="13.2" customHeight="1" x14ac:dyDescent="0.2">
      <c r="A100" s="1162">
        <v>38</v>
      </c>
      <c r="B100" s="1528" t="s">
        <v>431</v>
      </c>
      <c r="C100" s="1530" t="s">
        <v>509</v>
      </c>
      <c r="D100" s="1530" t="s">
        <v>508</v>
      </c>
      <c r="E100" s="260"/>
      <c r="F100" s="1548" t="s">
        <v>432</v>
      </c>
      <c r="G100" s="1534" t="s">
        <v>531</v>
      </c>
      <c r="H100" s="182"/>
      <c r="I100" s="1561">
        <v>17365.23</v>
      </c>
      <c r="J100" s="182"/>
      <c r="K100" s="23"/>
      <c r="L100" s="58">
        <f>$L$7</f>
        <v>1.6580000000000001E-2</v>
      </c>
      <c r="M100" s="39">
        <f>$M$7</f>
        <v>2.5000000000000001E-3</v>
      </c>
      <c r="N100" s="35"/>
      <c r="O100" s="59"/>
      <c r="P100" s="37"/>
      <c r="Q100" s="25"/>
      <c r="R100" s="390"/>
      <c r="S100" s="49" t="s">
        <v>126</v>
      </c>
      <c r="T100" s="57">
        <v>14007</v>
      </c>
      <c r="U100" s="57"/>
      <c r="V100" s="57">
        <v>1932</v>
      </c>
      <c r="W100" s="57">
        <v>1932</v>
      </c>
      <c r="X100" s="57">
        <v>1932</v>
      </c>
      <c r="Y100" s="57">
        <v>1932</v>
      </c>
      <c r="Z100" s="57">
        <v>1932</v>
      </c>
      <c r="AA100" s="57">
        <v>1932</v>
      </c>
      <c r="AB100" s="57">
        <v>1932</v>
      </c>
      <c r="AC100" s="57">
        <v>1932</v>
      </c>
      <c r="AD100" s="57">
        <v>483</v>
      </c>
      <c r="AE100" s="184">
        <v>0</v>
      </c>
      <c r="AF100" s="1268">
        <f t="shared" si="2"/>
        <v>12075</v>
      </c>
      <c r="AG100" s="83"/>
      <c r="AH100" s="83"/>
    </row>
    <row r="101" spans="1:34" s="42" customFormat="1" ht="15" thickBot="1" x14ac:dyDescent="0.35">
      <c r="A101" s="1163"/>
      <c r="B101" s="1542"/>
      <c r="C101" s="1559"/>
      <c r="D101" s="1559"/>
      <c r="E101" s="40"/>
      <c r="F101" s="1558"/>
      <c r="G101" s="1535"/>
      <c r="H101" s="180"/>
      <c r="I101" s="1564"/>
      <c r="J101" s="189"/>
      <c r="K101" s="61"/>
      <c r="L101" s="28"/>
      <c r="M101" s="28"/>
      <c r="N101" s="28"/>
      <c r="O101" s="31"/>
      <c r="P101" s="29"/>
      <c r="Q101" s="32"/>
      <c r="R101" s="392"/>
      <c r="S101" s="33" t="s">
        <v>2</v>
      </c>
      <c r="T101" s="34"/>
      <c r="U101" s="34"/>
      <c r="V101" s="1164">
        <v>360</v>
      </c>
      <c r="W101" s="1164">
        <v>35.017499999999998</v>
      </c>
      <c r="X101" s="1164">
        <f>((SUM(X100:$AE100))*($L100+$M100))</f>
        <v>230.39099999999999</v>
      </c>
      <c r="Y101" s="1164">
        <f>((SUM(Y100:$AE100))*($L100+$M100))</f>
        <v>193.52843999999999</v>
      </c>
      <c r="Z101" s="1164">
        <f>((SUM(Z100:$AE100))*($L100+$M100))</f>
        <v>156.66587999999999</v>
      </c>
      <c r="AA101" s="1164">
        <f>((SUM(AA100:$AE100))*($L100+$M100))</f>
        <v>119.80332</v>
      </c>
      <c r="AB101" s="1164">
        <f>((SUM(AB100:$AE100))*($L100+$M100))</f>
        <v>82.940759999999997</v>
      </c>
      <c r="AC101" s="1164">
        <f>((SUM(AC100:$AE100))*($L100+$M100))</f>
        <v>46.078200000000002</v>
      </c>
      <c r="AD101" s="1164">
        <f>((SUM(AD100:$AE100))*($L100+$M100))</f>
        <v>9.2156400000000005</v>
      </c>
      <c r="AE101" s="1165">
        <f>((SUM(AE100:$AE100))*($L100+$M100))</f>
        <v>0</v>
      </c>
      <c r="AF101" s="1269">
        <f t="shared" si="2"/>
        <v>838.62324000000001</v>
      </c>
      <c r="AG101" s="83"/>
      <c r="AH101" s="83"/>
    </row>
    <row r="102" spans="1:34" s="42" customFormat="1" ht="13.2" customHeight="1" x14ac:dyDescent="0.2">
      <c r="A102" s="1162">
        <v>39</v>
      </c>
      <c r="B102" s="1528" t="s">
        <v>433</v>
      </c>
      <c r="C102" s="1530" t="s">
        <v>507</v>
      </c>
      <c r="D102" s="1530" t="s">
        <v>506</v>
      </c>
      <c r="E102" s="260"/>
      <c r="F102" s="1548" t="s">
        <v>434</v>
      </c>
      <c r="G102" s="1534" t="s">
        <v>532</v>
      </c>
      <c r="H102" s="182"/>
      <c r="I102" s="1561">
        <v>2227434</v>
      </c>
      <c r="J102" s="182"/>
      <c r="K102" s="23"/>
      <c r="L102" s="58">
        <f>$L$7</f>
        <v>1.6580000000000001E-2</v>
      </c>
      <c r="M102" s="39">
        <f>$M$7</f>
        <v>2.5000000000000001E-3</v>
      </c>
      <c r="N102" s="35"/>
      <c r="O102" s="59"/>
      <c r="P102" s="37"/>
      <c r="Q102" s="25"/>
      <c r="R102" s="390"/>
      <c r="S102" s="49" t="s">
        <v>126</v>
      </c>
      <c r="T102" s="57">
        <v>2149290</v>
      </c>
      <c r="U102" s="57"/>
      <c r="V102" s="57">
        <v>78144</v>
      </c>
      <c r="W102" s="57">
        <v>78156</v>
      </c>
      <c r="X102" s="57">
        <v>78156</v>
      </c>
      <c r="Y102" s="57">
        <v>78156</v>
      </c>
      <c r="Z102" s="57">
        <v>78156</v>
      </c>
      <c r="AA102" s="57">
        <v>78156</v>
      </c>
      <c r="AB102" s="57">
        <v>78156</v>
      </c>
      <c r="AC102" s="57">
        <v>78156</v>
      </c>
      <c r="AD102" s="57">
        <v>78156</v>
      </c>
      <c r="AE102" s="57">
        <v>1524042</v>
      </c>
      <c r="AF102" s="1268">
        <f t="shared" si="2"/>
        <v>2071134</v>
      </c>
      <c r="AG102" s="83"/>
      <c r="AH102" s="83"/>
    </row>
    <row r="103" spans="1:34" s="42" customFormat="1" ht="15" thickBot="1" x14ac:dyDescent="0.35">
      <c r="A103" s="1163"/>
      <c r="B103" s="1542"/>
      <c r="C103" s="1559"/>
      <c r="D103" s="1559"/>
      <c r="E103" s="40"/>
      <c r="F103" s="1558"/>
      <c r="G103" s="1535"/>
      <c r="H103" s="180"/>
      <c r="I103" s="1564"/>
      <c r="J103" s="189"/>
      <c r="K103" s="61"/>
      <c r="L103" s="28"/>
      <c r="M103" s="28"/>
      <c r="N103" s="28"/>
      <c r="O103" s="31"/>
      <c r="P103" s="29"/>
      <c r="Q103" s="32"/>
      <c r="R103" s="392"/>
      <c r="S103" s="33" t="s">
        <v>2</v>
      </c>
      <c r="T103" s="34"/>
      <c r="U103" s="34"/>
      <c r="V103" s="1164">
        <v>4828.2325000000001</v>
      </c>
      <c r="W103" s="1164">
        <v>5373.2250000000004</v>
      </c>
      <c r="X103" s="1164">
        <f>((SUM(X102:$AE102))*($L102+$M102))</f>
        <v>39517.236720000001</v>
      </c>
      <c r="Y103" s="1164">
        <f>((SUM(Y102:$AE102))*($L102+$M102))</f>
        <v>38026.020239999998</v>
      </c>
      <c r="Z103" s="1164">
        <f>((SUM(Z102:$AE102))*($L102+$M102))</f>
        <v>36534.803760000003</v>
      </c>
      <c r="AA103" s="1164">
        <f>((SUM(AA102:$AE102))*($L102+$M102))</f>
        <v>35043.58728</v>
      </c>
      <c r="AB103" s="1164">
        <f>((SUM(AB102:$AE102))*($L102+$M102))</f>
        <v>33552.370799999997</v>
      </c>
      <c r="AC103" s="1164">
        <f>((SUM(AC102:$AE102))*($L102+$M102))</f>
        <v>32061.154319999998</v>
      </c>
      <c r="AD103" s="1164">
        <f>((SUM(AD102:$AE102))*($L102+$M102))</f>
        <v>30569.937839999999</v>
      </c>
      <c r="AE103" s="1164">
        <f>((SUM(AE102:$AE102))*($L102+$M102))*19</f>
        <v>552495.70583999995</v>
      </c>
      <c r="AF103" s="1269">
        <f t="shared" si="2"/>
        <v>797800.81679999991</v>
      </c>
      <c r="AG103" s="83"/>
      <c r="AH103" s="83"/>
    </row>
    <row r="104" spans="1:34" s="42" customFormat="1" ht="13.2" customHeight="1" x14ac:dyDescent="0.2">
      <c r="A104" s="1162">
        <v>40</v>
      </c>
      <c r="B104" s="1540" t="s">
        <v>435</v>
      </c>
      <c r="C104" s="1546" t="s">
        <v>505</v>
      </c>
      <c r="D104" s="1546" t="s">
        <v>504</v>
      </c>
      <c r="E104" s="260"/>
      <c r="F104" s="1548" t="s">
        <v>436</v>
      </c>
      <c r="G104" s="1534" t="s">
        <v>533</v>
      </c>
      <c r="H104" s="182"/>
      <c r="I104" s="1536">
        <v>605017</v>
      </c>
      <c r="J104" s="182"/>
      <c r="K104" s="23"/>
      <c r="L104" s="58">
        <f>$L$7</f>
        <v>1.6580000000000001E-2</v>
      </c>
      <c r="M104" s="39">
        <f>$M$7</f>
        <v>2.5000000000000001E-3</v>
      </c>
      <c r="N104" s="35"/>
      <c r="O104" s="59"/>
      <c r="P104" s="37"/>
      <c r="Q104" s="25"/>
      <c r="R104" s="390"/>
      <c r="S104" s="49" t="s">
        <v>126</v>
      </c>
      <c r="T104" s="57">
        <v>568224</v>
      </c>
      <c r="U104" s="57"/>
      <c r="V104" s="57">
        <v>15714.46</v>
      </c>
      <c r="W104" s="57">
        <v>31568</v>
      </c>
      <c r="X104" s="57">
        <v>31568</v>
      </c>
      <c r="Y104" s="57">
        <v>31568</v>
      </c>
      <c r="Z104" s="57">
        <v>31568</v>
      </c>
      <c r="AA104" s="57">
        <v>31568</v>
      </c>
      <c r="AB104" s="57">
        <v>31568</v>
      </c>
      <c r="AC104" s="57">
        <v>31568</v>
      </c>
      <c r="AD104" s="57">
        <v>31568</v>
      </c>
      <c r="AE104" s="57">
        <v>315680</v>
      </c>
      <c r="AF104" s="1268">
        <f t="shared" si="2"/>
        <v>536656</v>
      </c>
      <c r="AG104" s="83"/>
      <c r="AH104" s="83"/>
    </row>
    <row r="105" spans="1:34" s="42" customFormat="1" ht="15" thickBot="1" x14ac:dyDescent="0.35">
      <c r="A105" s="1163"/>
      <c r="B105" s="1541"/>
      <c r="C105" s="1547"/>
      <c r="D105" s="1547"/>
      <c r="E105" s="40"/>
      <c r="F105" s="1558"/>
      <c r="G105" s="1535"/>
      <c r="H105" s="180"/>
      <c r="I105" s="1560"/>
      <c r="J105" s="189"/>
      <c r="K105" s="61"/>
      <c r="L105" s="28"/>
      <c r="M105" s="28"/>
      <c r="N105" s="28"/>
      <c r="O105" s="31"/>
      <c r="P105" s="29"/>
      <c r="Q105" s="32"/>
      <c r="R105" s="392"/>
      <c r="S105" s="33" t="s">
        <v>2</v>
      </c>
      <c r="T105" s="34"/>
      <c r="U105" s="34"/>
      <c r="V105" s="1164">
        <v>1492.5425</v>
      </c>
      <c r="W105" s="1164">
        <v>1431.9244800000001</v>
      </c>
      <c r="X105" s="1164">
        <f>((SUM(X104:$AE104))*($L104+$M104))</f>
        <v>10239.396479999999</v>
      </c>
      <c r="Y105" s="1164">
        <f>((SUM(Y104:$AE104))*($L104+$M104))</f>
        <v>9637.0790400000005</v>
      </c>
      <c r="Z105" s="1164">
        <f>((SUM(Z104:$AE104))*($L104+$M104))</f>
        <v>9034.7615999999998</v>
      </c>
      <c r="AA105" s="1164">
        <f>((SUM(AA104:$AE104))*($L104+$M104))</f>
        <v>8432.4441599999991</v>
      </c>
      <c r="AB105" s="1164">
        <f>((SUM(AB104:$AE104))*($L104+$M104))</f>
        <v>7830.1267200000002</v>
      </c>
      <c r="AC105" s="1164">
        <f>((SUM(AC104:$AE104))*($L104+$M104))</f>
        <v>7227.8092799999995</v>
      </c>
      <c r="AD105" s="1164">
        <f>((SUM(AD104:$AE104))*($L104+$M104))</f>
        <v>6625.4918399999997</v>
      </c>
      <c r="AE105" s="1164">
        <f>((SUM(AE104:$AE104))*($L104+$M104))*9</f>
        <v>54208.569600000003</v>
      </c>
      <c r="AF105" s="1269">
        <f t="shared" si="2"/>
        <v>113235.67872</v>
      </c>
      <c r="AG105" s="83"/>
      <c r="AH105" s="83"/>
    </row>
    <row r="106" spans="1:34" s="42" customFormat="1" ht="13.2" customHeight="1" outlineLevel="1" x14ac:dyDescent="0.2">
      <c r="A106" s="1162">
        <v>41</v>
      </c>
      <c r="B106" s="1540" t="s">
        <v>385</v>
      </c>
      <c r="C106" s="1534" t="s">
        <v>503</v>
      </c>
      <c r="D106" s="1534" t="s">
        <v>502</v>
      </c>
      <c r="E106" s="260"/>
      <c r="F106" s="1548" t="s">
        <v>437</v>
      </c>
      <c r="G106" s="1534" t="s">
        <v>337</v>
      </c>
      <c r="H106" s="182"/>
      <c r="I106" s="1561">
        <v>33731</v>
      </c>
      <c r="J106" s="182"/>
      <c r="K106" s="23"/>
      <c r="L106" s="58">
        <f>$L$7</f>
        <v>1.6580000000000001E-2</v>
      </c>
      <c r="M106" s="39">
        <f>$M$7</f>
        <v>2.5000000000000001E-3</v>
      </c>
      <c r="N106" s="35"/>
      <c r="O106" s="59"/>
      <c r="P106" s="37"/>
      <c r="Q106" s="25"/>
      <c r="R106" s="390"/>
      <c r="S106" s="49" t="s">
        <v>126</v>
      </c>
      <c r="T106" s="57">
        <v>31920</v>
      </c>
      <c r="U106" s="57"/>
      <c r="V106" s="57">
        <v>1811.17</v>
      </c>
      <c r="W106" s="57">
        <v>3648</v>
      </c>
      <c r="X106" s="57">
        <v>3648</v>
      </c>
      <c r="Y106" s="57">
        <v>3648</v>
      </c>
      <c r="Z106" s="57">
        <v>3648</v>
      </c>
      <c r="AA106" s="57">
        <v>3648</v>
      </c>
      <c r="AB106" s="57">
        <v>3648</v>
      </c>
      <c r="AC106" s="57">
        <v>3648</v>
      </c>
      <c r="AD106" s="57">
        <v>3648</v>
      </c>
      <c r="AE106" s="57">
        <v>2736</v>
      </c>
      <c r="AF106" s="1268">
        <f t="shared" si="2"/>
        <v>28272</v>
      </c>
      <c r="AG106" s="83"/>
      <c r="AH106" s="83"/>
    </row>
    <row r="107" spans="1:34" s="42" customFormat="1" ht="15" outlineLevel="1" thickBot="1" x14ac:dyDescent="0.35">
      <c r="A107" s="1163"/>
      <c r="B107" s="1545"/>
      <c r="C107" s="1539"/>
      <c r="D107" s="1539"/>
      <c r="E107" s="40"/>
      <c r="F107" s="1549"/>
      <c r="G107" s="1535"/>
      <c r="H107" s="180"/>
      <c r="I107" s="1560"/>
      <c r="J107" s="189"/>
      <c r="K107" s="61"/>
      <c r="L107" s="28"/>
      <c r="M107" s="28"/>
      <c r="N107" s="28"/>
      <c r="O107" s="31"/>
      <c r="P107" s="29"/>
      <c r="Q107" s="32"/>
      <c r="R107" s="392"/>
      <c r="S107" s="33" t="s">
        <v>2</v>
      </c>
      <c r="T107" s="34"/>
      <c r="U107" s="34"/>
      <c r="V107" s="1164">
        <v>110</v>
      </c>
      <c r="W107" s="1164"/>
      <c r="X107" s="1164">
        <f>((SUM(X106:$AE106))*($L106+$M106))</f>
        <v>539.42975999999999</v>
      </c>
      <c r="Y107" s="1164">
        <f>((SUM(Y106:$AE106))*($L106+$M106))</f>
        <v>469.82592</v>
      </c>
      <c r="Z107" s="1164">
        <f>((SUM(Z106:$AE106))*($L106+$M106))</f>
        <v>400.22208000000001</v>
      </c>
      <c r="AA107" s="1164">
        <f>((SUM(AA106:$AE106))*($L106+$M106))</f>
        <v>330.61824000000001</v>
      </c>
      <c r="AB107" s="1164">
        <f>((SUM(AB106:$AE106))*($L106+$M106))</f>
        <v>261.01440000000002</v>
      </c>
      <c r="AC107" s="1164">
        <f>((SUM(AC106:$AE106))*($L106+$M106))</f>
        <v>191.41056</v>
      </c>
      <c r="AD107" s="1164">
        <f>((SUM(AD106:$AE106))*($L106+$M106))</f>
        <v>121.80672</v>
      </c>
      <c r="AE107" s="1164">
        <f>((SUM(AE106:$AE106))*($L106+$M106))</f>
        <v>52.20288</v>
      </c>
      <c r="AF107" s="1269">
        <f t="shared" si="2"/>
        <v>2366.5305599999997</v>
      </c>
      <c r="AG107" s="83"/>
      <c r="AH107" s="83"/>
    </row>
    <row r="108" spans="1:34" s="42" customFormat="1" ht="13.2" customHeight="1" x14ac:dyDescent="0.2">
      <c r="A108" s="1162">
        <v>41</v>
      </c>
      <c r="B108" s="1540" t="s">
        <v>438</v>
      </c>
      <c r="C108" s="1534" t="s">
        <v>501</v>
      </c>
      <c r="D108" s="1534" t="s">
        <v>500</v>
      </c>
      <c r="E108" s="260"/>
      <c r="F108" s="1548" t="s">
        <v>439</v>
      </c>
      <c r="G108" s="1534" t="s">
        <v>518</v>
      </c>
      <c r="H108" s="182"/>
      <c r="I108" s="1561">
        <v>363119</v>
      </c>
      <c r="J108" s="182"/>
      <c r="K108" s="23"/>
      <c r="L108" s="58">
        <f>$L$7</f>
        <v>1.6580000000000001E-2</v>
      </c>
      <c r="M108" s="39">
        <f>$M$7</f>
        <v>2.5000000000000001E-3</v>
      </c>
      <c r="N108" s="35"/>
      <c r="O108" s="59"/>
      <c r="P108" s="37"/>
      <c r="Q108" s="25"/>
      <c r="R108" s="390"/>
      <c r="S108" s="49" t="s">
        <v>126</v>
      </c>
      <c r="T108" s="57">
        <v>352205</v>
      </c>
      <c r="U108" s="57"/>
      <c r="V108" s="184">
        <v>0</v>
      </c>
      <c r="W108" s="57">
        <v>18788</v>
      </c>
      <c r="X108" s="57">
        <v>18788</v>
      </c>
      <c r="Y108" s="57">
        <v>18788</v>
      </c>
      <c r="Z108" s="57">
        <v>18788</v>
      </c>
      <c r="AA108" s="57">
        <v>18788</v>
      </c>
      <c r="AB108" s="57">
        <v>18788</v>
      </c>
      <c r="AC108" s="57">
        <v>18788</v>
      </c>
      <c r="AD108" s="57">
        <v>18788</v>
      </c>
      <c r="AE108" s="57">
        <v>201901</v>
      </c>
      <c r="AF108" s="1268">
        <f t="shared" ref="AF108:AF139" si="3">SUM(X108:AE108)</f>
        <v>333417</v>
      </c>
      <c r="AG108" s="83"/>
      <c r="AH108" s="83"/>
    </row>
    <row r="109" spans="1:34" s="42" customFormat="1" ht="15" thickBot="1" x14ac:dyDescent="0.35">
      <c r="A109" s="1163"/>
      <c r="B109" s="1545"/>
      <c r="C109" s="1539"/>
      <c r="D109" s="1539"/>
      <c r="E109" s="40"/>
      <c r="F109" s="1549"/>
      <c r="G109" s="1535"/>
      <c r="H109" s="180"/>
      <c r="I109" s="1560"/>
      <c r="J109" s="189"/>
      <c r="K109" s="61"/>
      <c r="L109" s="28"/>
      <c r="M109" s="28"/>
      <c r="N109" s="28"/>
      <c r="O109" s="31"/>
      <c r="P109" s="29"/>
      <c r="Q109" s="32"/>
      <c r="R109" s="392"/>
      <c r="S109" s="33" t="s">
        <v>2</v>
      </c>
      <c r="T109" s="34"/>
      <c r="U109" s="34"/>
      <c r="V109" s="1164">
        <v>600</v>
      </c>
      <c r="W109" s="1164">
        <v>887.5566</v>
      </c>
      <c r="X109" s="1164">
        <f>((SUM(X108:$AE108))*($L108+$M108))</f>
        <v>6361.5963599999995</v>
      </c>
      <c r="Y109" s="1164">
        <f>((SUM(Y108:$AE108))*($L108+$M108))</f>
        <v>6003.1213200000002</v>
      </c>
      <c r="Z109" s="1164">
        <f>((SUM(Z108:$AE108))*($L108+$M108))</f>
        <v>5644.6462799999999</v>
      </c>
      <c r="AA109" s="1164">
        <f>((SUM(AA108:$AE108))*($L108+$M108))</f>
        <v>5286.1712399999997</v>
      </c>
      <c r="AB109" s="1164">
        <f>((SUM(AB108:$AE108))*($L108+$M108))</f>
        <v>4927.6962000000003</v>
      </c>
      <c r="AC109" s="1164">
        <f>((SUM(AC108:$AE108))*($L108+$M108))</f>
        <v>4569.2211600000001</v>
      </c>
      <c r="AD109" s="1164">
        <f>((SUM(AD108:$AE108))*($L108+$M108))</f>
        <v>4210.7461199999998</v>
      </c>
      <c r="AE109" s="1164">
        <f>((SUM(AE108:$AE108))*($L108+$M108))*10</f>
        <v>38522.710800000001</v>
      </c>
      <c r="AF109" s="1269">
        <f t="shared" si="3"/>
        <v>75525.909480000002</v>
      </c>
      <c r="AG109" s="83"/>
      <c r="AH109" s="83"/>
    </row>
    <row r="110" spans="1:34" s="42" customFormat="1" ht="13.2" customHeight="1" x14ac:dyDescent="0.2">
      <c r="A110" s="1162">
        <v>42</v>
      </c>
      <c r="B110" s="1540" t="s">
        <v>440</v>
      </c>
      <c r="C110" s="1534" t="s">
        <v>499</v>
      </c>
      <c r="D110" s="1534" t="s">
        <v>497</v>
      </c>
      <c r="E110" s="260"/>
      <c r="F110" s="1548" t="s">
        <v>439</v>
      </c>
      <c r="G110" s="1534" t="s">
        <v>534</v>
      </c>
      <c r="H110" s="182"/>
      <c r="I110" s="1561">
        <v>824810</v>
      </c>
      <c r="J110" s="182"/>
      <c r="K110" s="23"/>
      <c r="L110" s="58">
        <f>$L$7</f>
        <v>1.6580000000000001E-2</v>
      </c>
      <c r="M110" s="39">
        <f>$M$7</f>
        <v>2.5000000000000001E-3</v>
      </c>
      <c r="N110" s="35"/>
      <c r="O110" s="59"/>
      <c r="P110" s="37"/>
      <c r="Q110" s="25"/>
      <c r="R110" s="390"/>
      <c r="S110" s="49" t="s">
        <v>126</v>
      </c>
      <c r="T110" s="57"/>
      <c r="U110" s="57"/>
      <c r="V110" s="184">
        <v>0</v>
      </c>
      <c r="W110" s="184">
        <v>0</v>
      </c>
      <c r="X110" s="57">
        <v>29693</v>
      </c>
      <c r="Y110" s="57">
        <v>29724</v>
      </c>
      <c r="Z110" s="57">
        <v>29724</v>
      </c>
      <c r="AA110" s="57">
        <v>29724</v>
      </c>
      <c r="AB110" s="57">
        <v>29724</v>
      </c>
      <c r="AC110" s="57">
        <v>29724</v>
      </c>
      <c r="AD110" s="57">
        <v>29724</v>
      </c>
      <c r="AE110" s="57">
        <v>616773</v>
      </c>
      <c r="AF110" s="1268">
        <f t="shared" si="3"/>
        <v>824810</v>
      </c>
      <c r="AG110" s="83"/>
      <c r="AH110" s="83"/>
    </row>
    <row r="111" spans="1:34" s="42" customFormat="1" ht="15" thickBot="1" x14ac:dyDescent="0.35">
      <c r="A111" s="1163"/>
      <c r="B111" s="1545"/>
      <c r="C111" s="1539"/>
      <c r="D111" s="1539"/>
      <c r="E111" s="40"/>
      <c r="F111" s="1549"/>
      <c r="G111" s="1535"/>
      <c r="H111" s="180"/>
      <c r="I111" s="1560"/>
      <c r="J111" s="189"/>
      <c r="K111" s="61"/>
      <c r="L111" s="28"/>
      <c r="M111" s="28"/>
      <c r="N111" s="28"/>
      <c r="O111" s="31"/>
      <c r="P111" s="29"/>
      <c r="Q111" s="32"/>
      <c r="R111" s="392"/>
      <c r="S111" s="33" t="s">
        <v>2</v>
      </c>
      <c r="T111" s="34"/>
      <c r="U111" s="34"/>
      <c r="V111" s="1164">
        <v>1058</v>
      </c>
      <c r="W111" s="1164">
        <v>3299.2400000000002</v>
      </c>
      <c r="X111" s="1164">
        <f>((SUM(X110:$AE110))*($L110+$M110))</f>
        <v>15737.3748</v>
      </c>
      <c r="Y111" s="1164">
        <f>((SUM(Y110:$AE110))*($L110+$M110))</f>
        <v>15170.83236</v>
      </c>
      <c r="Z111" s="1164">
        <f>((SUM(Z110:$AE110))*($L110+$M110))</f>
        <v>14603.69844</v>
      </c>
      <c r="AA111" s="1164">
        <f>((SUM(AA110:$AE110))*($L110+$M110))</f>
        <v>14036.56452</v>
      </c>
      <c r="AB111" s="1164">
        <f>((SUM(AB110:$AE110))*($L110+$M110))</f>
        <v>13469.4306</v>
      </c>
      <c r="AC111" s="1164">
        <f>((SUM(AC110:$AE110))*($L110+$M110))</f>
        <v>12902.296679999999</v>
      </c>
      <c r="AD111" s="1164">
        <f>((SUM(AD110:$AE110))*($L110+$M110))</f>
        <v>12335.162759999999</v>
      </c>
      <c r="AE111" s="1164">
        <f>((SUM(AE110:$AE110))*($L110+$M110))*20</f>
        <v>235360.57679999998</v>
      </c>
      <c r="AF111" s="1269">
        <f t="shared" si="3"/>
        <v>333615.93695999996</v>
      </c>
      <c r="AG111" s="83"/>
      <c r="AH111" s="83"/>
    </row>
    <row r="112" spans="1:34" s="42" customFormat="1" ht="13.2" customHeight="1" x14ac:dyDescent="0.2">
      <c r="A112" s="1162">
        <v>43</v>
      </c>
      <c r="B112" s="1553" t="s">
        <v>441</v>
      </c>
      <c r="C112" s="1562" t="s">
        <v>498</v>
      </c>
      <c r="D112" s="1562" t="s">
        <v>496</v>
      </c>
      <c r="E112" s="260"/>
      <c r="F112" s="1532" t="s">
        <v>442</v>
      </c>
      <c r="G112" s="1534" t="s">
        <v>535</v>
      </c>
      <c r="H112" s="182"/>
      <c r="I112" s="1536">
        <v>9703992</v>
      </c>
      <c r="J112" s="182"/>
      <c r="K112" s="23"/>
      <c r="L112" s="58">
        <f>$L$7</f>
        <v>1.6580000000000001E-2</v>
      </c>
      <c r="M112" s="39">
        <f>$M$7</f>
        <v>2.5000000000000001E-3</v>
      </c>
      <c r="N112" s="35"/>
      <c r="O112" s="59"/>
      <c r="P112" s="37"/>
      <c r="Q112" s="25"/>
      <c r="R112" s="390"/>
      <c r="S112" s="49" t="s">
        <v>126</v>
      </c>
      <c r="T112" s="57"/>
      <c r="U112" s="57"/>
      <c r="V112" s="184">
        <v>0</v>
      </c>
      <c r="W112" s="184">
        <v>0</v>
      </c>
      <c r="X112" s="57">
        <v>343399</v>
      </c>
      <c r="Y112" s="57">
        <v>343508</v>
      </c>
      <c r="Z112" s="57">
        <v>343508</v>
      </c>
      <c r="AA112" s="57">
        <v>343508</v>
      </c>
      <c r="AB112" s="57">
        <v>343508</v>
      </c>
      <c r="AC112" s="57">
        <v>343508</v>
      </c>
      <c r="AD112" s="57">
        <v>343508</v>
      </c>
      <c r="AE112" s="57">
        <v>7299545</v>
      </c>
      <c r="AF112" s="1268">
        <f t="shared" si="3"/>
        <v>9703992</v>
      </c>
      <c r="AG112" s="83"/>
      <c r="AH112" s="83"/>
    </row>
    <row r="113" spans="1:34" s="42" customFormat="1" ht="15" thickBot="1" x14ac:dyDescent="0.35">
      <c r="A113" s="1163"/>
      <c r="B113" s="1554"/>
      <c r="C113" s="1563"/>
      <c r="D113" s="1563"/>
      <c r="E113" s="40"/>
      <c r="F113" s="1533"/>
      <c r="G113" s="1535"/>
      <c r="H113" s="180"/>
      <c r="I113" s="1537"/>
      <c r="J113" s="189"/>
      <c r="K113" s="61"/>
      <c r="L113" s="28"/>
      <c r="M113" s="28"/>
      <c r="N113" s="28"/>
      <c r="O113" s="31"/>
      <c r="P113" s="29"/>
      <c r="Q113" s="32"/>
      <c r="R113" s="392"/>
      <c r="S113" s="33" t="s">
        <v>2</v>
      </c>
      <c r="T113" s="34"/>
      <c r="U113" s="34"/>
      <c r="V113" s="1164">
        <v>3000</v>
      </c>
      <c r="W113" s="1164">
        <v>24259.98</v>
      </c>
      <c r="X113" s="1164">
        <f>((SUM(X112:$AE112))*($L112+$M112))</f>
        <v>185152.16735999999</v>
      </c>
      <c r="Y113" s="1164">
        <f>((SUM(Y112:$AE112))*($L112+$M112))</f>
        <v>178600.11444</v>
      </c>
      <c r="Z113" s="1164">
        <f>((SUM(Z112:$AE112))*($L112+$M112))</f>
        <v>172045.98180000001</v>
      </c>
      <c r="AA113" s="1164">
        <f>((SUM(AA112:$AE112))*($L112+$M112))</f>
        <v>165491.84915999998</v>
      </c>
      <c r="AB113" s="1164">
        <f>((SUM(AB112:$AE112))*($L112+$M112))</f>
        <v>158937.71651999999</v>
      </c>
      <c r="AC113" s="1164">
        <f>((SUM(AC112:$AE112))*($L112+$M112))</f>
        <v>152383.58387999999</v>
      </c>
      <c r="AD113" s="1164">
        <f>((SUM(AD112:$AE112))*($L112+$M112))</f>
        <v>145829.45123999999</v>
      </c>
      <c r="AE113" s="1164">
        <f>((SUM(AE112:$AE112))*($L112+$M112))*21</f>
        <v>2924781.6905999999</v>
      </c>
      <c r="AF113" s="1269">
        <f t="shared" si="3"/>
        <v>4083222.5549999997</v>
      </c>
      <c r="AG113" s="83"/>
      <c r="AH113" s="83"/>
    </row>
    <row r="114" spans="1:34" s="42" customFormat="1" ht="13.2" customHeight="1" x14ac:dyDescent="0.2">
      <c r="A114" s="1162">
        <v>44</v>
      </c>
      <c r="B114" s="1553" t="s">
        <v>443</v>
      </c>
      <c r="C114" s="1562" t="s">
        <v>495</v>
      </c>
      <c r="D114" s="1562" t="s">
        <v>494</v>
      </c>
      <c r="E114" s="260"/>
      <c r="F114" s="1532" t="s">
        <v>442</v>
      </c>
      <c r="G114" s="1534" t="s">
        <v>536</v>
      </c>
      <c r="H114" s="182"/>
      <c r="I114" s="1561">
        <v>43430</v>
      </c>
      <c r="J114" s="182"/>
      <c r="K114" s="23"/>
      <c r="L114" s="58">
        <f>$L$7</f>
        <v>1.6580000000000001E-2</v>
      </c>
      <c r="M114" s="39">
        <f>$M$7</f>
        <v>2.5000000000000001E-3</v>
      </c>
      <c r="N114" s="35"/>
      <c r="O114" s="59"/>
      <c r="P114" s="37"/>
      <c r="Q114" s="25"/>
      <c r="R114" s="390"/>
      <c r="S114" s="49" t="s">
        <v>126</v>
      </c>
      <c r="T114" s="57">
        <v>43430</v>
      </c>
      <c r="U114" s="57"/>
      <c r="V114" s="184">
        <v>0</v>
      </c>
      <c r="W114" s="57">
        <v>4688</v>
      </c>
      <c r="X114" s="57">
        <v>4696</v>
      </c>
      <c r="Y114" s="57">
        <v>4696</v>
      </c>
      <c r="Z114" s="57">
        <v>4696</v>
      </c>
      <c r="AA114" s="57">
        <v>4696</v>
      </c>
      <c r="AB114" s="57">
        <v>4696</v>
      </c>
      <c r="AC114" s="57">
        <v>4696</v>
      </c>
      <c r="AD114" s="57">
        <v>4696</v>
      </c>
      <c r="AE114" s="57">
        <v>5870</v>
      </c>
      <c r="AF114" s="1268">
        <f t="shared" si="3"/>
        <v>38742</v>
      </c>
      <c r="AG114" s="83"/>
      <c r="AH114" s="83"/>
    </row>
    <row r="115" spans="1:34" s="42" customFormat="1" ht="15" thickBot="1" x14ac:dyDescent="0.35">
      <c r="A115" s="1163"/>
      <c r="B115" s="1554"/>
      <c r="C115" s="1563"/>
      <c r="D115" s="1563"/>
      <c r="E115" s="40"/>
      <c r="F115" s="1533"/>
      <c r="G115" s="1535"/>
      <c r="H115" s="180"/>
      <c r="I115" s="1565"/>
      <c r="J115" s="189"/>
      <c r="K115" s="61"/>
      <c r="L115" s="28"/>
      <c r="M115" s="28"/>
      <c r="N115" s="28"/>
      <c r="O115" s="31"/>
      <c r="P115" s="29"/>
      <c r="Q115" s="32"/>
      <c r="R115" s="392"/>
      <c r="S115" s="33" t="s">
        <v>2</v>
      </c>
      <c r="T115" s="34"/>
      <c r="U115" s="34"/>
      <c r="V115" s="1164">
        <v>80</v>
      </c>
      <c r="W115" s="1164">
        <v>823</v>
      </c>
      <c r="X115" s="1164">
        <f>((SUM(X114:$AE114))*($L114+$M114))</f>
        <v>739.19736</v>
      </c>
      <c r="Y115" s="1164">
        <f>((SUM(Y114:$AE114))*($L114+$M114))</f>
        <v>649.59767999999997</v>
      </c>
      <c r="Z115" s="1164">
        <f>((SUM(Z114:$AE114))*($L114+$M114))</f>
        <v>559.99800000000005</v>
      </c>
      <c r="AA115" s="1164">
        <f>((SUM(AA114:$AE114))*($L114+$M114))</f>
        <v>470.39832000000001</v>
      </c>
      <c r="AB115" s="1164">
        <f>((SUM(AB114:$AE114))*($L114+$M114))</f>
        <v>380.79863999999998</v>
      </c>
      <c r="AC115" s="1164">
        <f>((SUM(AC114:$AE114))*($L114+$M114))</f>
        <v>291.19896</v>
      </c>
      <c r="AD115" s="1164">
        <f>((SUM(AD114:$AE114))*($L114+$M114))</f>
        <v>201.59927999999999</v>
      </c>
      <c r="AE115" s="1164">
        <f>((SUM(AE114:$AE114))*($L114+$M114))*2</f>
        <v>223.9992</v>
      </c>
      <c r="AF115" s="1269">
        <f t="shared" si="3"/>
        <v>3516.7874400000001</v>
      </c>
      <c r="AG115" s="83"/>
      <c r="AH115" s="83"/>
    </row>
    <row r="116" spans="1:34" s="42" customFormat="1" ht="13.2" customHeight="1" x14ac:dyDescent="0.2">
      <c r="A116" s="1162">
        <v>45</v>
      </c>
      <c r="B116" s="1528" t="s">
        <v>444</v>
      </c>
      <c r="C116" s="1530" t="s">
        <v>493</v>
      </c>
      <c r="D116" s="1530" t="s">
        <v>492</v>
      </c>
      <c r="E116" s="260"/>
      <c r="F116" s="1532" t="s">
        <v>445</v>
      </c>
      <c r="G116" s="1534" t="s">
        <v>537</v>
      </c>
      <c r="H116" s="182"/>
      <c r="I116" s="1561">
        <v>195366</v>
      </c>
      <c r="J116" s="182"/>
      <c r="K116" s="23"/>
      <c r="L116" s="58">
        <f>$L$7</f>
        <v>1.6580000000000001E-2</v>
      </c>
      <c r="M116" s="39">
        <f>$M$7</f>
        <v>2.5000000000000001E-3</v>
      </c>
      <c r="N116" s="35"/>
      <c r="O116" s="59"/>
      <c r="P116" s="37"/>
      <c r="Q116" s="25"/>
      <c r="R116" s="390"/>
      <c r="S116" s="49" t="s">
        <v>126</v>
      </c>
      <c r="T116" s="57">
        <v>195366</v>
      </c>
      <c r="U116" s="57"/>
      <c r="V116" s="184">
        <v>0</v>
      </c>
      <c r="W116" s="57">
        <v>86826</v>
      </c>
      <c r="X116" s="57">
        <v>86832</v>
      </c>
      <c r="Y116" s="57">
        <v>21708</v>
      </c>
      <c r="Z116" s="184">
        <v>0</v>
      </c>
      <c r="AA116" s="184">
        <v>0</v>
      </c>
      <c r="AB116" s="184">
        <v>0</v>
      </c>
      <c r="AC116" s="184">
        <v>0</v>
      </c>
      <c r="AD116" s="184">
        <v>0</v>
      </c>
      <c r="AE116" s="184">
        <v>0</v>
      </c>
      <c r="AF116" s="1268">
        <f t="shared" si="3"/>
        <v>108540</v>
      </c>
      <c r="AG116" s="83"/>
      <c r="AH116" s="83"/>
    </row>
    <row r="117" spans="1:34" s="42" customFormat="1" ht="15" thickBot="1" x14ac:dyDescent="0.35">
      <c r="A117" s="1163"/>
      <c r="B117" s="1529"/>
      <c r="C117" s="1531"/>
      <c r="D117" s="1531"/>
      <c r="E117" s="40"/>
      <c r="F117" s="1533"/>
      <c r="G117" s="1535"/>
      <c r="H117" s="180"/>
      <c r="I117" s="1565"/>
      <c r="J117" s="189"/>
      <c r="K117" s="61"/>
      <c r="L117" s="28"/>
      <c r="M117" s="28"/>
      <c r="N117" s="28"/>
      <c r="O117" s="31"/>
      <c r="P117" s="29"/>
      <c r="Q117" s="32"/>
      <c r="R117" s="392"/>
      <c r="S117" s="33" t="s">
        <v>2</v>
      </c>
      <c r="T117" s="34"/>
      <c r="U117" s="34"/>
      <c r="V117" s="1164">
        <v>500</v>
      </c>
      <c r="W117" s="1164">
        <v>488.41500000000002</v>
      </c>
      <c r="X117" s="1164">
        <f>((SUM(X116:$AE116))*($L116+$M116))</f>
        <v>2070.9432000000002</v>
      </c>
      <c r="Y117" s="1164">
        <f>((SUM(Y116:$AE116))*($L116+$M116))</f>
        <v>414.18864000000002</v>
      </c>
      <c r="Z117" s="1165">
        <f>((SUM(Z116:$AE116))*($L116+$M116))</f>
        <v>0</v>
      </c>
      <c r="AA117" s="1165">
        <f>((SUM(AA116:$AE116))*($L116+$M116))</f>
        <v>0</v>
      </c>
      <c r="AB117" s="1165">
        <f>((SUM(AB116:$AE116))*($L116+$M116))</f>
        <v>0</v>
      </c>
      <c r="AC117" s="1165">
        <f>((SUM(AC116:$AE116))*($L116+$M116))</f>
        <v>0</v>
      </c>
      <c r="AD117" s="1165">
        <f>((SUM(AD116:$AE116))*($L116+$M116))</f>
        <v>0</v>
      </c>
      <c r="AE117" s="1165">
        <f>((SUM(AE116:$AE116))*($L116+$M116))</f>
        <v>0</v>
      </c>
      <c r="AF117" s="1269">
        <f t="shared" si="3"/>
        <v>2485.13184</v>
      </c>
      <c r="AG117" s="83"/>
      <c r="AH117" s="83"/>
    </row>
    <row r="118" spans="1:34" s="42" customFormat="1" ht="13.2" customHeight="1" x14ac:dyDescent="0.2">
      <c r="A118" s="1162">
        <v>46</v>
      </c>
      <c r="B118" s="1553" t="s">
        <v>446</v>
      </c>
      <c r="C118" s="1562" t="s">
        <v>491</v>
      </c>
      <c r="D118" s="1562" t="s">
        <v>513</v>
      </c>
      <c r="E118" s="260"/>
      <c r="F118" s="1532" t="s">
        <v>447</v>
      </c>
      <c r="G118" s="1534" t="s">
        <v>538</v>
      </c>
      <c r="H118" s="182"/>
      <c r="I118" s="1561">
        <v>617703</v>
      </c>
      <c r="J118" s="182"/>
      <c r="K118" s="23"/>
      <c r="L118" s="58">
        <f>$L$7</f>
        <v>1.6580000000000001E-2</v>
      </c>
      <c r="M118" s="39">
        <f>$M$7</f>
        <v>2.5000000000000001E-3</v>
      </c>
      <c r="N118" s="35"/>
      <c r="O118" s="59"/>
      <c r="P118" s="37"/>
      <c r="Q118" s="25"/>
      <c r="R118" s="390"/>
      <c r="S118" s="49" t="s">
        <v>126</v>
      </c>
      <c r="T118" s="57">
        <v>617703</v>
      </c>
      <c r="U118" s="57"/>
      <c r="V118" s="184">
        <v>0</v>
      </c>
      <c r="W118" s="57">
        <v>20913</v>
      </c>
      <c r="X118" s="57">
        <v>20940</v>
      </c>
      <c r="Y118" s="57">
        <v>20940</v>
      </c>
      <c r="Z118" s="57">
        <v>20940</v>
      </c>
      <c r="AA118" s="57">
        <v>20940</v>
      </c>
      <c r="AB118" s="57">
        <v>20940</v>
      </c>
      <c r="AC118" s="57">
        <v>20940</v>
      </c>
      <c r="AD118" s="57">
        <v>20940</v>
      </c>
      <c r="AE118" s="57">
        <v>450210</v>
      </c>
      <c r="AF118" s="1268">
        <f t="shared" si="3"/>
        <v>596790</v>
      </c>
      <c r="AG118" s="83"/>
      <c r="AH118" s="83"/>
    </row>
    <row r="119" spans="1:34" s="42" customFormat="1" ht="15" thickBot="1" x14ac:dyDescent="0.35">
      <c r="A119" s="1163"/>
      <c r="B119" s="1554"/>
      <c r="C119" s="1563"/>
      <c r="D119" s="1563"/>
      <c r="E119" s="40"/>
      <c r="F119" s="1533"/>
      <c r="G119" s="1535"/>
      <c r="H119" s="180"/>
      <c r="I119" s="1565"/>
      <c r="J119" s="189"/>
      <c r="K119" s="61"/>
      <c r="L119" s="28"/>
      <c r="M119" s="28"/>
      <c r="N119" s="28"/>
      <c r="O119" s="31"/>
      <c r="P119" s="29"/>
      <c r="Q119" s="32"/>
      <c r="R119" s="392"/>
      <c r="S119" s="33" t="s">
        <v>2</v>
      </c>
      <c r="T119" s="34"/>
      <c r="U119" s="34"/>
      <c r="V119" s="1164">
        <v>1000</v>
      </c>
      <c r="W119" s="1164">
        <v>1544.2574999999999</v>
      </c>
      <c r="X119" s="1164">
        <f>((SUM(X118:$AE118))*($L118+$M118))</f>
        <v>11386.753199999999</v>
      </c>
      <c r="Y119" s="1164">
        <f>((SUM(Y118:$AE118))*($L118+$M118))</f>
        <v>10987.218000000001</v>
      </c>
      <c r="Z119" s="1164">
        <f>((SUM(Z118:$AE118))*($L118+$M118))</f>
        <v>10587.6828</v>
      </c>
      <c r="AA119" s="1164">
        <f>((SUM(AA118:$AE118))*($L118+$M118))</f>
        <v>10188.1476</v>
      </c>
      <c r="AB119" s="1164">
        <f>((SUM(AB118:$AE118))*($L118+$M118))</f>
        <v>9788.6124</v>
      </c>
      <c r="AC119" s="1164">
        <f>((SUM(AC118:$AE118))*($L118+$M118))</f>
        <v>9389.0771999999997</v>
      </c>
      <c r="AD119" s="1164">
        <f>((SUM(AD118:$AE118))*($L118+$M118))</f>
        <v>8989.5419999999995</v>
      </c>
      <c r="AE119" s="1164">
        <f>((SUM(AE118:$AE118))*($L118+$M118))*21</f>
        <v>180390.14279999997</v>
      </c>
      <c r="AF119" s="1269">
        <f t="shared" si="3"/>
        <v>251707.17599999998</v>
      </c>
      <c r="AG119" s="83"/>
      <c r="AH119" s="83"/>
    </row>
    <row r="120" spans="1:34" s="42" customFormat="1" ht="13.2" customHeight="1" x14ac:dyDescent="0.2">
      <c r="A120" s="1162">
        <v>47</v>
      </c>
      <c r="B120" s="1553" t="s">
        <v>384</v>
      </c>
      <c r="C120" s="1562" t="s">
        <v>490</v>
      </c>
      <c r="D120" s="1562" t="s">
        <v>514</v>
      </c>
      <c r="E120" s="260"/>
      <c r="F120" s="1532" t="s">
        <v>448</v>
      </c>
      <c r="G120" s="1534" t="s">
        <v>539</v>
      </c>
      <c r="H120" s="182"/>
      <c r="I120" s="1561">
        <v>145332</v>
      </c>
      <c r="J120" s="182"/>
      <c r="K120" s="23"/>
      <c r="L120" s="58">
        <f>$L$7</f>
        <v>1.6580000000000001E-2</v>
      </c>
      <c r="M120" s="39">
        <f>$M$7</f>
        <v>2.5000000000000001E-3</v>
      </c>
      <c r="N120" s="35"/>
      <c r="O120" s="59"/>
      <c r="P120" s="37"/>
      <c r="Q120" s="25"/>
      <c r="R120" s="390"/>
      <c r="S120" s="49" t="s">
        <v>126</v>
      </c>
      <c r="T120" s="57">
        <v>145332</v>
      </c>
      <c r="U120" s="57"/>
      <c r="V120" s="184">
        <v>0</v>
      </c>
      <c r="W120" s="57">
        <v>7396</v>
      </c>
      <c r="X120" s="57">
        <v>7456</v>
      </c>
      <c r="Y120" s="57">
        <v>7456</v>
      </c>
      <c r="Z120" s="57">
        <v>7456</v>
      </c>
      <c r="AA120" s="57">
        <v>7456</v>
      </c>
      <c r="AB120" s="57">
        <v>7456</v>
      </c>
      <c r="AC120" s="57">
        <v>7456</v>
      </c>
      <c r="AD120" s="57">
        <v>7456</v>
      </c>
      <c r="AE120" s="57">
        <v>85744</v>
      </c>
      <c r="AF120" s="1268">
        <f t="shared" si="3"/>
        <v>137936</v>
      </c>
      <c r="AG120" s="83"/>
      <c r="AH120" s="83"/>
    </row>
    <row r="121" spans="1:34" s="42" customFormat="1" ht="15" thickBot="1" x14ac:dyDescent="0.35">
      <c r="A121" s="1163"/>
      <c r="B121" s="1554"/>
      <c r="C121" s="1563"/>
      <c r="D121" s="1563"/>
      <c r="E121" s="40"/>
      <c r="F121" s="1533"/>
      <c r="G121" s="1535"/>
      <c r="H121" s="180"/>
      <c r="I121" s="1565"/>
      <c r="J121" s="189"/>
      <c r="K121" s="61"/>
      <c r="L121" s="28"/>
      <c r="M121" s="28"/>
      <c r="N121" s="28"/>
      <c r="O121" s="31"/>
      <c r="P121" s="29"/>
      <c r="Q121" s="32"/>
      <c r="R121" s="392"/>
      <c r="S121" s="33" t="s">
        <v>2</v>
      </c>
      <c r="T121" s="34"/>
      <c r="U121" s="34"/>
      <c r="V121" s="1164">
        <v>200</v>
      </c>
      <c r="W121" s="1164">
        <v>363.33</v>
      </c>
      <c r="X121" s="1164">
        <f>((SUM(X120:$AE120))*($L120+$M120))</f>
        <v>2631.8188799999998</v>
      </c>
      <c r="Y121" s="1164">
        <f>((SUM(Y120:$AE120))*($L120+$M120))</f>
        <v>2489.5583999999999</v>
      </c>
      <c r="Z121" s="1164">
        <f>((SUM(Z120:$AE120))*($L120+$M120))</f>
        <v>2347.29792</v>
      </c>
      <c r="AA121" s="1164">
        <f>((SUM(AA120:$AE120))*($L120+$M120))</f>
        <v>2205.0374400000001</v>
      </c>
      <c r="AB121" s="1164">
        <f>((SUM(AB120:$AE120))*($L120+$M120))</f>
        <v>2062.7769600000001</v>
      </c>
      <c r="AC121" s="1164">
        <f>((SUM(AC120:$AE120))*($L120+$M120))</f>
        <v>1920.51648</v>
      </c>
      <c r="AD121" s="1164">
        <f>((SUM(AD120:$AE120))*($L120+$M120))</f>
        <v>1778.2560000000001</v>
      </c>
      <c r="AE121" s="1164">
        <f>((SUM(AE120:$AE120))*($L120+$M120))*11</f>
        <v>17995.950720000001</v>
      </c>
      <c r="AF121" s="1269">
        <f t="shared" si="3"/>
        <v>33431.212800000001</v>
      </c>
      <c r="AG121" s="83"/>
      <c r="AH121" s="83"/>
    </row>
    <row r="122" spans="1:34" s="42" customFormat="1" ht="13.95" customHeight="1" x14ac:dyDescent="0.2">
      <c r="A122" s="1162">
        <v>48</v>
      </c>
      <c r="B122" s="1553" t="s">
        <v>449</v>
      </c>
      <c r="C122" s="1562" t="s">
        <v>489</v>
      </c>
      <c r="D122" s="1562" t="s">
        <v>515</v>
      </c>
      <c r="E122" s="260"/>
      <c r="F122" s="1532" t="s">
        <v>448</v>
      </c>
      <c r="G122" s="1534" t="s">
        <v>539</v>
      </c>
      <c r="H122" s="182"/>
      <c r="I122" s="1561">
        <v>132027</v>
      </c>
      <c r="J122" s="182"/>
      <c r="K122" s="23"/>
      <c r="L122" s="58">
        <f>$L$7</f>
        <v>1.6580000000000001E-2</v>
      </c>
      <c r="M122" s="39">
        <f>$M$7</f>
        <v>2.5000000000000001E-3</v>
      </c>
      <c r="N122" s="35"/>
      <c r="O122" s="59"/>
      <c r="P122" s="37"/>
      <c r="Q122" s="25"/>
      <c r="R122" s="390"/>
      <c r="S122" s="49" t="s">
        <v>126</v>
      </c>
      <c r="T122" s="57">
        <v>132027</v>
      </c>
      <c r="U122" s="57"/>
      <c r="V122" s="184">
        <v>0</v>
      </c>
      <c r="W122" s="57">
        <v>6745</v>
      </c>
      <c r="X122" s="57">
        <v>6772</v>
      </c>
      <c r="Y122" s="57">
        <v>6772</v>
      </c>
      <c r="Z122" s="57">
        <v>6772</v>
      </c>
      <c r="AA122" s="57">
        <v>6772</v>
      </c>
      <c r="AB122" s="57">
        <v>6772</v>
      </c>
      <c r="AC122" s="57">
        <v>6772</v>
      </c>
      <c r="AD122" s="57">
        <v>6772</v>
      </c>
      <c r="AE122" s="57">
        <v>77878</v>
      </c>
      <c r="AF122" s="1268">
        <f t="shared" si="3"/>
        <v>125282</v>
      </c>
      <c r="AG122" s="83"/>
      <c r="AH122" s="83"/>
    </row>
    <row r="123" spans="1:34" s="42" customFormat="1" ht="15" thickBot="1" x14ac:dyDescent="0.35">
      <c r="A123" s="1163"/>
      <c r="B123" s="1554"/>
      <c r="C123" s="1563"/>
      <c r="D123" s="1563"/>
      <c r="E123" s="40"/>
      <c r="F123" s="1533"/>
      <c r="G123" s="1535"/>
      <c r="H123" s="180"/>
      <c r="I123" s="1565"/>
      <c r="J123" s="189"/>
      <c r="K123" s="61"/>
      <c r="L123" s="28"/>
      <c r="M123" s="28"/>
      <c r="N123" s="28"/>
      <c r="O123" s="31"/>
      <c r="P123" s="29"/>
      <c r="Q123" s="32"/>
      <c r="R123" s="392"/>
      <c r="S123" s="33" t="s">
        <v>2</v>
      </c>
      <c r="T123" s="34"/>
      <c r="U123" s="34"/>
      <c r="V123" s="1164">
        <v>200</v>
      </c>
      <c r="W123" s="1164">
        <v>747.32264500000019</v>
      </c>
      <c r="X123" s="1164">
        <f>((SUM(X122:$AE122))*($L122+$M122))</f>
        <v>2390.3805600000001</v>
      </c>
      <c r="Y123" s="1164">
        <f>((SUM(Y122:$AE122))*($L122+$M122))</f>
        <v>2261.1707999999999</v>
      </c>
      <c r="Z123" s="1164">
        <f>((SUM(Z122:$AE122))*($L122+$M122))</f>
        <v>2131.9610400000001</v>
      </c>
      <c r="AA123" s="1164">
        <f>((SUM(AA122:$AE122))*($L122+$M122))</f>
        <v>2002.75128</v>
      </c>
      <c r="AB123" s="1164">
        <f>((SUM(AB122:$AE122))*($L122+$M122))</f>
        <v>1873.54152</v>
      </c>
      <c r="AC123" s="1164">
        <f>((SUM(AC122:$AE122))*($L122+$M122))</f>
        <v>1744.33176</v>
      </c>
      <c r="AD123" s="1164">
        <f>((SUM(AD122:$AE122))*($L122+$M122))</f>
        <v>1615.1220000000001</v>
      </c>
      <c r="AE123" s="1164">
        <f>((SUM(AE122:$AE122))*($L122+$M122))*11</f>
        <v>16345.034639999998</v>
      </c>
      <c r="AF123" s="1269">
        <f t="shared" si="3"/>
        <v>30364.293599999997</v>
      </c>
      <c r="AG123" s="83"/>
      <c r="AH123" s="83"/>
    </row>
    <row r="124" spans="1:34" s="42" customFormat="1" ht="13.2" customHeight="1" x14ac:dyDescent="0.2">
      <c r="A124" s="1162">
        <v>49</v>
      </c>
      <c r="B124" s="1528" t="s">
        <v>450</v>
      </c>
      <c r="C124" s="1530" t="s">
        <v>488</v>
      </c>
      <c r="D124" s="1530" t="s">
        <v>487</v>
      </c>
      <c r="E124" s="260"/>
      <c r="F124" s="1532" t="s">
        <v>451</v>
      </c>
      <c r="G124" s="1534" t="s">
        <v>540</v>
      </c>
      <c r="H124" s="182"/>
      <c r="I124" s="1561">
        <v>279650</v>
      </c>
      <c r="J124" s="182"/>
      <c r="K124" s="23"/>
      <c r="L124" s="58">
        <f>$L$7</f>
        <v>1.6580000000000001E-2</v>
      </c>
      <c r="M124" s="39">
        <f>$M$7</f>
        <v>2.5000000000000001E-3</v>
      </c>
      <c r="N124" s="35"/>
      <c r="O124" s="59"/>
      <c r="P124" s="37"/>
      <c r="Q124" s="25"/>
      <c r="R124" s="390"/>
      <c r="S124" s="49" t="s">
        <v>126</v>
      </c>
      <c r="T124" s="57">
        <v>279650</v>
      </c>
      <c r="U124" s="57"/>
      <c r="V124" s="184">
        <v>0</v>
      </c>
      <c r="W124" s="57">
        <v>9467</v>
      </c>
      <c r="X124" s="57">
        <v>9564</v>
      </c>
      <c r="Y124" s="57">
        <v>9564</v>
      </c>
      <c r="Z124" s="57">
        <v>9564</v>
      </c>
      <c r="AA124" s="57">
        <v>9564</v>
      </c>
      <c r="AB124" s="57">
        <v>9564</v>
      </c>
      <c r="AC124" s="57">
        <v>9564</v>
      </c>
      <c r="AD124" s="57">
        <v>9564</v>
      </c>
      <c r="AE124" s="57">
        <v>203235</v>
      </c>
      <c r="AF124" s="1268">
        <f t="shared" si="3"/>
        <v>270183</v>
      </c>
      <c r="AG124" s="83"/>
      <c r="AH124" s="83"/>
    </row>
    <row r="125" spans="1:34" s="42" customFormat="1" ht="15" thickBot="1" x14ac:dyDescent="0.35">
      <c r="A125" s="1163"/>
      <c r="B125" s="1529"/>
      <c r="C125" s="1531"/>
      <c r="D125" s="1531"/>
      <c r="E125" s="40"/>
      <c r="F125" s="1533"/>
      <c r="G125" s="1535"/>
      <c r="H125" s="180"/>
      <c r="I125" s="1565"/>
      <c r="J125" s="189"/>
      <c r="K125" s="61"/>
      <c r="L125" s="28"/>
      <c r="M125" s="28"/>
      <c r="N125" s="28"/>
      <c r="O125" s="31"/>
      <c r="P125" s="29"/>
      <c r="Q125" s="32"/>
      <c r="R125" s="392"/>
      <c r="S125" s="33" t="s">
        <v>2</v>
      </c>
      <c r="T125" s="34"/>
      <c r="U125" s="34"/>
      <c r="V125" s="1164">
        <v>300</v>
      </c>
      <c r="W125" s="1164">
        <v>707.5145</v>
      </c>
      <c r="X125" s="1164">
        <f>((SUM(X124:$AE124))*($L124+$M124))</f>
        <v>5155.0916399999996</v>
      </c>
      <c r="Y125" s="1164">
        <f>((SUM(Y124:$AE124))*($L124+$M124))</f>
        <v>4972.6105200000002</v>
      </c>
      <c r="Z125" s="1164">
        <f>((SUM(Z124:$AE124))*($L124+$M124))</f>
        <v>4790.1293999999998</v>
      </c>
      <c r="AA125" s="1164">
        <f>((SUM(AA124:$AE124))*($L124+$M124))</f>
        <v>4607.6482800000003</v>
      </c>
      <c r="AB125" s="1164">
        <f>((SUM(AB124:$AE124))*($L124+$M124))</f>
        <v>4425.16716</v>
      </c>
      <c r="AC125" s="1164">
        <f>((SUM(AC124:$AE124))*($L124+$M124))</f>
        <v>4242.6860399999996</v>
      </c>
      <c r="AD125" s="1164">
        <f>((SUM(AD124:$AE124))*($L124+$M124))</f>
        <v>4060.2049200000001</v>
      </c>
      <c r="AE125" s="1164">
        <f>((SUM(AE124:$AE124))*($L124+$M124))*21</f>
        <v>81432.199800000002</v>
      </c>
      <c r="AF125" s="1269">
        <f t="shared" si="3"/>
        <v>113685.73776</v>
      </c>
      <c r="AG125" s="83"/>
      <c r="AH125" s="83"/>
    </row>
    <row r="126" spans="1:34" s="42" customFormat="1" ht="13.95" customHeight="1" x14ac:dyDescent="0.2">
      <c r="A126" s="1162">
        <v>50</v>
      </c>
      <c r="B126" s="1528" t="s">
        <v>452</v>
      </c>
      <c r="C126" s="1530" t="s">
        <v>486</v>
      </c>
      <c r="D126" s="1530" t="s">
        <v>485</v>
      </c>
      <c r="E126" s="260"/>
      <c r="F126" s="1532" t="s">
        <v>453</v>
      </c>
      <c r="G126" s="1534" t="s">
        <v>541</v>
      </c>
      <c r="H126" s="182"/>
      <c r="I126" s="1561">
        <v>400000</v>
      </c>
      <c r="J126" s="182"/>
      <c r="K126" s="23"/>
      <c r="L126" s="58">
        <f>$L$7</f>
        <v>1.6580000000000001E-2</v>
      </c>
      <c r="M126" s="39">
        <f>$M$7</f>
        <v>2.5000000000000001E-3</v>
      </c>
      <c r="N126" s="35"/>
      <c r="O126" s="59"/>
      <c r="P126" s="37"/>
      <c r="Q126" s="25"/>
      <c r="R126" s="390"/>
      <c r="S126" s="49" t="s">
        <v>126</v>
      </c>
      <c r="T126" s="57">
        <v>400000</v>
      </c>
      <c r="U126" s="57"/>
      <c r="V126" s="184">
        <v>0</v>
      </c>
      <c r="W126" s="57">
        <v>13653</v>
      </c>
      <c r="X126" s="57">
        <v>13676</v>
      </c>
      <c r="Y126" s="57">
        <v>13676</v>
      </c>
      <c r="Z126" s="57">
        <v>13676</v>
      </c>
      <c r="AA126" s="57">
        <v>13676</v>
      </c>
      <c r="AB126" s="57">
        <v>13676</v>
      </c>
      <c r="AC126" s="57">
        <v>13676</v>
      </c>
      <c r="AD126" s="57">
        <v>13676</v>
      </c>
      <c r="AE126" s="57">
        <v>290615</v>
      </c>
      <c r="AF126" s="1268">
        <f t="shared" si="3"/>
        <v>386347</v>
      </c>
      <c r="AG126" s="83"/>
      <c r="AH126" s="83"/>
    </row>
    <row r="127" spans="1:34" s="42" customFormat="1" ht="15" thickBot="1" x14ac:dyDescent="0.35">
      <c r="A127" s="1163"/>
      <c r="B127" s="1529"/>
      <c r="C127" s="1531"/>
      <c r="D127" s="1531"/>
      <c r="E127" s="40"/>
      <c r="F127" s="1533"/>
      <c r="G127" s="1535"/>
      <c r="H127" s="180"/>
      <c r="I127" s="1565"/>
      <c r="J127" s="189"/>
      <c r="K127" s="61"/>
      <c r="L127" s="28"/>
      <c r="M127" s="28"/>
      <c r="N127" s="28"/>
      <c r="O127" s="31"/>
      <c r="P127" s="29"/>
      <c r="Q127" s="32"/>
      <c r="R127" s="392"/>
      <c r="S127" s="33" t="s">
        <v>2</v>
      </c>
      <c r="T127" s="34"/>
      <c r="U127" s="34"/>
      <c r="V127" s="1164">
        <v>400</v>
      </c>
      <c r="W127" s="1164">
        <v>1012</v>
      </c>
      <c r="X127" s="1164">
        <f>((SUM(X126:$AE126))*($L126+$M126))</f>
        <v>7371.5007599999999</v>
      </c>
      <c r="Y127" s="1164">
        <f>((SUM(Y126:$AE126))*($L126+$M126))</f>
        <v>7110.56268</v>
      </c>
      <c r="Z127" s="1164">
        <f>((SUM(Z126:$AE126))*($L126+$M126))</f>
        <v>6849.6246000000001</v>
      </c>
      <c r="AA127" s="1164">
        <f>((SUM(AA126:$AE126))*($L126+$M126))</f>
        <v>6588.6865200000002</v>
      </c>
      <c r="AB127" s="1164">
        <f>((SUM(AB126:$AE126))*($L126+$M126))</f>
        <v>6327.7484400000003</v>
      </c>
      <c r="AC127" s="1164">
        <f>((SUM(AC126:$AE126))*($L126+$M126))</f>
        <v>6066.8103599999995</v>
      </c>
      <c r="AD127" s="1164">
        <f>((SUM(AD126:$AE126))*($L126+$M126))</f>
        <v>5805.8722799999996</v>
      </c>
      <c r="AE127" s="1164">
        <f>((SUM(AE126:$AE126))*($L126+$M126))*21</f>
        <v>116443.6182</v>
      </c>
      <c r="AF127" s="1269">
        <f t="shared" si="3"/>
        <v>162564.42384</v>
      </c>
      <c r="AG127" s="83"/>
      <c r="AH127" s="83"/>
    </row>
    <row r="128" spans="1:34" s="42" customFormat="1" ht="12.6" customHeight="1" x14ac:dyDescent="0.25">
      <c r="A128" s="1162">
        <v>51</v>
      </c>
      <c r="B128" s="1528" t="s">
        <v>646</v>
      </c>
      <c r="C128" s="1538" t="s">
        <v>657</v>
      </c>
      <c r="D128" s="1538" t="s">
        <v>658</v>
      </c>
      <c r="E128" s="260"/>
      <c r="F128" s="1532" t="s">
        <v>659</v>
      </c>
      <c r="G128" s="1534" t="s">
        <v>660</v>
      </c>
      <c r="H128" s="182"/>
      <c r="I128" s="1536">
        <v>247902</v>
      </c>
      <c r="J128" s="364"/>
      <c r="K128" s="362" t="s">
        <v>126</v>
      </c>
      <c r="L128" s="58">
        <f>$L$7</f>
        <v>1.6580000000000001E-2</v>
      </c>
      <c r="M128" s="39">
        <f>$M$7</f>
        <v>2.5000000000000001E-3</v>
      </c>
      <c r="N128" s="35"/>
      <c r="O128" s="59"/>
      <c r="P128" s="37"/>
      <c r="Q128" s="25"/>
      <c r="R128" s="390"/>
      <c r="S128" s="49" t="s">
        <v>126</v>
      </c>
      <c r="T128" s="57"/>
      <c r="U128" s="57"/>
      <c r="V128" s="184"/>
      <c r="W128" s="184">
        <v>0</v>
      </c>
      <c r="X128" s="57">
        <v>61974</v>
      </c>
      <c r="Y128" s="57">
        <v>61976</v>
      </c>
      <c r="Z128" s="57">
        <v>61976</v>
      </c>
      <c r="AA128" s="57">
        <v>61976</v>
      </c>
      <c r="AB128" s="184">
        <v>0</v>
      </c>
      <c r="AC128" s="184">
        <v>0</v>
      </c>
      <c r="AD128" s="184">
        <v>0</v>
      </c>
      <c r="AE128" s="184">
        <v>0</v>
      </c>
      <c r="AF128" s="1268">
        <f t="shared" si="3"/>
        <v>247902</v>
      </c>
      <c r="AG128" s="83"/>
      <c r="AH128" s="83"/>
    </row>
    <row r="129" spans="1:35" s="42" customFormat="1" ht="14.4" thickBot="1" x14ac:dyDescent="0.3">
      <c r="A129" s="1163"/>
      <c r="B129" s="1529"/>
      <c r="C129" s="1531"/>
      <c r="D129" s="1531"/>
      <c r="E129" s="40"/>
      <c r="F129" s="1533"/>
      <c r="G129" s="1539"/>
      <c r="H129" s="180"/>
      <c r="I129" s="1537"/>
      <c r="J129" s="365"/>
      <c r="K129" s="363" t="s">
        <v>2</v>
      </c>
      <c r="L129" s="28"/>
      <c r="M129" s="28"/>
      <c r="N129" s="28"/>
      <c r="O129" s="31"/>
      <c r="P129" s="29"/>
      <c r="Q129" s="32"/>
      <c r="R129" s="392"/>
      <c r="S129" s="33" t="s">
        <v>2</v>
      </c>
      <c r="T129" s="34"/>
      <c r="U129" s="34"/>
      <c r="V129" s="34"/>
      <c r="W129" s="1164">
        <f>SUM(W$128:$AA128)*0.25%</f>
        <v>619.755</v>
      </c>
      <c r="X129" s="1164">
        <f>((SUM(X128:$AE128))*($L128+$M128))</f>
        <v>4729.9701599999999</v>
      </c>
      <c r="Y129" s="1164">
        <f>((SUM(Y128:$AE128))*($L128+$M128))</f>
        <v>3547.5062400000002</v>
      </c>
      <c r="Z129" s="1164">
        <f>((SUM(Z128:$AE128))*($L128+$M128))</f>
        <v>2365.00416</v>
      </c>
      <c r="AA129" s="1164">
        <f>((SUM(AA128:$AE128))*($L128+$M128))</f>
        <v>1182.50208</v>
      </c>
      <c r="AB129" s="1165">
        <f>((SUM(AB128:$AE128))*($L128+$M128))</f>
        <v>0</v>
      </c>
      <c r="AC129" s="1165">
        <f>((SUM(AC128:$AE128))*($L128+$M128))</f>
        <v>0</v>
      </c>
      <c r="AD129" s="1165">
        <f>((SUM(AD128:$AE128))*($L128+$M128))</f>
        <v>0</v>
      </c>
      <c r="AE129" s="1165">
        <f>((SUM(AE128:$AE128))*($L128+$M128))</f>
        <v>0</v>
      </c>
      <c r="AF129" s="1269">
        <f t="shared" si="3"/>
        <v>11824.98264</v>
      </c>
      <c r="AG129" s="83"/>
      <c r="AH129" s="83"/>
    </row>
    <row r="130" spans="1:35" s="42" customFormat="1" ht="12.6" customHeight="1" x14ac:dyDescent="0.25">
      <c r="A130" s="1162">
        <v>52</v>
      </c>
      <c r="B130" s="1528" t="s">
        <v>666</v>
      </c>
      <c r="C130" s="1530" t="s">
        <v>722</v>
      </c>
      <c r="D130" s="1530" t="s">
        <v>723</v>
      </c>
      <c r="E130" s="260"/>
      <c r="F130" s="1532" t="s">
        <v>721</v>
      </c>
      <c r="G130" s="1534" t="s">
        <v>724</v>
      </c>
      <c r="H130" s="182"/>
      <c r="I130" s="1536">
        <v>54624</v>
      </c>
      <c r="J130" s="364"/>
      <c r="K130" s="362" t="s">
        <v>126</v>
      </c>
      <c r="L130" s="58">
        <f>$L$7</f>
        <v>1.6580000000000001E-2</v>
      </c>
      <c r="M130" s="39">
        <f>$M$7</f>
        <v>2.5000000000000001E-3</v>
      </c>
      <c r="N130" s="35"/>
      <c r="O130" s="59"/>
      <c r="P130" s="37"/>
      <c r="Q130" s="25"/>
      <c r="R130" s="390"/>
      <c r="S130" s="49" t="s">
        <v>126</v>
      </c>
      <c r="T130" s="57"/>
      <c r="U130" s="57"/>
      <c r="V130" s="184"/>
      <c r="W130" s="184">
        <v>3760</v>
      </c>
      <c r="X130" s="57">
        <v>8064</v>
      </c>
      <c r="Y130" s="57">
        <v>8064</v>
      </c>
      <c r="Z130" s="57">
        <v>8064</v>
      </c>
      <c r="AA130" s="57">
        <v>8064</v>
      </c>
      <c r="AB130" s="57">
        <v>8064</v>
      </c>
      <c r="AC130" s="57">
        <v>8064</v>
      </c>
      <c r="AD130" s="57">
        <v>2480</v>
      </c>
      <c r="AE130" s="184">
        <v>0</v>
      </c>
      <c r="AF130" s="1268">
        <f t="shared" si="3"/>
        <v>50864</v>
      </c>
      <c r="AG130" s="83"/>
      <c r="AH130" s="83"/>
    </row>
    <row r="131" spans="1:35" s="42" customFormat="1" ht="14.4" thickBot="1" x14ac:dyDescent="0.3">
      <c r="A131" s="1163"/>
      <c r="B131" s="1529"/>
      <c r="C131" s="1531"/>
      <c r="D131" s="1531"/>
      <c r="E131" s="40"/>
      <c r="F131" s="1533"/>
      <c r="G131" s="1535"/>
      <c r="H131" s="180"/>
      <c r="I131" s="1537"/>
      <c r="J131" s="365"/>
      <c r="K131" s="363" t="s">
        <v>2</v>
      </c>
      <c r="L131" s="28"/>
      <c r="M131" s="28"/>
      <c r="N131" s="28"/>
      <c r="O131" s="31"/>
      <c r="P131" s="29"/>
      <c r="Q131" s="32"/>
      <c r="R131" s="392"/>
      <c r="S131" s="33" t="s">
        <v>2</v>
      </c>
      <c r="T131" s="34"/>
      <c r="U131" s="34"/>
      <c r="V131" s="34"/>
      <c r="W131" s="1164">
        <v>417.68</v>
      </c>
      <c r="X131" s="1164">
        <f>((SUM(X130:$AE130))*($L130+$M130))</f>
        <v>970.48511999999994</v>
      </c>
      <c r="Y131" s="1164">
        <f>((SUM(Y130:$AE130))*($L130+$M130))</f>
        <v>816.62400000000002</v>
      </c>
      <c r="Z131" s="1164">
        <f>((SUM(Z130:$AE130))*($L130+$M130))</f>
        <v>662.76288</v>
      </c>
      <c r="AA131" s="1164">
        <f>((SUM(AA130:$AE130))*($L130+$M130))</f>
        <v>508.90175999999997</v>
      </c>
      <c r="AB131" s="1164">
        <f>((SUM(AB130:$AE130))*($L130+$M130))</f>
        <v>355.04064</v>
      </c>
      <c r="AC131" s="1164">
        <f>((SUM(AC130:$AE130))*($L130+$M130))</f>
        <v>201.17952</v>
      </c>
      <c r="AD131" s="1164">
        <f>((SUM(AD130:$AE130))*($L130+$M130))</f>
        <v>47.318399999999997</v>
      </c>
      <c r="AE131" s="1165">
        <f>((SUM(AE130:$AE130))*($L130+$M130))</f>
        <v>0</v>
      </c>
      <c r="AF131" s="1269">
        <f t="shared" si="3"/>
        <v>3562.3123200000005</v>
      </c>
      <c r="AG131" s="83"/>
      <c r="AH131" s="83"/>
    </row>
    <row r="132" spans="1:35" s="42" customFormat="1" ht="12.6" customHeight="1" x14ac:dyDescent="0.25">
      <c r="A132" s="1162">
        <v>53</v>
      </c>
      <c r="B132" s="1528" t="s">
        <v>667</v>
      </c>
      <c r="C132" s="1530" t="s">
        <v>717</v>
      </c>
      <c r="D132" s="1530" t="s">
        <v>718</v>
      </c>
      <c r="E132" s="260">
        <v>44594</v>
      </c>
      <c r="F132" s="1532">
        <v>44594</v>
      </c>
      <c r="G132" s="1534" t="s">
        <v>719</v>
      </c>
      <c r="H132" s="182"/>
      <c r="I132" s="1536">
        <v>178121</v>
      </c>
      <c r="J132" s="364"/>
      <c r="K132" s="362" t="s">
        <v>126</v>
      </c>
      <c r="L132" s="58">
        <f>$L$7</f>
        <v>1.6580000000000001E-2</v>
      </c>
      <c r="M132" s="39">
        <f>$M$7</f>
        <v>2.5000000000000001E-3</v>
      </c>
      <c r="N132" s="35"/>
      <c r="O132" s="59"/>
      <c r="P132" s="37"/>
      <c r="Q132" s="25"/>
      <c r="R132" s="390"/>
      <c r="S132" s="49" t="s">
        <v>126</v>
      </c>
      <c r="T132" s="57"/>
      <c r="U132" s="57"/>
      <c r="V132" s="184"/>
      <c r="W132" s="184">
        <v>0</v>
      </c>
      <c r="X132" s="57">
        <f>12496+72342</f>
        <v>84838</v>
      </c>
      <c r="Y132" s="57">
        <v>12500</v>
      </c>
      <c r="Z132" s="57">
        <v>12500</v>
      </c>
      <c r="AA132" s="57">
        <v>12500</v>
      </c>
      <c r="AB132" s="57">
        <v>12500</v>
      </c>
      <c r="AC132" s="57">
        <v>12500</v>
      </c>
      <c r="AD132" s="57">
        <v>12500</v>
      </c>
      <c r="AE132" s="184">
        <f>90625-72342</f>
        <v>18283</v>
      </c>
      <c r="AF132" s="1268">
        <f t="shared" si="3"/>
        <v>178121</v>
      </c>
      <c r="AG132" s="83"/>
      <c r="AH132" s="83"/>
    </row>
    <row r="133" spans="1:35" s="42" customFormat="1" ht="14.4" thickBot="1" x14ac:dyDescent="0.3">
      <c r="A133" s="1163"/>
      <c r="B133" s="1529"/>
      <c r="C133" s="1531"/>
      <c r="D133" s="1531"/>
      <c r="E133" s="40"/>
      <c r="F133" s="1533"/>
      <c r="G133" s="1535"/>
      <c r="H133" s="180"/>
      <c r="I133" s="1537"/>
      <c r="J133" s="365"/>
      <c r="K133" s="363" t="s">
        <v>2</v>
      </c>
      <c r="L133" s="28"/>
      <c r="M133" s="28"/>
      <c r="N133" s="28"/>
      <c r="O133" s="31"/>
      <c r="P133" s="29"/>
      <c r="Q133" s="32"/>
      <c r="R133" s="392"/>
      <c r="S133" s="33" t="s">
        <v>2</v>
      </c>
      <c r="T133" s="34"/>
      <c r="U133" s="34"/>
      <c r="V133" s="34"/>
      <c r="W133" s="1164">
        <v>471.30250000000001</v>
      </c>
      <c r="X133" s="1164">
        <f>((SUM(X132:$AE132))*($L132+$M132))</f>
        <v>3398.5486799999999</v>
      </c>
      <c r="Y133" s="1164">
        <f>((SUM(Y132:$AE132))*($L132+$M132))</f>
        <v>1779.8396399999999</v>
      </c>
      <c r="Z133" s="1164">
        <f>((SUM(Z132:$AE132))*($L132+$M132))</f>
        <v>1541.3396399999999</v>
      </c>
      <c r="AA133" s="1164">
        <f>((SUM(AA132:$AE132))*($L132+$M132))</f>
        <v>1302.8396399999999</v>
      </c>
      <c r="AB133" s="1164">
        <f>((SUM(AB132:$AE132))*($L132+$M132))</f>
        <v>1064.3396399999999</v>
      </c>
      <c r="AC133" s="1164">
        <f>((SUM(AC132:$AE132))*($L132+$M132))</f>
        <v>825.83964000000003</v>
      </c>
      <c r="AD133" s="1164">
        <f>((SUM(AD132:$AE132))*($L132+$M132))</f>
        <v>587.33964000000003</v>
      </c>
      <c r="AE133" s="1164">
        <f>((SUM(AE132:$AE132))*($L132+$M132))*7</f>
        <v>2441.8774799999997</v>
      </c>
      <c r="AF133" s="1269">
        <f t="shared" si="3"/>
        <v>12941.964</v>
      </c>
      <c r="AG133" s="83"/>
      <c r="AH133" s="83"/>
    </row>
    <row r="134" spans="1:35" s="42" customFormat="1" ht="12.6" customHeight="1" x14ac:dyDescent="0.25">
      <c r="A134" s="1162">
        <v>54</v>
      </c>
      <c r="B134" s="1528" t="s">
        <v>667</v>
      </c>
      <c r="C134" s="1530" t="s">
        <v>731</v>
      </c>
      <c r="D134" s="1530" t="s">
        <v>732</v>
      </c>
      <c r="E134" s="260">
        <v>44594</v>
      </c>
      <c r="F134" s="1532">
        <v>44781</v>
      </c>
      <c r="G134" s="1534" t="s">
        <v>1609</v>
      </c>
      <c r="H134" s="182"/>
      <c r="I134" s="1536">
        <v>39831</v>
      </c>
      <c r="J134" s="364"/>
      <c r="K134" s="362" t="s">
        <v>126</v>
      </c>
      <c r="L134" s="58">
        <f>$L$7</f>
        <v>1.6580000000000001E-2</v>
      </c>
      <c r="M134" s="39">
        <f>$M$7</f>
        <v>2.5000000000000001E-3</v>
      </c>
      <c r="N134" s="35"/>
      <c r="O134" s="59"/>
      <c r="P134" s="37"/>
      <c r="Q134" s="25"/>
      <c r="R134" s="390"/>
      <c r="S134" s="49" t="s">
        <v>126</v>
      </c>
      <c r="T134" s="57"/>
      <c r="U134" s="57"/>
      <c r="V134" s="184"/>
      <c r="W134" s="184">
        <v>0</v>
      </c>
      <c r="X134" s="57">
        <v>39831</v>
      </c>
      <c r="Y134" s="57"/>
      <c r="Z134" s="57"/>
      <c r="AA134" s="57"/>
      <c r="AB134" s="57"/>
      <c r="AC134" s="57"/>
      <c r="AD134" s="57"/>
      <c r="AE134" s="184"/>
      <c r="AF134" s="1268">
        <f t="shared" si="3"/>
        <v>39831</v>
      </c>
      <c r="AG134" s="83"/>
      <c r="AH134" s="83"/>
    </row>
    <row r="135" spans="1:35" s="42" customFormat="1" ht="14.4" thickBot="1" x14ac:dyDescent="0.3">
      <c r="A135" s="1163"/>
      <c r="B135" s="1529"/>
      <c r="C135" s="1531"/>
      <c r="D135" s="1531"/>
      <c r="E135" s="40"/>
      <c r="F135" s="1533"/>
      <c r="G135" s="1535"/>
      <c r="H135" s="180"/>
      <c r="I135" s="1537"/>
      <c r="J135" s="365"/>
      <c r="K135" s="363" t="s">
        <v>2</v>
      </c>
      <c r="L135" s="28"/>
      <c r="M135" s="28"/>
      <c r="N135" s="28"/>
      <c r="O135" s="31"/>
      <c r="P135" s="29"/>
      <c r="Q135" s="32"/>
      <c r="R135" s="392"/>
      <c r="S135" s="33" t="s">
        <v>2</v>
      </c>
      <c r="T135" s="34"/>
      <c r="U135" s="34"/>
      <c r="V135" s="34"/>
      <c r="W135" s="1164">
        <v>532.79</v>
      </c>
      <c r="X135" s="1164">
        <f>((SUM(X134:$AE134))*($L134+$M134))</f>
        <v>759.97547999999995</v>
      </c>
      <c r="Y135" s="1164">
        <f>((SUM(Y134:$AE134))*($L134+$M134))</f>
        <v>0</v>
      </c>
      <c r="Z135" s="1164">
        <f>((SUM(Z134:$AE134))*($L134+$M134))</f>
        <v>0</v>
      </c>
      <c r="AA135" s="1164">
        <f>((SUM(AA134:$AE134))*($L134+$M134))</f>
        <v>0</v>
      </c>
      <c r="AB135" s="1164">
        <f>((SUM(AB134:$AE134))*($L134+$M134))</f>
        <v>0</v>
      </c>
      <c r="AC135" s="1164">
        <f>((SUM(AC134:$AE134))*($L134+$M134))</f>
        <v>0</v>
      </c>
      <c r="AD135" s="1164">
        <f>((SUM(AD134:$AE134))*($L134+$M134))</f>
        <v>0</v>
      </c>
      <c r="AE135" s="1164">
        <f>((SUM(AE134:$AE134))*($L134+$M134))*7</f>
        <v>0</v>
      </c>
      <c r="AF135" s="1269">
        <f t="shared" si="3"/>
        <v>759.97547999999995</v>
      </c>
      <c r="AG135" s="83"/>
      <c r="AH135" s="83"/>
    </row>
    <row r="136" spans="1:35" s="42" customFormat="1" ht="12.6" customHeight="1" x14ac:dyDescent="0.25">
      <c r="A136" s="1162">
        <v>55</v>
      </c>
      <c r="B136" s="1528" t="s">
        <v>1420</v>
      </c>
      <c r="C136" s="1530" t="s">
        <v>1421</v>
      </c>
      <c r="D136" s="1530" t="s">
        <v>1422</v>
      </c>
      <c r="E136" s="260">
        <v>44594</v>
      </c>
      <c r="F136" s="1532">
        <v>44894</v>
      </c>
      <c r="G136" s="1534" t="s">
        <v>1423</v>
      </c>
      <c r="H136" s="182"/>
      <c r="I136" s="1536">
        <v>503660</v>
      </c>
      <c r="J136" s="364"/>
      <c r="K136" s="362" t="s">
        <v>126</v>
      </c>
      <c r="L136" s="58">
        <f>$L$7</f>
        <v>1.6580000000000001E-2</v>
      </c>
      <c r="M136" s="39">
        <f>$M$7</f>
        <v>2.5000000000000001E-3</v>
      </c>
      <c r="N136" s="35"/>
      <c r="O136" s="59"/>
      <c r="P136" s="37"/>
      <c r="Q136" s="25"/>
      <c r="R136" s="390"/>
      <c r="S136" s="49" t="s">
        <v>126</v>
      </c>
      <c r="T136" s="57"/>
      <c r="U136" s="57"/>
      <c r="V136" s="184">
        <v>0</v>
      </c>
      <c r="W136" s="184">
        <v>0</v>
      </c>
      <c r="X136" s="57">
        <v>8788</v>
      </c>
      <c r="Y136" s="57">
        <v>35348</v>
      </c>
      <c r="Z136" s="57">
        <v>35348</v>
      </c>
      <c r="AA136" s="57">
        <v>35348</v>
      </c>
      <c r="AB136" s="57">
        <v>35348</v>
      </c>
      <c r="AC136" s="57">
        <v>35348</v>
      </c>
      <c r="AD136" s="57">
        <v>35348</v>
      </c>
      <c r="AE136" s="184">
        <v>282784</v>
      </c>
      <c r="AF136" s="1268">
        <f t="shared" si="3"/>
        <v>503660</v>
      </c>
      <c r="AG136" s="83"/>
      <c r="AH136" s="83"/>
    </row>
    <row r="137" spans="1:35" s="42" customFormat="1" ht="14.4" thickBot="1" x14ac:dyDescent="0.3">
      <c r="A137" s="1163"/>
      <c r="B137" s="1529"/>
      <c r="C137" s="1531"/>
      <c r="D137" s="1531"/>
      <c r="E137" s="40"/>
      <c r="F137" s="1533"/>
      <c r="G137" s="1535"/>
      <c r="H137" s="180"/>
      <c r="I137" s="1537"/>
      <c r="J137" s="365"/>
      <c r="K137" s="363" t="s">
        <v>2</v>
      </c>
      <c r="L137" s="28"/>
      <c r="M137" s="28"/>
      <c r="N137" s="28"/>
      <c r="O137" s="31"/>
      <c r="P137" s="29"/>
      <c r="Q137" s="32"/>
      <c r="R137" s="392"/>
      <c r="S137" s="33" t="s">
        <v>2</v>
      </c>
      <c r="T137" s="34"/>
      <c r="U137" s="34"/>
      <c r="V137" s="34"/>
      <c r="W137" s="1164"/>
      <c r="X137" s="1164">
        <f>((SUM(X136:$AE136))*($L136+$M136))</f>
        <v>9609.8328000000001</v>
      </c>
      <c r="Y137" s="1164">
        <f>((SUM(Y136:$AE136))*($L136+$M136))</f>
        <v>9442.1577600000001</v>
      </c>
      <c r="Z137" s="1164">
        <f>((SUM(Z136:$AE136))*($L136+$M136))</f>
        <v>8767.7179199999991</v>
      </c>
      <c r="AA137" s="1164">
        <f>((SUM(AA136:$AE136))*($L136+$M136))</f>
        <v>8093.27808</v>
      </c>
      <c r="AB137" s="1164">
        <f>((SUM(AB136:$AE136))*($L136+$M136))</f>
        <v>7418.83824</v>
      </c>
      <c r="AC137" s="1164">
        <f>((SUM(AC136:$AE136))*($L136+$M136))</f>
        <v>6744.3984</v>
      </c>
      <c r="AD137" s="1164">
        <f>((SUM(AD136:$AE136))*($L136+$M136))</f>
        <v>6069.95856</v>
      </c>
      <c r="AE137" s="1164">
        <f>((SUM(AE136:$AE136))*($L136+$M136))*7</f>
        <v>37768.63104</v>
      </c>
      <c r="AF137" s="1269">
        <f t="shared" si="3"/>
        <v>93914.812799999985</v>
      </c>
      <c r="AG137" s="83"/>
      <c r="AH137" s="83"/>
    </row>
    <row r="138" spans="1:35" s="42" customFormat="1" ht="12.6" customHeight="1" x14ac:dyDescent="0.25">
      <c r="A138" s="1162">
        <v>56</v>
      </c>
      <c r="B138" s="1528" t="s">
        <v>1424</v>
      </c>
      <c r="C138" s="1530" t="s">
        <v>1425</v>
      </c>
      <c r="D138" s="1530" t="s">
        <v>1426</v>
      </c>
      <c r="E138" s="260">
        <v>44594</v>
      </c>
      <c r="F138" s="1532">
        <v>44894</v>
      </c>
      <c r="G138" s="1534" t="s">
        <v>1427</v>
      </c>
      <c r="H138" s="182"/>
      <c r="I138" s="1536">
        <v>300000</v>
      </c>
      <c r="J138" s="364"/>
      <c r="K138" s="362" t="s">
        <v>126</v>
      </c>
      <c r="L138" s="58">
        <f>$L$7</f>
        <v>1.6580000000000001E-2</v>
      </c>
      <c r="M138" s="39">
        <f>$M$7</f>
        <v>2.5000000000000001E-3</v>
      </c>
      <c r="N138" s="35"/>
      <c r="O138" s="59"/>
      <c r="P138" s="37"/>
      <c r="Q138" s="25"/>
      <c r="R138" s="390"/>
      <c r="S138" s="49" t="s">
        <v>126</v>
      </c>
      <c r="T138" s="57"/>
      <c r="U138" s="57"/>
      <c r="V138" s="184">
        <v>0</v>
      </c>
      <c r="W138" s="184">
        <v>0</v>
      </c>
      <c r="X138" s="57">
        <v>8076</v>
      </c>
      <c r="Y138" s="57">
        <v>32436</v>
      </c>
      <c r="Z138" s="57">
        <v>32436</v>
      </c>
      <c r="AA138" s="57">
        <v>32436</v>
      </c>
      <c r="AB138" s="57">
        <v>32436</v>
      </c>
      <c r="AC138" s="57">
        <v>32436</v>
      </c>
      <c r="AD138" s="57">
        <v>32436</v>
      </c>
      <c r="AE138" s="184">
        <v>97308</v>
      </c>
      <c r="AF138" s="1268">
        <f t="shared" si="3"/>
        <v>300000</v>
      </c>
      <c r="AG138" s="83"/>
      <c r="AH138" s="83"/>
    </row>
    <row r="139" spans="1:35" s="42" customFormat="1" ht="14.4" thickBot="1" x14ac:dyDescent="0.3">
      <c r="A139" s="1163"/>
      <c r="B139" s="1529"/>
      <c r="C139" s="1531"/>
      <c r="D139" s="1531"/>
      <c r="E139" s="40"/>
      <c r="F139" s="1533"/>
      <c r="G139" s="1535"/>
      <c r="H139" s="180"/>
      <c r="I139" s="1537"/>
      <c r="J139" s="365"/>
      <c r="K139" s="363" t="s">
        <v>2</v>
      </c>
      <c r="L139" s="28"/>
      <c r="M139" s="28"/>
      <c r="N139" s="28"/>
      <c r="O139" s="31"/>
      <c r="P139" s="29"/>
      <c r="Q139" s="32"/>
      <c r="R139" s="392"/>
      <c r="S139" s="33" t="s">
        <v>2</v>
      </c>
      <c r="T139" s="34"/>
      <c r="U139" s="34"/>
      <c r="V139" s="34"/>
      <c r="W139" s="1164"/>
      <c r="X139" s="1164">
        <f>((SUM(X138:$AE138))*($L138+$M138))</f>
        <v>5724</v>
      </c>
      <c r="Y139" s="1164">
        <f>((SUM(Y138:$AE138))*($L138+$M138))</f>
        <v>5569.9099200000001</v>
      </c>
      <c r="Z139" s="1164">
        <f>((SUM(Z138:$AE138))*($L138+$M138))</f>
        <v>4951.0310399999998</v>
      </c>
      <c r="AA139" s="1164">
        <f>((SUM(AA138:$AE138))*($L138+$M138))</f>
        <v>4332.1521599999996</v>
      </c>
      <c r="AB139" s="1164">
        <f>((SUM(AB138:$AE138))*($L138+$M138))</f>
        <v>3713.2732799999999</v>
      </c>
      <c r="AC139" s="1164">
        <f>((SUM(AC138:$AE138))*($L138+$M138))</f>
        <v>3094.3944000000001</v>
      </c>
      <c r="AD139" s="1164">
        <f>((SUM(AD138:$AE138))*($L138+$M138))</f>
        <v>2475.5155199999999</v>
      </c>
      <c r="AE139" s="1164">
        <f>((SUM(AE138:$AE138))*($L138+$M138))*2</f>
        <v>3713.2732799999999</v>
      </c>
      <c r="AF139" s="1269">
        <f t="shared" si="3"/>
        <v>33573.549599999998</v>
      </c>
      <c r="AG139" s="83"/>
      <c r="AH139" s="83"/>
    </row>
    <row r="140" spans="1:35" s="42" customFormat="1" ht="14.4" outlineLevel="1" x14ac:dyDescent="0.3">
      <c r="A140" s="371"/>
      <c r="B140" s="64"/>
      <c r="C140" s="65"/>
      <c r="D140" s="65"/>
      <c r="E140" s="66"/>
      <c r="F140" s="66"/>
      <c r="G140" s="65"/>
      <c r="H140" s="385"/>
      <c r="I140" s="386"/>
      <c r="J140" s="387"/>
      <c r="K140" s="61"/>
      <c r="L140" s="65"/>
      <c r="M140" s="65"/>
      <c r="N140" s="65"/>
      <c r="O140" s="388"/>
      <c r="P140" s="61"/>
      <c r="Q140" s="63"/>
      <c r="R140" s="63"/>
      <c r="S140" s="66" t="s">
        <v>1155</v>
      </c>
      <c r="T140" s="69"/>
      <c r="U140" s="1260">
        <f t="shared" ref="U140:W140" si="4">SUM(U10:U139)</f>
        <v>1369725.3362392264</v>
      </c>
      <c r="V140" s="1260">
        <f t="shared" si="4"/>
        <v>4080093.6945923315</v>
      </c>
      <c r="W140" s="1260">
        <f t="shared" si="4"/>
        <v>3717826.1010774849</v>
      </c>
      <c r="X140" s="1256">
        <f>SUM(X10:X139)</f>
        <v>4649229.3018702939</v>
      </c>
      <c r="Y140" s="1256">
        <f t="shared" ref="Y140:AF140" si="5">SUM(Y10:Y139)</f>
        <v>4372126.004747685</v>
      </c>
      <c r="Z140" s="1256">
        <f t="shared" si="5"/>
        <v>4233795.4482220784</v>
      </c>
      <c r="AA140" s="1256">
        <f t="shared" si="5"/>
        <v>4120875.6957067689</v>
      </c>
      <c r="AB140" s="1256">
        <f t="shared" si="5"/>
        <v>3914701.1121911616</v>
      </c>
      <c r="AC140" s="1256">
        <f t="shared" si="5"/>
        <v>3798216.2079555537</v>
      </c>
      <c r="AD140" s="1256">
        <f t="shared" si="5"/>
        <v>3674812.8985699438</v>
      </c>
      <c r="AE140" s="1256">
        <f t="shared" si="5"/>
        <v>40440958.327686444</v>
      </c>
      <c r="AF140" s="1256">
        <f t="shared" si="5"/>
        <v>69204714.996949941</v>
      </c>
      <c r="AG140" s="84"/>
      <c r="AH140" s="83"/>
    </row>
    <row r="141" spans="1:35" ht="13.8" thickBot="1" x14ac:dyDescent="0.3">
      <c r="H141" s="1175"/>
      <c r="I141" s="1176"/>
      <c r="J141" s="1175"/>
      <c r="K141" s="1176"/>
      <c r="O141" s="1177"/>
      <c r="P141" s="1176"/>
      <c r="X141" s="93"/>
      <c r="Y141" s="93"/>
      <c r="Z141" s="93"/>
      <c r="AA141" s="93"/>
      <c r="AB141" s="93"/>
      <c r="AC141" s="93"/>
      <c r="AD141" s="93"/>
      <c r="AE141" s="93"/>
      <c r="AF141" s="93"/>
      <c r="AH141" s="83" t="s">
        <v>1530</v>
      </c>
    </row>
    <row r="142" spans="1:35" s="42" customFormat="1" ht="13.95" customHeight="1" outlineLevel="1" x14ac:dyDescent="0.2">
      <c r="A142" s="371"/>
      <c r="B142" s="1219" t="s">
        <v>516</v>
      </c>
      <c r="C142" s="1220"/>
      <c r="D142" s="1221"/>
      <c r="E142" s="1222"/>
      <c r="F142" s="1219" t="s">
        <v>231</v>
      </c>
      <c r="G142" s="1219"/>
      <c r="H142" s="1223"/>
      <c r="I142" s="1224"/>
      <c r="J142" s="67"/>
      <c r="K142" s="68"/>
      <c r="L142" s="1224"/>
      <c r="M142" s="1224"/>
      <c r="N142" s="1224"/>
      <c r="O142" s="1224"/>
      <c r="P142" s="1224"/>
      <c r="Q142" s="1224">
        <f t="shared" ref="Q142:R142" si="6">SUM(Q10:Q141)</f>
        <v>9816171</v>
      </c>
      <c r="R142" s="1224">
        <f t="shared" si="6"/>
        <v>9638788</v>
      </c>
      <c r="S142" s="1242" t="s">
        <v>126</v>
      </c>
      <c r="T142" s="270"/>
      <c r="U142" s="1178">
        <f t="shared" ref="U142:AE143" si="7">SUMIF($S$10:$S$69,$S142,U$10:U$69)</f>
        <v>1100521.7431783541</v>
      </c>
      <c r="V142" s="1178">
        <f t="shared" si="7"/>
        <v>2313981.0731783542</v>
      </c>
      <c r="W142" s="1178">
        <f t="shared" si="7"/>
        <v>1761953.5999999999</v>
      </c>
      <c r="X142" s="1243">
        <f t="shared" si="7"/>
        <v>1831719.1379218104</v>
      </c>
      <c r="Y142" s="1178">
        <f t="shared" si="7"/>
        <v>1813667.8379218103</v>
      </c>
      <c r="Z142" s="1178">
        <f t="shared" si="7"/>
        <v>1804908.1679218104</v>
      </c>
      <c r="AA142" s="1178">
        <f t="shared" si="7"/>
        <v>1782158.8379218101</v>
      </c>
      <c r="AB142" s="1178">
        <f t="shared" si="7"/>
        <v>1736214.8379218103</v>
      </c>
      <c r="AC142" s="1178">
        <f t="shared" si="7"/>
        <v>1692649.8379218103</v>
      </c>
      <c r="AD142" s="1178">
        <f t="shared" si="7"/>
        <v>1663423.8379218103</v>
      </c>
      <c r="AE142" s="1178">
        <f t="shared" si="7"/>
        <v>12947279.718703706</v>
      </c>
      <c r="AF142" s="1178">
        <f>SUM(X142:AE142)</f>
        <v>25272022.214156378</v>
      </c>
      <c r="AH142" s="1178">
        <v>25272022.214156378</v>
      </c>
      <c r="AI142" s="1303">
        <f>AF142-AH142</f>
        <v>0</v>
      </c>
    </row>
    <row r="143" spans="1:35" s="42" customFormat="1" ht="13.95" customHeight="1" outlineLevel="1" thickBot="1" x14ac:dyDescent="0.25">
      <c r="A143" s="371"/>
      <c r="B143" s="1225"/>
      <c r="C143" s="1226"/>
      <c r="D143" s="1227"/>
      <c r="E143" s="1228"/>
      <c r="F143" s="1229" t="s">
        <v>1517</v>
      </c>
      <c r="G143" s="1230"/>
      <c r="H143" s="1231"/>
      <c r="I143" s="1232"/>
      <c r="J143" s="1194"/>
      <c r="K143" s="1195"/>
      <c r="L143" s="1232"/>
      <c r="M143" s="1232"/>
      <c r="N143" s="1232"/>
      <c r="O143" s="1232"/>
      <c r="P143" s="1232"/>
      <c r="Q143" s="1232"/>
      <c r="R143" s="1232"/>
      <c r="S143" s="1232" t="s">
        <v>2</v>
      </c>
      <c r="T143" s="1196"/>
      <c r="U143" s="1197">
        <f t="shared" si="7"/>
        <v>269203.59306087194</v>
      </c>
      <c r="V143" s="1197">
        <f t="shared" si="7"/>
        <v>493260.21641397773</v>
      </c>
      <c r="W143" s="1197">
        <f t="shared" si="7"/>
        <v>517432.22777248354</v>
      </c>
      <c r="X143" s="1244">
        <f t="shared" si="7"/>
        <v>503393.41598848347</v>
      </c>
      <c r="Y143" s="1197">
        <f t="shared" si="7"/>
        <v>466795.28154587554</v>
      </c>
      <c r="Z143" s="1197">
        <f t="shared" si="7"/>
        <v>430527.26238026732</v>
      </c>
      <c r="AA143" s="1197">
        <f t="shared" si="7"/>
        <v>394435.22498495888</v>
      </c>
      <c r="AB143" s="1197">
        <f t="shared" si="7"/>
        <v>358799.96594935097</v>
      </c>
      <c r="AC143" s="1197">
        <f t="shared" si="7"/>
        <v>324087.72187374264</v>
      </c>
      <c r="AD143" s="1197">
        <f t="shared" si="7"/>
        <v>290250.6986481346</v>
      </c>
      <c r="AE143" s="1197">
        <f t="shared" si="7"/>
        <v>3460738.7371507417</v>
      </c>
      <c r="AF143" s="1197">
        <f>SUM(X143:AE143)</f>
        <v>6229028.3085215557</v>
      </c>
      <c r="AH143" s="1197">
        <v>6329408.1099951668</v>
      </c>
      <c r="AI143" s="1303">
        <f t="shared" ref="AI143:AI152" si="8">AF143-AH143</f>
        <v>-100379.80147361103</v>
      </c>
    </row>
    <row r="144" spans="1:35" s="42" customFormat="1" ht="13.95" customHeight="1" outlineLevel="1" thickTop="1" x14ac:dyDescent="0.2">
      <c r="A144" s="371"/>
      <c r="B144" s="1233"/>
      <c r="C144" s="1220"/>
      <c r="D144" s="1221"/>
      <c r="E144" s="1222"/>
      <c r="F144" s="1219" t="s">
        <v>512</v>
      </c>
      <c r="G144" s="1219"/>
      <c r="H144" s="1223"/>
      <c r="I144" s="1224"/>
      <c r="J144" s="67"/>
      <c r="K144" s="68"/>
      <c r="L144" s="1224"/>
      <c r="M144" s="1224"/>
      <c r="N144" s="1224"/>
      <c r="O144" s="1224"/>
      <c r="P144" s="1224"/>
      <c r="Q144" s="1224"/>
      <c r="R144" s="1224"/>
      <c r="S144" s="1224"/>
      <c r="T144" s="270"/>
      <c r="U144" s="1178">
        <f>SUM(U142:U143)</f>
        <v>1369725.3362392262</v>
      </c>
      <c r="V144" s="1178">
        <f t="shared" ref="V144:AE144" si="9">SUM(V142:V143)</f>
        <v>2807241.2895923317</v>
      </c>
      <c r="W144" s="1178">
        <f t="shared" si="9"/>
        <v>2279385.8277724832</v>
      </c>
      <c r="X144" s="1245">
        <f t="shared" si="9"/>
        <v>2335112.5539102936</v>
      </c>
      <c r="Y144" s="1178">
        <f t="shared" si="9"/>
        <v>2280463.1194676859</v>
      </c>
      <c r="Z144" s="1178">
        <f t="shared" si="9"/>
        <v>2235435.4303020779</v>
      </c>
      <c r="AA144" s="1178">
        <f t="shared" si="9"/>
        <v>2176594.0629067691</v>
      </c>
      <c r="AB144" s="1178">
        <f t="shared" si="9"/>
        <v>2095014.8038711613</v>
      </c>
      <c r="AC144" s="1178">
        <f t="shared" si="9"/>
        <v>2016737.5597955529</v>
      </c>
      <c r="AD144" s="1178">
        <f t="shared" si="9"/>
        <v>1953674.536569945</v>
      </c>
      <c r="AE144" s="1178">
        <f t="shared" si="9"/>
        <v>16408018.455854448</v>
      </c>
      <c r="AF144" s="1178">
        <f>SUM(X144:AE144)</f>
        <v>31501050.522677936</v>
      </c>
      <c r="AH144" s="1178">
        <v>31601430.324151546</v>
      </c>
      <c r="AI144" s="1303">
        <f t="shared" si="8"/>
        <v>-100379.8014736101</v>
      </c>
    </row>
    <row r="145" spans="1:35" s="42" customFormat="1" ht="5.25" customHeight="1" outlineLevel="1" x14ac:dyDescent="0.2">
      <c r="A145" s="371"/>
      <c r="B145" s="13"/>
      <c r="C145" s="64"/>
      <c r="D145" s="65"/>
      <c r="E145" s="190"/>
      <c r="F145" s="84"/>
      <c r="G145" s="84"/>
      <c r="H145" s="1207"/>
      <c r="I145" s="61"/>
      <c r="J145" s="1207"/>
      <c r="K145" s="61"/>
      <c r="L145" s="61"/>
      <c r="M145" s="61"/>
      <c r="N145" s="61"/>
      <c r="O145" s="61"/>
      <c r="P145" s="61"/>
      <c r="Q145" s="61"/>
      <c r="R145" s="61"/>
      <c r="S145" s="61"/>
      <c r="T145" s="270"/>
      <c r="U145" s="69"/>
      <c r="V145" s="69"/>
      <c r="W145" s="69"/>
      <c r="X145" s="1246"/>
      <c r="Y145" s="1235"/>
      <c r="Z145" s="1235"/>
      <c r="AA145" s="1235"/>
      <c r="AB145" s="1235"/>
      <c r="AC145" s="1235"/>
      <c r="AD145" s="1235"/>
      <c r="AE145" s="1235"/>
      <c r="AF145" s="1235"/>
      <c r="AH145" s="1235"/>
      <c r="AI145" s="1303">
        <f t="shared" si="8"/>
        <v>0</v>
      </c>
    </row>
    <row r="146" spans="1:35" s="42" customFormat="1" ht="13.95" customHeight="1" outlineLevel="1" x14ac:dyDescent="0.2">
      <c r="A146" s="371"/>
      <c r="B146" s="1179" t="s">
        <v>388</v>
      </c>
      <c r="C146" s="1180"/>
      <c r="D146" s="1181"/>
      <c r="E146" s="1182"/>
      <c r="F146" s="1179" t="s">
        <v>231</v>
      </c>
      <c r="G146" s="1179"/>
      <c r="H146" s="1183"/>
      <c r="I146" s="1184"/>
      <c r="J146" s="67"/>
      <c r="K146" s="68"/>
      <c r="L146" s="1184"/>
      <c r="M146" s="1184"/>
      <c r="N146" s="1184"/>
      <c r="O146" s="1184"/>
      <c r="P146" s="1184"/>
      <c r="Q146" s="1184">
        <f>SUM(Q11:Q142)</f>
        <v>17549429</v>
      </c>
      <c r="R146" s="1184">
        <f>SUM(R11:R142)</f>
        <v>17211737</v>
      </c>
      <c r="S146" s="1184" t="s">
        <v>126</v>
      </c>
      <c r="T146" s="270"/>
      <c r="U146" s="1185"/>
      <c r="V146" s="1185">
        <f>SUMIF($S$70:$S$139,$S146,V$70:V$139)</f>
        <v>1233073.6299999999</v>
      </c>
      <c r="W146" s="1185">
        <f t="shared" ref="W146:AE147" si="10">SUMIF($S$70:$S$139,$S146,W$70:W$139)</f>
        <v>1362540</v>
      </c>
      <c r="X146" s="1247">
        <f t="shared" si="10"/>
        <v>1770171</v>
      </c>
      <c r="Y146" s="1185">
        <f t="shared" si="10"/>
        <v>1581492</v>
      </c>
      <c r="Z146" s="1185">
        <f t="shared" si="10"/>
        <v>1518364</v>
      </c>
      <c r="AA146" s="1185">
        <f t="shared" si="10"/>
        <v>1493256</v>
      </c>
      <c r="AB146" s="1185">
        <f t="shared" si="10"/>
        <v>1397152</v>
      </c>
      <c r="AC146" s="1185">
        <f t="shared" si="10"/>
        <v>1385602</v>
      </c>
      <c r="AD146" s="1185">
        <f t="shared" si="10"/>
        <v>1351699</v>
      </c>
      <c r="AE146" s="1185">
        <f t="shared" si="10"/>
        <v>18010951</v>
      </c>
      <c r="AF146" s="1185">
        <f>SUM(X146:AE146)</f>
        <v>28508687</v>
      </c>
      <c r="AH146" s="1185">
        <v>28671572</v>
      </c>
      <c r="AI146" s="1303">
        <f t="shared" si="8"/>
        <v>-162885</v>
      </c>
    </row>
    <row r="147" spans="1:35" s="42" customFormat="1" ht="13.95" customHeight="1" outlineLevel="1" thickBot="1" x14ac:dyDescent="0.25">
      <c r="A147" s="371"/>
      <c r="B147" s="1198"/>
      <c r="C147" s="1199"/>
      <c r="D147" s="1200"/>
      <c r="E147" s="1201"/>
      <c r="F147" s="1202" t="s">
        <v>1517</v>
      </c>
      <c r="G147" s="1203"/>
      <c r="H147" s="1204"/>
      <c r="I147" s="1205"/>
      <c r="J147" s="1194"/>
      <c r="K147" s="1195"/>
      <c r="L147" s="1205"/>
      <c r="M147" s="1205"/>
      <c r="N147" s="1205"/>
      <c r="O147" s="1205"/>
      <c r="P147" s="1205"/>
      <c r="Q147" s="1205"/>
      <c r="R147" s="1205"/>
      <c r="S147" s="1205" t="s">
        <v>2</v>
      </c>
      <c r="T147" s="1196"/>
      <c r="U147" s="1206"/>
      <c r="V147" s="1206">
        <f>SUMIF($S$70:$S$139,$S147,V$70:V$139)</f>
        <v>39778.774999999994</v>
      </c>
      <c r="W147" s="1206">
        <f t="shared" si="10"/>
        <v>75900.273305000024</v>
      </c>
      <c r="X147" s="1248">
        <f t="shared" si="10"/>
        <v>543945.74796000007</v>
      </c>
      <c r="Y147" s="1206">
        <f t="shared" si="10"/>
        <v>510170.88527999999</v>
      </c>
      <c r="Z147" s="1206">
        <f t="shared" si="10"/>
        <v>479996.01791999995</v>
      </c>
      <c r="AA147" s="1206">
        <f t="shared" si="10"/>
        <v>451025.63280000002</v>
      </c>
      <c r="AB147" s="1206">
        <f t="shared" si="10"/>
        <v>422534.30832000007</v>
      </c>
      <c r="AC147" s="1206">
        <f t="shared" si="10"/>
        <v>395876.64815999992</v>
      </c>
      <c r="AD147" s="1206">
        <f t="shared" si="10"/>
        <v>369439.36200000002</v>
      </c>
      <c r="AE147" s="1206">
        <f t="shared" si="10"/>
        <v>6021988.871832002</v>
      </c>
      <c r="AF147" s="1206">
        <f>SUM(X147:AE147)</f>
        <v>9194977.4742720015</v>
      </c>
      <c r="AH147" s="1206">
        <v>9441833.6928719971</v>
      </c>
      <c r="AI147" s="1303">
        <f t="shared" si="8"/>
        <v>-246856.2185999956</v>
      </c>
    </row>
    <row r="148" spans="1:35" s="42" customFormat="1" ht="13.95" customHeight="1" outlineLevel="1" thickTop="1" x14ac:dyDescent="0.2">
      <c r="A148" s="371"/>
      <c r="B148" s="384"/>
      <c r="C148" s="1180"/>
      <c r="D148" s="1181"/>
      <c r="E148" s="1182"/>
      <c r="F148" s="1179" t="s">
        <v>512</v>
      </c>
      <c r="G148" s="1179"/>
      <c r="H148" s="1183"/>
      <c r="I148" s="1184"/>
      <c r="J148" s="67"/>
      <c r="K148" s="68"/>
      <c r="L148" s="1184"/>
      <c r="M148" s="1184"/>
      <c r="N148" s="1184"/>
      <c r="O148" s="1184"/>
      <c r="P148" s="1184"/>
      <c r="Q148" s="1184"/>
      <c r="R148" s="1184"/>
      <c r="S148" s="1184"/>
      <c r="T148" s="270"/>
      <c r="U148" s="1185"/>
      <c r="V148" s="1185">
        <f>SUM(V146:V147)</f>
        <v>1272852.4049999998</v>
      </c>
      <c r="W148" s="1185">
        <f t="shared" ref="W148:AE148" si="11">SUM(W146:W147)</f>
        <v>1438440.273305</v>
      </c>
      <c r="X148" s="1247">
        <f t="shared" si="11"/>
        <v>2314116.7479600003</v>
      </c>
      <c r="Y148" s="1185">
        <f t="shared" si="11"/>
        <v>2091662.88528</v>
      </c>
      <c r="Z148" s="1185">
        <f t="shared" si="11"/>
        <v>1998360.01792</v>
      </c>
      <c r="AA148" s="1185">
        <f t="shared" si="11"/>
        <v>1944281.6328</v>
      </c>
      <c r="AB148" s="1185">
        <f t="shared" si="11"/>
        <v>1819686.3083200001</v>
      </c>
      <c r="AC148" s="1185">
        <f t="shared" si="11"/>
        <v>1781478.6481599999</v>
      </c>
      <c r="AD148" s="1185">
        <f t="shared" si="11"/>
        <v>1721138.362</v>
      </c>
      <c r="AE148" s="1185">
        <f t="shared" si="11"/>
        <v>24032939.871832002</v>
      </c>
      <c r="AF148" s="1185">
        <f>SUM(X148:AE148)</f>
        <v>37703664.474271998</v>
      </c>
      <c r="AH148" s="1185">
        <v>38113405.692871995</v>
      </c>
      <c r="AI148" s="1303">
        <f t="shared" si="8"/>
        <v>-409741.21859999746</v>
      </c>
    </row>
    <row r="149" spans="1:35" s="42" customFormat="1" ht="7.5" customHeight="1" outlineLevel="1" x14ac:dyDescent="0.2">
      <c r="A149" s="371"/>
      <c r="B149" s="13"/>
      <c r="C149" s="64"/>
      <c r="D149" s="65"/>
      <c r="E149" s="190"/>
      <c r="F149" s="84"/>
      <c r="G149" s="84"/>
      <c r="H149" s="1207"/>
      <c r="I149" s="61"/>
      <c r="J149" s="1207"/>
      <c r="K149" s="61"/>
      <c r="L149" s="61"/>
      <c r="M149" s="61"/>
      <c r="N149" s="61"/>
      <c r="O149" s="61"/>
      <c r="P149" s="61"/>
      <c r="Q149" s="61"/>
      <c r="R149" s="61"/>
      <c r="S149" s="61"/>
      <c r="T149" s="270"/>
      <c r="U149" s="69"/>
      <c r="V149" s="69"/>
      <c r="W149" s="69"/>
      <c r="X149" s="1246"/>
      <c r="Y149" s="1235"/>
      <c r="Z149" s="1235"/>
      <c r="AA149" s="1235"/>
      <c r="AB149" s="1235"/>
      <c r="AC149" s="1235"/>
      <c r="AD149" s="1235"/>
      <c r="AE149" s="1235"/>
      <c r="AF149" s="1235"/>
      <c r="AH149" s="1235"/>
      <c r="AI149" s="1303">
        <f t="shared" si="8"/>
        <v>0</v>
      </c>
    </row>
    <row r="150" spans="1:35" s="42" customFormat="1" ht="13.95" customHeight="1" outlineLevel="1" x14ac:dyDescent="0.2">
      <c r="A150" s="371"/>
      <c r="B150" s="1186" t="s">
        <v>1519</v>
      </c>
      <c r="C150" s="1187"/>
      <c r="D150" s="1188"/>
      <c r="E150" s="1189"/>
      <c r="F150" s="1186" t="s">
        <v>231</v>
      </c>
      <c r="G150" s="1186"/>
      <c r="H150" s="1190"/>
      <c r="I150" s="1191"/>
      <c r="J150" s="67"/>
      <c r="K150" s="68"/>
      <c r="L150" s="1191"/>
      <c r="M150" s="1191"/>
      <c r="N150" s="1191"/>
      <c r="O150" s="1191"/>
      <c r="P150" s="1191"/>
      <c r="Q150" s="1191"/>
      <c r="R150" s="1191"/>
      <c r="S150" s="1191" t="s">
        <v>126</v>
      </c>
      <c r="T150" s="270"/>
      <c r="U150" s="1217">
        <f>SUM(U142,U146)</f>
        <v>1100521.7431783541</v>
      </c>
      <c r="V150" s="1217">
        <f t="shared" ref="V150:AF150" si="12">SUM(V142,V146)</f>
        <v>3547054.7031783541</v>
      </c>
      <c r="W150" s="1217">
        <f t="shared" si="12"/>
        <v>3124493.5999999996</v>
      </c>
      <c r="X150" s="1249">
        <f t="shared" si="12"/>
        <v>3601890.1379218102</v>
      </c>
      <c r="Y150" s="1217">
        <f t="shared" si="12"/>
        <v>3395159.8379218103</v>
      </c>
      <c r="Z150" s="1217">
        <f t="shared" si="12"/>
        <v>3323272.1679218104</v>
      </c>
      <c r="AA150" s="1217">
        <f t="shared" si="12"/>
        <v>3275414.8379218103</v>
      </c>
      <c r="AB150" s="1217">
        <f t="shared" si="12"/>
        <v>3133366.8379218103</v>
      </c>
      <c r="AC150" s="1217">
        <f t="shared" si="12"/>
        <v>3078251.8379218103</v>
      </c>
      <c r="AD150" s="1217">
        <f t="shared" si="12"/>
        <v>3015122.8379218103</v>
      </c>
      <c r="AE150" s="1217">
        <f t="shared" si="12"/>
        <v>30958230.718703706</v>
      </c>
      <c r="AF150" s="1217">
        <f t="shared" si="12"/>
        <v>53780709.214156374</v>
      </c>
      <c r="AH150" s="1217">
        <v>53943594.214156374</v>
      </c>
      <c r="AI150" s="1303">
        <f t="shared" si="8"/>
        <v>-162885</v>
      </c>
    </row>
    <row r="151" spans="1:35" s="42" customFormat="1" ht="13.95" customHeight="1" outlineLevel="1" thickBot="1" x14ac:dyDescent="0.25">
      <c r="A151" s="371"/>
      <c r="B151" s="1209"/>
      <c r="C151" s="1210"/>
      <c r="D151" s="1211"/>
      <c r="E151" s="1212"/>
      <c r="F151" s="1208" t="s">
        <v>1517</v>
      </c>
      <c r="G151" s="1213"/>
      <c r="H151" s="1214"/>
      <c r="I151" s="1215"/>
      <c r="J151" s="1194"/>
      <c r="K151" s="1195"/>
      <c r="L151" s="1215"/>
      <c r="M151" s="1215"/>
      <c r="N151" s="1215"/>
      <c r="O151" s="1215"/>
      <c r="P151" s="1215"/>
      <c r="Q151" s="1215">
        <f>SUM(Q12:Q146)</f>
        <v>35098858</v>
      </c>
      <c r="R151" s="1215">
        <f>SUM(R12:R146)</f>
        <v>34423474</v>
      </c>
      <c r="S151" s="1215" t="s">
        <v>2</v>
      </c>
      <c r="T151" s="1196"/>
      <c r="U151" s="1218">
        <f>SUM(U143,U147)</f>
        <v>269203.59306087194</v>
      </c>
      <c r="V151" s="1218">
        <f t="shared" ref="V151:AF151" si="13">SUM(V143,V147)</f>
        <v>533038.9914139777</v>
      </c>
      <c r="W151" s="1218">
        <f t="shared" si="13"/>
        <v>593332.50107748352</v>
      </c>
      <c r="X151" s="1250">
        <f t="shared" si="13"/>
        <v>1047339.1639484835</v>
      </c>
      <c r="Y151" s="1218">
        <f t="shared" si="13"/>
        <v>976966.16682587552</v>
      </c>
      <c r="Z151" s="1218">
        <f t="shared" si="13"/>
        <v>910523.28030026727</v>
      </c>
      <c r="AA151" s="1218">
        <f t="shared" si="13"/>
        <v>845460.85778495891</v>
      </c>
      <c r="AB151" s="1218">
        <f t="shared" si="13"/>
        <v>781334.27426935104</v>
      </c>
      <c r="AC151" s="1218">
        <f t="shared" si="13"/>
        <v>719964.37003374263</v>
      </c>
      <c r="AD151" s="1218">
        <f t="shared" si="13"/>
        <v>659690.06064813468</v>
      </c>
      <c r="AE151" s="1218">
        <f t="shared" si="13"/>
        <v>9482727.6089827437</v>
      </c>
      <c r="AF151" s="1218">
        <f t="shared" si="13"/>
        <v>15424005.782793557</v>
      </c>
      <c r="AH151" s="1218">
        <v>15771241.802867163</v>
      </c>
      <c r="AI151" s="1303">
        <f t="shared" si="8"/>
        <v>-347236.0200736057</v>
      </c>
    </row>
    <row r="152" spans="1:35" s="42" customFormat="1" ht="13.95" customHeight="1" outlineLevel="1" thickTop="1" thickBot="1" x14ac:dyDescent="0.25">
      <c r="A152" s="371"/>
      <c r="B152" s="1216"/>
      <c r="C152" s="1187"/>
      <c r="D152" s="1188"/>
      <c r="E152" s="1189"/>
      <c r="F152" s="1186" t="s">
        <v>512</v>
      </c>
      <c r="G152" s="1186"/>
      <c r="H152" s="1190"/>
      <c r="I152" s="1191"/>
      <c r="J152" s="67"/>
      <c r="K152" s="68"/>
      <c r="L152" s="1191"/>
      <c r="M152" s="1191"/>
      <c r="N152" s="1191"/>
      <c r="O152" s="1191"/>
      <c r="P152" s="1191"/>
      <c r="Q152" s="1191"/>
      <c r="R152" s="1191"/>
      <c r="S152" s="1191"/>
      <c r="T152" s="270"/>
      <c r="U152" s="1217">
        <f>SUM(U150:U151)</f>
        <v>1369725.3362392262</v>
      </c>
      <c r="V152" s="1217">
        <f t="shared" ref="V152:AF152" si="14">SUM(V150:V151)</f>
        <v>4080093.6945923315</v>
      </c>
      <c r="W152" s="1217">
        <f t="shared" si="14"/>
        <v>3717826.101077483</v>
      </c>
      <c r="X152" s="1251">
        <f t="shared" si="14"/>
        <v>4649229.3018702939</v>
      </c>
      <c r="Y152" s="1217">
        <f t="shared" si="14"/>
        <v>4372126.004747686</v>
      </c>
      <c r="Z152" s="1217">
        <f t="shared" si="14"/>
        <v>4233795.4482220775</v>
      </c>
      <c r="AA152" s="1217">
        <f t="shared" si="14"/>
        <v>4120875.6957067694</v>
      </c>
      <c r="AB152" s="1217">
        <f t="shared" si="14"/>
        <v>3914701.1121911611</v>
      </c>
      <c r="AC152" s="1217">
        <f t="shared" si="14"/>
        <v>3798216.2079555532</v>
      </c>
      <c r="AD152" s="1217">
        <f t="shared" si="14"/>
        <v>3674812.8985699452</v>
      </c>
      <c r="AE152" s="1217">
        <f t="shared" si="14"/>
        <v>40440958.327686451</v>
      </c>
      <c r="AF152" s="1217">
        <f t="shared" si="14"/>
        <v>69204714.996949926</v>
      </c>
      <c r="AH152" s="1217">
        <v>69714836.017023534</v>
      </c>
      <c r="AI152" s="1303">
        <f t="shared" si="8"/>
        <v>-510121.02007360756</v>
      </c>
    </row>
    <row r="153" spans="1:35" s="42" customFormat="1" ht="11.25" customHeight="1" outlineLevel="1" x14ac:dyDescent="0.2">
      <c r="A153" s="371"/>
      <c r="B153" s="64"/>
      <c r="C153" s="64"/>
      <c r="D153" s="65"/>
      <c r="E153" s="190"/>
      <c r="F153" s="66"/>
      <c r="G153" s="65"/>
      <c r="H153" s="67"/>
      <c r="I153" s="68"/>
      <c r="J153" s="67"/>
      <c r="K153" s="68"/>
      <c r="L153" s="65"/>
      <c r="M153" s="65"/>
      <c r="N153" s="65"/>
      <c r="O153" s="191"/>
      <c r="P153" s="192"/>
      <c r="Q153" s="63"/>
      <c r="R153" s="63"/>
      <c r="S153" s="65"/>
      <c r="T153" s="270"/>
      <c r="U153" s="69"/>
      <c r="V153" s="69"/>
      <c r="W153" s="69"/>
      <c r="X153" s="209"/>
      <c r="Y153" s="209"/>
      <c r="Z153" s="209"/>
      <c r="AA153" s="209"/>
      <c r="AB153" s="209"/>
      <c r="AC153" s="209"/>
      <c r="AD153" s="209"/>
      <c r="AE153" s="69"/>
      <c r="AF153" s="69"/>
      <c r="AG153" s="84"/>
      <c r="AH153" s="83"/>
      <c r="AI153" s="1303"/>
    </row>
    <row r="154" spans="1:35" s="42" customFormat="1" ht="11.25" customHeight="1" outlineLevel="1" x14ac:dyDescent="0.2">
      <c r="A154" s="371"/>
      <c r="B154" s="64"/>
      <c r="C154" s="64"/>
      <c r="D154" s="65"/>
      <c r="E154" s="190"/>
      <c r="F154" s="66"/>
      <c r="G154" s="65"/>
      <c r="H154" s="67"/>
      <c r="I154" s="68"/>
      <c r="J154" s="67"/>
      <c r="K154" s="68"/>
      <c r="L154" s="65"/>
      <c r="M154" s="65"/>
      <c r="N154" s="65"/>
      <c r="O154" s="191"/>
      <c r="P154" s="192"/>
      <c r="Q154" s="63"/>
      <c r="R154" s="63"/>
      <c r="S154" s="65"/>
      <c r="T154" s="270"/>
      <c r="U154" s="69"/>
      <c r="V154" s="69"/>
      <c r="W154" s="69"/>
      <c r="X154" s="1305">
        <f>X143/X142</f>
        <v>0.27482019790414591</v>
      </c>
      <c r="Y154" s="1305">
        <f t="shared" ref="Y154:AE154" si="15">Y143/Y142</f>
        <v>0.2573763904203939</v>
      </c>
      <c r="Z154" s="1305">
        <f t="shared" si="15"/>
        <v>0.23853139457836284</v>
      </c>
      <c r="AA154" s="1305">
        <f t="shared" si="15"/>
        <v>0.22132439409548535</v>
      </c>
      <c r="AB154" s="1305">
        <f t="shared" si="15"/>
        <v>0.20665643335868633</v>
      </c>
      <c r="AC154" s="1305">
        <f t="shared" si="15"/>
        <v>0.19146767075678733</v>
      </c>
      <c r="AD154" s="1305">
        <f t="shared" si="15"/>
        <v>0.17448992375314146</v>
      </c>
      <c r="AE154" s="1305">
        <f t="shared" si="15"/>
        <v>0.26729466052636069</v>
      </c>
      <c r="AF154" s="69"/>
      <c r="AG154" s="84"/>
      <c r="AH154" s="83"/>
      <c r="AI154" s="1304"/>
    </row>
    <row r="155" spans="1:35" s="42" customFormat="1" ht="14.4" thickBot="1" x14ac:dyDescent="0.35">
      <c r="A155" s="368" t="s">
        <v>145</v>
      </c>
      <c r="B155" s="64"/>
      <c r="C155" s="64"/>
      <c r="D155" s="65"/>
      <c r="E155" s="190"/>
      <c r="F155" s="66"/>
      <c r="G155" s="65"/>
      <c r="H155" s="67"/>
      <c r="I155" s="68"/>
      <c r="J155" s="67"/>
      <c r="K155" s="68"/>
      <c r="L155" s="65"/>
      <c r="M155" s="65"/>
      <c r="N155" s="65"/>
      <c r="O155" s="191"/>
      <c r="P155" s="192"/>
      <c r="Q155" s="63"/>
      <c r="R155" s="63"/>
      <c r="S155" s="65"/>
      <c r="T155" s="270"/>
      <c r="U155" s="69"/>
      <c r="V155" s="69"/>
      <c r="W155" s="69"/>
      <c r="X155" s="1305">
        <f>X147/X146</f>
        <v>0.30728429511047239</v>
      </c>
      <c r="Y155" s="1305">
        <f t="shared" ref="Y155:AE155" si="16">Y147/Y146</f>
        <v>0.32258834396885977</v>
      </c>
      <c r="Z155" s="1305">
        <f t="shared" si="16"/>
        <v>0.31612710649093362</v>
      </c>
      <c r="AA155" s="1305">
        <f t="shared" si="16"/>
        <v>0.30204173483983993</v>
      </c>
      <c r="AB155" s="1305">
        <f t="shared" si="16"/>
        <v>0.30242543998076094</v>
      </c>
      <c r="AC155" s="1305">
        <f t="shared" si="16"/>
        <v>0.2857073302145926</v>
      </c>
      <c r="AD155" s="1305">
        <f t="shared" si="16"/>
        <v>0.27331481491071608</v>
      </c>
      <c r="AE155" s="1305">
        <f t="shared" si="16"/>
        <v>0.33435152157329184</v>
      </c>
      <c r="AF155" s="69"/>
      <c r="AG155" s="84"/>
      <c r="AH155" s="83"/>
    </row>
    <row r="156" spans="1:35" s="20" customFormat="1" ht="52.5" customHeight="1" thickBot="1" x14ac:dyDescent="0.3">
      <c r="A156" s="1543" t="s">
        <v>241</v>
      </c>
      <c r="B156" s="1544"/>
      <c r="C156" s="356" t="s">
        <v>109</v>
      </c>
      <c r="D156" s="14" t="s">
        <v>110</v>
      </c>
      <c r="E156" s="178" t="s">
        <v>111</v>
      </c>
      <c r="F156" s="14" t="s">
        <v>111</v>
      </c>
      <c r="G156" s="14" t="s">
        <v>112</v>
      </c>
      <c r="H156" s="179" t="s">
        <v>113</v>
      </c>
      <c r="I156" s="15" t="s">
        <v>114</v>
      </c>
      <c r="J156" s="179" t="s">
        <v>115</v>
      </c>
      <c r="K156" s="15" t="s">
        <v>116</v>
      </c>
      <c r="L156" s="165" t="s">
        <v>213</v>
      </c>
      <c r="M156" s="165" t="s">
        <v>117</v>
      </c>
      <c r="N156" s="165" t="s">
        <v>118</v>
      </c>
      <c r="O156" s="16" t="s">
        <v>119</v>
      </c>
      <c r="P156" s="17" t="s">
        <v>120</v>
      </c>
      <c r="Q156" s="18" t="s">
        <v>121</v>
      </c>
      <c r="R156" s="18" t="s">
        <v>191</v>
      </c>
      <c r="S156" s="19" t="s">
        <v>122</v>
      </c>
      <c r="T156" s="1261"/>
      <c r="U156" s="1234" t="s">
        <v>124</v>
      </c>
      <c r="V156" s="1234" t="s">
        <v>125</v>
      </c>
      <c r="W156" s="1234" t="s">
        <v>217</v>
      </c>
      <c r="X156" s="18" t="s">
        <v>273</v>
      </c>
      <c r="Y156" s="18" t="s">
        <v>274</v>
      </c>
      <c r="Z156" s="18" t="s">
        <v>314</v>
      </c>
      <c r="AA156" s="18" t="s">
        <v>336</v>
      </c>
      <c r="AB156" s="18" t="s">
        <v>374</v>
      </c>
      <c r="AC156" s="18" t="s">
        <v>681</v>
      </c>
      <c r="AD156" s="18" t="s">
        <v>1152</v>
      </c>
      <c r="AE156" s="18" t="s">
        <v>1153</v>
      </c>
      <c r="AF156" s="18" t="s">
        <v>1154</v>
      </c>
      <c r="AG156" s="851"/>
      <c r="AH156" s="83"/>
    </row>
    <row r="157" spans="1:35" s="42" customFormat="1" ht="9" customHeight="1" thickBot="1" x14ac:dyDescent="0.35">
      <c r="A157" s="372"/>
      <c r="B157" s="70"/>
      <c r="C157" s="70"/>
      <c r="D157" s="71"/>
      <c r="E157" s="193"/>
      <c r="F157" s="72"/>
      <c r="G157" s="71"/>
      <c r="H157" s="73"/>
      <c r="I157" s="74"/>
      <c r="J157" s="73"/>
      <c r="K157" s="74"/>
      <c r="L157" s="71"/>
      <c r="M157" s="71"/>
      <c r="N157" s="71"/>
      <c r="O157" s="194"/>
      <c r="P157" s="195"/>
      <c r="Q157" s="75"/>
      <c r="R157" s="75"/>
      <c r="S157" s="71"/>
      <c r="T157" s="271"/>
      <c r="U157" s="76"/>
      <c r="V157" s="76"/>
      <c r="W157" s="76"/>
      <c r="X157" s="76"/>
      <c r="Y157" s="76"/>
      <c r="Z157" s="76"/>
      <c r="AA157" s="76"/>
      <c r="AB157" s="76"/>
      <c r="AC157" s="76"/>
      <c r="AD157" s="76"/>
      <c r="AE157" s="76"/>
      <c r="AF157" s="76"/>
      <c r="AG157" s="84"/>
      <c r="AH157" s="83"/>
    </row>
    <row r="158" spans="1:35" s="26" customFormat="1" x14ac:dyDescent="0.2">
      <c r="A158" s="373">
        <v>1</v>
      </c>
      <c r="B158" s="77" t="s">
        <v>146</v>
      </c>
      <c r="C158" s="43"/>
      <c r="D158" s="52"/>
      <c r="E158" s="196"/>
      <c r="F158" s="44" t="s">
        <v>239</v>
      </c>
      <c r="G158" s="45" t="s">
        <v>238</v>
      </c>
      <c r="H158" s="46">
        <v>110000</v>
      </c>
      <c r="I158" s="23">
        <v>129553</v>
      </c>
      <c r="J158" s="46"/>
      <c r="K158" s="55"/>
      <c r="L158" s="58">
        <f>0.101%+$L$7</f>
        <v>1.7590000000000001E-2</v>
      </c>
      <c r="M158" s="39">
        <v>2.5000000000000001E-3</v>
      </c>
      <c r="N158" s="47">
        <v>5</v>
      </c>
      <c r="O158" s="197"/>
      <c r="P158" s="198"/>
      <c r="Q158" s="25"/>
      <c r="R158" s="25"/>
      <c r="S158" s="49" t="s">
        <v>126</v>
      </c>
      <c r="T158" s="312"/>
      <c r="U158" s="50">
        <v>8936</v>
      </c>
      <c r="V158" s="50">
        <v>8936</v>
      </c>
      <c r="W158" s="50">
        <v>8936</v>
      </c>
      <c r="X158" s="50">
        <v>8936</v>
      </c>
      <c r="Y158" s="50">
        <v>8936</v>
      </c>
      <c r="Z158" s="50">
        <v>8936</v>
      </c>
      <c r="AA158" s="50">
        <v>8936</v>
      </c>
      <c r="AB158" s="50">
        <v>8936</v>
      </c>
      <c r="AC158" s="50">
        <v>8936</v>
      </c>
      <c r="AD158" s="50">
        <v>8936</v>
      </c>
      <c r="AE158" s="50">
        <v>29042</v>
      </c>
      <c r="AF158" s="50">
        <f>SUM(X158:AE158)</f>
        <v>91594</v>
      </c>
      <c r="AG158" s="64"/>
      <c r="AH158" s="83"/>
    </row>
    <row r="159" spans="1:35" s="42" customFormat="1" ht="11.4" customHeight="1" thickBot="1" x14ac:dyDescent="0.25">
      <c r="A159" s="369"/>
      <c r="B159" s="79"/>
      <c r="C159" s="27"/>
      <c r="D159" s="28"/>
      <c r="E159" s="185"/>
      <c r="F159" s="40"/>
      <c r="G159" s="30"/>
      <c r="H159" s="80"/>
      <c r="I159" s="41"/>
      <c r="J159" s="80"/>
      <c r="K159" s="41"/>
      <c r="L159" s="28"/>
      <c r="M159" s="28"/>
      <c r="N159" s="28"/>
      <c r="O159" s="199"/>
      <c r="P159" s="200"/>
      <c r="Q159" s="32"/>
      <c r="R159" s="32"/>
      <c r="S159" s="33" t="s">
        <v>2</v>
      </c>
      <c r="T159" s="269"/>
      <c r="U159" s="34">
        <v>385.27866</v>
      </c>
      <c r="V159" s="34">
        <v>353.91329999999999</v>
      </c>
      <c r="W159" s="34">
        <v>1659.7502999999999</v>
      </c>
      <c r="X159" s="34">
        <f>((SUM(X158:$AE158))*($L158+$M158))</f>
        <v>1840.12346</v>
      </c>
      <c r="Y159" s="34">
        <f>((SUM(Y158:$AE158))*($L158+$M158))</f>
        <v>1660.5992200000001</v>
      </c>
      <c r="Z159" s="34">
        <f>((SUM(Z158:$AE158))*($L158+$M158))</f>
        <v>1481.0749800000001</v>
      </c>
      <c r="AA159" s="34">
        <f>((SUM(AA158:$AE158))*($L158+$M158))</f>
        <v>1301.5507399999999</v>
      </c>
      <c r="AB159" s="34">
        <f>((SUM(AB158:$AE158))*($L158+$M158))</f>
        <v>1122.0264999999999</v>
      </c>
      <c r="AC159" s="34">
        <f>((SUM(AC158:$AE158))*($L158+$M158))</f>
        <v>942.50225999999998</v>
      </c>
      <c r="AD159" s="34">
        <f>((SUM(AD158:$AE158))*($L158+$M158))</f>
        <v>762.97802000000001</v>
      </c>
      <c r="AE159" s="34">
        <f>((SUM(AE158:$AE158))*($L158+$M158))*3</f>
        <v>1750.3613400000002</v>
      </c>
      <c r="AF159" s="50">
        <f>SUM(X159:AE159)</f>
        <v>10861.21652</v>
      </c>
      <c r="AG159" s="84"/>
      <c r="AH159" s="83"/>
    </row>
    <row r="160" spans="1:35" s="26" customFormat="1" x14ac:dyDescent="0.2">
      <c r="A160" s="370">
        <v>2</v>
      </c>
      <c r="B160" s="77" t="s">
        <v>333</v>
      </c>
      <c r="C160" s="43"/>
      <c r="D160" s="52"/>
      <c r="E160" s="196"/>
      <c r="F160" s="44" t="s">
        <v>331</v>
      </c>
      <c r="G160" s="45" t="s">
        <v>332</v>
      </c>
      <c r="H160" s="46">
        <v>110000</v>
      </c>
      <c r="I160" s="23">
        <v>44681</v>
      </c>
      <c r="J160" s="46">
        <v>110000</v>
      </c>
      <c r="K160" s="55"/>
      <c r="L160" s="58">
        <v>3.5599999999999998E-3</v>
      </c>
      <c r="M160" s="39">
        <v>5.0000000000000001E-3</v>
      </c>
      <c r="N160" s="35">
        <v>4</v>
      </c>
      <c r="O160" s="197"/>
      <c r="P160" s="198"/>
      <c r="Q160" s="48"/>
      <c r="R160" s="48"/>
      <c r="S160" s="49" t="s">
        <v>126</v>
      </c>
      <c r="T160" s="312"/>
      <c r="U160" s="50">
        <v>14127.05</v>
      </c>
      <c r="V160" s="50">
        <v>5510.5199999999995</v>
      </c>
      <c r="W160" s="50">
        <v>5510.5199999999995</v>
      </c>
      <c r="X160" s="50">
        <v>5510.5199999999995</v>
      </c>
      <c r="Y160" s="50">
        <v>5510.2999999999993</v>
      </c>
      <c r="Z160" s="257">
        <v>446.95</v>
      </c>
      <c r="AA160" s="78">
        <v>0</v>
      </c>
      <c r="AB160" s="78">
        <v>0</v>
      </c>
      <c r="AC160" s="78">
        <v>0</v>
      </c>
      <c r="AD160" s="78">
        <v>0</v>
      </c>
      <c r="AE160" s="78">
        <v>0</v>
      </c>
      <c r="AF160" s="50">
        <f t="shared" ref="AF160:AF167" si="17">SUM(X160:AE160)</f>
        <v>11467.77</v>
      </c>
      <c r="AG160" s="64"/>
      <c r="AH160" s="83"/>
    </row>
    <row r="161" spans="1:34" s="42" customFormat="1" ht="13.8" thickBot="1" x14ac:dyDescent="0.25">
      <c r="A161" s="369"/>
      <c r="B161" s="79" t="s">
        <v>330</v>
      </c>
      <c r="C161" s="27"/>
      <c r="D161" s="28"/>
      <c r="E161" s="185"/>
      <c r="F161" s="40"/>
      <c r="G161" s="30"/>
      <c r="H161" s="80"/>
      <c r="I161" s="41"/>
      <c r="J161" s="80"/>
      <c r="K161" s="41"/>
      <c r="L161" s="28"/>
      <c r="M161" s="28"/>
      <c r="N161" s="28"/>
      <c r="O161" s="199"/>
      <c r="P161" s="200"/>
      <c r="Q161" s="32"/>
      <c r="R161" s="32"/>
      <c r="S161" s="33" t="s">
        <v>2</v>
      </c>
      <c r="T161" s="269"/>
      <c r="U161" s="34"/>
      <c r="V161" s="34"/>
      <c r="W161" s="34"/>
      <c r="X161" s="34"/>
      <c r="Y161" s="34"/>
      <c r="Z161" s="34"/>
      <c r="AA161" s="34"/>
      <c r="AB161" s="34"/>
      <c r="AC161" s="34"/>
      <c r="AD161" s="34"/>
      <c r="AE161" s="34"/>
      <c r="AF161" s="50">
        <f t="shared" si="17"/>
        <v>0</v>
      </c>
      <c r="AG161" s="84"/>
      <c r="AH161" s="83"/>
    </row>
    <row r="162" spans="1:34" s="26" customFormat="1" x14ac:dyDescent="0.2">
      <c r="A162" s="370">
        <v>3</v>
      </c>
      <c r="B162" s="77" t="s">
        <v>366</v>
      </c>
      <c r="C162" s="43"/>
      <c r="D162" s="52"/>
      <c r="E162" s="196"/>
      <c r="F162" s="44" t="s">
        <v>367</v>
      </c>
      <c r="G162" s="45" t="s">
        <v>368</v>
      </c>
      <c r="H162" s="46">
        <v>110000</v>
      </c>
      <c r="I162" s="23">
        <v>82013</v>
      </c>
      <c r="J162" s="46">
        <v>110000</v>
      </c>
      <c r="K162" s="55"/>
      <c r="L162" s="58">
        <v>3.5599999999999998E-3</v>
      </c>
      <c r="M162" s="39">
        <v>5.0000000000000001E-3</v>
      </c>
      <c r="N162" s="35">
        <v>4</v>
      </c>
      <c r="O162" s="197"/>
      <c r="P162" s="198"/>
      <c r="Q162" s="48"/>
      <c r="R162" s="48"/>
      <c r="S162" s="49" t="s">
        <v>126</v>
      </c>
      <c r="T162" s="312"/>
      <c r="U162" s="50">
        <v>7278.62</v>
      </c>
      <c r="V162" s="50">
        <v>15204.36</v>
      </c>
      <c r="W162" s="50">
        <v>15204.36</v>
      </c>
      <c r="X162" s="50">
        <v>15204.36</v>
      </c>
      <c r="Y162" s="50">
        <v>15204.36</v>
      </c>
      <c r="Z162" s="257">
        <v>13916.95</v>
      </c>
      <c r="AA162" s="78">
        <v>0</v>
      </c>
      <c r="AB162" s="78">
        <v>0</v>
      </c>
      <c r="AC162" s="78">
        <v>0</v>
      </c>
      <c r="AD162" s="78">
        <v>0</v>
      </c>
      <c r="AE162" s="78">
        <v>0</v>
      </c>
      <c r="AF162" s="50">
        <f t="shared" si="17"/>
        <v>44325.67</v>
      </c>
      <c r="AG162" s="64"/>
      <c r="AH162" s="83"/>
    </row>
    <row r="163" spans="1:34" s="42" customFormat="1" ht="13.8" thickBot="1" x14ac:dyDescent="0.25">
      <c r="A163" s="369"/>
      <c r="B163" s="79"/>
      <c r="C163" s="27"/>
      <c r="D163" s="28"/>
      <c r="E163" s="185"/>
      <c r="F163" s="40"/>
      <c r="G163" s="30"/>
      <c r="H163" s="80"/>
      <c r="I163" s="41"/>
      <c r="J163" s="80"/>
      <c r="K163" s="41"/>
      <c r="L163" s="28"/>
      <c r="M163" s="28"/>
      <c r="N163" s="28"/>
      <c r="O163" s="199"/>
      <c r="P163" s="200"/>
      <c r="Q163" s="32"/>
      <c r="R163" s="32"/>
      <c r="S163" s="33" t="s">
        <v>2</v>
      </c>
      <c r="T163" s="269"/>
      <c r="U163" s="34"/>
      <c r="V163" s="34"/>
      <c r="W163" s="34"/>
      <c r="X163" s="34"/>
      <c r="Y163" s="34"/>
      <c r="Z163" s="34"/>
      <c r="AA163" s="34"/>
      <c r="AB163" s="34"/>
      <c r="AC163" s="34"/>
      <c r="AD163" s="34"/>
      <c r="AE163" s="34"/>
      <c r="AF163" s="50">
        <f t="shared" si="17"/>
        <v>0</v>
      </c>
      <c r="AG163" s="84"/>
      <c r="AH163" s="83"/>
    </row>
    <row r="164" spans="1:34" s="26" customFormat="1" x14ac:dyDescent="0.2">
      <c r="A164" s="370">
        <v>4</v>
      </c>
      <c r="B164" s="77" t="s">
        <v>369</v>
      </c>
      <c r="C164" s="43"/>
      <c r="D164" s="52"/>
      <c r="E164" s="196"/>
      <c r="F164" s="44" t="s">
        <v>370</v>
      </c>
      <c r="G164" s="45" t="s">
        <v>371</v>
      </c>
      <c r="H164" s="187">
        <v>110000</v>
      </c>
      <c r="I164" s="23">
        <v>40000</v>
      </c>
      <c r="J164" s="46">
        <v>110000</v>
      </c>
      <c r="K164" s="55"/>
      <c r="L164" s="58">
        <v>3.5599999999999998E-3</v>
      </c>
      <c r="M164" s="39">
        <v>5.0000000000000001E-3</v>
      </c>
      <c r="N164" s="35">
        <v>4</v>
      </c>
      <c r="O164" s="197"/>
      <c r="P164" s="198"/>
      <c r="Q164" s="48"/>
      <c r="R164" s="48"/>
      <c r="S164" s="49" t="s">
        <v>126</v>
      </c>
      <c r="T164" s="312"/>
      <c r="U164" s="50"/>
      <c r="V164" s="50">
        <v>12000</v>
      </c>
      <c r="W164" s="50">
        <v>7000</v>
      </c>
      <c r="X164" s="50">
        <v>7000</v>
      </c>
      <c r="Y164" s="50">
        <v>7000</v>
      </c>
      <c r="Z164" s="50">
        <v>7000</v>
      </c>
      <c r="AA164" s="50">
        <v>0</v>
      </c>
      <c r="AB164" s="50">
        <v>0</v>
      </c>
      <c r="AC164" s="50">
        <v>0</v>
      </c>
      <c r="AD164" s="50">
        <v>0</v>
      </c>
      <c r="AE164" s="50">
        <v>0</v>
      </c>
      <c r="AF164" s="50">
        <f t="shared" si="17"/>
        <v>21000</v>
      </c>
      <c r="AG164" s="1259"/>
      <c r="AH164" s="83"/>
    </row>
    <row r="165" spans="1:34" s="42" customFormat="1" ht="13.8" thickBot="1" x14ac:dyDescent="0.25">
      <c r="A165" s="369"/>
      <c r="B165" s="79"/>
      <c r="C165" s="27"/>
      <c r="D165" s="28"/>
      <c r="E165" s="185"/>
      <c r="F165" s="40"/>
      <c r="G165" s="30"/>
      <c r="H165" s="80"/>
      <c r="I165" s="41"/>
      <c r="J165" s="80"/>
      <c r="K165" s="41"/>
      <c r="L165" s="28"/>
      <c r="M165" s="28"/>
      <c r="N165" s="28"/>
      <c r="O165" s="199"/>
      <c r="P165" s="200"/>
      <c r="Q165" s="32"/>
      <c r="R165" s="32"/>
      <c r="S165" s="33" t="s">
        <v>2</v>
      </c>
      <c r="T165" s="269"/>
      <c r="U165" s="34"/>
      <c r="V165" s="34"/>
      <c r="W165" s="34"/>
      <c r="X165" s="34"/>
      <c r="Y165" s="34"/>
      <c r="Z165" s="34"/>
      <c r="AA165" s="34"/>
      <c r="AB165" s="34"/>
      <c r="AC165" s="34"/>
      <c r="AD165" s="34"/>
      <c r="AE165" s="34"/>
      <c r="AF165" s="50">
        <f t="shared" si="17"/>
        <v>0</v>
      </c>
      <c r="AG165" s="84"/>
      <c r="AH165" s="83"/>
    </row>
    <row r="166" spans="1:34" s="26" customFormat="1" outlineLevel="1" x14ac:dyDescent="0.2">
      <c r="A166" s="370">
        <v>5</v>
      </c>
      <c r="B166" s="77" t="s">
        <v>146</v>
      </c>
      <c r="C166" s="43"/>
      <c r="D166" s="52"/>
      <c r="E166" s="44"/>
      <c r="F166" s="44" t="s">
        <v>364</v>
      </c>
      <c r="G166" s="45" t="s">
        <v>365</v>
      </c>
      <c r="H166" s="187"/>
      <c r="I166" s="23">
        <v>2300000</v>
      </c>
      <c r="J166" s="187">
        <v>110000</v>
      </c>
      <c r="K166" s="55"/>
      <c r="L166" s="58">
        <f>0.101%+$L$7</f>
        <v>1.7590000000000001E-2</v>
      </c>
      <c r="M166" s="39">
        <v>2.5000000000000001E-3</v>
      </c>
      <c r="N166" s="35">
        <v>4</v>
      </c>
      <c r="O166" s="350"/>
      <c r="P166" s="351"/>
      <c r="Q166" s="48"/>
      <c r="R166" s="48"/>
      <c r="S166" s="49" t="s">
        <v>126</v>
      </c>
      <c r="T166" s="352"/>
      <c r="U166" s="50"/>
      <c r="V166" s="50">
        <v>0</v>
      </c>
      <c r="W166" s="50">
        <v>0</v>
      </c>
      <c r="X166" s="50">
        <v>0</v>
      </c>
      <c r="Y166" s="50">
        <v>64485.98130841121</v>
      </c>
      <c r="Z166" s="50">
        <v>85981.308411214952</v>
      </c>
      <c r="AA166" s="50">
        <v>85981.308411214952</v>
      </c>
      <c r="AB166" s="50">
        <v>85981.308411214952</v>
      </c>
      <c r="AC166" s="50">
        <v>85981.308411214952</v>
      </c>
      <c r="AD166" s="50">
        <v>85981.308411214952</v>
      </c>
      <c r="AE166" s="50">
        <v>1805607.4766355138</v>
      </c>
      <c r="AF166" s="50">
        <f t="shared" si="17"/>
        <v>2300000</v>
      </c>
      <c r="AG166" s="64"/>
      <c r="AH166" s="83"/>
    </row>
    <row r="167" spans="1:34" s="42" customFormat="1" ht="13.8" outlineLevel="1" thickBot="1" x14ac:dyDescent="0.25">
      <c r="A167" s="369"/>
      <c r="B167" s="79"/>
      <c r="C167" s="27"/>
      <c r="D167" s="28"/>
      <c r="E167" s="40"/>
      <c r="F167" s="40"/>
      <c r="G167" s="30"/>
      <c r="H167" s="353"/>
      <c r="I167" s="41"/>
      <c r="J167" s="353"/>
      <c r="K167" s="41"/>
      <c r="L167" s="28"/>
      <c r="M167" s="28"/>
      <c r="N167" s="28"/>
      <c r="O167" s="354"/>
      <c r="P167" s="41"/>
      <c r="Q167" s="32"/>
      <c r="R167" s="32"/>
      <c r="S167" s="33" t="s">
        <v>2</v>
      </c>
      <c r="T167" s="34"/>
      <c r="U167" s="34"/>
      <c r="V167" s="34"/>
      <c r="W167" s="34">
        <v>37973</v>
      </c>
      <c r="X167" s="34">
        <f>((SUM(X166:$AE166))*($L166+$M166))</f>
        <v>46207</v>
      </c>
      <c r="Y167" s="34">
        <f>((SUM(Y166:$AE166))*($L166+$M166))</f>
        <v>46207</v>
      </c>
      <c r="Z167" s="34">
        <f>((SUM(Z166:$AE166))*($L166+$M166))</f>
        <v>44911.476635514016</v>
      </c>
      <c r="AA167" s="34">
        <f>((SUM(AA166:$AE166))*($L166+$M166))</f>
        <v>43184.11214953271</v>
      </c>
      <c r="AB167" s="34">
        <f>((SUM(AB166:$AE166))*($L166+$M166))</f>
        <v>41456.747663551396</v>
      </c>
      <c r="AC167" s="34">
        <f>((SUM(AC166:$AE166))*($L166+$M166))</f>
        <v>39729.383177570089</v>
      </c>
      <c r="AD167" s="34">
        <f>((SUM(AD166:$AE166))*($L166+$M166))</f>
        <v>38002.018691588783</v>
      </c>
      <c r="AE167" s="34">
        <f>((SUM(AE166:$AE166))*($L166+$M166))*21</f>
        <v>761767.73831775703</v>
      </c>
      <c r="AF167" s="50">
        <f t="shared" si="17"/>
        <v>1061465.4766355141</v>
      </c>
      <c r="AG167" s="1258"/>
      <c r="AH167" s="83"/>
    </row>
    <row r="168" spans="1:34" s="42" customFormat="1" outlineLevel="1" x14ac:dyDescent="0.2">
      <c r="A168" s="371"/>
      <c r="B168" s="84"/>
      <c r="C168" s="84"/>
      <c r="D168" s="1252"/>
      <c r="E168" s="1253"/>
      <c r="F168" s="1253"/>
      <c r="G168" s="1252"/>
      <c r="H168" s="1254"/>
      <c r="I168" s="386"/>
      <c r="J168" s="1254"/>
      <c r="K168" s="386"/>
      <c r="L168" s="1252"/>
      <c r="M168" s="1252"/>
      <c r="N168" s="1252"/>
      <c r="O168" s="1255"/>
      <c r="P168" s="386"/>
      <c r="Q168" s="63"/>
      <c r="R168" s="63"/>
      <c r="S168" s="1253" t="s">
        <v>517</v>
      </c>
      <c r="T168" s="69"/>
      <c r="U168" s="69"/>
      <c r="V168" s="69">
        <f>SUM(V158:V167)</f>
        <v>42004.793300000005</v>
      </c>
      <c r="W168" s="69">
        <f>SUM(W158:W167)</f>
        <v>76283.630300000004</v>
      </c>
      <c r="X168" s="1257">
        <f>SUM(X158:X167)</f>
        <v>84698.003460000007</v>
      </c>
      <c r="Y168" s="1257">
        <f t="shared" ref="Y168:AF168" si="18">SUM(Y158:Y167)</f>
        <v>149004.2405284112</v>
      </c>
      <c r="Z168" s="1257">
        <f t="shared" si="18"/>
        <v>162673.76002672897</v>
      </c>
      <c r="AA168" s="1257">
        <f t="shared" si="18"/>
        <v>139402.97130074765</v>
      </c>
      <c r="AB168" s="1257">
        <f t="shared" si="18"/>
        <v>137496.08257476633</v>
      </c>
      <c r="AC168" s="1257">
        <f t="shared" si="18"/>
        <v>135589.19384878504</v>
      </c>
      <c r="AD168" s="1257">
        <f t="shared" si="18"/>
        <v>133682.30512280372</v>
      </c>
      <c r="AE168" s="1257">
        <f t="shared" si="18"/>
        <v>2598167.576293271</v>
      </c>
      <c r="AF168" s="1257">
        <f t="shared" si="18"/>
        <v>3540714.1331555145</v>
      </c>
      <c r="AG168" s="84"/>
      <c r="AH168" s="64"/>
    </row>
    <row r="169" spans="1:34" s="26" customFormat="1" x14ac:dyDescent="0.2">
      <c r="A169" s="371"/>
      <c r="B169" s="64"/>
      <c r="C169" s="64"/>
      <c r="D169" s="64"/>
      <c r="E169" s="190"/>
      <c r="F169" s="66"/>
      <c r="G169" s="64"/>
      <c r="H169" s="81"/>
      <c r="I169" s="82"/>
      <c r="J169" s="81"/>
      <c r="K169" s="82"/>
      <c r="L169" s="64"/>
      <c r="M169" s="64"/>
      <c r="N169" s="64"/>
      <c r="O169" s="201"/>
      <c r="P169" s="202"/>
      <c r="Q169" s="83"/>
      <c r="R169" s="83"/>
      <c r="S169" s="64"/>
      <c r="T169" s="272"/>
      <c r="U169" s="84"/>
      <c r="V169" s="84"/>
      <c r="W169" s="84"/>
      <c r="X169" s="84"/>
      <c r="Y169" s="84"/>
      <c r="Z169" s="84"/>
      <c r="AA169" s="84"/>
      <c r="AB169" s="84"/>
      <c r="AC169" s="84"/>
      <c r="AD169" s="849"/>
      <c r="AE169" s="849"/>
      <c r="AF169" s="849"/>
      <c r="AG169" s="64"/>
      <c r="AH169" s="64"/>
    </row>
    <row r="170" spans="1:34" s="26" customFormat="1" ht="13.8" hidden="1" outlineLevel="1" thickBot="1" x14ac:dyDescent="0.25">
      <c r="A170" s="374"/>
      <c r="B170" s="62" t="s">
        <v>1529</v>
      </c>
      <c r="C170" s="62"/>
      <c r="D170" s="85"/>
      <c r="E170" s="203"/>
      <c r="F170" s="86"/>
      <c r="G170" s="87" t="s">
        <v>147</v>
      </c>
      <c r="H170" s="88"/>
      <c r="I170" s="89"/>
      <c r="J170" s="88"/>
      <c r="K170" s="89"/>
      <c r="L170" s="85"/>
      <c r="M170" s="85"/>
      <c r="N170" s="85"/>
      <c r="O170" s="204"/>
      <c r="P170" s="205"/>
      <c r="Q170" s="90"/>
      <c r="R170" s="90"/>
      <c r="S170" s="91"/>
      <c r="T170" s="1262"/>
      <c r="U170" s="1263">
        <v>1229923.9651100899</v>
      </c>
      <c r="V170" s="1263">
        <f t="shared" ref="V170:W170" si="19">SUM(V140,V168)</f>
        <v>4122098.4878923316</v>
      </c>
      <c r="W170" s="1263">
        <f t="shared" si="19"/>
        <v>3794109.7313774847</v>
      </c>
      <c r="X170" s="1263">
        <f>SUM(X140,X168)</f>
        <v>4733927.3053302942</v>
      </c>
      <c r="Y170" s="1263">
        <f t="shared" ref="Y170:AF170" si="20">SUM(Y140,Y168)</f>
        <v>4521130.2452760963</v>
      </c>
      <c r="Z170" s="1263">
        <f t="shared" si="20"/>
        <v>4396469.2082488071</v>
      </c>
      <c r="AA170" s="1263">
        <f t="shared" si="20"/>
        <v>4260278.6670075161</v>
      </c>
      <c r="AB170" s="1263">
        <f t="shared" si="20"/>
        <v>4052197.1947659277</v>
      </c>
      <c r="AC170" s="1263">
        <f t="shared" si="20"/>
        <v>3933805.4018043387</v>
      </c>
      <c r="AD170" s="1263">
        <f t="shared" si="20"/>
        <v>3808495.2036927477</v>
      </c>
      <c r="AE170" s="1263">
        <f t="shared" si="20"/>
        <v>43039125.903979719</v>
      </c>
      <c r="AF170" s="1263">
        <f t="shared" si="20"/>
        <v>72745429.130105451</v>
      </c>
      <c r="AG170" s="64"/>
      <c r="AH170" s="64"/>
    </row>
    <row r="171" spans="1:34" s="9" customFormat="1" ht="23.4" hidden="1" outlineLevel="1" x14ac:dyDescent="0.25">
      <c r="A171" s="367"/>
      <c r="B171" s="1308" t="s">
        <v>148</v>
      </c>
      <c r="E171" s="1309"/>
      <c r="F171" s="13"/>
      <c r="H171" s="1310"/>
      <c r="I171" s="1311"/>
      <c r="J171" s="1310"/>
      <c r="K171" s="1311"/>
      <c r="O171" s="1312"/>
      <c r="P171" s="1313"/>
      <c r="Q171" s="1314"/>
      <c r="R171" s="1314"/>
      <c r="T171" s="1315"/>
      <c r="U171" s="1314">
        <v>9.6378458592987326E-2</v>
      </c>
      <c r="V171" s="1314" t="e">
        <f t="shared" ref="V171:W171" si="21">V170/$I$177</f>
        <v>#DIV/0!</v>
      </c>
      <c r="W171" s="1314" t="e">
        <f t="shared" si="21"/>
        <v>#DIV/0!</v>
      </c>
      <c r="X171" s="1314"/>
      <c r="Y171" s="1314"/>
      <c r="Z171" s="1314"/>
      <c r="AA171" s="1314"/>
      <c r="AB171" s="1314"/>
      <c r="AC171" s="1314"/>
      <c r="AD171" s="1314"/>
      <c r="AE171" s="1314"/>
      <c r="AF171" s="1314"/>
      <c r="AG171" s="1316"/>
      <c r="AH171" s="850"/>
    </row>
    <row r="172" spans="1:34" hidden="1" outlineLevel="1" x14ac:dyDescent="0.25">
      <c r="H172" s="1271"/>
      <c r="I172" s="1272"/>
      <c r="J172" s="1271"/>
      <c r="K172" s="1272"/>
      <c r="O172" s="1273"/>
      <c r="P172" s="1274"/>
      <c r="X172" s="93"/>
    </row>
    <row r="173" spans="1:34" s="26" customFormat="1" ht="13.5" hidden="1" customHeight="1" outlineLevel="1" x14ac:dyDescent="0.2">
      <c r="A173" s="371"/>
      <c r="B173" s="84" t="s">
        <v>177</v>
      </c>
      <c r="C173" s="84"/>
      <c r="D173" s="1252"/>
      <c r="E173" s="1317"/>
      <c r="F173" s="1253"/>
      <c r="G173" s="1252" t="s">
        <v>147</v>
      </c>
      <c r="H173" s="1318"/>
      <c r="I173" s="386"/>
      <c r="J173" s="1318"/>
      <c r="K173" s="386"/>
      <c r="L173" s="1252"/>
      <c r="M173" s="1252"/>
      <c r="N173" s="1252"/>
      <c r="O173" s="1319"/>
      <c r="P173" s="1320"/>
      <c r="Q173" s="63"/>
      <c r="R173" s="63"/>
      <c r="S173" s="1252"/>
      <c r="T173" s="1321"/>
      <c r="U173" s="63">
        <v>1322355.8348899104</v>
      </c>
      <c r="V173" s="63" t="e">
        <f>V174-V170</f>
        <v>#REF!</v>
      </c>
      <c r="W173" s="63" t="e">
        <f>W174-W170</f>
        <v>#REF!</v>
      </c>
      <c r="X173" s="63"/>
      <c r="Y173" s="63"/>
      <c r="Z173" s="63"/>
      <c r="AA173" s="63"/>
      <c r="AB173" s="63"/>
      <c r="AC173" s="63"/>
      <c r="AD173" s="63"/>
      <c r="AE173" s="63"/>
      <c r="AF173" s="63"/>
      <c r="AG173" s="64"/>
      <c r="AH173" s="64"/>
    </row>
    <row r="174" spans="1:34" s="26" customFormat="1" ht="13.5" hidden="1" customHeight="1" outlineLevel="1" x14ac:dyDescent="0.2">
      <c r="A174" s="371"/>
      <c r="B174" s="84" t="s">
        <v>178</v>
      </c>
      <c r="C174" s="84"/>
      <c r="D174" s="1252"/>
      <c r="E174" s="1317"/>
      <c r="F174" s="1253"/>
      <c r="G174" s="1252" t="s">
        <v>147</v>
      </c>
      <c r="H174" s="1318"/>
      <c r="I174" s="386"/>
      <c r="J174" s="1318"/>
      <c r="K174" s="386"/>
      <c r="L174" s="1252"/>
      <c r="M174" s="1252"/>
      <c r="N174" s="1252"/>
      <c r="O174" s="1319"/>
      <c r="P174" s="1320"/>
      <c r="Q174" s="63"/>
      <c r="R174" s="63"/>
      <c r="S174" s="1252"/>
      <c r="T174" s="1321"/>
      <c r="U174" s="63">
        <v>2552279.8000000003</v>
      </c>
      <c r="V174" s="63" t="e">
        <f>#REF!*0.2</f>
        <v>#REF!</v>
      </c>
      <c r="W174" s="63" t="e">
        <f>#REF!*0.2</f>
        <v>#REF!</v>
      </c>
      <c r="X174" s="63"/>
      <c r="Y174" s="63"/>
      <c r="Z174" s="63"/>
      <c r="AA174" s="63"/>
      <c r="AB174" s="63"/>
      <c r="AC174" s="63"/>
      <c r="AD174" s="63"/>
      <c r="AE174" s="63"/>
      <c r="AF174" s="63"/>
      <c r="AG174" s="64"/>
      <c r="AH174" s="64"/>
    </row>
    <row r="175" spans="1:34" s="9" customFormat="1" ht="23.4" hidden="1" outlineLevel="1" x14ac:dyDescent="0.25">
      <c r="A175" s="367"/>
      <c r="B175" s="1307" t="s">
        <v>148</v>
      </c>
      <c r="E175" s="1309"/>
      <c r="F175" s="13"/>
      <c r="H175" s="1322"/>
      <c r="I175" s="1323"/>
      <c r="J175" s="1322"/>
      <c r="K175" s="1323"/>
      <c r="O175" s="1324"/>
      <c r="P175" s="1325"/>
      <c r="Q175" s="1326"/>
      <c r="R175" s="1326"/>
      <c r="T175" s="1327"/>
      <c r="U175" s="1326">
        <v>0.2</v>
      </c>
      <c r="V175" s="1326" t="e">
        <f>(V170+V173)/#REF!</f>
        <v>#REF!</v>
      </c>
      <c r="W175" s="1326" t="e">
        <f>(W170+W173)/#REF!</f>
        <v>#REF!</v>
      </c>
      <c r="X175" s="1326"/>
      <c r="Y175" s="1326"/>
      <c r="Z175" s="1326"/>
      <c r="AA175" s="1326"/>
      <c r="AB175" s="1326"/>
      <c r="AC175" s="1326"/>
      <c r="AD175" s="1326"/>
      <c r="AE175" s="1326"/>
      <c r="AF175" s="1326"/>
      <c r="AG175" s="1316"/>
      <c r="AH175" s="850"/>
    </row>
    <row r="176" spans="1:34" hidden="1" outlineLevel="1" x14ac:dyDescent="0.25">
      <c r="E176" s="166"/>
      <c r="F176" s="3"/>
      <c r="G176" s="4" t="s">
        <v>149</v>
      </c>
      <c r="H176" s="7"/>
      <c r="I176" s="1328"/>
      <c r="J176" s="7"/>
      <c r="K176" s="3"/>
      <c r="L176" s="1329"/>
      <c r="O176" s="1273"/>
      <c r="P176" s="168"/>
      <c r="T176" s="267"/>
      <c r="U176" s="3"/>
      <c r="V176" s="3"/>
      <c r="W176" s="1330"/>
      <c r="X176" s="1331"/>
      <c r="Y176" s="1331"/>
      <c r="Z176" s="1331"/>
      <c r="AA176" s="1331"/>
      <c r="AB176" s="3"/>
      <c r="AC176" s="3"/>
      <c r="AD176" s="3"/>
      <c r="AE176" s="3"/>
      <c r="AF176" s="3"/>
    </row>
    <row r="177" spans="1:34" hidden="1" outlineLevel="1" x14ac:dyDescent="0.25">
      <c r="G177" s="4" t="s">
        <v>150</v>
      </c>
      <c r="H177" s="4"/>
      <c r="I177" s="1332"/>
      <c r="J177" s="4"/>
      <c r="K177" s="4"/>
      <c r="L177" s="4"/>
      <c r="M177" s="4"/>
      <c r="N177" s="4"/>
      <c r="O177" s="4"/>
      <c r="P177" s="4"/>
      <c r="Q177" s="4"/>
      <c r="R177" s="4"/>
      <c r="S177" s="4"/>
      <c r="T177" s="4"/>
      <c r="U177" s="4"/>
      <c r="V177" s="4"/>
      <c r="W177" s="3"/>
      <c r="X177" s="3"/>
      <c r="Y177" s="3"/>
      <c r="Z177" s="3"/>
      <c r="AA177" s="3"/>
      <c r="AB177" s="3"/>
      <c r="AC177" s="3"/>
      <c r="AD177" s="3"/>
      <c r="AE177" s="3"/>
      <c r="AF177" s="3"/>
    </row>
    <row r="178" spans="1:34" hidden="1" outlineLevel="1" x14ac:dyDescent="0.25">
      <c r="G178" s="4"/>
      <c r="H178" s="4"/>
      <c r="I178" s="1277"/>
      <c r="J178" s="1277"/>
      <c r="K178" s="1277"/>
      <c r="L178" s="1277"/>
      <c r="M178" s="1277"/>
      <c r="N178" s="1277"/>
      <c r="O178" s="1277"/>
      <c r="P178" s="1277"/>
      <c r="Q178" s="1277"/>
      <c r="R178" s="1277"/>
      <c r="S178" s="1277"/>
      <c r="T178" s="1277"/>
      <c r="U178" s="1277"/>
      <c r="V178" s="1277"/>
      <c r="W178" s="850"/>
      <c r="X178" s="855"/>
      <c r="Y178" s="855"/>
      <c r="Z178" s="855"/>
      <c r="AA178" s="855"/>
      <c r="AB178" s="855"/>
      <c r="AC178" s="855"/>
      <c r="AD178" s="855"/>
      <c r="AE178" s="855"/>
      <c r="AF178" s="855"/>
    </row>
    <row r="179" spans="1:34" ht="27.75" customHeight="1" collapsed="1" thickBot="1" x14ac:dyDescent="0.3">
      <c r="H179" s="1270"/>
      <c r="I179" s="1193"/>
      <c r="J179" s="1292"/>
      <c r="K179" s="1293"/>
      <c r="L179" s="1193"/>
      <c r="M179" s="1193"/>
      <c r="N179" s="1193"/>
      <c r="O179" s="1294"/>
      <c r="P179" s="1295"/>
      <c r="Q179" s="1193"/>
      <c r="R179" s="1193"/>
      <c r="S179" s="1296"/>
      <c r="T179" s="1278"/>
      <c r="U179" s="850"/>
      <c r="V179" s="850"/>
      <c r="W179" s="850"/>
      <c r="X179" s="1300" t="s">
        <v>1522</v>
      </c>
      <c r="Y179" s="1299" t="s">
        <v>1523</v>
      </c>
      <c r="Z179" s="1299" t="s">
        <v>1524</v>
      </c>
      <c r="AA179" s="1299" t="s">
        <v>1525</v>
      </c>
      <c r="AB179" s="1299" t="s">
        <v>1526</v>
      </c>
      <c r="AC179" s="1299" t="s">
        <v>1527</v>
      </c>
      <c r="AD179" s="1299" t="s">
        <v>1528</v>
      </c>
      <c r="AE179" s="1299" t="s">
        <v>1153</v>
      </c>
      <c r="AF179" s="1300" t="s">
        <v>1154</v>
      </c>
    </row>
    <row r="180" spans="1:34" x14ac:dyDescent="0.25">
      <c r="H180" s="1271"/>
      <c r="I180" s="1279"/>
      <c r="J180" s="1280"/>
      <c r="K180" s="1279"/>
      <c r="O180" s="1273"/>
      <c r="P180" s="1274"/>
      <c r="Q180" s="1275"/>
      <c r="R180" s="1275"/>
      <c r="S180" s="13" t="s">
        <v>454</v>
      </c>
      <c r="T180" s="1277" t="s">
        <v>126</v>
      </c>
      <c r="U180" s="1281">
        <v>1077375.7431783541</v>
      </c>
      <c r="V180" s="1281">
        <f>V10+V12+V14+V16+V24+V18+V20+V22+V26+V28+V30+V32+V34+V36+V38+V40+V42+V44+V46+V48+V52+V54+V56+V58+V60+V64+V70+V72+V74+V76+V78+V80+V82+V84+V86+V88+V90+V92+V94+V96+V98+V100+V102+V104+V106+V108+V110+V112+V114+V116+V118+V120+V122+V124+V126+V128</f>
        <v>3547054.7031783541</v>
      </c>
      <c r="W180" s="1281">
        <f>W10+W12+W14+W16+W24+W18+W20+W22+W26+W28+W30+W32+W34+W36+W38+W40+W42+W44+W46+W48+W52+W54+W56+W58+W60+W62+W64+W66+W68+W70+W72+W74+W76+W78+W80+W82+W84+W86+W88+W90+W92+W94+W96+W98+W100+W102+W104+W106+W108+W110+W112+W114+W116+W118+W120+W122+W124+W126+W128+W130+W132+W134</f>
        <v>3124493.5999999996</v>
      </c>
      <c r="X180" s="1301">
        <f>SUMIF($S$10:$S$139,$T$180,X$10:X$139)</f>
        <v>3601890.1379218102</v>
      </c>
      <c r="Y180" s="1281">
        <f t="shared" ref="Y180:AF180" si="22">SUMIF($S$10:$S$139,$T$180,Y$10:Y$139)</f>
        <v>3395159.8379218103</v>
      </c>
      <c r="Z180" s="1281">
        <f t="shared" si="22"/>
        <v>3323272.1679218104</v>
      </c>
      <c r="AA180" s="1281">
        <f t="shared" si="22"/>
        <v>3275414.8379218103</v>
      </c>
      <c r="AB180" s="1281">
        <f t="shared" si="22"/>
        <v>3133366.8379218103</v>
      </c>
      <c r="AC180" s="1281">
        <f t="shared" si="22"/>
        <v>3078251.8379218103</v>
      </c>
      <c r="AD180" s="1281">
        <f t="shared" si="22"/>
        <v>3015122.8379218103</v>
      </c>
      <c r="AE180" s="1281">
        <f t="shared" si="22"/>
        <v>30958230.718703706</v>
      </c>
      <c r="AF180" s="1301">
        <f t="shared" si="22"/>
        <v>53780709.214156374</v>
      </c>
    </row>
    <row r="181" spans="1:34" x14ac:dyDescent="0.25">
      <c r="B181" s="94"/>
      <c r="C181" s="95"/>
      <c r="E181" s="166"/>
      <c r="F181" s="3"/>
      <c r="H181" s="1271"/>
      <c r="I181" s="1279"/>
      <c r="J181" s="1280"/>
      <c r="K181" s="1279"/>
      <c r="O181" s="1273"/>
      <c r="P181" s="1274"/>
      <c r="Q181" s="1275"/>
      <c r="R181" s="1275"/>
      <c r="S181" s="13" t="s">
        <v>510</v>
      </c>
      <c r="T181" s="1277" t="s">
        <v>2</v>
      </c>
      <c r="U181" s="1281">
        <v>94356.197211735242</v>
      </c>
      <c r="V181" s="1281">
        <f>V11+V13+V15+V17+V25+V19+V21+V23+V27+V29+V31+V33+V35+V37+V39+V41+V43+V45+V47+V49+V53+V55+V57+V59+V61+V65+V71+V73+V75+V77+V79+V81+V83+V85+V87+V89+V91+V93+V95+V97+V99+V101+V103+V105+V107+V109+V111+V113+V115+V117+V119+V121+V123+V125+V127+V129</f>
        <v>533038.9914139777</v>
      </c>
      <c r="W181" s="1281">
        <f>W11+W13+W15+W17+W25+W19+W21+W23+W27+W29+W31+W33+W35+W37+W39+W41+W43+W45+W47+W49+W53+W55+W57+W59+W61+W63+W65+W67+W69+W71+W73+W75+W77+W79+W81+W83+W85+W87+W89+W91+W93+W95+W97+W99+W101+W103+W105+W107+W109+W111+W113+W115+W117+W119+W121+W123+W125+W127+W129+W131+W133+W135</f>
        <v>593332.50107748352</v>
      </c>
      <c r="X181" s="1301">
        <f>SUMIF($S$10:$S$139,$T$181,X$10:X$139)</f>
        <v>1047339.1639484833</v>
      </c>
      <c r="Y181" s="1281">
        <f t="shared" ref="Y181:AF181" si="23">SUMIF($S$10:$S$139,$T$181,Y$10:Y$139)</f>
        <v>976966.16682587541</v>
      </c>
      <c r="Z181" s="1281">
        <f t="shared" si="23"/>
        <v>910523.28030026716</v>
      </c>
      <c r="AA181" s="1281">
        <f t="shared" si="23"/>
        <v>845460.85778495891</v>
      </c>
      <c r="AB181" s="1281">
        <f t="shared" si="23"/>
        <v>781334.2742693508</v>
      </c>
      <c r="AC181" s="1281">
        <f t="shared" si="23"/>
        <v>719964.37003374239</v>
      </c>
      <c r="AD181" s="1281">
        <f t="shared" si="23"/>
        <v>659690.06064813479</v>
      </c>
      <c r="AE181" s="1281">
        <f t="shared" si="23"/>
        <v>9482727.60898274</v>
      </c>
      <c r="AF181" s="1301">
        <f t="shared" si="23"/>
        <v>15424005.78279355</v>
      </c>
    </row>
    <row r="182" spans="1:34" ht="13.5" customHeight="1" thickBot="1" x14ac:dyDescent="0.3">
      <c r="H182" s="1271"/>
      <c r="I182" s="1290"/>
      <c r="J182" s="1291"/>
      <c r="K182" s="1290"/>
      <c r="L182" s="1192"/>
      <c r="M182" s="1192"/>
      <c r="N182" s="1192"/>
      <c r="O182" s="1297"/>
      <c r="P182" s="1298"/>
      <c r="Q182" s="96"/>
      <c r="R182" s="96"/>
      <c r="S182" s="96" t="s">
        <v>511</v>
      </c>
      <c r="T182" s="1281"/>
      <c r="U182" s="1281">
        <v>30726.948659999998</v>
      </c>
      <c r="V182" s="1281">
        <f>V13+V15+V17+V19+V27+V21+V23+V25+V29+V31+V33+V35+V37+V39+V41+V43+V45+V47+V49+V53+V55+V57+V59+V61+V65+V71+V73+V75+V77+V79+V81+V83+V85+V87+V89+V91+V93+V95+V97+V99+V101+V103+V105+V107+V109+V111+V113+V115+V117+V119+V121+V123+V125+V127+V141</f>
        <v>501122.22546546825</v>
      </c>
      <c r="W182" s="1281">
        <f>W168</f>
        <v>76283.630300000004</v>
      </c>
      <c r="X182" s="1302">
        <f t="shared" ref="X182" si="24">X168</f>
        <v>84698.003460000007</v>
      </c>
      <c r="Y182" s="1289">
        <f t="shared" ref="Y182:AE182" si="25">Y168</f>
        <v>149004.2405284112</v>
      </c>
      <c r="Z182" s="1289">
        <f t="shared" si="25"/>
        <v>162673.76002672897</v>
      </c>
      <c r="AA182" s="1289">
        <f t="shared" si="25"/>
        <v>139402.97130074765</v>
      </c>
      <c r="AB182" s="1289">
        <f t="shared" si="25"/>
        <v>137496.08257476633</v>
      </c>
      <c r="AC182" s="1289">
        <f t="shared" si="25"/>
        <v>135589.19384878504</v>
      </c>
      <c r="AD182" s="1289">
        <f t="shared" si="25"/>
        <v>133682.30512280372</v>
      </c>
      <c r="AE182" s="1289">
        <f t="shared" si="25"/>
        <v>2598167.576293271</v>
      </c>
      <c r="AF182" s="1302">
        <f t="shared" ref="AF182" si="26">AF168</f>
        <v>3540714.1331555145</v>
      </c>
    </row>
    <row r="183" spans="1:34" x14ac:dyDescent="0.25">
      <c r="B183" s="1276"/>
      <c r="D183" s="1272"/>
      <c r="H183" s="7"/>
      <c r="I183" s="850"/>
      <c r="J183" s="1280"/>
      <c r="K183" s="850"/>
      <c r="O183" s="1273"/>
      <c r="P183" s="1274"/>
      <c r="Q183" s="93"/>
      <c r="R183" s="93"/>
      <c r="S183" s="13" t="s">
        <v>512</v>
      </c>
      <c r="T183" s="1282"/>
      <c r="U183" s="1281">
        <v>1202458.8890500893</v>
      </c>
      <c r="V183" s="1281">
        <f t="shared" ref="V183:AE183" si="27">SUM(V180:V182)</f>
        <v>4581215.9200577997</v>
      </c>
      <c r="W183" s="1281">
        <f t="shared" si="27"/>
        <v>3794109.7313774829</v>
      </c>
      <c r="X183" s="1301">
        <f t="shared" si="27"/>
        <v>4733927.3053302942</v>
      </c>
      <c r="Y183" s="1281">
        <f t="shared" si="27"/>
        <v>4521130.2452760972</v>
      </c>
      <c r="Z183" s="1281">
        <f t="shared" si="27"/>
        <v>4396469.2082488062</v>
      </c>
      <c r="AA183" s="1281">
        <f t="shared" si="27"/>
        <v>4260278.6670075171</v>
      </c>
      <c r="AB183" s="1281">
        <f t="shared" si="27"/>
        <v>4052197.1947659273</v>
      </c>
      <c r="AC183" s="1281">
        <f t="shared" si="27"/>
        <v>3933805.4018043377</v>
      </c>
      <c r="AD183" s="1281">
        <f t="shared" si="27"/>
        <v>3808495.2036927491</v>
      </c>
      <c r="AE183" s="1281">
        <f t="shared" si="27"/>
        <v>43039125.903979719</v>
      </c>
      <c r="AF183" s="1301">
        <f>SUM(AF180:AF182)</f>
        <v>72745429.130105436</v>
      </c>
    </row>
    <row r="184" spans="1:34" x14ac:dyDescent="0.25">
      <c r="B184" s="97"/>
      <c r="S184" s="13"/>
      <c r="X184" s="93"/>
      <c r="Y184" s="93"/>
      <c r="Z184" s="93"/>
      <c r="AA184" s="93"/>
      <c r="AB184" s="93"/>
      <c r="AC184" s="93"/>
      <c r="AD184" s="93"/>
      <c r="AE184" s="93"/>
      <c r="AF184" s="93"/>
    </row>
    <row r="185" spans="1:34" s="99" customFormat="1" ht="18" x14ac:dyDescent="0.35">
      <c r="A185" s="1288" t="s">
        <v>1520</v>
      </c>
      <c r="B185" s="1283"/>
      <c r="C185" s="1284"/>
      <c r="D185" s="1285"/>
      <c r="E185" s="206"/>
      <c r="F185" s="206"/>
      <c r="G185" s="1285"/>
      <c r="H185" s="1286"/>
      <c r="I185" s="1287" t="s">
        <v>1521</v>
      </c>
      <c r="J185" s="100"/>
      <c r="O185" s="207"/>
      <c r="P185" s="207"/>
      <c r="T185" s="273"/>
      <c r="U185" s="98"/>
      <c r="V185" s="93"/>
      <c r="W185" s="93"/>
      <c r="X185" s="93"/>
      <c r="Y185" s="93"/>
      <c r="Z185" s="93"/>
      <c r="AA185" s="93"/>
      <c r="AB185" s="93"/>
      <c r="AC185" s="93"/>
      <c r="AD185" s="93"/>
      <c r="AE185" s="93"/>
      <c r="AF185" s="93"/>
      <c r="AG185" s="852"/>
      <c r="AH185" s="852"/>
    </row>
    <row r="186" spans="1:34" ht="18" x14ac:dyDescent="0.35">
      <c r="S186" s="497"/>
      <c r="T186" s="498"/>
      <c r="U186" s="98"/>
      <c r="V186" s="93"/>
      <c r="W186" s="93">
        <f>(SUM(W180:AC180)+AE180)*0.0025</f>
        <v>134725.19994058643</v>
      </c>
      <c r="X186" s="93"/>
      <c r="Y186" s="93"/>
      <c r="Z186" s="93"/>
      <c r="AA186" s="93"/>
      <c r="AB186" s="93"/>
      <c r="AC186" s="93"/>
      <c r="AD186" s="93"/>
      <c r="AE186" s="93"/>
      <c r="AF186" s="93"/>
    </row>
    <row r="187" spans="1:34" x14ac:dyDescent="0.25">
      <c r="U187" s="850">
        <v>1077375.7431783541</v>
      </c>
      <c r="V187" s="855">
        <v>3547054.7031783541</v>
      </c>
      <c r="W187" s="855">
        <v>3124493.5999999996</v>
      </c>
      <c r="X187" s="855"/>
      <c r="Y187" s="855"/>
      <c r="Z187" s="855"/>
      <c r="AA187" s="855"/>
      <c r="AB187" s="855"/>
      <c r="AC187" s="855"/>
      <c r="AD187" s="855"/>
      <c r="AE187" s="855"/>
      <c r="AF187" s="855"/>
    </row>
    <row r="188" spans="1:34" s="12" customFormat="1" x14ac:dyDescent="0.25">
      <c r="A188" s="375"/>
      <c r="C188" s="3"/>
      <c r="E188" s="208"/>
      <c r="F188" s="101"/>
      <c r="H188" s="10"/>
      <c r="I188" s="11"/>
      <c r="J188" s="10"/>
      <c r="K188" s="102"/>
      <c r="O188" s="172"/>
      <c r="P188" s="173"/>
      <c r="Q188" s="9"/>
      <c r="R188" s="103"/>
      <c r="T188" s="274"/>
      <c r="U188" s="855">
        <v>94356.197211735242</v>
      </c>
      <c r="V188" s="855">
        <v>112548.28825480334</v>
      </c>
      <c r="W188" s="855">
        <v>159987.50045877087</v>
      </c>
      <c r="X188" s="855"/>
      <c r="Y188" s="855"/>
      <c r="Z188" s="855"/>
      <c r="AA188" s="855"/>
      <c r="AB188" s="855"/>
      <c r="AC188" s="855"/>
      <c r="AD188" s="855"/>
      <c r="AE188" s="855"/>
      <c r="AF188" s="855"/>
      <c r="AG188" s="853"/>
      <c r="AH188" s="853"/>
    </row>
    <row r="189" spans="1:34" s="12" customFormat="1" x14ac:dyDescent="0.25">
      <c r="A189" s="375"/>
      <c r="C189" s="3"/>
      <c r="E189" s="208"/>
      <c r="F189" s="101"/>
      <c r="H189" s="10"/>
      <c r="I189" s="11"/>
      <c r="J189" s="10"/>
      <c r="K189" s="102"/>
      <c r="O189" s="172"/>
      <c r="P189" s="173"/>
      <c r="Q189" s="3"/>
      <c r="T189" s="268"/>
      <c r="U189" s="850">
        <v>30726.948659999998</v>
      </c>
      <c r="V189" s="855">
        <v>107315.78245857952</v>
      </c>
      <c r="W189" s="855">
        <v>45076.740300000005</v>
      </c>
      <c r="X189" s="855"/>
      <c r="Y189" s="855"/>
      <c r="Z189" s="855"/>
      <c r="AA189" s="855"/>
      <c r="AB189" s="855"/>
      <c r="AC189" s="855"/>
      <c r="AD189" s="855"/>
      <c r="AE189" s="855"/>
      <c r="AF189" s="855"/>
      <c r="AG189" s="853"/>
      <c r="AH189" s="853"/>
    </row>
    <row r="190" spans="1:34" s="12" customFormat="1" x14ac:dyDescent="0.25">
      <c r="A190" s="375"/>
      <c r="C190" s="3"/>
      <c r="E190" s="208"/>
      <c r="F190" s="101"/>
      <c r="H190" s="10"/>
      <c r="I190" s="11"/>
      <c r="J190" s="10"/>
      <c r="K190" s="102"/>
      <c r="O190" s="172"/>
      <c r="P190" s="173"/>
      <c r="Q190" s="3"/>
      <c r="T190" s="268"/>
      <c r="U190" s="850">
        <v>1202458.8890500893</v>
      </c>
      <c r="V190" s="855">
        <v>3766918.7738917372</v>
      </c>
      <c r="W190" s="855">
        <v>3329557.8407587707</v>
      </c>
      <c r="X190" s="855"/>
      <c r="Y190" s="855"/>
      <c r="Z190" s="855"/>
      <c r="AA190" s="855"/>
      <c r="AB190" s="855"/>
      <c r="AC190" s="855"/>
      <c r="AD190" s="855"/>
      <c r="AE190" s="855"/>
      <c r="AF190" s="855"/>
      <c r="AG190" s="853"/>
      <c r="AH190" s="853"/>
    </row>
    <row r="191" spans="1:34" s="12" customFormat="1" x14ac:dyDescent="0.25">
      <c r="A191" s="375"/>
      <c r="C191" s="3"/>
      <c r="E191" s="208"/>
      <c r="F191" s="101"/>
      <c r="H191" s="10"/>
      <c r="I191" s="11"/>
      <c r="J191" s="10"/>
      <c r="K191" s="102"/>
      <c r="O191" s="172"/>
      <c r="P191" s="173"/>
      <c r="Q191" s="3"/>
      <c r="T191" s="268"/>
      <c r="U191" s="9"/>
      <c r="V191" s="93"/>
      <c r="W191" s="93"/>
      <c r="X191" s="93"/>
      <c r="Y191" s="93"/>
      <c r="Z191" s="93"/>
      <c r="AA191" s="93"/>
      <c r="AB191" s="93"/>
      <c r="AC191" s="93"/>
      <c r="AD191" s="93"/>
      <c r="AE191" s="93"/>
      <c r="AF191" s="93"/>
      <c r="AG191" s="853"/>
      <c r="AH191" s="853"/>
    </row>
    <row r="192" spans="1:34" s="12" customFormat="1" x14ac:dyDescent="0.25">
      <c r="A192" s="375"/>
      <c r="C192" s="3"/>
      <c r="E192" s="208"/>
      <c r="F192" s="101"/>
      <c r="H192" s="10"/>
      <c r="I192" s="11"/>
      <c r="J192" s="10"/>
      <c r="K192" s="102"/>
      <c r="O192" s="172"/>
      <c r="P192" s="173"/>
      <c r="Q192" s="3"/>
      <c r="T192" s="268"/>
      <c r="U192" s="9"/>
      <c r="V192" s="93"/>
      <c r="W192" s="93"/>
      <c r="X192" s="93"/>
      <c r="Y192" s="93"/>
      <c r="Z192" s="93"/>
      <c r="AA192" s="93"/>
      <c r="AB192" s="93"/>
      <c r="AC192" s="93"/>
      <c r="AD192" s="93"/>
      <c r="AE192" s="93"/>
      <c r="AF192" s="93"/>
      <c r="AG192" s="853"/>
      <c r="AH192" s="853"/>
    </row>
    <row r="193" spans="1:34" s="12" customFormat="1" x14ac:dyDescent="0.25">
      <c r="A193" s="375"/>
      <c r="C193" s="3"/>
      <c r="E193" s="208"/>
      <c r="F193" s="101"/>
      <c r="H193" s="10"/>
      <c r="I193" s="11"/>
      <c r="J193" s="10"/>
      <c r="K193" s="102"/>
      <c r="O193" s="172"/>
      <c r="P193" s="173"/>
      <c r="Q193" s="3"/>
      <c r="T193" s="268"/>
      <c r="U193" s="9"/>
      <c r="V193" s="93"/>
      <c r="W193" s="93"/>
      <c r="X193" s="93"/>
      <c r="Y193" s="93"/>
      <c r="Z193" s="93"/>
      <c r="AA193" s="93"/>
      <c r="AB193" s="93"/>
      <c r="AC193" s="93"/>
      <c r="AD193" s="93"/>
      <c r="AE193" s="93"/>
      <c r="AF193" s="93"/>
      <c r="AG193" s="853"/>
      <c r="AH193" s="853"/>
    </row>
    <row r="194" spans="1:34" s="12" customFormat="1" x14ac:dyDescent="0.25">
      <c r="A194" s="375"/>
      <c r="C194" s="3"/>
      <c r="E194" s="208"/>
      <c r="F194" s="101"/>
      <c r="H194" s="10"/>
      <c r="I194" s="11"/>
      <c r="J194" s="10"/>
      <c r="K194" s="102"/>
      <c r="O194" s="172"/>
      <c r="P194" s="173"/>
      <c r="Q194" s="3"/>
      <c r="T194" s="275"/>
      <c r="U194" s="1167"/>
      <c r="V194" s="93"/>
      <c r="W194" s="93"/>
      <c r="X194" s="93"/>
      <c r="Y194" s="93"/>
      <c r="Z194" s="93"/>
      <c r="AA194" s="93"/>
      <c r="AB194" s="93"/>
      <c r="AC194" s="93"/>
      <c r="AD194" s="93"/>
      <c r="AE194" s="93"/>
      <c r="AF194" s="93"/>
      <c r="AG194" s="853"/>
      <c r="AH194" s="853"/>
    </row>
    <row r="195" spans="1:34" s="12" customFormat="1" x14ac:dyDescent="0.25">
      <c r="A195" s="375"/>
      <c r="C195" s="3"/>
      <c r="E195" s="208"/>
      <c r="F195" s="101"/>
      <c r="H195" s="10"/>
      <c r="I195" s="11"/>
      <c r="J195" s="10"/>
      <c r="K195" s="102"/>
      <c r="O195" s="172"/>
      <c r="P195" s="173"/>
      <c r="Q195" s="3"/>
      <c r="T195" s="275"/>
      <c r="U195" s="1167"/>
      <c r="V195" s="93"/>
      <c r="W195" s="93"/>
      <c r="X195" s="93"/>
      <c r="Y195" s="93"/>
      <c r="Z195" s="93"/>
      <c r="AA195" s="93"/>
      <c r="AB195" s="93"/>
      <c r="AC195" s="93"/>
      <c r="AD195" s="93"/>
      <c r="AE195" s="93"/>
      <c r="AF195" s="93"/>
      <c r="AG195" s="853"/>
      <c r="AH195" s="853"/>
    </row>
    <row r="196" spans="1:34" s="12" customFormat="1" x14ac:dyDescent="0.25">
      <c r="A196" s="375"/>
      <c r="C196" s="3"/>
      <c r="E196" s="208"/>
      <c r="F196" s="101"/>
      <c r="H196" s="10"/>
      <c r="I196" s="11"/>
      <c r="J196" s="10"/>
      <c r="K196" s="102"/>
      <c r="O196" s="172"/>
      <c r="P196" s="173"/>
      <c r="Q196" s="3"/>
      <c r="T196" s="268"/>
      <c r="U196" s="9"/>
      <c r="V196" s="9"/>
      <c r="W196" s="9"/>
      <c r="X196" s="103"/>
      <c r="Y196" s="103"/>
      <c r="Z196" s="103"/>
      <c r="AA196" s="103"/>
      <c r="AB196" s="103"/>
      <c r="AC196" s="103"/>
      <c r="AD196" s="103"/>
      <c r="AE196" s="9"/>
      <c r="AF196" s="9"/>
      <c r="AG196" s="853"/>
      <c r="AH196" s="853"/>
    </row>
    <row r="197" spans="1:34" s="12" customFormat="1" x14ac:dyDescent="0.25">
      <c r="A197" s="375"/>
      <c r="C197" s="3"/>
      <c r="E197" s="208"/>
      <c r="F197" s="101"/>
      <c r="H197" s="10"/>
      <c r="I197" s="11"/>
      <c r="J197" s="10"/>
      <c r="K197" s="102"/>
      <c r="O197" s="172"/>
      <c r="P197" s="173"/>
      <c r="Q197" s="3"/>
      <c r="T197" s="268"/>
      <c r="U197" s="9"/>
      <c r="V197" s="9"/>
      <c r="W197" s="9"/>
      <c r="X197" s="103"/>
      <c r="Y197" s="103"/>
      <c r="Z197" s="103"/>
      <c r="AA197" s="103"/>
      <c r="AB197" s="103"/>
      <c r="AC197" s="103"/>
      <c r="AD197" s="103"/>
      <c r="AE197" s="9"/>
      <c r="AF197" s="9"/>
      <c r="AG197" s="853"/>
      <c r="AH197" s="853"/>
    </row>
    <row r="198" spans="1:34" s="12" customFormat="1" x14ac:dyDescent="0.25">
      <c r="A198" s="375"/>
      <c r="C198" s="3"/>
      <c r="E198" s="208"/>
      <c r="F198" s="101"/>
      <c r="H198" s="10"/>
      <c r="I198" s="11"/>
      <c r="J198" s="10"/>
      <c r="K198" s="102"/>
      <c r="O198" s="172"/>
      <c r="P198" s="173"/>
      <c r="Q198" s="3"/>
      <c r="T198" s="268"/>
      <c r="U198" s="9"/>
      <c r="V198" s="9"/>
      <c r="W198" s="9"/>
      <c r="X198" s="103"/>
      <c r="Y198" s="103"/>
      <c r="Z198" s="103"/>
      <c r="AA198" s="103"/>
      <c r="AB198" s="103"/>
      <c r="AC198" s="103"/>
      <c r="AD198" s="103"/>
      <c r="AE198" s="9"/>
      <c r="AF198" s="9"/>
      <c r="AG198" s="853"/>
      <c r="AH198" s="853"/>
    </row>
    <row r="199" spans="1:34" s="12" customFormat="1" x14ac:dyDescent="0.25">
      <c r="A199" s="375"/>
      <c r="C199" s="3"/>
      <c r="E199" s="208"/>
      <c r="F199" s="101"/>
      <c r="H199" s="10"/>
      <c r="I199" s="11"/>
      <c r="J199" s="10"/>
      <c r="K199" s="102"/>
      <c r="O199" s="172"/>
      <c r="P199" s="173"/>
      <c r="Q199" s="3"/>
      <c r="T199" s="268"/>
      <c r="U199" s="9"/>
      <c r="V199" s="9"/>
      <c r="W199" s="9"/>
      <c r="X199" s="103"/>
      <c r="Y199" s="103"/>
      <c r="Z199" s="103"/>
      <c r="AA199" s="103"/>
      <c r="AB199" s="103"/>
      <c r="AC199" s="103"/>
      <c r="AD199" s="103"/>
      <c r="AE199" s="9"/>
      <c r="AF199" s="9"/>
      <c r="AG199" s="853"/>
      <c r="AH199" s="853"/>
    </row>
    <row r="200" spans="1:34" s="12" customFormat="1" x14ac:dyDescent="0.25">
      <c r="A200" s="375"/>
      <c r="C200" s="3"/>
      <c r="E200" s="208"/>
      <c r="F200" s="101"/>
      <c r="H200" s="10"/>
      <c r="I200" s="11"/>
      <c r="J200" s="10"/>
      <c r="K200" s="102"/>
      <c r="O200" s="172"/>
      <c r="P200" s="173"/>
      <c r="Q200" s="3"/>
      <c r="T200" s="268"/>
      <c r="U200" s="9"/>
      <c r="V200" s="9"/>
      <c r="W200" s="9"/>
      <c r="X200" s="103"/>
      <c r="Y200" s="103"/>
      <c r="Z200" s="103"/>
      <c r="AA200" s="103"/>
      <c r="AB200" s="103"/>
      <c r="AC200" s="103"/>
      <c r="AD200" s="103"/>
      <c r="AE200" s="9"/>
      <c r="AF200" s="9"/>
      <c r="AG200" s="853"/>
      <c r="AH200" s="853"/>
    </row>
    <row r="201" spans="1:34" s="12" customFormat="1" x14ac:dyDescent="0.25">
      <c r="A201" s="375"/>
      <c r="C201" s="3"/>
      <c r="E201" s="208"/>
      <c r="F201" s="101"/>
      <c r="H201" s="10"/>
      <c r="I201" s="11"/>
      <c r="J201" s="10"/>
      <c r="K201" s="102"/>
      <c r="O201" s="172"/>
      <c r="P201" s="173"/>
      <c r="Q201" s="3"/>
      <c r="T201" s="268"/>
      <c r="U201" s="9"/>
      <c r="V201" s="9"/>
      <c r="W201" s="9"/>
      <c r="X201" s="103"/>
      <c r="Y201" s="103"/>
      <c r="Z201" s="103"/>
      <c r="AA201" s="103"/>
      <c r="AB201" s="103"/>
      <c r="AC201" s="103"/>
      <c r="AD201" s="103"/>
      <c r="AE201" s="9"/>
      <c r="AF201" s="9"/>
      <c r="AG201" s="853"/>
      <c r="AH201" s="853"/>
    </row>
    <row r="202" spans="1:34" s="12" customFormat="1" x14ac:dyDescent="0.25">
      <c r="A202" s="375"/>
      <c r="C202" s="3"/>
      <c r="E202" s="208"/>
      <c r="F202" s="101"/>
      <c r="H202" s="10"/>
      <c r="I202" s="11"/>
      <c r="J202" s="10"/>
      <c r="K202" s="102"/>
      <c r="O202" s="172"/>
      <c r="P202" s="173"/>
      <c r="Q202" s="3"/>
      <c r="T202" s="268"/>
      <c r="U202" s="9"/>
      <c r="V202" s="9"/>
      <c r="W202" s="9"/>
      <c r="X202" s="103"/>
      <c r="Y202" s="103"/>
      <c r="Z202" s="103"/>
      <c r="AA202" s="103"/>
      <c r="AB202" s="103"/>
      <c r="AC202" s="103"/>
      <c r="AD202" s="103"/>
      <c r="AE202" s="9"/>
      <c r="AF202" s="9"/>
      <c r="AG202" s="853"/>
      <c r="AH202" s="853"/>
    </row>
    <row r="203" spans="1:34" s="12" customFormat="1" x14ac:dyDescent="0.25">
      <c r="A203" s="375"/>
      <c r="C203" s="3"/>
      <c r="E203" s="208"/>
      <c r="F203" s="101"/>
      <c r="H203" s="10"/>
      <c r="I203" s="11"/>
      <c r="J203" s="10"/>
      <c r="K203" s="102"/>
      <c r="O203" s="172"/>
      <c r="P203" s="173"/>
      <c r="Q203" s="3"/>
      <c r="T203" s="268"/>
      <c r="U203" s="9"/>
      <c r="V203" s="9"/>
      <c r="W203" s="9"/>
      <c r="X203" s="103"/>
      <c r="Y203" s="103"/>
      <c r="Z203" s="103"/>
      <c r="AA203" s="103"/>
      <c r="AB203" s="103"/>
      <c r="AC203" s="103"/>
      <c r="AD203" s="103"/>
      <c r="AE203" s="9"/>
      <c r="AF203" s="9"/>
      <c r="AG203" s="853"/>
      <c r="AH203" s="853"/>
    </row>
    <row r="204" spans="1:34" s="12" customFormat="1" x14ac:dyDescent="0.25">
      <c r="A204" s="375"/>
      <c r="C204" s="3"/>
      <c r="E204" s="208"/>
      <c r="F204" s="101"/>
      <c r="H204" s="10"/>
      <c r="I204" s="11"/>
      <c r="J204" s="10"/>
      <c r="K204" s="102"/>
      <c r="O204" s="172"/>
      <c r="P204" s="173"/>
      <c r="Q204" s="3"/>
      <c r="T204" s="268"/>
      <c r="U204" s="9"/>
      <c r="V204" s="9"/>
      <c r="W204" s="9"/>
      <c r="X204" s="103"/>
      <c r="Y204" s="103"/>
      <c r="Z204" s="103"/>
      <c r="AA204" s="103"/>
      <c r="AB204" s="103"/>
      <c r="AC204" s="103"/>
      <c r="AD204" s="103"/>
      <c r="AE204" s="9"/>
      <c r="AF204" s="9"/>
      <c r="AG204" s="853"/>
      <c r="AH204" s="853"/>
    </row>
    <row r="205" spans="1:34" s="12" customFormat="1" x14ac:dyDescent="0.25">
      <c r="A205" s="375"/>
      <c r="C205" s="3"/>
      <c r="E205" s="208"/>
      <c r="F205" s="101"/>
      <c r="H205" s="10"/>
      <c r="I205" s="11"/>
      <c r="J205" s="10"/>
      <c r="K205" s="102"/>
      <c r="O205" s="172"/>
      <c r="P205" s="173"/>
      <c r="Q205" s="3"/>
      <c r="T205" s="268"/>
      <c r="U205" s="9"/>
      <c r="V205" s="9"/>
      <c r="W205" s="9"/>
      <c r="X205" s="103"/>
      <c r="Y205" s="103"/>
      <c r="Z205" s="103"/>
      <c r="AA205" s="103"/>
      <c r="AB205" s="103"/>
      <c r="AC205" s="103"/>
      <c r="AD205" s="103"/>
      <c r="AE205" s="9"/>
      <c r="AF205" s="9"/>
      <c r="AG205" s="853"/>
      <c r="AH205" s="853"/>
    </row>
    <row r="206" spans="1:34" s="12" customFormat="1" x14ac:dyDescent="0.25">
      <c r="A206" s="375"/>
      <c r="C206" s="3"/>
      <c r="E206" s="208"/>
      <c r="F206" s="101"/>
      <c r="H206" s="10"/>
      <c r="I206" s="11"/>
      <c r="J206" s="10"/>
      <c r="K206" s="102"/>
      <c r="O206" s="172"/>
      <c r="P206" s="173"/>
      <c r="Q206" s="3"/>
      <c r="T206" s="268"/>
      <c r="U206" s="9"/>
      <c r="V206" s="9"/>
      <c r="W206" s="9"/>
      <c r="X206" s="103"/>
      <c r="Y206" s="103"/>
      <c r="Z206" s="103"/>
      <c r="AA206" s="103"/>
      <c r="AB206" s="103"/>
      <c r="AC206" s="103"/>
      <c r="AD206" s="103"/>
      <c r="AE206" s="9"/>
      <c r="AF206" s="9"/>
      <c r="AG206" s="853"/>
      <c r="AH206" s="853"/>
    </row>
    <row r="207" spans="1:34" s="12" customFormat="1" x14ac:dyDescent="0.25">
      <c r="A207" s="375"/>
      <c r="C207" s="3"/>
      <c r="E207" s="208"/>
      <c r="F207" s="101"/>
      <c r="H207" s="10"/>
      <c r="I207" s="11"/>
      <c r="J207" s="10"/>
      <c r="K207" s="102"/>
      <c r="O207" s="172"/>
      <c r="P207" s="173"/>
      <c r="Q207" s="3"/>
      <c r="T207" s="268"/>
      <c r="U207" s="9"/>
      <c r="V207" s="9"/>
      <c r="W207" s="9"/>
      <c r="X207" s="103"/>
      <c r="Y207" s="103"/>
      <c r="Z207" s="103"/>
      <c r="AA207" s="103"/>
      <c r="AB207" s="103"/>
      <c r="AC207" s="103"/>
      <c r="AD207" s="103"/>
      <c r="AE207" s="9"/>
      <c r="AF207" s="9"/>
      <c r="AG207" s="853"/>
      <c r="AH207" s="853"/>
    </row>
    <row r="208" spans="1:34" s="12" customFormat="1" x14ac:dyDescent="0.25">
      <c r="A208" s="375"/>
      <c r="C208" s="3"/>
      <c r="E208" s="208"/>
      <c r="F208" s="101"/>
      <c r="H208" s="10"/>
      <c r="I208" s="11"/>
      <c r="J208" s="10"/>
      <c r="K208" s="102"/>
      <c r="O208" s="172"/>
      <c r="P208" s="173"/>
      <c r="Q208" s="3"/>
      <c r="T208" s="268"/>
      <c r="U208" s="9"/>
      <c r="V208" s="9"/>
      <c r="W208" s="9"/>
      <c r="X208" s="103"/>
      <c r="Y208" s="103"/>
      <c r="Z208" s="103"/>
      <c r="AA208" s="103"/>
      <c r="AB208" s="103"/>
      <c r="AC208" s="103"/>
      <c r="AD208" s="103"/>
      <c r="AE208" s="9"/>
      <c r="AF208" s="9"/>
      <c r="AG208" s="853"/>
      <c r="AH208" s="853"/>
    </row>
    <row r="209" spans="1:34" s="12" customFormat="1" x14ac:dyDescent="0.25">
      <c r="A209" s="375"/>
      <c r="C209" s="3"/>
      <c r="E209" s="208"/>
      <c r="F209" s="101"/>
      <c r="H209" s="10"/>
      <c r="I209" s="11"/>
      <c r="J209" s="10"/>
      <c r="K209" s="102"/>
      <c r="O209" s="172"/>
      <c r="P209" s="173"/>
      <c r="Q209" s="3"/>
      <c r="T209" s="268"/>
      <c r="U209" s="9"/>
      <c r="V209" s="9"/>
      <c r="W209" s="9"/>
      <c r="X209" s="103"/>
      <c r="Y209" s="103"/>
      <c r="Z209" s="103"/>
      <c r="AA209" s="103"/>
      <c r="AB209" s="103"/>
      <c r="AC209" s="103"/>
      <c r="AD209" s="103"/>
      <c r="AE209" s="9"/>
      <c r="AF209" s="9"/>
      <c r="AG209" s="853"/>
      <c r="AH209" s="853"/>
    </row>
    <row r="210" spans="1:34" s="12" customFormat="1" x14ac:dyDescent="0.25">
      <c r="A210" s="375"/>
      <c r="C210" s="3"/>
      <c r="E210" s="208"/>
      <c r="F210" s="101"/>
      <c r="H210" s="10"/>
      <c r="I210" s="11"/>
      <c r="J210" s="10"/>
      <c r="K210" s="102"/>
      <c r="O210" s="172"/>
      <c r="P210" s="173"/>
      <c r="Q210" s="3"/>
      <c r="T210" s="268"/>
      <c r="U210" s="9"/>
      <c r="V210" s="9"/>
      <c r="W210" s="9"/>
      <c r="X210" s="103"/>
      <c r="Y210" s="103"/>
      <c r="Z210" s="103"/>
      <c r="AA210" s="103"/>
      <c r="AB210" s="103"/>
      <c r="AC210" s="103"/>
      <c r="AD210" s="103"/>
      <c r="AE210" s="9"/>
      <c r="AF210" s="9"/>
      <c r="AG210" s="853"/>
      <c r="AH210" s="853"/>
    </row>
    <row r="211" spans="1:34" s="12" customFormat="1" x14ac:dyDescent="0.25">
      <c r="A211" s="375"/>
      <c r="C211" s="3"/>
      <c r="E211" s="208"/>
      <c r="F211" s="101"/>
      <c r="H211" s="10"/>
      <c r="I211" s="11"/>
      <c r="J211" s="10"/>
      <c r="K211" s="102"/>
      <c r="O211" s="172"/>
      <c r="P211" s="173"/>
      <c r="Q211" s="3"/>
      <c r="T211" s="268"/>
      <c r="U211" s="9"/>
      <c r="V211" s="9"/>
      <c r="W211" s="9"/>
      <c r="X211" s="103"/>
      <c r="Y211" s="103"/>
      <c r="Z211" s="103"/>
      <c r="AA211" s="103"/>
      <c r="AB211" s="103"/>
      <c r="AC211" s="103"/>
      <c r="AD211" s="103"/>
      <c r="AE211" s="9"/>
      <c r="AF211" s="9"/>
      <c r="AG211" s="853"/>
      <c r="AH211" s="853"/>
    </row>
    <row r="212" spans="1:34" s="12" customFormat="1" x14ac:dyDescent="0.25">
      <c r="A212" s="375"/>
      <c r="C212" s="3"/>
      <c r="E212" s="208"/>
      <c r="F212" s="101"/>
      <c r="H212" s="10"/>
      <c r="I212" s="11"/>
      <c r="J212" s="10"/>
      <c r="K212" s="102"/>
      <c r="O212" s="172"/>
      <c r="P212" s="173"/>
      <c r="Q212" s="3"/>
      <c r="T212" s="268"/>
      <c r="U212" s="9"/>
      <c r="V212" s="9"/>
      <c r="W212" s="9"/>
      <c r="X212" s="103"/>
      <c r="Y212" s="103"/>
      <c r="Z212" s="103"/>
      <c r="AA212" s="103"/>
      <c r="AB212" s="103"/>
      <c r="AC212" s="103"/>
      <c r="AD212" s="103"/>
      <c r="AE212" s="9"/>
      <c r="AF212" s="9"/>
      <c r="AG212" s="853"/>
      <c r="AH212" s="853"/>
    </row>
    <row r="213" spans="1:34" s="12" customFormat="1" x14ac:dyDescent="0.25">
      <c r="A213" s="375"/>
      <c r="C213" s="3"/>
      <c r="E213" s="208"/>
      <c r="F213" s="101"/>
      <c r="H213" s="10"/>
      <c r="I213" s="11"/>
      <c r="J213" s="10"/>
      <c r="K213" s="102"/>
      <c r="O213" s="172"/>
      <c r="P213" s="173"/>
      <c r="Q213" s="3"/>
      <c r="T213" s="268"/>
      <c r="U213" s="9"/>
      <c r="V213" s="9"/>
      <c r="W213" s="9"/>
      <c r="X213" s="103"/>
      <c r="Y213" s="103"/>
      <c r="Z213" s="103"/>
      <c r="AA213" s="103"/>
      <c r="AB213" s="103"/>
      <c r="AC213" s="103"/>
      <c r="AD213" s="103"/>
      <c r="AE213" s="9"/>
      <c r="AF213" s="9"/>
      <c r="AG213" s="853"/>
      <c r="AH213" s="853"/>
    </row>
    <row r="214" spans="1:34" s="12" customFormat="1" x14ac:dyDescent="0.25">
      <c r="A214" s="375"/>
      <c r="C214" s="3"/>
      <c r="E214" s="208"/>
      <c r="F214" s="101"/>
      <c r="H214" s="10"/>
      <c r="I214" s="11"/>
      <c r="J214" s="10"/>
      <c r="K214" s="102"/>
      <c r="O214" s="172"/>
      <c r="P214" s="173"/>
      <c r="Q214" s="3"/>
      <c r="T214" s="268"/>
      <c r="U214" s="9"/>
      <c r="V214" s="9"/>
      <c r="W214" s="9"/>
      <c r="X214" s="103"/>
      <c r="Y214" s="103"/>
      <c r="Z214" s="103"/>
      <c r="AA214" s="103"/>
      <c r="AB214" s="103"/>
      <c r="AC214" s="103"/>
      <c r="AD214" s="103"/>
      <c r="AE214" s="9"/>
      <c r="AF214" s="9"/>
      <c r="AG214" s="853"/>
      <c r="AH214" s="853"/>
    </row>
    <row r="215" spans="1:34" s="12" customFormat="1" x14ac:dyDescent="0.25">
      <c r="A215" s="375"/>
      <c r="C215" s="3"/>
      <c r="E215" s="208"/>
      <c r="F215" s="101"/>
      <c r="H215" s="10"/>
      <c r="I215" s="11"/>
      <c r="J215" s="10"/>
      <c r="K215" s="102"/>
      <c r="O215" s="172"/>
      <c r="P215" s="173"/>
      <c r="Q215" s="3"/>
      <c r="T215" s="268"/>
      <c r="U215" s="9"/>
      <c r="V215" s="9"/>
      <c r="W215" s="9"/>
      <c r="X215" s="103"/>
      <c r="Y215" s="103"/>
      <c r="Z215" s="103"/>
      <c r="AA215" s="103"/>
      <c r="AB215" s="103"/>
      <c r="AC215" s="103"/>
      <c r="AD215" s="103"/>
      <c r="AE215" s="9"/>
      <c r="AF215" s="9"/>
      <c r="AG215" s="853"/>
      <c r="AH215" s="853"/>
    </row>
    <row r="216" spans="1:34" s="12" customFormat="1" x14ac:dyDescent="0.25">
      <c r="A216" s="375"/>
      <c r="C216" s="3"/>
      <c r="E216" s="208"/>
      <c r="F216" s="101"/>
      <c r="H216" s="10"/>
      <c r="I216" s="11"/>
      <c r="J216" s="10"/>
      <c r="K216" s="102"/>
      <c r="O216" s="172"/>
      <c r="P216" s="173"/>
      <c r="Q216" s="3"/>
      <c r="T216" s="268"/>
      <c r="U216" s="9"/>
      <c r="V216" s="9"/>
      <c r="W216" s="9"/>
      <c r="X216" s="103"/>
      <c r="Y216" s="103"/>
      <c r="Z216" s="103"/>
      <c r="AA216" s="103"/>
      <c r="AB216" s="103"/>
      <c r="AC216" s="103"/>
      <c r="AD216" s="103"/>
      <c r="AE216" s="9"/>
      <c r="AF216" s="9"/>
      <c r="AG216" s="853"/>
      <c r="AH216" s="853"/>
    </row>
    <row r="217" spans="1:34" s="12" customFormat="1" x14ac:dyDescent="0.25">
      <c r="A217" s="375"/>
      <c r="C217" s="3"/>
      <c r="E217" s="208"/>
      <c r="F217" s="101"/>
      <c r="H217" s="10"/>
      <c r="I217" s="11"/>
      <c r="J217" s="10"/>
      <c r="K217" s="102"/>
      <c r="O217" s="172"/>
      <c r="P217" s="173"/>
      <c r="Q217" s="3"/>
      <c r="T217" s="268"/>
      <c r="U217" s="9"/>
      <c r="V217" s="9"/>
      <c r="W217" s="9"/>
      <c r="X217" s="103"/>
      <c r="Y217" s="103"/>
      <c r="Z217" s="103"/>
      <c r="AA217" s="103"/>
      <c r="AB217" s="103"/>
      <c r="AC217" s="103"/>
      <c r="AD217" s="103"/>
      <c r="AE217" s="9"/>
      <c r="AF217" s="9"/>
      <c r="AG217" s="853"/>
      <c r="AH217" s="853"/>
    </row>
    <row r="218" spans="1:34" s="12" customFormat="1" x14ac:dyDescent="0.25">
      <c r="A218" s="375"/>
      <c r="C218" s="3"/>
      <c r="E218" s="208"/>
      <c r="F218" s="101"/>
      <c r="H218" s="10"/>
      <c r="I218" s="11"/>
      <c r="J218" s="10"/>
      <c r="K218" s="102"/>
      <c r="O218" s="172"/>
      <c r="P218" s="173"/>
      <c r="Q218" s="3"/>
      <c r="T218" s="268"/>
      <c r="U218" s="9"/>
      <c r="V218" s="9"/>
      <c r="W218" s="9"/>
      <c r="X218" s="103"/>
      <c r="Y218" s="103"/>
      <c r="Z218" s="103"/>
      <c r="AA218" s="103"/>
      <c r="AB218" s="103"/>
      <c r="AC218" s="103"/>
      <c r="AD218" s="103"/>
      <c r="AE218" s="9"/>
      <c r="AF218" s="9"/>
      <c r="AG218" s="853"/>
      <c r="AH218" s="853"/>
    </row>
    <row r="219" spans="1:34" s="12" customFormat="1" x14ac:dyDescent="0.25">
      <c r="A219" s="375"/>
      <c r="C219" s="3"/>
      <c r="E219" s="208"/>
      <c r="F219" s="101"/>
      <c r="H219" s="10"/>
      <c r="I219" s="11"/>
      <c r="J219" s="10"/>
      <c r="K219" s="102"/>
      <c r="O219" s="172"/>
      <c r="P219" s="173"/>
      <c r="Q219" s="3"/>
      <c r="T219" s="268"/>
      <c r="U219" s="9"/>
      <c r="V219" s="9"/>
      <c r="W219" s="9"/>
      <c r="X219" s="103"/>
      <c r="Y219" s="103"/>
      <c r="Z219" s="103"/>
      <c r="AA219" s="103"/>
      <c r="AB219" s="103"/>
      <c r="AC219" s="103"/>
      <c r="AD219" s="103"/>
      <c r="AE219" s="9"/>
      <c r="AF219" s="9"/>
      <c r="AG219" s="853"/>
      <c r="AH219" s="853"/>
    </row>
    <row r="220" spans="1:34" s="12" customFormat="1" x14ac:dyDescent="0.25">
      <c r="A220" s="375"/>
      <c r="C220" s="3"/>
      <c r="E220" s="208"/>
      <c r="F220" s="101"/>
      <c r="H220" s="10"/>
      <c r="I220" s="11"/>
      <c r="J220" s="10"/>
      <c r="K220" s="102"/>
      <c r="O220" s="172"/>
      <c r="P220" s="173"/>
      <c r="Q220" s="3"/>
      <c r="T220" s="268"/>
      <c r="U220" s="9"/>
      <c r="V220" s="9"/>
      <c r="W220" s="9"/>
      <c r="X220" s="103"/>
      <c r="Y220" s="103"/>
      <c r="Z220" s="103"/>
      <c r="AA220" s="103"/>
      <c r="AB220" s="103"/>
      <c r="AC220" s="103"/>
      <c r="AD220" s="103"/>
      <c r="AE220" s="9"/>
      <c r="AF220" s="9"/>
      <c r="AG220" s="853"/>
      <c r="AH220" s="853"/>
    </row>
    <row r="221" spans="1:34" s="12" customFormat="1" x14ac:dyDescent="0.25">
      <c r="A221" s="375"/>
      <c r="C221" s="3"/>
      <c r="E221" s="208"/>
      <c r="F221" s="101"/>
      <c r="H221" s="10"/>
      <c r="I221" s="11"/>
      <c r="J221" s="10"/>
      <c r="K221" s="102"/>
      <c r="O221" s="172"/>
      <c r="P221" s="173"/>
      <c r="Q221" s="3"/>
      <c r="T221" s="268"/>
      <c r="U221" s="9"/>
      <c r="V221" s="9"/>
      <c r="W221" s="9"/>
      <c r="X221" s="103"/>
      <c r="Y221" s="103"/>
      <c r="Z221" s="103"/>
      <c r="AA221" s="103"/>
      <c r="AB221" s="103"/>
      <c r="AC221" s="103"/>
      <c r="AD221" s="103"/>
      <c r="AE221" s="9"/>
      <c r="AF221" s="9"/>
      <c r="AG221" s="853"/>
      <c r="AH221" s="853"/>
    </row>
    <row r="222" spans="1:34" s="12" customFormat="1" x14ac:dyDescent="0.25">
      <c r="A222" s="375"/>
      <c r="C222" s="3"/>
      <c r="E222" s="208"/>
      <c r="F222" s="101"/>
      <c r="H222" s="10"/>
      <c r="I222" s="11"/>
      <c r="J222" s="10"/>
      <c r="K222" s="102"/>
      <c r="O222" s="172"/>
      <c r="P222" s="173"/>
      <c r="Q222" s="3"/>
      <c r="T222" s="268"/>
      <c r="U222" s="9"/>
      <c r="V222" s="9"/>
      <c r="W222" s="9"/>
      <c r="X222" s="103"/>
      <c r="Y222" s="103"/>
      <c r="Z222" s="103"/>
      <c r="AA222" s="103"/>
      <c r="AB222" s="103"/>
      <c r="AC222" s="103"/>
      <c r="AD222" s="103"/>
      <c r="AE222" s="9"/>
      <c r="AF222" s="9"/>
      <c r="AG222" s="853"/>
      <c r="AH222" s="853"/>
    </row>
    <row r="223" spans="1:34" s="12" customFormat="1" x14ac:dyDescent="0.25">
      <c r="A223" s="375"/>
      <c r="C223" s="3"/>
      <c r="E223" s="208"/>
      <c r="F223" s="101"/>
      <c r="H223" s="10"/>
      <c r="I223" s="11"/>
      <c r="J223" s="10"/>
      <c r="K223" s="102"/>
      <c r="O223" s="172"/>
      <c r="P223" s="173"/>
      <c r="Q223" s="3"/>
      <c r="T223" s="268"/>
      <c r="U223" s="9"/>
      <c r="V223" s="9"/>
      <c r="W223" s="9"/>
      <c r="X223" s="103"/>
      <c r="Y223" s="103"/>
      <c r="Z223" s="103"/>
      <c r="AA223" s="103"/>
      <c r="AB223" s="103"/>
      <c r="AC223" s="103"/>
      <c r="AD223" s="103"/>
      <c r="AE223" s="9"/>
      <c r="AF223" s="9"/>
      <c r="AG223" s="853"/>
      <c r="AH223" s="853"/>
    </row>
    <row r="224" spans="1:34" s="12" customFormat="1" x14ac:dyDescent="0.25">
      <c r="A224" s="375"/>
      <c r="C224" s="3"/>
      <c r="E224" s="208"/>
      <c r="F224" s="101"/>
      <c r="H224" s="10"/>
      <c r="I224" s="11"/>
      <c r="J224" s="10"/>
      <c r="K224" s="102"/>
      <c r="O224" s="172"/>
      <c r="P224" s="173"/>
      <c r="Q224" s="3"/>
      <c r="T224" s="268"/>
      <c r="U224" s="9"/>
      <c r="V224" s="9"/>
      <c r="W224" s="9"/>
      <c r="X224" s="103"/>
      <c r="Y224" s="103"/>
      <c r="Z224" s="103"/>
      <c r="AA224" s="103"/>
      <c r="AB224" s="103"/>
      <c r="AC224" s="103"/>
      <c r="AD224" s="103"/>
      <c r="AE224" s="9"/>
      <c r="AF224" s="9"/>
      <c r="AG224" s="853"/>
      <c r="AH224" s="853"/>
    </row>
    <row r="225" spans="1:34" s="12" customFormat="1" x14ac:dyDescent="0.25">
      <c r="A225" s="375"/>
      <c r="C225" s="3"/>
      <c r="E225" s="208"/>
      <c r="F225" s="101"/>
      <c r="H225" s="10"/>
      <c r="I225" s="11"/>
      <c r="J225" s="10"/>
      <c r="K225" s="102"/>
      <c r="O225" s="172"/>
      <c r="P225" s="173"/>
      <c r="Q225" s="3"/>
      <c r="T225" s="268"/>
      <c r="U225" s="9"/>
      <c r="V225" s="9"/>
      <c r="W225" s="9"/>
      <c r="X225" s="103"/>
      <c r="Y225" s="103"/>
      <c r="Z225" s="103"/>
      <c r="AA225" s="103"/>
      <c r="AB225" s="103"/>
      <c r="AC225" s="103"/>
      <c r="AD225" s="103"/>
      <c r="AE225" s="9"/>
      <c r="AF225" s="9"/>
      <c r="AG225" s="853"/>
      <c r="AH225" s="853"/>
    </row>
    <row r="226" spans="1:34" s="12" customFormat="1" x14ac:dyDescent="0.25">
      <c r="A226" s="375"/>
      <c r="C226" s="3"/>
      <c r="E226" s="208"/>
      <c r="F226" s="101"/>
      <c r="H226" s="10"/>
      <c r="I226" s="11"/>
      <c r="J226" s="10"/>
      <c r="K226" s="102"/>
      <c r="O226" s="172"/>
      <c r="P226" s="173"/>
      <c r="Q226" s="3"/>
      <c r="T226" s="268"/>
      <c r="U226" s="9"/>
      <c r="V226" s="9"/>
      <c r="W226" s="9"/>
      <c r="X226" s="103"/>
      <c r="Y226" s="103"/>
      <c r="Z226" s="103"/>
      <c r="AA226" s="103"/>
      <c r="AB226" s="103"/>
      <c r="AC226" s="103"/>
      <c r="AD226" s="103"/>
      <c r="AE226" s="9"/>
      <c r="AF226" s="9"/>
      <c r="AG226" s="853"/>
      <c r="AH226" s="853"/>
    </row>
  </sheetData>
  <mergeCells count="212">
    <mergeCell ref="B84:B85"/>
    <mergeCell ref="B138:B139"/>
    <mergeCell ref="C138:C139"/>
    <mergeCell ref="D138:D139"/>
    <mergeCell ref="F138:F139"/>
    <mergeCell ref="G138:G139"/>
    <mergeCell ref="I138:I139"/>
    <mergeCell ref="I118:I119"/>
    <mergeCell ref="I120:I121"/>
    <mergeCell ref="I122:I123"/>
    <mergeCell ref="I124:I125"/>
    <mergeCell ref="I126:I127"/>
    <mergeCell ref="C124:C125"/>
    <mergeCell ref="D124:D125"/>
    <mergeCell ref="F124:F125"/>
    <mergeCell ref="G124:G125"/>
    <mergeCell ref="C126:C127"/>
    <mergeCell ref="D126:D127"/>
    <mergeCell ref="F126:F127"/>
    <mergeCell ref="G126:G127"/>
    <mergeCell ref="C120:C121"/>
    <mergeCell ref="D120:D121"/>
    <mergeCell ref="F120:F121"/>
    <mergeCell ref="G120:G121"/>
    <mergeCell ref="C122:C123"/>
    <mergeCell ref="D122:D123"/>
    <mergeCell ref="F122:F123"/>
    <mergeCell ref="G122:G123"/>
    <mergeCell ref="C118:C119"/>
    <mergeCell ref="D118:D119"/>
    <mergeCell ref="F118:F119"/>
    <mergeCell ref="I106:I107"/>
    <mergeCell ref="I108:I109"/>
    <mergeCell ref="I110:I111"/>
    <mergeCell ref="I112:I113"/>
    <mergeCell ref="I114:I115"/>
    <mergeCell ref="I116:I117"/>
    <mergeCell ref="D116:D117"/>
    <mergeCell ref="F116:F117"/>
    <mergeCell ref="G116:G117"/>
    <mergeCell ref="G106:G107"/>
    <mergeCell ref="I94:I95"/>
    <mergeCell ref="I96:I97"/>
    <mergeCell ref="I98:I99"/>
    <mergeCell ref="I100:I101"/>
    <mergeCell ref="I102:I103"/>
    <mergeCell ref="I104:I105"/>
    <mergeCell ref="I82:I83"/>
    <mergeCell ref="I84:I85"/>
    <mergeCell ref="I86:I87"/>
    <mergeCell ref="I88:I89"/>
    <mergeCell ref="I90:I91"/>
    <mergeCell ref="I92:I93"/>
    <mergeCell ref="I70:I71"/>
    <mergeCell ref="I72:I73"/>
    <mergeCell ref="I74:I75"/>
    <mergeCell ref="I76:I77"/>
    <mergeCell ref="I78:I79"/>
    <mergeCell ref="I80:I81"/>
    <mergeCell ref="G118:G119"/>
    <mergeCell ref="C112:C113"/>
    <mergeCell ref="D112:D113"/>
    <mergeCell ref="F112:F113"/>
    <mergeCell ref="G112:G113"/>
    <mergeCell ref="C114:C115"/>
    <mergeCell ref="D114:D115"/>
    <mergeCell ref="C108:C109"/>
    <mergeCell ref="D108:D109"/>
    <mergeCell ref="F108:F109"/>
    <mergeCell ref="G108:G109"/>
    <mergeCell ref="F114:F115"/>
    <mergeCell ref="G114:G115"/>
    <mergeCell ref="C110:C111"/>
    <mergeCell ref="D110:D111"/>
    <mergeCell ref="F110:F111"/>
    <mergeCell ref="G110:G111"/>
    <mergeCell ref="C116:C117"/>
    <mergeCell ref="C104:C105"/>
    <mergeCell ref="D104:D105"/>
    <mergeCell ref="F104:F105"/>
    <mergeCell ref="G104:G105"/>
    <mergeCell ref="C102:C103"/>
    <mergeCell ref="D102:D103"/>
    <mergeCell ref="F102:F103"/>
    <mergeCell ref="G102:G103"/>
    <mergeCell ref="C106:C107"/>
    <mergeCell ref="D106:D107"/>
    <mergeCell ref="F106:F107"/>
    <mergeCell ref="G100:G101"/>
    <mergeCell ref="C98:C99"/>
    <mergeCell ref="D98:D99"/>
    <mergeCell ref="F98:F99"/>
    <mergeCell ref="G98:G99"/>
    <mergeCell ref="C100:C101"/>
    <mergeCell ref="D100:D101"/>
    <mergeCell ref="F100:F101"/>
    <mergeCell ref="G84:G85"/>
    <mergeCell ref="C88:C89"/>
    <mergeCell ref="D88:D89"/>
    <mergeCell ref="F88:F89"/>
    <mergeCell ref="G94:G95"/>
    <mergeCell ref="C92:C93"/>
    <mergeCell ref="D92:D93"/>
    <mergeCell ref="F92:F93"/>
    <mergeCell ref="G92:G93"/>
    <mergeCell ref="C90:C91"/>
    <mergeCell ref="D90:D91"/>
    <mergeCell ref="F90:F91"/>
    <mergeCell ref="G90:G91"/>
    <mergeCell ref="C94:C95"/>
    <mergeCell ref="D94:D95"/>
    <mergeCell ref="F94:F95"/>
    <mergeCell ref="C86:C87"/>
    <mergeCell ref="D86:D87"/>
    <mergeCell ref="F86:F87"/>
    <mergeCell ref="G86:G87"/>
    <mergeCell ref="C84:C85"/>
    <mergeCell ref="D84:D85"/>
    <mergeCell ref="F84:F85"/>
    <mergeCell ref="C96:C97"/>
    <mergeCell ref="D96:D97"/>
    <mergeCell ref="F96:F97"/>
    <mergeCell ref="G96:G97"/>
    <mergeCell ref="G70:G71"/>
    <mergeCell ref="C72:C73"/>
    <mergeCell ref="D72:D73"/>
    <mergeCell ref="F72:F73"/>
    <mergeCell ref="G72:G73"/>
    <mergeCell ref="C70:C71"/>
    <mergeCell ref="D70:D71"/>
    <mergeCell ref="F70:F71"/>
    <mergeCell ref="C74:C75"/>
    <mergeCell ref="D74:D75"/>
    <mergeCell ref="F74:F75"/>
    <mergeCell ref="A156:B156"/>
    <mergeCell ref="B70:B71"/>
    <mergeCell ref="B72:B73"/>
    <mergeCell ref="B74:B75"/>
    <mergeCell ref="B76:B77"/>
    <mergeCell ref="B78:B79"/>
    <mergeCell ref="B80:B81"/>
    <mergeCell ref="B82:B83"/>
    <mergeCell ref="B86:B87"/>
    <mergeCell ref="B124:B125"/>
    <mergeCell ref="B126:B127"/>
    <mergeCell ref="B118:B119"/>
    <mergeCell ref="B120:B121"/>
    <mergeCell ref="B122:B123"/>
    <mergeCell ref="B88:B89"/>
    <mergeCell ref="B90:B91"/>
    <mergeCell ref="B92:B93"/>
    <mergeCell ref="B94:B95"/>
    <mergeCell ref="B112:B113"/>
    <mergeCell ref="B114:B115"/>
    <mergeCell ref="B116:B117"/>
    <mergeCell ref="B100:B101"/>
    <mergeCell ref="B102:B103"/>
    <mergeCell ref="B104:B105"/>
    <mergeCell ref="B96:B97"/>
    <mergeCell ref="B98:B99"/>
    <mergeCell ref="A9:B9"/>
    <mergeCell ref="B106:B107"/>
    <mergeCell ref="B108:B109"/>
    <mergeCell ref="B110:B111"/>
    <mergeCell ref="G74:G75"/>
    <mergeCell ref="C76:C77"/>
    <mergeCell ref="D76:D77"/>
    <mergeCell ref="F76:F77"/>
    <mergeCell ref="G76:G77"/>
    <mergeCell ref="G82:G83"/>
    <mergeCell ref="C80:C81"/>
    <mergeCell ref="D80:D81"/>
    <mergeCell ref="F80:F81"/>
    <mergeCell ref="G80:G81"/>
    <mergeCell ref="C78:C79"/>
    <mergeCell ref="D78:D79"/>
    <mergeCell ref="F78:F79"/>
    <mergeCell ref="G78:G79"/>
    <mergeCell ref="C82:C83"/>
    <mergeCell ref="D82:D83"/>
    <mergeCell ref="F82:F83"/>
    <mergeCell ref="G88:G89"/>
    <mergeCell ref="B128:B129"/>
    <mergeCell ref="C128:C129"/>
    <mergeCell ref="D128:D129"/>
    <mergeCell ref="F128:F129"/>
    <mergeCell ref="G128:G129"/>
    <mergeCell ref="I128:I129"/>
    <mergeCell ref="B130:B131"/>
    <mergeCell ref="C130:C131"/>
    <mergeCell ref="D130:D131"/>
    <mergeCell ref="F130:F131"/>
    <mergeCell ref="G130:G131"/>
    <mergeCell ref="I130:I131"/>
    <mergeCell ref="B136:B137"/>
    <mergeCell ref="C136:C137"/>
    <mergeCell ref="D136:D137"/>
    <mergeCell ref="F136:F137"/>
    <mergeCell ref="G136:G137"/>
    <mergeCell ref="I136:I137"/>
    <mergeCell ref="G132:G133"/>
    <mergeCell ref="I132:I133"/>
    <mergeCell ref="B134:B135"/>
    <mergeCell ref="C134:C135"/>
    <mergeCell ref="D134:D135"/>
    <mergeCell ref="F134:F135"/>
    <mergeCell ref="G134:G135"/>
    <mergeCell ref="I134:I135"/>
    <mergeCell ref="B132:B133"/>
    <mergeCell ref="C132:C133"/>
    <mergeCell ref="D132:D133"/>
    <mergeCell ref="F132:F133"/>
  </mergeCells>
  <pageMargins left="0.23622047244094491" right="0.23622047244094491" top="0.74803149606299213" bottom="0.74803149606299213" header="0.31496062992125984" footer="0.31496062992125984"/>
  <pageSetup paperSize="9" scale="85" fitToHeight="0" orientation="landscape" r:id="rId1"/>
  <headerFooter alignWithMargins="0"/>
  <rowBreaks count="1" manualBreakCount="1">
    <brk id="37" max="100"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E356A-79F7-413A-8C5A-CA0E2341EFFD}">
  <sheetPr>
    <tabColor theme="7" tint="0.59999389629810485"/>
    <pageSetUpPr fitToPage="1"/>
  </sheetPr>
  <dimension ref="B1:G40"/>
  <sheetViews>
    <sheetView showGridLines="0" zoomScaleNormal="100" workbookViewId="0">
      <selection activeCell="H13" sqref="H13"/>
    </sheetView>
  </sheetViews>
  <sheetFormatPr defaultColWidth="11" defaultRowHeight="30" customHeight="1" x14ac:dyDescent="0.3"/>
  <cols>
    <col min="1" max="1" width="2.875" style="1021" customWidth="1"/>
    <col min="2" max="2" width="59.125" style="1021" customWidth="1"/>
    <col min="3" max="3" width="37.25" style="1021" customWidth="1"/>
    <col min="4" max="4" width="23.375" style="1021" customWidth="1"/>
    <col min="5" max="5" width="3.375" style="1021" customWidth="1"/>
    <col min="6" max="16384" width="11" style="1021"/>
  </cols>
  <sheetData>
    <row r="1" spans="2:4" ht="45" customHeight="1" x14ac:dyDescent="0.7">
      <c r="B1" s="1020" t="s">
        <v>1307</v>
      </c>
      <c r="C1" s="1566" t="s">
        <v>1308</v>
      </c>
      <c r="D1" s="1566"/>
    </row>
    <row r="2" spans="2:4" ht="30" customHeight="1" x14ac:dyDescent="0.3">
      <c r="B2" s="1022" t="s">
        <v>1309</v>
      </c>
      <c r="C2" s="1023" t="s">
        <v>1310</v>
      </c>
      <c r="D2" s="1024" t="s">
        <v>1311</v>
      </c>
    </row>
    <row r="3" spans="2:4" ht="42.75" customHeight="1" x14ac:dyDescent="0.3">
      <c r="B3" s="1021" t="s">
        <v>1312</v>
      </c>
      <c r="C3" s="1023"/>
    </row>
    <row r="4" spans="2:4" ht="14.4" x14ac:dyDescent="0.3">
      <c r="B4" s="1021" t="s">
        <v>1313</v>
      </c>
      <c r="C4" s="1023"/>
    </row>
    <row r="5" spans="2:4" ht="30" customHeight="1" x14ac:dyDescent="0.3">
      <c r="B5" s="1025" t="s">
        <v>1314</v>
      </c>
    </row>
    <row r="6" spans="2:4" ht="15" customHeight="1" x14ac:dyDescent="0.3">
      <c r="B6" s="1026" t="s">
        <v>1315</v>
      </c>
      <c r="C6" s="1027" t="s">
        <v>1316</v>
      </c>
      <c r="D6" s="1024">
        <v>45047</v>
      </c>
    </row>
    <row r="7" spans="2:4" ht="30" customHeight="1" x14ac:dyDescent="0.3">
      <c r="B7" s="1021" t="s">
        <v>183</v>
      </c>
      <c r="C7" s="1028"/>
    </row>
    <row r="8" spans="2:4" ht="14.4" x14ac:dyDescent="0.3">
      <c r="B8" s="1021" t="s">
        <v>1317</v>
      </c>
    </row>
    <row r="9" spans="2:4" ht="14.4" x14ac:dyDescent="0.3">
      <c r="B9" s="1021" t="s">
        <v>1318</v>
      </c>
    </row>
    <row r="10" spans="2:4" ht="14.4" x14ac:dyDescent="0.3">
      <c r="B10" s="1021" t="s">
        <v>1319</v>
      </c>
    </row>
    <row r="11" spans="2:4" ht="45" customHeight="1" x14ac:dyDescent="0.3">
      <c r="B11" s="1025" t="s">
        <v>1320</v>
      </c>
    </row>
    <row r="12" spans="2:4" ht="108" customHeight="1" x14ac:dyDescent="0.3">
      <c r="B12" s="1026" t="s">
        <v>1321</v>
      </c>
      <c r="C12" s="1567" t="s">
        <v>1322</v>
      </c>
      <c r="D12" s="1568"/>
    </row>
    <row r="13" spans="2:4" ht="78.75" customHeight="1" x14ac:dyDescent="0.3">
      <c r="B13" s="1029" t="s">
        <v>1323</v>
      </c>
      <c r="C13" s="1030" t="s">
        <v>323</v>
      </c>
      <c r="D13" s="1029" t="s">
        <v>613</v>
      </c>
    </row>
    <row r="14" spans="2:4" ht="30" customHeight="1" x14ac:dyDescent="0.3">
      <c r="B14" s="1021" t="s">
        <v>1324</v>
      </c>
      <c r="D14" s="1031">
        <v>378</v>
      </c>
    </row>
    <row r="15" spans="2:4" ht="30" customHeight="1" x14ac:dyDescent="0.3">
      <c r="B15" s="1021" t="s">
        <v>1325</v>
      </c>
      <c r="D15" s="1031">
        <v>216</v>
      </c>
    </row>
    <row r="16" spans="2:4" ht="30" customHeight="1" x14ac:dyDescent="0.3">
      <c r="B16" s="1021" t="s">
        <v>1326</v>
      </c>
      <c r="D16" s="1031">
        <v>1895</v>
      </c>
    </row>
    <row r="17" spans="2:7" ht="30" customHeight="1" x14ac:dyDescent="0.3">
      <c r="D17" s="1031"/>
    </row>
    <row r="18" spans="2:7" ht="30" customHeight="1" x14ac:dyDescent="0.3">
      <c r="D18" s="1031"/>
    </row>
    <row r="19" spans="2:7" ht="30" customHeight="1" x14ac:dyDescent="0.3">
      <c r="B19" s="1032"/>
      <c r="C19" s="1033" t="s">
        <v>1327</v>
      </c>
      <c r="D19" s="1034">
        <f>SUBTOTAL(109,Piedāvājums[SUMMA])</f>
        <v>2489</v>
      </c>
    </row>
    <row r="20" spans="2:7" ht="30" customHeight="1" x14ac:dyDescent="0.3">
      <c r="B20" s="1569"/>
      <c r="C20" s="1569"/>
      <c r="D20" s="1569"/>
    </row>
    <row r="21" spans="2:7" ht="30" customHeight="1" x14ac:dyDescent="0.3">
      <c r="B21" s="1570" t="s">
        <v>1328</v>
      </c>
      <c r="C21" s="1570"/>
      <c r="D21" s="1570"/>
    </row>
    <row r="22" spans="2:7" ht="30" customHeight="1" x14ac:dyDescent="0.3">
      <c r="B22" s="1035">
        <v>44868</v>
      </c>
      <c r="C22"/>
      <c r="D22"/>
      <c r="E22"/>
      <c r="F22"/>
      <c r="G22" s="213" t="s">
        <v>1329</v>
      </c>
    </row>
    <row r="23" spans="2:7" ht="30" customHeight="1" x14ac:dyDescent="0.3">
      <c r="B23" s="1036" t="s">
        <v>1330</v>
      </c>
      <c r="C23"/>
      <c r="D23"/>
      <c r="E23"/>
      <c r="F23"/>
      <c r="G23"/>
    </row>
    <row r="24" spans="2:7" ht="30" customHeight="1" x14ac:dyDescent="0.3">
      <c r="B24" s="1037" t="s">
        <v>1331</v>
      </c>
      <c r="C24"/>
      <c r="D24"/>
      <c r="E24"/>
      <c r="F24"/>
      <c r="G24"/>
    </row>
    <row r="25" spans="2:7" ht="30" customHeight="1" x14ac:dyDescent="0.3">
      <c r="B25" s="1037" t="s">
        <v>1332</v>
      </c>
      <c r="C25"/>
      <c r="D25"/>
      <c r="E25"/>
      <c r="F25"/>
      <c r="G25"/>
    </row>
    <row r="26" spans="2:7" ht="30" customHeight="1" x14ac:dyDescent="0.3">
      <c r="B26" s="1037"/>
      <c r="C26"/>
      <c r="D26"/>
      <c r="E26"/>
      <c r="F26"/>
      <c r="G26"/>
    </row>
    <row r="27" spans="2:7" ht="30" customHeight="1" x14ac:dyDescent="0.3">
      <c r="B27" s="1037" t="s">
        <v>1333</v>
      </c>
      <c r="C27"/>
      <c r="D27"/>
      <c r="E27"/>
      <c r="F27"/>
      <c r="G27"/>
    </row>
    <row r="28" spans="2:7" ht="30" customHeight="1" x14ac:dyDescent="0.3">
      <c r="B28" s="1036" t="s">
        <v>1334</v>
      </c>
      <c r="C28"/>
      <c r="D28"/>
      <c r="E28"/>
      <c r="F28"/>
      <c r="G28"/>
    </row>
    <row r="29" spans="2:7" ht="30" customHeight="1" x14ac:dyDescent="0.3">
      <c r="B29" s="1036"/>
      <c r="C29"/>
      <c r="D29"/>
      <c r="E29"/>
      <c r="F29"/>
      <c r="G29"/>
    </row>
    <row r="30" spans="2:7" ht="30" customHeight="1" x14ac:dyDescent="0.3">
      <c r="B30" s="1036"/>
      <c r="C30"/>
      <c r="D30"/>
      <c r="E30"/>
      <c r="F30"/>
      <c r="G30"/>
    </row>
    <row r="31" spans="2:7" ht="30" customHeight="1" x14ac:dyDescent="0.3">
      <c r="B31" s="1038" t="s">
        <v>1335</v>
      </c>
      <c r="C31"/>
      <c r="D31"/>
      <c r="E31"/>
      <c r="F31"/>
      <c r="G31"/>
    </row>
    <row r="32" spans="2:7" ht="30" customHeight="1" x14ac:dyDescent="0.3">
      <c r="B32" s="1039"/>
      <c r="C32"/>
      <c r="D32"/>
      <c r="E32"/>
      <c r="F32"/>
      <c r="G32"/>
    </row>
    <row r="33" spans="2:7" ht="62.4" x14ac:dyDescent="0.3">
      <c r="B33" s="1040" t="s">
        <v>1336</v>
      </c>
      <c r="C33"/>
      <c r="D33"/>
      <c r="E33"/>
      <c r="F33"/>
      <c r="G33"/>
    </row>
    <row r="34" spans="2:7" ht="156" x14ac:dyDescent="0.3">
      <c r="B34" s="1040" t="s">
        <v>1337</v>
      </c>
      <c r="C34"/>
      <c r="D34"/>
      <c r="E34"/>
      <c r="F34"/>
      <c r="G34"/>
    </row>
    <row r="35" spans="2:7" ht="109.2" x14ac:dyDescent="0.3">
      <c r="B35" s="1040" t="s">
        <v>1338</v>
      </c>
      <c r="C35"/>
      <c r="D35"/>
      <c r="E35"/>
      <c r="F35"/>
      <c r="G35"/>
    </row>
    <row r="36" spans="2:7" ht="62.4" x14ac:dyDescent="0.3">
      <c r="B36" s="1040" t="s">
        <v>1339</v>
      </c>
      <c r="C36"/>
      <c r="D36"/>
      <c r="E36"/>
      <c r="F36"/>
      <c r="G36"/>
    </row>
    <row r="37" spans="2:7" ht="30" customHeight="1" x14ac:dyDescent="0.3">
      <c r="B37" s="1039"/>
      <c r="C37"/>
      <c r="D37"/>
      <c r="E37"/>
      <c r="F37"/>
      <c r="G37"/>
    </row>
    <row r="38" spans="2:7" ht="30" customHeight="1" x14ac:dyDescent="0.3">
      <c r="B38" s="1039"/>
      <c r="C38"/>
      <c r="D38"/>
      <c r="E38"/>
      <c r="F38"/>
      <c r="G38"/>
    </row>
    <row r="39" spans="2:7" ht="30" customHeight="1" x14ac:dyDescent="0.3">
      <c r="B39" s="1041" t="s">
        <v>1340</v>
      </c>
      <c r="C39" s="1042" t="s">
        <v>184</v>
      </c>
      <c r="D39"/>
      <c r="E39"/>
      <c r="F39"/>
      <c r="G39"/>
    </row>
    <row r="40" spans="2:7" ht="30" customHeight="1" x14ac:dyDescent="0.3">
      <c r="B40" s="1039"/>
      <c r="C40"/>
      <c r="D40"/>
      <c r="E40"/>
      <c r="F40"/>
      <c r="G40"/>
    </row>
  </sheetData>
  <mergeCells count="4">
    <mergeCell ref="C1:D1"/>
    <mergeCell ref="C12:D12"/>
    <mergeCell ref="B20:D20"/>
    <mergeCell ref="B21:D21"/>
  </mergeCells>
  <dataValidations count="29">
    <dataValidation allowBlank="1" showInputMessage="1" showErrorMessage="1" prompt="Izveidojiet cenas piedāvājumu bez nodokļiem šajā darblapā. Ievadiet uzņēmuma, klienta, piedāvājuma un preces informāciju. Kopsumma apmaksai tiks aprēķināta automātiski" sqref="A1" xr:uid="{C80E838B-FB98-4D81-848A-E9376054B82E}"/>
    <dataValidation allowBlank="1" showInputMessage="1" showErrorMessage="1" prompt="Šajā šūnā ievadiet klienta ID" sqref="D4" xr:uid="{890624F6-30B7-4A67-B665-B4AFCB791182}"/>
    <dataValidation allowBlank="1" showInputMessage="1" showErrorMessage="1" prompt="Šūnā pa labi ievadiet klienta ID" sqref="C4" xr:uid="{0095C1FD-7411-4F54-A9A7-137437F13E2D}"/>
    <dataValidation allowBlank="1" showInputMessage="1" showErrorMessage="1" prompt="Ievadiet piedāvājuma numuru šajā šūnā" sqref="D3" xr:uid="{C624F8A5-5CE8-4629-AA4F-BE0E832E6F02}"/>
    <dataValidation allowBlank="1" showInputMessage="1" showErrorMessage="1" prompt="Ievadiet piedāvājuma numuru šūnā pa labi" sqref="C3" xr:uid="{9EF972AD-0922-4D99-94BB-740C0E1B9D2D}"/>
    <dataValidation allowBlank="1" showInputMessage="1" showErrorMessage="1" prompt="Ievadiet piedāvājuma datumu šajā šūnā" sqref="D2" xr:uid="{3537638E-DFCA-4780-A6D3-0A362CE2FF08}"/>
    <dataValidation allowBlank="1" showInputMessage="1" showErrorMessage="1" prompt="Ievadiet piedāvājuma datumu šūnā pa labi" sqref="C2" xr:uid="{67656A83-26FA-452B-B318-393B77E9BAB0}"/>
    <dataValidation allowBlank="1" showInputMessage="1" showErrorMessage="1" prompt="Šajā šūnā atrodas šīs darblapas nosaukums. Ievadiet datumu, piedāvājuma numuru un klienta ID no šūnas D2 līdz šūnai D4" sqref="C1:D1" xr:uid="{6FADDBF7-D160-4F5E-8AB1-5AC45C114B5A}"/>
    <dataValidation allowBlank="1" showInputMessage="1" showErrorMessage="1" prompt="Šajā šūnā ievadiet uzņēmuma nosaukumu, bet šūnā zemāk ievadiet uzņēmuma saukli. Piedāvājuma nosaukums ir šūnā pa labi" sqref="B1" xr:uid="{8550CFC7-E84D-46EB-9C7D-9DD04CBA14EF}"/>
    <dataValidation allowBlank="1" showInputMessage="1" showErrorMessage="1" prompt="Ievadiet uzņēmuma saukli un uzņēmuma adresi šūnās zemāk, no šūnas B3 līdz šūnai B5" sqref="B2" xr:uid="{77DC0394-31D3-466A-AA7D-AF025658796B}"/>
    <dataValidation allowBlank="1" showInputMessage="1" showErrorMessage="1" prompt="Šajā šūnā ievadiet uzņēmuma adresi" sqref="B3" xr:uid="{F0D965E0-59D7-4AEC-93F5-9466712F4D97}"/>
    <dataValidation allowBlank="1" showInputMessage="1" showErrorMessage="1" prompt="Šajā šūnā ievadiet uzņēmuma pilsētu, novadu un pasta indeksu" sqref="B4" xr:uid="{7BF85663-70AD-4161-A5D5-DF987381210A}"/>
    <dataValidation allowBlank="1" showInputMessage="1" showErrorMessage="1" prompt="Šajā šūnā ievadiet uzņēmuma tālruņa un faksa numuru" sqref="B5" xr:uid="{58D8DEEF-9ABD-4F9E-A558-6C599488C3CB}"/>
    <dataValidation allowBlank="1" showInputMessage="1" showErrorMessage="1" prompt="Ievadiet piedāvājuma beigu datumu šajā šūnā" sqref="D6" xr:uid="{E20CE835-EF7F-4671-90A3-AA77B4BD2E4C}"/>
    <dataValidation allowBlank="1" showInputMessage="1" showErrorMessage="1" prompt="Ievadiet piedāvājuma beigu datumu šūnā pa labi" sqref="C6" xr:uid="{C92101F5-0EB4-46CB-BD00-1CE454ED8C65}"/>
    <dataValidation allowBlank="1" showInputMessage="1" showErrorMessage="1" prompt="Ievadiet autora vārdu, uzvārdu šajā šūnā" sqref="D7" xr:uid="{0344D6AF-D74E-4E49-8FAF-95645566C2AF}"/>
    <dataValidation allowBlank="1" showInputMessage="1" showErrorMessage="1" prompt="Ievadiet autora vārdu, uzvārdu šūnā pa labi" sqref="C7" xr:uid="{3F516EBB-698B-4193-A5A5-5539698C570F}"/>
    <dataValidation allowBlank="1" showInputMessage="1" showErrorMessage="1" prompt="Ievadiet rēķina saņēmēja informāciju no šūnas B7 līdz šūnai B11. Ievadiet piedāvājuma termiņu šūnā D6, bet šūnā D7 ievadiet autora vārdu, uzvārdu" sqref="B6" xr:uid="{E36E0952-6250-4E8F-A094-DADA0F1A016A}"/>
    <dataValidation allowBlank="1" showInputMessage="1" showErrorMessage="1" prompt="Šajā šūnā ievadiet klienta vārdu un uzvārdu" sqref="B7" xr:uid="{E9B9D6C8-8010-4C7A-A37C-DAFCB1839018}"/>
    <dataValidation allowBlank="1" showInputMessage="1" showErrorMessage="1" prompt="Šajā šūnā ievadiet klienta uzņēmuma nosaukumu" sqref="B8" xr:uid="{99089458-42DB-42DE-B58E-D49F1921963C}"/>
    <dataValidation allowBlank="1" showInputMessage="1" showErrorMessage="1" prompt="Šajā šūnā ievadiet klienta adresi" sqref="B9" xr:uid="{0937C010-A6F0-441F-9DAE-1C2B474C4E7D}"/>
    <dataValidation allowBlank="1" showInputMessage="1" showErrorMessage="1" prompt="Šajā šūnā ievadiet klienta pilsētu, novadu un pasta indeksu" sqref="B10" xr:uid="{D1163AEF-E9BD-4599-B9C3-EBD66A02DD39}"/>
    <dataValidation allowBlank="1" showInputMessage="1" showErrorMessage="1" prompt="Šajā šūnā ievadiet klienta tālruņa numuru" sqref="B11" xr:uid="{D23FE7B0-F886-4440-A440-C306932F691B}"/>
    <dataValidation allowBlank="1" showInputMessage="1" showErrorMessage="1" prompt="Šajā šūnā ievadiet komentārus vai īpašos norādījumus" sqref="C12:D12" xr:uid="{72A50872-3FF6-42B1-BE62-938F4B6D124C}"/>
    <dataValidation allowBlank="1" showInputMessage="1" showErrorMessage="1" prompt="Šūnā pa labi ievadiet komentārus vai īpašos norādījumus" sqref="B12" xr:uid="{B6D12E6A-FB36-4B97-B66C-CC7DF6EF1FE0}"/>
    <dataValidation allowBlank="1" showInputMessage="1" showErrorMessage="1" prompt="Ievadiet aprakstu šajā kolonnā ar šo virsrakstu" sqref="B13" xr:uid="{A2910F86-F08F-40EF-A7E5-3E9371E15C09}"/>
    <dataValidation allowBlank="1" showInputMessage="1" showErrorMessage="1" prompt="Šajā virsrakstā ievadiet pielāgotu lauku un kolonnā ar šo virsrakstu ievadiet attiecīgos datus" sqref="C13" xr:uid="{EAA8844B-F081-44EF-B645-8D6CC6BE44D1}"/>
    <dataValidation allowBlank="1" showInputMessage="1" showErrorMessage="1" prompt="Ievadiet summu šajā kolonnā zem šī virsraksta. Apmaksas kopsumma tiks automātiski aprēķināta" sqref="D13" xr:uid="{EDEA2491-68BA-4BB9-BA89-972599FE556D}"/>
    <dataValidation allowBlank="1" showInputMessage="1" showErrorMessage="1" prompt="Šajā šūnā ievadiet uzņēmuma kontaktpersonas vārdu un uzvārdu, tālruņa numuru un e-pasta adresi" sqref="B20:D20" xr:uid="{721492DE-7BE8-4BFF-BA61-83B71B47A149}"/>
  </dataValidations>
  <printOptions horizontalCentered="1"/>
  <pageMargins left="0.5" right="0.5" top="0.5" bottom="0.5" header="0.5" footer="0.5"/>
  <pageSetup paperSize="9" scale="91" fitToHeight="0" orientation="portrait" r:id="rId1"/>
  <headerFooter differentFirst="1">
    <oddFooter>Page &amp;P of &amp;N</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8E9EB-4F0D-47D9-B57B-F1788262645D}">
  <sheetPr>
    <tabColor theme="7" tint="0.59999389629810485"/>
  </sheetPr>
  <dimension ref="B1:X121"/>
  <sheetViews>
    <sheetView topLeftCell="A4" zoomScale="110" zoomScaleNormal="110" workbookViewId="0">
      <selection activeCell="G19" sqref="G19"/>
    </sheetView>
  </sheetViews>
  <sheetFormatPr defaultColWidth="9.875" defaultRowHeight="14.4" x14ac:dyDescent="0.3"/>
  <cols>
    <col min="1" max="1" width="17.75" style="549" customWidth="1"/>
    <col min="2" max="2" width="56.375" style="545" customWidth="1"/>
    <col min="3" max="3" width="14.75" style="546" customWidth="1"/>
    <col min="4" max="4" width="14.25" style="547" customWidth="1"/>
    <col min="5" max="5" width="9.375" style="548" customWidth="1"/>
    <col min="6" max="16384" width="9.875" style="549"/>
  </cols>
  <sheetData>
    <row r="1" spans="2:6" ht="12" customHeight="1" x14ac:dyDescent="0.3"/>
    <row r="2" spans="2:6" ht="18" x14ac:dyDescent="0.3">
      <c r="B2" s="550" t="s">
        <v>812</v>
      </c>
      <c r="D2" s="551"/>
      <c r="E2" s="552"/>
    </row>
    <row r="3" spans="2:6" x14ac:dyDescent="0.3">
      <c r="B3" s="545" t="s">
        <v>813</v>
      </c>
      <c r="D3" s="551"/>
      <c r="E3" s="552"/>
    </row>
    <row r="4" spans="2:6" x14ac:dyDescent="0.3">
      <c r="D4" s="551"/>
      <c r="E4" s="552"/>
    </row>
    <row r="5" spans="2:6" x14ac:dyDescent="0.3">
      <c r="B5" s="545" t="s">
        <v>814</v>
      </c>
      <c r="D5" s="551"/>
      <c r="E5" s="552"/>
    </row>
    <row r="6" spans="2:6" x14ac:dyDescent="0.3">
      <c r="B6" s="545" t="s">
        <v>815</v>
      </c>
    </row>
    <row r="7" spans="2:6" x14ac:dyDescent="0.3">
      <c r="B7" s="545" t="s">
        <v>816</v>
      </c>
    </row>
    <row r="8" spans="2:6" x14ac:dyDescent="0.3">
      <c r="B8" s="545" t="s">
        <v>817</v>
      </c>
    </row>
    <row r="9" spans="2:6" x14ac:dyDescent="0.3">
      <c r="B9" s="545" t="s">
        <v>818</v>
      </c>
    </row>
    <row r="10" spans="2:6" ht="36" x14ac:dyDescent="0.3">
      <c r="B10" s="553"/>
      <c r="C10" s="554" t="s">
        <v>819</v>
      </c>
      <c r="D10" s="555" t="s">
        <v>820</v>
      </c>
      <c r="E10" s="556" t="s">
        <v>820</v>
      </c>
    </row>
    <row r="11" spans="2:6" s="561" customFormat="1" ht="12" x14ac:dyDescent="0.25">
      <c r="B11" s="557"/>
      <c r="C11" s="558"/>
      <c r="D11" s="559"/>
      <c r="E11" s="560" t="s">
        <v>821</v>
      </c>
    </row>
    <row r="12" spans="2:6" s="561" customFormat="1" ht="12" x14ac:dyDescent="0.25">
      <c r="B12" s="557"/>
      <c r="C12" s="918">
        <f>SUM(C14:C107)</f>
        <v>102998.82</v>
      </c>
      <c r="D12" s="919">
        <f>SUM(D14:D107)</f>
        <v>122029.01999999995</v>
      </c>
      <c r="E12" s="560"/>
    </row>
    <row r="13" spans="2:6" x14ac:dyDescent="0.3">
      <c r="B13" s="562" t="s">
        <v>822</v>
      </c>
      <c r="C13" s="563"/>
      <c r="D13" s="564"/>
      <c r="E13" s="565"/>
    </row>
    <row r="14" spans="2:6" ht="57.6" x14ac:dyDescent="0.3">
      <c r="B14" s="566" t="s">
        <v>823</v>
      </c>
      <c r="C14" s="897">
        <v>0</v>
      </c>
      <c r="D14" s="898">
        <v>0</v>
      </c>
      <c r="E14" s="567"/>
      <c r="F14" s="549" t="s">
        <v>824</v>
      </c>
    </row>
    <row r="15" spans="2:6" x14ac:dyDescent="0.3">
      <c r="B15" s="568" t="s">
        <v>825</v>
      </c>
      <c r="C15" s="899"/>
      <c r="D15" s="900"/>
      <c r="E15" s="569"/>
    </row>
    <row r="16" spans="2:6" x14ac:dyDescent="0.3">
      <c r="B16" s="570" t="s">
        <v>826</v>
      </c>
      <c r="C16" s="899">
        <v>2000</v>
      </c>
      <c r="D16" s="900">
        <v>2420</v>
      </c>
      <c r="E16" s="569"/>
    </row>
    <row r="17" spans="2:6" x14ac:dyDescent="0.3">
      <c r="B17" s="570" t="s">
        <v>827</v>
      </c>
      <c r="C17" s="899">
        <v>4000</v>
      </c>
      <c r="D17" s="900">
        <v>4840</v>
      </c>
      <c r="E17" s="569"/>
    </row>
    <row r="18" spans="2:6" x14ac:dyDescent="0.3">
      <c r="B18" s="570" t="s">
        <v>828</v>
      </c>
      <c r="C18" s="899">
        <v>200</v>
      </c>
      <c r="D18" s="900">
        <v>200</v>
      </c>
      <c r="E18" s="569"/>
    </row>
    <row r="19" spans="2:6" x14ac:dyDescent="0.3">
      <c r="B19" s="570" t="s">
        <v>829</v>
      </c>
      <c r="C19" s="899">
        <v>150</v>
      </c>
      <c r="D19" s="900">
        <v>181.5</v>
      </c>
      <c r="E19" s="569"/>
    </row>
    <row r="20" spans="2:6" ht="57.6" x14ac:dyDescent="0.3">
      <c r="B20" s="570" t="s">
        <v>830</v>
      </c>
      <c r="C20" s="899">
        <v>500</v>
      </c>
      <c r="D20" s="900">
        <v>500</v>
      </c>
      <c r="E20" s="569"/>
    </row>
    <row r="21" spans="2:6" ht="43.2" x14ac:dyDescent="0.3">
      <c r="B21" s="571" t="s">
        <v>831</v>
      </c>
      <c r="C21" s="899">
        <v>5000</v>
      </c>
      <c r="D21" s="900">
        <v>6050</v>
      </c>
      <c r="E21" s="569"/>
    </row>
    <row r="22" spans="2:6" ht="43.2" x14ac:dyDescent="0.3">
      <c r="B22" s="571" t="s">
        <v>832</v>
      </c>
      <c r="C22" s="899">
        <v>3000</v>
      </c>
      <c r="D22" s="900">
        <v>3630</v>
      </c>
      <c r="E22" s="569"/>
    </row>
    <row r="23" spans="2:6" x14ac:dyDescent="0.3">
      <c r="B23" s="572" t="s">
        <v>833</v>
      </c>
      <c r="C23" s="897">
        <v>0</v>
      </c>
      <c r="D23" s="898">
        <v>0</v>
      </c>
      <c r="E23" s="573"/>
      <c r="F23" s="549" t="s">
        <v>834</v>
      </c>
    </row>
    <row r="24" spans="2:6" x14ac:dyDescent="0.3">
      <c r="B24" s="572" t="s">
        <v>835</v>
      </c>
      <c r="C24" s="897">
        <v>0</v>
      </c>
      <c r="D24" s="898">
        <v>0</v>
      </c>
      <c r="E24" s="573"/>
      <c r="F24" s="549" t="s">
        <v>834</v>
      </c>
    </row>
    <row r="25" spans="2:6" x14ac:dyDescent="0.3">
      <c r="B25" s="571" t="s">
        <v>836</v>
      </c>
      <c r="C25" s="899">
        <v>1500</v>
      </c>
      <c r="D25" s="900">
        <v>1725</v>
      </c>
      <c r="E25" s="569"/>
    </row>
    <row r="26" spans="2:6" x14ac:dyDescent="0.3">
      <c r="B26" s="571" t="s">
        <v>837</v>
      </c>
      <c r="C26" s="899">
        <v>4500</v>
      </c>
      <c r="D26" s="900">
        <v>5250</v>
      </c>
      <c r="E26" s="569"/>
    </row>
    <row r="27" spans="2:6" x14ac:dyDescent="0.3">
      <c r="B27" s="570" t="s">
        <v>838</v>
      </c>
      <c r="C27" s="899">
        <v>598.79999999999995</v>
      </c>
      <c r="D27" s="900">
        <v>598.79999999999995</v>
      </c>
      <c r="E27" s="569"/>
    </row>
    <row r="28" spans="2:6" x14ac:dyDescent="0.3">
      <c r="B28" s="570" t="s">
        <v>839</v>
      </c>
      <c r="C28" s="899">
        <v>500</v>
      </c>
      <c r="D28" s="900">
        <v>583</v>
      </c>
      <c r="E28" s="569"/>
    </row>
    <row r="29" spans="2:6" x14ac:dyDescent="0.3">
      <c r="B29" s="570" t="s">
        <v>840</v>
      </c>
      <c r="C29" s="899">
        <v>600</v>
      </c>
      <c r="D29" s="900">
        <v>726</v>
      </c>
      <c r="E29" s="569"/>
    </row>
    <row r="30" spans="2:6" x14ac:dyDescent="0.3">
      <c r="B30" s="570" t="s">
        <v>841</v>
      </c>
      <c r="C30" s="899">
        <v>600</v>
      </c>
      <c r="D30" s="900">
        <v>726</v>
      </c>
      <c r="E30" s="569"/>
    </row>
    <row r="31" spans="2:6" ht="21" customHeight="1" x14ac:dyDescent="0.3">
      <c r="B31" s="570" t="s">
        <v>842</v>
      </c>
      <c r="C31" s="899">
        <v>600</v>
      </c>
      <c r="D31" s="900">
        <v>726</v>
      </c>
      <c r="E31" s="569"/>
    </row>
    <row r="32" spans="2:6" x14ac:dyDescent="0.3">
      <c r="B32" s="570" t="s">
        <v>843</v>
      </c>
      <c r="C32" s="899">
        <v>600</v>
      </c>
      <c r="D32" s="900">
        <v>726</v>
      </c>
      <c r="E32" s="574"/>
    </row>
    <row r="33" spans="2:24" ht="28.8" x14ac:dyDescent="0.3">
      <c r="B33" s="570" t="s">
        <v>844</v>
      </c>
      <c r="C33" s="899">
        <v>180</v>
      </c>
      <c r="D33" s="900">
        <v>180</v>
      </c>
      <c r="E33" s="569"/>
    </row>
    <row r="34" spans="2:24" x14ac:dyDescent="0.3">
      <c r="B34" s="570" t="s">
        <v>845</v>
      </c>
      <c r="C34" s="899">
        <v>300</v>
      </c>
      <c r="D34" s="900">
        <v>300</v>
      </c>
      <c r="E34" s="569"/>
    </row>
    <row r="35" spans="2:24" ht="28.8" x14ac:dyDescent="0.3">
      <c r="B35" s="575" t="s">
        <v>846</v>
      </c>
      <c r="C35" s="897">
        <v>0</v>
      </c>
      <c r="D35" s="898">
        <v>0</v>
      </c>
      <c r="E35" s="573"/>
      <c r="F35" s="549" t="s">
        <v>847</v>
      </c>
    </row>
    <row r="36" spans="2:24" x14ac:dyDescent="0.3">
      <c r="B36" s="575" t="s">
        <v>848</v>
      </c>
      <c r="C36" s="897">
        <v>0</v>
      </c>
      <c r="D36" s="898">
        <v>0</v>
      </c>
      <c r="E36" s="573"/>
      <c r="F36" s="549" t="s">
        <v>834</v>
      </c>
    </row>
    <row r="37" spans="2:24" x14ac:dyDescent="0.3">
      <c r="B37" s="570" t="s">
        <v>849</v>
      </c>
      <c r="C37" s="899">
        <v>350</v>
      </c>
      <c r="D37" s="900">
        <v>350</v>
      </c>
      <c r="E37" s="569"/>
    </row>
    <row r="38" spans="2:24" x14ac:dyDescent="0.3">
      <c r="B38" s="570" t="s">
        <v>850</v>
      </c>
      <c r="C38" s="901">
        <v>200</v>
      </c>
      <c r="D38" s="900">
        <v>242</v>
      </c>
      <c r="E38" s="569"/>
    </row>
    <row r="39" spans="2:24" ht="21" customHeight="1" x14ac:dyDescent="0.3">
      <c r="B39" s="570" t="s">
        <v>851</v>
      </c>
      <c r="C39" s="899">
        <v>200</v>
      </c>
      <c r="D39" s="900">
        <v>200</v>
      </c>
      <c r="E39" s="569"/>
    </row>
    <row r="40" spans="2:24" ht="21" customHeight="1" x14ac:dyDescent="0.3">
      <c r="B40" s="570" t="s">
        <v>852</v>
      </c>
      <c r="C40" s="899">
        <v>220</v>
      </c>
      <c r="D40" s="900">
        <v>220</v>
      </c>
      <c r="E40" s="569"/>
    </row>
    <row r="41" spans="2:24" ht="28.8" x14ac:dyDescent="0.3">
      <c r="B41" s="570" t="s">
        <v>853</v>
      </c>
      <c r="C41" s="899">
        <v>1200</v>
      </c>
      <c r="D41" s="900">
        <v>1200</v>
      </c>
      <c r="E41" s="569"/>
    </row>
    <row r="42" spans="2:24" x14ac:dyDescent="0.3">
      <c r="B42" s="576" t="s">
        <v>854</v>
      </c>
      <c r="C42" s="902"/>
      <c r="D42" s="903"/>
      <c r="E42" s="577"/>
    </row>
    <row r="43" spans="2:24" s="578" customFormat="1" ht="28.8" x14ac:dyDescent="0.3">
      <c r="B43" s="570" t="s">
        <v>855</v>
      </c>
      <c r="C43" s="899">
        <v>15142</v>
      </c>
      <c r="D43" s="904">
        <v>18321.82</v>
      </c>
      <c r="E43" s="574"/>
      <c r="F43" s="549"/>
      <c r="G43" s="549"/>
      <c r="H43" s="549"/>
      <c r="I43" s="549"/>
      <c r="J43" s="549"/>
      <c r="K43" s="549"/>
      <c r="L43" s="549"/>
      <c r="M43" s="549"/>
      <c r="N43" s="549"/>
      <c r="O43" s="549"/>
      <c r="P43" s="549"/>
      <c r="Q43" s="549"/>
      <c r="R43" s="549"/>
      <c r="S43" s="549"/>
      <c r="T43" s="549"/>
      <c r="U43" s="549"/>
      <c r="V43" s="549"/>
      <c r="W43" s="549"/>
      <c r="X43" s="549"/>
    </row>
    <row r="44" spans="2:24" ht="28.8" x14ac:dyDescent="0.3">
      <c r="B44" s="579" t="s">
        <v>856</v>
      </c>
      <c r="C44" s="905">
        <v>0</v>
      </c>
      <c r="D44" s="906">
        <v>0</v>
      </c>
      <c r="E44" s="580"/>
      <c r="F44" s="581" t="s">
        <v>824</v>
      </c>
    </row>
    <row r="45" spans="2:24" ht="86.4" x14ac:dyDescent="0.3">
      <c r="B45" s="570" t="s">
        <v>857</v>
      </c>
      <c r="C45" s="907">
        <v>28132.92</v>
      </c>
      <c r="D45" s="900">
        <v>34040.83</v>
      </c>
      <c r="E45" s="582"/>
      <c r="F45" s="549" t="s">
        <v>858</v>
      </c>
    </row>
    <row r="46" spans="2:24" ht="81" customHeight="1" x14ac:dyDescent="0.3">
      <c r="B46" s="570" t="s">
        <v>859</v>
      </c>
      <c r="C46" s="899">
        <v>5991.74</v>
      </c>
      <c r="D46" s="900">
        <v>7250</v>
      </c>
      <c r="E46" s="569"/>
    </row>
    <row r="47" spans="2:24" x14ac:dyDescent="0.3">
      <c r="B47" s="570" t="s">
        <v>860</v>
      </c>
      <c r="C47" s="899">
        <v>1231.4000000000001</v>
      </c>
      <c r="D47" s="900">
        <v>1489.99</v>
      </c>
      <c r="E47" s="569"/>
    </row>
    <row r="48" spans="2:24" x14ac:dyDescent="0.3">
      <c r="B48" s="570" t="s">
        <v>861</v>
      </c>
      <c r="C48" s="899">
        <v>400</v>
      </c>
      <c r="D48" s="900">
        <v>484</v>
      </c>
      <c r="E48" s="569"/>
    </row>
    <row r="49" spans="2:6" x14ac:dyDescent="0.3">
      <c r="B49" s="583" t="s">
        <v>862</v>
      </c>
      <c r="C49" s="897">
        <v>0</v>
      </c>
      <c r="D49" s="898">
        <v>0</v>
      </c>
      <c r="E49" s="573"/>
    </row>
    <row r="50" spans="2:6" x14ac:dyDescent="0.3">
      <c r="B50" s="584" t="s">
        <v>863</v>
      </c>
      <c r="C50" s="897">
        <v>0</v>
      </c>
      <c r="D50" s="898">
        <v>0</v>
      </c>
      <c r="E50" s="573"/>
    </row>
    <row r="51" spans="2:6" x14ac:dyDescent="0.3">
      <c r="B51" s="585" t="s">
        <v>864</v>
      </c>
      <c r="C51" s="899">
        <v>274.5</v>
      </c>
      <c r="D51" s="900">
        <v>332.14</v>
      </c>
      <c r="E51" s="569"/>
    </row>
    <row r="52" spans="2:6" ht="16.95" customHeight="1" x14ac:dyDescent="0.3">
      <c r="B52" s="585" t="s">
        <v>865</v>
      </c>
      <c r="C52" s="899">
        <v>870</v>
      </c>
      <c r="D52" s="900">
        <v>180</v>
      </c>
      <c r="E52" s="569"/>
    </row>
    <row r="53" spans="2:6" x14ac:dyDescent="0.3">
      <c r="B53" s="585" t="s">
        <v>866</v>
      </c>
      <c r="C53" s="899">
        <v>1268.7</v>
      </c>
      <c r="D53" s="900">
        <v>1535.12</v>
      </c>
      <c r="E53" s="569"/>
    </row>
    <row r="54" spans="2:6" x14ac:dyDescent="0.3">
      <c r="B54" s="585" t="s">
        <v>867</v>
      </c>
      <c r="C54" s="899">
        <v>120</v>
      </c>
      <c r="D54" s="900">
        <v>145.19999999999999</v>
      </c>
      <c r="E54" s="569"/>
    </row>
    <row r="55" spans="2:6" ht="28.8" x14ac:dyDescent="0.3">
      <c r="B55" s="585" t="s">
        <v>868</v>
      </c>
      <c r="C55" s="899">
        <v>409.6</v>
      </c>
      <c r="D55" s="900">
        <v>495.62</v>
      </c>
      <c r="E55" s="569"/>
    </row>
    <row r="56" spans="2:6" ht="28.8" x14ac:dyDescent="0.3">
      <c r="B56" s="585" t="s">
        <v>868</v>
      </c>
      <c r="C56" s="899">
        <v>138.75</v>
      </c>
      <c r="D56" s="900">
        <v>167.89</v>
      </c>
      <c r="E56" s="569"/>
    </row>
    <row r="57" spans="2:6" ht="28.8" x14ac:dyDescent="0.3">
      <c r="B57" s="585" t="s">
        <v>868</v>
      </c>
      <c r="C57" s="899">
        <v>398.21</v>
      </c>
      <c r="D57" s="900">
        <v>481.83</v>
      </c>
      <c r="E57" s="569"/>
    </row>
    <row r="58" spans="2:6" x14ac:dyDescent="0.3">
      <c r="B58" s="586" t="s">
        <v>869</v>
      </c>
      <c r="C58" s="908">
        <v>700</v>
      </c>
      <c r="D58" s="909">
        <v>847</v>
      </c>
      <c r="E58" s="587"/>
    </row>
    <row r="59" spans="2:6" x14ac:dyDescent="0.3">
      <c r="B59" s="588" t="s">
        <v>870</v>
      </c>
      <c r="C59" s="897"/>
      <c r="D59" s="898"/>
      <c r="E59" s="573"/>
      <c r="F59" s="549" t="s">
        <v>871</v>
      </c>
    </row>
    <row r="60" spans="2:6" x14ac:dyDescent="0.3">
      <c r="B60" s="583" t="s">
        <v>872</v>
      </c>
      <c r="C60" s="897"/>
      <c r="D60" s="898"/>
      <c r="E60" s="573"/>
      <c r="F60" s="549" t="s">
        <v>871</v>
      </c>
    </row>
    <row r="61" spans="2:6" ht="28.8" x14ac:dyDescent="0.3">
      <c r="B61" s="586" t="s">
        <v>873</v>
      </c>
      <c r="C61" s="908">
        <v>1700</v>
      </c>
      <c r="D61" s="909">
        <v>2057</v>
      </c>
      <c r="E61" s="587"/>
    </row>
    <row r="62" spans="2:6" x14ac:dyDescent="0.3">
      <c r="B62" s="589" t="s">
        <v>874</v>
      </c>
      <c r="C62" s="897"/>
      <c r="D62" s="898"/>
      <c r="E62" s="573"/>
      <c r="F62" s="549" t="s">
        <v>871</v>
      </c>
    </row>
    <row r="63" spans="2:6" x14ac:dyDescent="0.3">
      <c r="B63" s="585" t="s">
        <v>875</v>
      </c>
      <c r="C63" s="899">
        <v>793.05</v>
      </c>
      <c r="D63" s="900">
        <v>959.59</v>
      </c>
      <c r="E63" s="569"/>
      <c r="F63" s="549" t="s">
        <v>876</v>
      </c>
    </row>
    <row r="64" spans="2:6" x14ac:dyDescent="0.3">
      <c r="B64" s="585" t="s">
        <v>877</v>
      </c>
      <c r="C64" s="899">
        <v>398</v>
      </c>
      <c r="D64" s="900">
        <v>481.58</v>
      </c>
      <c r="E64" s="569"/>
    </row>
    <row r="65" spans="2:6" ht="14.25" customHeight="1" x14ac:dyDescent="0.3">
      <c r="B65" s="583" t="s">
        <v>878</v>
      </c>
      <c r="C65" s="897">
        <v>0</v>
      </c>
      <c r="D65" s="898">
        <v>0</v>
      </c>
      <c r="E65" s="573"/>
      <c r="F65" s="549" t="s">
        <v>879</v>
      </c>
    </row>
    <row r="66" spans="2:6" x14ac:dyDescent="0.3">
      <c r="B66" s="590" t="s">
        <v>880</v>
      </c>
      <c r="C66" s="910">
        <v>5997.77</v>
      </c>
      <c r="D66" s="900">
        <v>7257.3</v>
      </c>
      <c r="E66" s="591"/>
    </row>
    <row r="67" spans="2:6" x14ac:dyDescent="0.3">
      <c r="B67" s="592" t="s">
        <v>881</v>
      </c>
      <c r="C67" s="911">
        <v>1365</v>
      </c>
      <c r="D67" s="900">
        <v>1651.65</v>
      </c>
      <c r="E67" s="593"/>
    </row>
    <row r="68" spans="2:6" x14ac:dyDescent="0.3">
      <c r="B68" s="592" t="s">
        <v>882</v>
      </c>
      <c r="C68" s="911">
        <v>355.37</v>
      </c>
      <c r="D68" s="900">
        <v>429.99</v>
      </c>
      <c r="E68" s="593"/>
    </row>
    <row r="69" spans="2:6" ht="28.8" x14ac:dyDescent="0.3">
      <c r="B69" s="570" t="s">
        <v>883</v>
      </c>
      <c r="C69" s="899">
        <v>283.2</v>
      </c>
      <c r="D69" s="900">
        <v>342.67</v>
      </c>
      <c r="E69" s="569"/>
    </row>
    <row r="70" spans="2:6" x14ac:dyDescent="0.3">
      <c r="B70" s="562" t="s">
        <v>884</v>
      </c>
      <c r="C70" s="912"/>
      <c r="D70" s="913"/>
      <c r="E70" s="565"/>
    </row>
    <row r="71" spans="2:6" ht="72" x14ac:dyDescent="0.3">
      <c r="B71" s="566" t="s">
        <v>885</v>
      </c>
      <c r="C71" s="897">
        <v>0</v>
      </c>
      <c r="D71" s="898">
        <v>0</v>
      </c>
      <c r="E71" s="573"/>
      <c r="F71" s="549" t="s">
        <v>824</v>
      </c>
    </row>
    <row r="72" spans="2:6" x14ac:dyDescent="0.3">
      <c r="B72" s="594" t="s">
        <v>886</v>
      </c>
      <c r="C72" s="914"/>
      <c r="D72" s="915"/>
      <c r="E72" s="595"/>
    </row>
    <row r="73" spans="2:6" x14ac:dyDescent="0.3">
      <c r="B73" s="575" t="s">
        <v>887</v>
      </c>
      <c r="C73" s="897">
        <v>0</v>
      </c>
      <c r="D73" s="898">
        <v>0</v>
      </c>
      <c r="E73" s="573"/>
      <c r="F73" s="581" t="s">
        <v>824</v>
      </c>
    </row>
    <row r="74" spans="2:6" x14ac:dyDescent="0.3">
      <c r="B74" s="570" t="s">
        <v>888</v>
      </c>
      <c r="C74" s="899">
        <v>132.5</v>
      </c>
      <c r="D74" s="900">
        <v>160.33000000000001</v>
      </c>
      <c r="E74" s="569"/>
    </row>
    <row r="75" spans="2:6" x14ac:dyDescent="0.3">
      <c r="B75" s="570" t="s">
        <v>889</v>
      </c>
      <c r="C75" s="899">
        <v>370</v>
      </c>
      <c r="D75" s="900">
        <v>447.7</v>
      </c>
      <c r="E75" s="569"/>
    </row>
    <row r="76" spans="2:6" x14ac:dyDescent="0.3">
      <c r="B76" s="570" t="s">
        <v>890</v>
      </c>
      <c r="C76" s="899">
        <v>180</v>
      </c>
      <c r="D76" s="900">
        <v>217.8</v>
      </c>
      <c r="E76" s="569"/>
    </row>
    <row r="77" spans="2:6" x14ac:dyDescent="0.3">
      <c r="B77" s="570" t="s">
        <v>891</v>
      </c>
      <c r="C77" s="899">
        <v>341.06</v>
      </c>
      <c r="D77" s="900">
        <v>412.68</v>
      </c>
      <c r="E77" s="569"/>
    </row>
    <row r="78" spans="2:6" x14ac:dyDescent="0.3">
      <c r="B78" s="570" t="s">
        <v>892</v>
      </c>
      <c r="C78" s="899">
        <v>65</v>
      </c>
      <c r="D78" s="900">
        <v>78.650000000000006</v>
      </c>
      <c r="E78" s="569"/>
    </row>
    <row r="79" spans="2:6" x14ac:dyDescent="0.3">
      <c r="B79" s="570" t="s">
        <v>893</v>
      </c>
      <c r="C79" s="899">
        <v>111.53</v>
      </c>
      <c r="D79" s="900">
        <v>134.94999999999999</v>
      </c>
      <c r="E79" s="569"/>
    </row>
    <row r="80" spans="2:6" x14ac:dyDescent="0.3">
      <c r="B80" s="570" t="s">
        <v>894</v>
      </c>
      <c r="C80" s="899">
        <v>1127</v>
      </c>
      <c r="D80" s="916">
        <v>1127</v>
      </c>
      <c r="E80" s="569"/>
    </row>
    <row r="81" spans="2:6" ht="28.8" x14ac:dyDescent="0.3">
      <c r="B81" s="566" t="s">
        <v>895</v>
      </c>
      <c r="C81" s="897">
        <v>0</v>
      </c>
      <c r="D81" s="898">
        <v>0</v>
      </c>
      <c r="E81" s="573"/>
      <c r="F81" s="581" t="s">
        <v>824</v>
      </c>
    </row>
    <row r="82" spans="2:6" ht="28.8" x14ac:dyDescent="0.3">
      <c r="B82" s="570" t="s">
        <v>896</v>
      </c>
      <c r="C82" s="899">
        <v>495</v>
      </c>
      <c r="D82" s="900">
        <v>598.95000000000005</v>
      </c>
      <c r="E82" s="569"/>
      <c r="F82" s="545" t="s">
        <v>897</v>
      </c>
    </row>
    <row r="83" spans="2:6" ht="28.8" x14ac:dyDescent="0.3">
      <c r="B83" s="570" t="s">
        <v>898</v>
      </c>
      <c r="C83" s="899">
        <v>499.99</v>
      </c>
      <c r="D83" s="900">
        <v>605</v>
      </c>
      <c r="E83" s="569"/>
    </row>
    <row r="84" spans="2:6" x14ac:dyDescent="0.3">
      <c r="B84" s="566" t="s">
        <v>899</v>
      </c>
      <c r="C84" s="897">
        <v>0</v>
      </c>
      <c r="D84" s="898"/>
      <c r="E84" s="573"/>
      <c r="F84" s="549" t="s">
        <v>900</v>
      </c>
    </row>
    <row r="85" spans="2:6" ht="14.25" customHeight="1" x14ac:dyDescent="0.3">
      <c r="B85" s="596" t="s">
        <v>901</v>
      </c>
      <c r="C85" s="908">
        <v>490</v>
      </c>
      <c r="D85" s="909">
        <v>592.9</v>
      </c>
      <c r="E85" s="587"/>
    </row>
    <row r="86" spans="2:6" ht="14.25" customHeight="1" x14ac:dyDescent="0.3">
      <c r="B86" s="596" t="s">
        <v>902</v>
      </c>
      <c r="C86" s="908">
        <v>490</v>
      </c>
      <c r="D86" s="909">
        <v>592.9</v>
      </c>
      <c r="E86" s="587"/>
    </row>
    <row r="87" spans="2:6" x14ac:dyDescent="0.3">
      <c r="B87" s="596" t="s">
        <v>903</v>
      </c>
      <c r="C87" s="908">
        <v>490</v>
      </c>
      <c r="D87" s="909">
        <v>592.9</v>
      </c>
      <c r="E87" s="587"/>
    </row>
    <row r="88" spans="2:6" x14ac:dyDescent="0.3">
      <c r="B88" s="566" t="s">
        <v>904</v>
      </c>
      <c r="C88" s="897">
        <v>0</v>
      </c>
      <c r="D88" s="898">
        <v>0</v>
      </c>
      <c r="E88" s="573"/>
    </row>
    <row r="89" spans="2:6" x14ac:dyDescent="0.3">
      <c r="B89" s="566" t="s">
        <v>905</v>
      </c>
      <c r="C89" s="897">
        <v>0</v>
      </c>
      <c r="D89" s="898">
        <v>0</v>
      </c>
      <c r="E89" s="573"/>
    </row>
    <row r="90" spans="2:6" x14ac:dyDescent="0.3">
      <c r="B90" s="570" t="s">
        <v>906</v>
      </c>
      <c r="C90" s="899">
        <v>300</v>
      </c>
      <c r="D90" s="900">
        <v>363</v>
      </c>
      <c r="E90" s="569"/>
    </row>
    <row r="91" spans="2:6" x14ac:dyDescent="0.3">
      <c r="B91" s="570" t="s">
        <v>907</v>
      </c>
      <c r="C91" s="899">
        <v>495</v>
      </c>
      <c r="D91" s="900">
        <v>598.95000000000005</v>
      </c>
      <c r="E91" s="569"/>
    </row>
    <row r="92" spans="2:6" ht="28.8" x14ac:dyDescent="0.3">
      <c r="B92" s="597" t="s">
        <v>908</v>
      </c>
      <c r="C92" s="917"/>
      <c r="D92" s="915"/>
      <c r="E92" s="595"/>
    </row>
    <row r="93" spans="2:6" x14ac:dyDescent="0.3">
      <c r="B93" s="566" t="s">
        <v>909</v>
      </c>
      <c r="C93" s="897">
        <v>0</v>
      </c>
      <c r="D93" s="898">
        <v>0</v>
      </c>
      <c r="E93" s="573"/>
      <c r="F93" s="549" t="s">
        <v>900</v>
      </c>
    </row>
    <row r="94" spans="2:6" ht="28.8" x14ac:dyDescent="0.3">
      <c r="B94" s="592" t="s">
        <v>910</v>
      </c>
      <c r="C94" s="899">
        <v>1000</v>
      </c>
      <c r="D94" s="900">
        <v>1210</v>
      </c>
      <c r="E94" s="569"/>
      <c r="F94" s="545" t="s">
        <v>897</v>
      </c>
    </row>
    <row r="95" spans="2:6" x14ac:dyDescent="0.3">
      <c r="B95" s="566" t="s">
        <v>911</v>
      </c>
      <c r="C95" s="897">
        <v>0</v>
      </c>
      <c r="D95" s="898">
        <v>0</v>
      </c>
      <c r="E95" s="573"/>
      <c r="F95" s="549" t="s">
        <v>900</v>
      </c>
    </row>
    <row r="96" spans="2:6" x14ac:dyDescent="0.3">
      <c r="B96" s="566" t="s">
        <v>912</v>
      </c>
      <c r="C96" s="897">
        <v>0</v>
      </c>
      <c r="D96" s="898">
        <v>0</v>
      </c>
      <c r="E96" s="573"/>
      <c r="F96" s="549" t="s">
        <v>900</v>
      </c>
    </row>
    <row r="97" spans="2:6" ht="28.8" x14ac:dyDescent="0.3">
      <c r="B97" s="592" t="s">
        <v>913</v>
      </c>
      <c r="C97" s="899">
        <v>371.9</v>
      </c>
      <c r="D97" s="900">
        <v>450</v>
      </c>
      <c r="E97" s="569"/>
    </row>
    <row r="98" spans="2:6" ht="28.8" x14ac:dyDescent="0.3">
      <c r="B98" s="592" t="s">
        <v>914</v>
      </c>
      <c r="C98" s="899">
        <v>361.57</v>
      </c>
      <c r="D98" s="900">
        <v>437.5</v>
      </c>
      <c r="E98" s="569"/>
      <c r="F98" s="545" t="s">
        <v>897</v>
      </c>
    </row>
    <row r="99" spans="2:6" x14ac:dyDescent="0.3">
      <c r="B99" s="598" t="s">
        <v>915</v>
      </c>
      <c r="C99" s="899">
        <v>1885.29</v>
      </c>
      <c r="D99" s="900">
        <v>1885.29</v>
      </c>
      <c r="E99" s="569"/>
    </row>
    <row r="100" spans="2:6" ht="28.8" x14ac:dyDescent="0.3">
      <c r="B100" s="570" t="s">
        <v>916</v>
      </c>
      <c r="C100" s="899">
        <v>700</v>
      </c>
      <c r="D100" s="900">
        <v>847</v>
      </c>
      <c r="E100" s="569"/>
    </row>
    <row r="101" spans="2:6" x14ac:dyDescent="0.3">
      <c r="B101" s="570" t="s">
        <v>917</v>
      </c>
      <c r="C101" s="899">
        <v>123.97</v>
      </c>
      <c r="D101" s="900">
        <v>150</v>
      </c>
      <c r="E101" s="569"/>
      <c r="F101" s="549" t="s">
        <v>918</v>
      </c>
    </row>
    <row r="102" spans="2:6" x14ac:dyDescent="0.3">
      <c r="B102" s="566" t="s">
        <v>919</v>
      </c>
      <c r="C102" s="897">
        <v>0</v>
      </c>
      <c r="D102" s="898">
        <v>0</v>
      </c>
      <c r="E102" s="573"/>
      <c r="F102" s="549" t="s">
        <v>920</v>
      </c>
    </row>
    <row r="103" spans="2:6" x14ac:dyDescent="0.3">
      <c r="B103" s="566" t="s">
        <v>921</v>
      </c>
      <c r="C103" s="897">
        <v>0</v>
      </c>
      <c r="D103" s="898">
        <v>0</v>
      </c>
      <c r="E103" s="573"/>
      <c r="F103" s="549" t="s">
        <v>900</v>
      </c>
    </row>
    <row r="104" spans="2:6" x14ac:dyDescent="0.3">
      <c r="B104" s="566" t="s">
        <v>922</v>
      </c>
      <c r="C104" s="897">
        <v>0</v>
      </c>
      <c r="D104" s="898">
        <v>0</v>
      </c>
      <c r="E104" s="573"/>
      <c r="F104" s="549" t="s">
        <v>900</v>
      </c>
    </row>
    <row r="105" spans="2:6" x14ac:dyDescent="0.3">
      <c r="B105" s="566" t="s">
        <v>923</v>
      </c>
      <c r="C105" s="897">
        <v>0</v>
      </c>
      <c r="D105" s="898">
        <v>0</v>
      </c>
      <c r="E105" s="599"/>
      <c r="F105" s="549" t="s">
        <v>900</v>
      </c>
    </row>
    <row r="106" spans="2:6" x14ac:dyDescent="0.3">
      <c r="B106" s="566" t="s">
        <v>924</v>
      </c>
      <c r="C106" s="897">
        <v>0</v>
      </c>
      <c r="D106" s="898">
        <v>0</v>
      </c>
      <c r="E106" s="573"/>
      <c r="F106" s="549" t="s">
        <v>824</v>
      </c>
    </row>
    <row r="107" spans="2:6" ht="28.8" x14ac:dyDescent="0.3">
      <c r="B107" s="566" t="s">
        <v>925</v>
      </c>
      <c r="C107" s="897">
        <v>0</v>
      </c>
      <c r="D107" s="898">
        <v>0</v>
      </c>
      <c r="E107" s="573"/>
      <c r="F107" s="549" t="s">
        <v>824</v>
      </c>
    </row>
    <row r="108" spans="2:6" x14ac:dyDescent="0.3">
      <c r="B108" s="600"/>
      <c r="C108" s="601"/>
      <c r="D108" s="602"/>
      <c r="E108" s="603"/>
    </row>
    <row r="109" spans="2:6" x14ac:dyDescent="0.3">
      <c r="B109" s="545" t="s">
        <v>926</v>
      </c>
      <c r="C109" s="546" t="s">
        <v>927</v>
      </c>
    </row>
    <row r="110" spans="2:6" x14ac:dyDescent="0.3">
      <c r="C110" s="546" t="s">
        <v>928</v>
      </c>
    </row>
    <row r="111" spans="2:6" x14ac:dyDescent="0.3">
      <c r="C111" s="546" t="s">
        <v>929</v>
      </c>
    </row>
    <row r="112" spans="2:6" x14ac:dyDescent="0.3">
      <c r="C112" s="546" t="s">
        <v>930</v>
      </c>
    </row>
    <row r="113" spans="2:4" x14ac:dyDescent="0.3">
      <c r="C113" s="546" t="s">
        <v>931</v>
      </c>
    </row>
    <row r="114" spans="2:4" x14ac:dyDescent="0.3">
      <c r="C114" s="546" t="s">
        <v>932</v>
      </c>
      <c r="D114" s="604"/>
    </row>
    <row r="115" spans="2:4" x14ac:dyDescent="0.3">
      <c r="B115" s="600" t="s">
        <v>933</v>
      </c>
    </row>
    <row r="116" spans="2:4" x14ac:dyDescent="0.3">
      <c r="B116" s="605" t="s">
        <v>934</v>
      </c>
    </row>
    <row r="117" spans="2:4" x14ac:dyDescent="0.3">
      <c r="B117" s="545" t="s">
        <v>935</v>
      </c>
    </row>
    <row r="118" spans="2:4" x14ac:dyDescent="0.3">
      <c r="B118" s="545" t="s">
        <v>936</v>
      </c>
    </row>
    <row r="119" spans="2:4" x14ac:dyDescent="0.3">
      <c r="B119" s="606" t="s">
        <v>937</v>
      </c>
    </row>
    <row r="120" spans="2:4" x14ac:dyDescent="0.3">
      <c r="B120" s="606" t="s">
        <v>938</v>
      </c>
    </row>
    <row r="121" spans="2:4" x14ac:dyDescent="0.3">
      <c r="B121" s="607" t="s">
        <v>939</v>
      </c>
    </row>
  </sheetData>
  <hyperlinks>
    <hyperlink ref="B121" r:id="rId1" xr:uid="{385166C8-D87A-49A9-AD35-E3EACB7B8A8A}"/>
  </hyperlinks>
  <pageMargins left="0.19685039370078741" right="0.15748031496062992" top="0.15748031496062992" bottom="0" header="0.31496062992125984" footer="0.31496062992125984"/>
  <pageSetup paperSize="9"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F68D0-688C-459C-831B-EBF80161FDA0}">
  <sheetPr>
    <tabColor theme="7" tint="0.59999389629810485"/>
  </sheetPr>
  <dimension ref="B1:L48"/>
  <sheetViews>
    <sheetView topLeftCell="A28" zoomScale="140" zoomScaleNormal="140" workbookViewId="0">
      <selection activeCell="K17" sqref="K17"/>
    </sheetView>
  </sheetViews>
  <sheetFormatPr defaultColWidth="10" defaultRowHeight="14.4" x14ac:dyDescent="0.3"/>
  <cols>
    <col min="1" max="1" width="10" style="754"/>
    <col min="2" max="2" width="11.625" style="754" bestFit="1" customWidth="1"/>
    <col min="3" max="3" width="6.375" style="754" customWidth="1"/>
    <col min="4" max="4" width="10.625" style="754" bestFit="1" customWidth="1"/>
    <col min="5" max="5" width="9.375" style="754" bestFit="1" customWidth="1"/>
    <col min="6" max="6" width="8.625" style="754" customWidth="1"/>
    <col min="7" max="7" width="29.75" style="754" bestFit="1" customWidth="1"/>
    <col min="8" max="8" width="2.375" style="754" bestFit="1" customWidth="1"/>
    <col min="9" max="9" width="10" style="754" bestFit="1" customWidth="1"/>
    <col min="10" max="10" width="9" style="754" bestFit="1" customWidth="1"/>
    <col min="11" max="11" width="58.375" style="755" customWidth="1"/>
    <col min="12" max="16384" width="10" style="754"/>
  </cols>
  <sheetData>
    <row r="1" spans="2:11" x14ac:dyDescent="0.3">
      <c r="B1" s="754" t="s">
        <v>1049</v>
      </c>
    </row>
    <row r="2" spans="2:11" x14ac:dyDescent="0.3">
      <c r="B2" s="754" t="s">
        <v>1050</v>
      </c>
    </row>
    <row r="3" spans="2:11" x14ac:dyDescent="0.3">
      <c r="B3" s="754" t="s">
        <v>1051</v>
      </c>
    </row>
    <row r="4" spans="2:11" x14ac:dyDescent="0.3">
      <c r="B4" s="754" t="s">
        <v>1052</v>
      </c>
    </row>
    <row r="5" spans="2:11" x14ac:dyDescent="0.3">
      <c r="B5" s="754" t="s">
        <v>1053</v>
      </c>
    </row>
    <row r="6" spans="2:11" ht="31.8" x14ac:dyDescent="0.3">
      <c r="B6" s="756" t="s">
        <v>153</v>
      </c>
      <c r="C6" s="757" t="s">
        <v>553</v>
      </c>
      <c r="D6" s="758" t="s">
        <v>346</v>
      </c>
      <c r="E6" s="759" t="s">
        <v>154</v>
      </c>
      <c r="F6" s="760" t="s">
        <v>221</v>
      </c>
      <c r="G6" s="761" t="s">
        <v>152</v>
      </c>
      <c r="H6" s="762" t="s">
        <v>543</v>
      </c>
      <c r="I6" s="763" t="s">
        <v>790</v>
      </c>
      <c r="J6" s="764" t="s">
        <v>791</v>
      </c>
    </row>
    <row r="7" spans="2:11" x14ac:dyDescent="0.3">
      <c r="B7" s="765" t="s">
        <v>228</v>
      </c>
      <c r="C7" s="765" t="s">
        <v>227</v>
      </c>
      <c r="D7" s="766" t="s">
        <v>701</v>
      </c>
      <c r="E7" s="765" t="s">
        <v>1054</v>
      </c>
      <c r="F7" s="767">
        <v>1148</v>
      </c>
      <c r="G7" s="768" t="s">
        <v>155</v>
      </c>
      <c r="H7" s="769"/>
      <c r="I7" s="770">
        <f>SUM(J8:J10)</f>
        <v>7300</v>
      </c>
      <c r="J7" s="771"/>
      <c r="K7" s="755" t="s">
        <v>1055</v>
      </c>
    </row>
    <row r="8" spans="2:11" ht="30.6" x14ac:dyDescent="0.3">
      <c r="B8" s="772" t="s">
        <v>228</v>
      </c>
      <c r="C8" s="772" t="s">
        <v>227</v>
      </c>
      <c r="D8" s="773"/>
      <c r="E8" s="772" t="s">
        <v>1054</v>
      </c>
      <c r="F8" s="774">
        <v>1148</v>
      </c>
      <c r="G8" s="775" t="s">
        <v>1056</v>
      </c>
      <c r="H8" s="769"/>
      <c r="I8" s="776"/>
      <c r="J8" s="777">
        <v>3200</v>
      </c>
    </row>
    <row r="9" spans="2:11" ht="40.799999999999997" x14ac:dyDescent="0.3">
      <c r="B9" s="772" t="s">
        <v>228</v>
      </c>
      <c r="C9" s="772" t="s">
        <v>227</v>
      </c>
      <c r="D9" s="773"/>
      <c r="E9" s="772" t="s">
        <v>164</v>
      </c>
      <c r="F9" s="774">
        <v>1148</v>
      </c>
      <c r="G9" s="775" t="s">
        <v>1057</v>
      </c>
      <c r="H9" s="769"/>
      <c r="I9" s="776"/>
      <c r="J9" s="777">
        <v>2700</v>
      </c>
    </row>
    <row r="10" spans="2:11" ht="40.799999999999997" x14ac:dyDescent="0.3">
      <c r="B10" s="772" t="s">
        <v>228</v>
      </c>
      <c r="C10" s="772" t="s">
        <v>227</v>
      </c>
      <c r="D10" s="773"/>
      <c r="E10" s="772" t="s">
        <v>164</v>
      </c>
      <c r="F10" s="774">
        <v>1148</v>
      </c>
      <c r="G10" s="775" t="s">
        <v>1058</v>
      </c>
      <c r="H10" s="769"/>
      <c r="I10" s="776"/>
      <c r="J10" s="777">
        <v>1400</v>
      </c>
    </row>
    <row r="11" spans="2:11" x14ac:dyDescent="0.3">
      <c r="B11" s="765" t="s">
        <v>228</v>
      </c>
      <c r="C11" s="765" t="s">
        <v>225</v>
      </c>
      <c r="D11" s="766" t="s">
        <v>701</v>
      </c>
      <c r="E11" s="765" t="s">
        <v>1054</v>
      </c>
      <c r="F11" s="767">
        <v>1210</v>
      </c>
      <c r="G11" s="768" t="s">
        <v>156</v>
      </c>
      <c r="H11" s="778"/>
      <c r="I11" s="779">
        <f>J12</f>
        <v>1853</v>
      </c>
      <c r="J11" s="771"/>
    </row>
    <row r="12" spans="2:11" x14ac:dyDescent="0.3">
      <c r="B12" s="780" t="s">
        <v>228</v>
      </c>
      <c r="C12" s="780" t="s">
        <v>225</v>
      </c>
      <c r="D12" s="781"/>
      <c r="E12" s="780" t="s">
        <v>1054</v>
      </c>
      <c r="F12" s="782">
        <v>1210</v>
      </c>
      <c r="G12" s="775" t="s">
        <v>228</v>
      </c>
      <c r="H12" s="778"/>
      <c r="I12" s="783"/>
      <c r="J12" s="784">
        <v>1853</v>
      </c>
    </row>
    <row r="13" spans="2:11" ht="20.399999999999999" x14ac:dyDescent="0.3">
      <c r="B13" s="765" t="s">
        <v>554</v>
      </c>
      <c r="C13" s="765" t="s">
        <v>179</v>
      </c>
      <c r="D13" s="766" t="s">
        <v>701</v>
      </c>
      <c r="E13" s="765" t="s">
        <v>1054</v>
      </c>
      <c r="F13" s="767">
        <v>2233</v>
      </c>
      <c r="G13" s="768" t="s">
        <v>163</v>
      </c>
      <c r="H13" s="778"/>
      <c r="I13" s="770">
        <f>SUM(J14:J15:J16)</f>
        <v>60300</v>
      </c>
      <c r="J13" s="771"/>
      <c r="K13" s="755" t="s">
        <v>1059</v>
      </c>
    </row>
    <row r="14" spans="2:11" ht="60.6" x14ac:dyDescent="0.3">
      <c r="B14" s="772" t="s">
        <v>554</v>
      </c>
      <c r="C14" s="772" t="s">
        <v>179</v>
      </c>
      <c r="D14" s="773"/>
      <c r="E14" s="772" t="s">
        <v>1054</v>
      </c>
      <c r="F14" s="774">
        <v>2233</v>
      </c>
      <c r="G14" s="785" t="s">
        <v>1060</v>
      </c>
      <c r="H14" s="786"/>
      <c r="I14" s="1043"/>
      <c r="J14" s="777">
        <v>28350</v>
      </c>
      <c r="K14" s="787" t="s">
        <v>1061</v>
      </c>
    </row>
    <row r="15" spans="2:11" ht="60.6" x14ac:dyDescent="0.3">
      <c r="B15" s="772" t="s">
        <v>554</v>
      </c>
      <c r="C15" s="772" t="s">
        <v>179</v>
      </c>
      <c r="D15" s="773"/>
      <c r="E15" s="772" t="s">
        <v>164</v>
      </c>
      <c r="F15" s="774">
        <v>2233</v>
      </c>
      <c r="G15" s="785" t="s">
        <v>1062</v>
      </c>
      <c r="H15" s="786"/>
      <c r="I15" s="1043"/>
      <c r="J15" s="777">
        <v>21150</v>
      </c>
      <c r="K15" s="787" t="s">
        <v>1063</v>
      </c>
    </row>
    <row r="16" spans="2:11" ht="36.6" x14ac:dyDescent="0.3">
      <c r="B16" s="772" t="s">
        <v>554</v>
      </c>
      <c r="C16" s="772" t="s">
        <v>179</v>
      </c>
      <c r="D16" s="773"/>
      <c r="E16" s="772" t="s">
        <v>164</v>
      </c>
      <c r="F16" s="774">
        <v>2233</v>
      </c>
      <c r="G16" s="785" t="s">
        <v>1064</v>
      </c>
      <c r="H16" s="786"/>
      <c r="I16" s="1043"/>
      <c r="J16" s="777">
        <v>10800</v>
      </c>
      <c r="K16" s="787" t="s">
        <v>1065</v>
      </c>
    </row>
    <row r="17" spans="2:12" x14ac:dyDescent="0.3">
      <c r="B17" s="788" t="s">
        <v>182</v>
      </c>
      <c r="C17" s="788" t="s">
        <v>193</v>
      </c>
      <c r="D17" s="789" t="s">
        <v>701</v>
      </c>
      <c r="E17" s="788" t="s">
        <v>164</v>
      </c>
      <c r="F17" s="790">
        <v>2239</v>
      </c>
      <c r="G17" s="791" t="s">
        <v>1066</v>
      </c>
      <c r="H17" s="792"/>
      <c r="I17" s="1046">
        <f>SUM(J18:J24)</f>
        <v>49732.6</v>
      </c>
      <c r="J17" s="1047"/>
      <c r="K17" s="793" t="s">
        <v>1067</v>
      </c>
    </row>
    <row r="18" spans="2:12" ht="48.6" x14ac:dyDescent="0.3">
      <c r="B18" s="794" t="s">
        <v>182</v>
      </c>
      <c r="C18" s="794" t="s">
        <v>193</v>
      </c>
      <c r="D18" s="795"/>
      <c r="E18" s="794" t="s">
        <v>164</v>
      </c>
      <c r="F18" s="796">
        <v>2239</v>
      </c>
      <c r="G18" s="797" t="s">
        <v>1068</v>
      </c>
      <c r="H18" s="798"/>
      <c r="I18" s="1048"/>
      <c r="J18" s="1049">
        <v>21042</v>
      </c>
      <c r="K18" s="787" t="s">
        <v>1069</v>
      </c>
      <c r="L18" s="799"/>
    </row>
    <row r="19" spans="2:12" ht="48.6" x14ac:dyDescent="0.3">
      <c r="B19" s="794" t="s">
        <v>182</v>
      </c>
      <c r="C19" s="794" t="s">
        <v>193</v>
      </c>
      <c r="D19" s="795"/>
      <c r="E19" s="794" t="s">
        <v>164</v>
      </c>
      <c r="F19" s="796">
        <v>2239</v>
      </c>
      <c r="G19" s="797" t="s">
        <v>1070</v>
      </c>
      <c r="H19" s="798"/>
      <c r="I19" s="1048"/>
      <c r="J19" s="1049">
        <v>17401</v>
      </c>
      <c r="K19" s="787" t="s">
        <v>1071</v>
      </c>
    </row>
    <row r="20" spans="2:12" ht="24.6" x14ac:dyDescent="0.3">
      <c r="B20" s="794" t="s">
        <v>182</v>
      </c>
      <c r="C20" s="794" t="s">
        <v>193</v>
      </c>
      <c r="D20" s="795"/>
      <c r="E20" s="794" t="s">
        <v>164</v>
      </c>
      <c r="F20" s="796">
        <v>2239</v>
      </c>
      <c r="G20" s="797" t="s">
        <v>1072</v>
      </c>
      <c r="H20" s="798"/>
      <c r="I20" s="1048"/>
      <c r="J20" s="1049">
        <v>9002</v>
      </c>
      <c r="K20" s="787" t="s">
        <v>1073</v>
      </c>
    </row>
    <row r="21" spans="2:12" x14ac:dyDescent="0.3">
      <c r="B21" s="772"/>
      <c r="C21" s="772"/>
      <c r="D21" s="773"/>
      <c r="E21" s="772"/>
      <c r="F21" s="800"/>
      <c r="G21" s="785"/>
      <c r="H21" s="786"/>
      <c r="I21" s="1043"/>
      <c r="J21" s="777"/>
      <c r="K21" s="801" t="s">
        <v>1074</v>
      </c>
    </row>
    <row r="22" spans="2:12" ht="36.6" x14ac:dyDescent="0.3">
      <c r="B22" s="772" t="s">
        <v>354</v>
      </c>
      <c r="C22" s="772" t="s">
        <v>193</v>
      </c>
      <c r="D22" s="773"/>
      <c r="E22" s="772" t="s">
        <v>164</v>
      </c>
      <c r="F22" s="800">
        <v>2239</v>
      </c>
      <c r="G22" s="785" t="s">
        <v>1075</v>
      </c>
      <c r="H22" s="786"/>
      <c r="I22" s="1043"/>
      <c r="J22" s="777">
        <v>1089</v>
      </c>
      <c r="K22" s="787" t="s">
        <v>1076</v>
      </c>
    </row>
    <row r="23" spans="2:12" ht="36.6" x14ac:dyDescent="0.3">
      <c r="B23" s="772" t="s">
        <v>354</v>
      </c>
      <c r="C23" s="772" t="s">
        <v>193</v>
      </c>
      <c r="D23" s="773"/>
      <c r="E23" s="772" t="s">
        <v>164</v>
      </c>
      <c r="F23" s="800">
        <v>2239</v>
      </c>
      <c r="G23" s="785" t="s">
        <v>1077</v>
      </c>
      <c r="H23" s="786"/>
      <c r="I23" s="1043"/>
      <c r="J23" s="777">
        <v>763</v>
      </c>
      <c r="K23" s="787" t="s">
        <v>1078</v>
      </c>
    </row>
    <row r="24" spans="2:12" ht="36.6" x14ac:dyDescent="0.3">
      <c r="B24" s="772" t="s">
        <v>354</v>
      </c>
      <c r="C24" s="772" t="s">
        <v>193</v>
      </c>
      <c r="D24" s="773"/>
      <c r="E24" s="772" t="s">
        <v>164</v>
      </c>
      <c r="F24" s="800">
        <v>2239</v>
      </c>
      <c r="G24" s="785" t="s">
        <v>1079</v>
      </c>
      <c r="H24" s="786"/>
      <c r="I24" s="1043"/>
      <c r="J24" s="777">
        <v>435.6</v>
      </c>
      <c r="K24" s="787" t="s">
        <v>1080</v>
      </c>
    </row>
    <row r="25" spans="2:12" x14ac:dyDescent="0.3">
      <c r="B25" s="765" t="s">
        <v>354</v>
      </c>
      <c r="C25" s="765" t="s">
        <v>193</v>
      </c>
      <c r="D25" s="766" t="s">
        <v>701</v>
      </c>
      <c r="E25" s="765" t="s">
        <v>164</v>
      </c>
      <c r="F25" s="767">
        <v>2239</v>
      </c>
      <c r="G25" s="768" t="s">
        <v>1081</v>
      </c>
      <c r="H25" s="778"/>
      <c r="I25" s="770">
        <f>SUM(J26:J28)</f>
        <v>2500</v>
      </c>
      <c r="J25" s="771"/>
    </row>
    <row r="26" spans="2:12" ht="30.6" x14ac:dyDescent="0.3">
      <c r="B26" s="772" t="s">
        <v>554</v>
      </c>
      <c r="C26" s="772" t="s">
        <v>180</v>
      </c>
      <c r="D26" s="773"/>
      <c r="E26" s="772" t="s">
        <v>164</v>
      </c>
      <c r="F26" s="774">
        <v>2239</v>
      </c>
      <c r="G26" s="785" t="s">
        <v>1082</v>
      </c>
      <c r="H26" s="786"/>
      <c r="I26" s="1043"/>
      <c r="J26" s="777">
        <v>2500</v>
      </c>
    </row>
    <row r="27" spans="2:12" x14ac:dyDescent="0.3">
      <c r="B27" s="765" t="s">
        <v>566</v>
      </c>
      <c r="C27" s="765" t="s">
        <v>187</v>
      </c>
      <c r="D27" s="766" t="s">
        <v>701</v>
      </c>
      <c r="E27" s="765" t="s">
        <v>164</v>
      </c>
      <c r="F27" s="767">
        <v>2312</v>
      </c>
      <c r="G27" s="768" t="s">
        <v>162</v>
      </c>
      <c r="H27" s="778"/>
      <c r="I27" s="770">
        <f>SUM(J29:J35)</f>
        <v>11960</v>
      </c>
      <c r="J27" s="771"/>
    </row>
    <row r="28" spans="2:12" ht="20.399999999999999" x14ac:dyDescent="0.3">
      <c r="B28" s="772"/>
      <c r="C28" s="772"/>
      <c r="D28" s="773"/>
      <c r="E28" s="772"/>
      <c r="F28" s="774"/>
      <c r="G28" s="802" t="s">
        <v>1083</v>
      </c>
      <c r="H28" s="786"/>
      <c r="I28" s="1043"/>
      <c r="J28" s="777"/>
    </row>
    <row r="29" spans="2:12" s="806" customFormat="1" ht="48" x14ac:dyDescent="0.2">
      <c r="B29" s="772" t="s">
        <v>566</v>
      </c>
      <c r="C29" s="772" t="s">
        <v>187</v>
      </c>
      <c r="D29" s="773"/>
      <c r="E29" s="772" t="s">
        <v>164</v>
      </c>
      <c r="F29" s="774">
        <v>2312</v>
      </c>
      <c r="G29" s="803" t="s">
        <v>1084</v>
      </c>
      <c r="H29" s="804"/>
      <c r="I29" s="1044"/>
      <c r="J29" s="1045">
        <v>1320</v>
      </c>
      <c r="K29" s="805" t="s">
        <v>1085</v>
      </c>
    </row>
    <row r="30" spans="2:12" ht="30.6" x14ac:dyDescent="0.3">
      <c r="B30" s="772" t="s">
        <v>566</v>
      </c>
      <c r="C30" s="772" t="s">
        <v>187</v>
      </c>
      <c r="D30" s="773"/>
      <c r="E30" s="772" t="s">
        <v>164</v>
      </c>
      <c r="F30" s="774">
        <v>2312</v>
      </c>
      <c r="G30" s="785" t="s">
        <v>1086</v>
      </c>
      <c r="H30" s="786"/>
      <c r="I30" s="1043"/>
      <c r="J30" s="777">
        <v>1640</v>
      </c>
      <c r="K30" s="805" t="s">
        <v>1087</v>
      </c>
    </row>
    <row r="31" spans="2:12" ht="30.6" x14ac:dyDescent="0.3">
      <c r="B31" s="772" t="s">
        <v>566</v>
      </c>
      <c r="C31" s="772" t="s">
        <v>187</v>
      </c>
      <c r="D31" s="773"/>
      <c r="E31" s="772" t="s">
        <v>164</v>
      </c>
      <c r="F31" s="774">
        <v>2312</v>
      </c>
      <c r="G31" s="785" t="s">
        <v>1088</v>
      </c>
      <c r="H31" s="786"/>
      <c r="I31" s="1043"/>
      <c r="J31" s="777">
        <v>1500</v>
      </c>
      <c r="K31" s="755" t="s">
        <v>1089</v>
      </c>
    </row>
    <row r="32" spans="2:12" ht="20.399999999999999" x14ac:dyDescent="0.3">
      <c r="B32" s="772"/>
      <c r="C32" s="772"/>
      <c r="D32" s="773"/>
      <c r="E32" s="772"/>
      <c r="F32" s="774"/>
      <c r="G32" s="802" t="s">
        <v>1090</v>
      </c>
      <c r="H32" s="786"/>
      <c r="I32" s="1043"/>
      <c r="J32" s="777"/>
    </row>
    <row r="33" spans="2:11" ht="24.6" x14ac:dyDescent="0.3">
      <c r="B33" s="772" t="s">
        <v>566</v>
      </c>
      <c r="C33" s="772" t="s">
        <v>187</v>
      </c>
      <c r="D33" s="773"/>
      <c r="E33" s="772" t="s">
        <v>164</v>
      </c>
      <c r="F33" s="774">
        <v>2312</v>
      </c>
      <c r="G33" s="807" t="s">
        <v>1091</v>
      </c>
      <c r="H33" s="786"/>
      <c r="I33" s="1043"/>
      <c r="J33" s="777">
        <v>3500</v>
      </c>
      <c r="K33" s="787" t="s">
        <v>1092</v>
      </c>
    </row>
    <row r="34" spans="2:11" ht="24.6" x14ac:dyDescent="0.3">
      <c r="B34" s="772" t="s">
        <v>566</v>
      </c>
      <c r="C34" s="772" t="s">
        <v>187</v>
      </c>
      <c r="D34" s="773"/>
      <c r="E34" s="772" t="s">
        <v>164</v>
      </c>
      <c r="F34" s="774">
        <v>2312</v>
      </c>
      <c r="G34" s="807" t="s">
        <v>1093</v>
      </c>
      <c r="H34" s="786"/>
      <c r="I34" s="1043"/>
      <c r="J34" s="777">
        <v>2000</v>
      </c>
      <c r="K34" s="787" t="s">
        <v>1094</v>
      </c>
    </row>
    <row r="35" spans="2:11" ht="36.6" x14ac:dyDescent="0.3">
      <c r="B35" s="772" t="s">
        <v>566</v>
      </c>
      <c r="C35" s="772" t="s">
        <v>187</v>
      </c>
      <c r="D35" s="773"/>
      <c r="E35" s="772" t="s">
        <v>164</v>
      </c>
      <c r="F35" s="774">
        <v>2312</v>
      </c>
      <c r="G35" s="807" t="s">
        <v>1095</v>
      </c>
      <c r="H35" s="786"/>
      <c r="I35" s="1043"/>
      <c r="J35" s="777">
        <v>2000</v>
      </c>
      <c r="K35" s="787" t="s">
        <v>1096</v>
      </c>
    </row>
    <row r="36" spans="2:11" x14ac:dyDescent="0.3">
      <c r="B36" s="765" t="s">
        <v>554</v>
      </c>
      <c r="C36" s="765" t="s">
        <v>179</v>
      </c>
      <c r="D36" s="766" t="s">
        <v>701</v>
      </c>
      <c r="E36" s="765" t="s">
        <v>164</v>
      </c>
      <c r="F36" s="767">
        <v>2390</v>
      </c>
      <c r="G36" s="768" t="s">
        <v>157</v>
      </c>
      <c r="H36" s="778"/>
      <c r="I36" s="770">
        <f>SUM(J37:J37)</f>
        <v>1500</v>
      </c>
      <c r="J36" s="771"/>
    </row>
    <row r="37" spans="2:11" ht="21" customHeight="1" x14ac:dyDescent="0.3">
      <c r="B37" s="772" t="s">
        <v>554</v>
      </c>
      <c r="C37" s="772" t="s">
        <v>179</v>
      </c>
      <c r="D37" s="773"/>
      <c r="E37" s="772" t="s">
        <v>164</v>
      </c>
      <c r="F37" s="774">
        <v>2390</v>
      </c>
      <c r="G37" s="785" t="s">
        <v>1097</v>
      </c>
      <c r="H37" s="786"/>
      <c r="I37" s="1043"/>
      <c r="J37" s="777">
        <v>1500</v>
      </c>
    </row>
    <row r="38" spans="2:11" x14ac:dyDescent="0.3">
      <c r="I38" s="1104">
        <f>SUM(I7:I37)</f>
        <v>135145.60000000001</v>
      </c>
      <c r="J38" s="808"/>
    </row>
    <row r="39" spans="2:11" x14ac:dyDescent="0.3">
      <c r="G39" s="1103" t="s">
        <v>1434</v>
      </c>
      <c r="I39" s="1102">
        <f>SUM(J18:J20)</f>
        <v>47445</v>
      </c>
    </row>
    <row r="40" spans="2:11" x14ac:dyDescent="0.3">
      <c r="G40" s="1103" t="s">
        <v>185</v>
      </c>
      <c r="I40" s="1102">
        <f>I38-I39</f>
        <v>87700.6</v>
      </c>
    </row>
    <row r="46" spans="2:11" ht="16.2" x14ac:dyDescent="0.3">
      <c r="B46" s="809" t="s">
        <v>1098</v>
      </c>
    </row>
    <row r="48" spans="2:11" ht="16.2" x14ac:dyDescent="0.3">
      <c r="B48" s="809" t="s">
        <v>1099</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40546-BC86-42D4-AF94-B4EF60DFBC79}">
  <sheetPr>
    <tabColor theme="7" tint="0.59999389629810485"/>
  </sheetPr>
  <dimension ref="A1:J172"/>
  <sheetViews>
    <sheetView topLeftCell="A52" workbookViewId="0">
      <selection activeCell="G55" sqref="G55"/>
    </sheetView>
  </sheetViews>
  <sheetFormatPr defaultColWidth="31" defaultRowHeight="14.4" x14ac:dyDescent="0.3"/>
  <cols>
    <col min="1" max="2" width="31" style="608"/>
    <col min="3" max="3" width="26.75" style="608" customWidth="1"/>
    <col min="4" max="4" width="51.25" style="608" customWidth="1"/>
    <col min="5" max="5" width="15.375" style="608" customWidth="1"/>
    <col min="6" max="6" width="20.125" style="608" customWidth="1"/>
    <col min="7" max="7" width="31" style="609"/>
    <col min="8" max="8" width="10.875" style="610" customWidth="1"/>
    <col min="9" max="9" width="13.75" style="608" customWidth="1"/>
    <col min="10" max="10" width="13" style="608" customWidth="1"/>
    <col min="11" max="16384" width="31" style="608"/>
  </cols>
  <sheetData>
    <row r="1" spans="1:9" ht="15" thickBot="1" x14ac:dyDescent="0.35"/>
    <row r="2" spans="1:9" ht="18" thickBot="1" x14ac:dyDescent="0.35">
      <c r="B2" s="1604" t="s">
        <v>567</v>
      </c>
      <c r="C2" s="1605"/>
      <c r="D2" s="1605"/>
      <c r="E2" s="1605"/>
      <c r="F2" s="1605"/>
      <c r="G2" s="1606"/>
    </row>
    <row r="3" spans="1:9" ht="16.2" thickBot="1" x14ac:dyDescent="0.35">
      <c r="B3" s="1607" t="s">
        <v>568</v>
      </c>
      <c r="C3" s="1608"/>
      <c r="D3" s="1608"/>
      <c r="E3" s="1608"/>
      <c r="F3" s="1608"/>
      <c r="G3" s="1609"/>
    </row>
    <row r="4" spans="1:9" ht="58.95" customHeight="1" thickBot="1" x14ac:dyDescent="0.35">
      <c r="B4" s="611" t="s">
        <v>569</v>
      </c>
      <c r="C4" s="611" t="s">
        <v>570</v>
      </c>
      <c r="D4" s="612" t="s">
        <v>571</v>
      </c>
      <c r="E4" s="612" t="s">
        <v>162</v>
      </c>
      <c r="F4" s="612" t="s">
        <v>572</v>
      </c>
      <c r="G4" s="612" t="s">
        <v>573</v>
      </c>
    </row>
    <row r="5" spans="1:9" ht="15.6" x14ac:dyDescent="0.3">
      <c r="B5" s="1610" t="s">
        <v>574</v>
      </c>
      <c r="C5" s="1611"/>
      <c r="D5" s="1611"/>
      <c r="E5" s="1611"/>
      <c r="F5" s="1611"/>
      <c r="G5" s="1612"/>
    </row>
    <row r="6" spans="1:9" ht="15.6" x14ac:dyDescent="0.3">
      <c r="B6" s="613" t="s">
        <v>575</v>
      </c>
      <c r="C6" s="614">
        <f>11*300</f>
        <v>3300</v>
      </c>
      <c r="D6" s="615">
        <v>7800</v>
      </c>
      <c r="E6" s="616">
        <v>0</v>
      </c>
      <c r="F6" s="617"/>
      <c r="G6" s="618">
        <f>SUM(C6:F6)</f>
        <v>11100</v>
      </c>
    </row>
    <row r="7" spans="1:9" ht="15.6" x14ac:dyDescent="0.3">
      <c r="B7" s="619"/>
      <c r="C7" s="620"/>
      <c r="D7" s="621"/>
      <c r="E7" s="622"/>
      <c r="F7" s="622"/>
      <c r="G7" s="623"/>
      <c r="H7" s="624"/>
    </row>
    <row r="8" spans="1:9" ht="15.6" x14ac:dyDescent="0.3">
      <c r="B8" s="1610" t="s">
        <v>576</v>
      </c>
      <c r="C8" s="1611"/>
      <c r="D8" s="1611"/>
      <c r="E8" s="1611"/>
      <c r="F8" s="1611"/>
      <c r="G8" s="1612"/>
    </row>
    <row r="9" spans="1:9" ht="16.2" thickBot="1" x14ac:dyDescent="0.35">
      <c r="B9" s="613" t="s">
        <v>575</v>
      </c>
      <c r="C9" s="614">
        <f>9*300</f>
        <v>2700</v>
      </c>
      <c r="D9" s="615">
        <v>2810</v>
      </c>
      <c r="E9" s="616">
        <v>300</v>
      </c>
      <c r="F9" s="617">
        <v>0</v>
      </c>
      <c r="G9" s="618">
        <f>SUM(C9:F9)</f>
        <v>5810</v>
      </c>
      <c r="H9" s="624"/>
    </row>
    <row r="10" spans="1:9" ht="16.2" thickBot="1" x14ac:dyDescent="0.35">
      <c r="B10" s="625" t="s">
        <v>577</v>
      </c>
      <c r="C10" s="626">
        <f>SUM(C5:C9)</f>
        <v>6000</v>
      </c>
      <c r="D10" s="626">
        <f>SUM(D5:D9)</f>
        <v>10610</v>
      </c>
      <c r="E10" s="626">
        <f>SUM(E5:E9)</f>
        <v>300</v>
      </c>
      <c r="F10" s="626">
        <f>SUM(F5:F9)</f>
        <v>0</v>
      </c>
      <c r="G10" s="627">
        <f>SUM(C10:F10)</f>
        <v>16910</v>
      </c>
      <c r="H10" s="624"/>
    </row>
    <row r="12" spans="1:9" ht="15" thickBot="1" x14ac:dyDescent="0.35"/>
    <row r="13" spans="1:9" ht="21" thickBot="1" x14ac:dyDescent="0.35">
      <c r="A13" s="1613" t="s">
        <v>948</v>
      </c>
      <c r="B13" s="1614"/>
      <c r="C13" s="1614"/>
      <c r="D13" s="1615"/>
      <c r="F13" s="1616" t="s">
        <v>949</v>
      </c>
      <c r="G13" s="1617"/>
    </row>
    <row r="14" spans="1:9" ht="16.2" thickBot="1" x14ac:dyDescent="0.35">
      <c r="A14" s="1618" t="s">
        <v>568</v>
      </c>
      <c r="B14" s="1619"/>
      <c r="C14" s="1619"/>
      <c r="D14" s="1620"/>
      <c r="F14" s="628" t="s">
        <v>281</v>
      </c>
      <c r="G14" s="628" t="s">
        <v>950</v>
      </c>
    </row>
    <row r="15" spans="1:9" ht="16.2" thickBot="1" x14ac:dyDescent="0.35">
      <c r="A15" s="629" t="s">
        <v>382</v>
      </c>
      <c r="B15" s="630" t="s">
        <v>578</v>
      </c>
      <c r="C15" s="631" t="s">
        <v>579</v>
      </c>
      <c r="D15" s="631" t="s">
        <v>580</v>
      </c>
      <c r="F15" s="632">
        <v>262</v>
      </c>
      <c r="G15" s="633" t="s">
        <v>951</v>
      </c>
    </row>
    <row r="16" spans="1:9" ht="15.6" x14ac:dyDescent="0.3">
      <c r="A16" s="634">
        <v>1</v>
      </c>
      <c r="B16" s="635" t="s">
        <v>581</v>
      </c>
      <c r="C16" s="636" t="s">
        <v>388</v>
      </c>
      <c r="D16" s="481">
        <v>1900</v>
      </c>
      <c r="F16" s="637">
        <v>500</v>
      </c>
      <c r="G16" s="628" t="s">
        <v>952</v>
      </c>
      <c r="I16" s="638"/>
    </row>
    <row r="17" spans="1:9" ht="46.8" x14ac:dyDescent="0.3">
      <c r="A17" s="634">
        <v>2</v>
      </c>
      <c r="B17" s="639" t="s">
        <v>582</v>
      </c>
      <c r="C17" s="640" t="s">
        <v>583</v>
      </c>
      <c r="D17" s="641">
        <v>500</v>
      </c>
      <c r="F17" s="642">
        <v>200</v>
      </c>
      <c r="G17" s="633" t="s">
        <v>953</v>
      </c>
    </row>
    <row r="18" spans="1:9" ht="28.8" x14ac:dyDescent="0.3">
      <c r="A18" s="634">
        <v>3</v>
      </c>
      <c r="B18" s="639" t="s">
        <v>584</v>
      </c>
      <c r="C18" s="640" t="s">
        <v>516</v>
      </c>
      <c r="D18" s="641">
        <v>3300</v>
      </c>
      <c r="F18" s="643">
        <v>8000</v>
      </c>
      <c r="G18" s="644" t="s">
        <v>954</v>
      </c>
    </row>
    <row r="19" spans="1:9" ht="15.6" x14ac:dyDescent="0.3">
      <c r="A19" s="634">
        <v>4</v>
      </c>
      <c r="B19" s="639" t="s">
        <v>585</v>
      </c>
      <c r="C19" s="640" t="s">
        <v>388</v>
      </c>
      <c r="D19" s="641">
        <v>600</v>
      </c>
      <c r="F19" s="645">
        <v>726</v>
      </c>
      <c r="G19" s="633" t="s">
        <v>955</v>
      </c>
    </row>
    <row r="20" spans="1:9" ht="31.2" x14ac:dyDescent="0.3">
      <c r="A20" s="634">
        <v>5</v>
      </c>
      <c r="B20" s="639" t="s">
        <v>586</v>
      </c>
      <c r="C20" s="640" t="s">
        <v>388</v>
      </c>
      <c r="D20" s="641">
        <v>800</v>
      </c>
      <c r="F20" s="628"/>
      <c r="G20" s="628"/>
    </row>
    <row r="21" spans="1:9" ht="31.2" x14ac:dyDescent="0.3">
      <c r="A21" s="634">
        <v>6</v>
      </c>
      <c r="B21" s="639" t="s">
        <v>587</v>
      </c>
      <c r="C21" s="640" t="s">
        <v>516</v>
      </c>
      <c r="D21" s="641">
        <v>4200</v>
      </c>
    </row>
    <row r="22" spans="1:9" ht="31.2" x14ac:dyDescent="0.3">
      <c r="A22" s="634">
        <v>7</v>
      </c>
      <c r="B22" s="639" t="s">
        <v>588</v>
      </c>
      <c r="C22" s="640" t="s">
        <v>516</v>
      </c>
      <c r="D22" s="641">
        <v>2100</v>
      </c>
    </row>
    <row r="23" spans="1:9" ht="31.2" x14ac:dyDescent="0.3">
      <c r="A23" s="634">
        <v>8</v>
      </c>
      <c r="B23" s="639" t="s">
        <v>589</v>
      </c>
      <c r="C23" s="640" t="s">
        <v>516</v>
      </c>
      <c r="D23" s="641">
        <v>3000</v>
      </c>
    </row>
    <row r="24" spans="1:9" ht="46.8" x14ac:dyDescent="0.3">
      <c r="A24" s="634">
        <v>9</v>
      </c>
      <c r="B24" s="639" t="s">
        <v>590</v>
      </c>
      <c r="C24" s="640" t="s">
        <v>516</v>
      </c>
      <c r="D24" s="641">
        <v>2100</v>
      </c>
      <c r="H24" s="624"/>
      <c r="I24" s="638"/>
    </row>
    <row r="25" spans="1:9" ht="46.8" x14ac:dyDescent="0.3">
      <c r="A25" s="634">
        <v>10</v>
      </c>
      <c r="B25" s="639" t="s">
        <v>591</v>
      </c>
      <c r="C25" s="640" t="s">
        <v>388</v>
      </c>
      <c r="D25" s="646"/>
    </row>
    <row r="26" spans="1:9" ht="31.2" x14ac:dyDescent="0.3">
      <c r="A26" s="634">
        <v>11</v>
      </c>
      <c r="B26" s="639" t="s">
        <v>592</v>
      </c>
      <c r="C26" s="640" t="s">
        <v>593</v>
      </c>
      <c r="D26" s="641">
        <v>3000</v>
      </c>
    </row>
    <row r="27" spans="1:9" ht="15.6" x14ac:dyDescent="0.3">
      <c r="A27" s="634">
        <v>12</v>
      </c>
      <c r="B27" s="647" t="s">
        <v>594</v>
      </c>
      <c r="C27" s="647" t="s">
        <v>595</v>
      </c>
      <c r="D27" s="482">
        <v>1000</v>
      </c>
    </row>
    <row r="28" spans="1:9" ht="15.6" x14ac:dyDescent="0.3">
      <c r="A28" s="634">
        <v>13</v>
      </c>
      <c r="B28" s="647" t="s">
        <v>956</v>
      </c>
      <c r="C28" s="647" t="s">
        <v>957</v>
      </c>
      <c r="D28" s="482">
        <v>1000</v>
      </c>
    </row>
    <row r="29" spans="1:9" ht="31.2" x14ac:dyDescent="0.3">
      <c r="A29" s="634">
        <v>14</v>
      </c>
      <c r="B29" s="639" t="s">
        <v>596</v>
      </c>
      <c r="C29" s="640" t="s">
        <v>388</v>
      </c>
      <c r="D29" s="641">
        <v>700</v>
      </c>
    </row>
    <row r="30" spans="1:9" ht="46.8" x14ac:dyDescent="0.3">
      <c r="A30" s="634">
        <v>15</v>
      </c>
      <c r="B30" s="639" t="s">
        <v>597</v>
      </c>
      <c r="C30" s="640" t="s">
        <v>388</v>
      </c>
      <c r="D30" s="641">
        <v>300</v>
      </c>
    </row>
    <row r="31" spans="1:9" ht="62.4" x14ac:dyDescent="0.3">
      <c r="A31" s="634">
        <v>16</v>
      </c>
      <c r="B31" s="639" t="s">
        <v>598</v>
      </c>
      <c r="C31" s="640" t="s">
        <v>599</v>
      </c>
      <c r="D31" s="641">
        <v>2500</v>
      </c>
    </row>
    <row r="32" spans="1:9" ht="31.2" x14ac:dyDescent="0.3">
      <c r="A32" s="634">
        <v>17</v>
      </c>
      <c r="B32" s="639" t="s">
        <v>600</v>
      </c>
      <c r="C32" s="640" t="s">
        <v>388</v>
      </c>
      <c r="D32" s="641">
        <v>3000</v>
      </c>
    </row>
    <row r="33" spans="1:4" ht="31.2" x14ac:dyDescent="0.3">
      <c r="A33" s="634">
        <v>18</v>
      </c>
      <c r="B33" s="639" t="s">
        <v>601</v>
      </c>
      <c r="C33" s="640" t="s">
        <v>516</v>
      </c>
      <c r="D33" s="641">
        <v>2500</v>
      </c>
    </row>
    <row r="34" spans="1:4" ht="31.2" x14ac:dyDescent="0.3">
      <c r="A34" s="634">
        <v>19</v>
      </c>
      <c r="B34" s="639" t="s">
        <v>602</v>
      </c>
      <c r="C34" s="640" t="s">
        <v>388</v>
      </c>
      <c r="D34" s="641">
        <v>3300</v>
      </c>
    </row>
    <row r="35" spans="1:4" ht="15.6" x14ac:dyDescent="0.3">
      <c r="A35" s="634">
        <v>20</v>
      </c>
      <c r="B35" s="639" t="s">
        <v>603</v>
      </c>
      <c r="C35" s="640" t="s">
        <v>516</v>
      </c>
      <c r="D35" s="641">
        <v>800</v>
      </c>
    </row>
    <row r="36" spans="1:4" ht="31.2" x14ac:dyDescent="0.3">
      <c r="A36" s="634">
        <v>21</v>
      </c>
      <c r="B36" s="639" t="s">
        <v>958</v>
      </c>
      <c r="C36" s="640" t="s">
        <v>957</v>
      </c>
      <c r="D36" s="641">
        <v>5000</v>
      </c>
    </row>
    <row r="37" spans="1:4" ht="31.2" x14ac:dyDescent="0.3">
      <c r="A37" s="634">
        <v>22</v>
      </c>
      <c r="B37" s="639" t="s">
        <v>959</v>
      </c>
      <c r="C37" s="640" t="s">
        <v>599</v>
      </c>
      <c r="D37" s="641">
        <v>2500</v>
      </c>
    </row>
    <row r="38" spans="1:4" ht="15.6" x14ac:dyDescent="0.3">
      <c r="A38" s="634">
        <v>23</v>
      </c>
      <c r="B38" s="639" t="s">
        <v>604</v>
      </c>
      <c r="C38" s="640" t="s">
        <v>388</v>
      </c>
      <c r="D38" s="641">
        <v>2500</v>
      </c>
    </row>
    <row r="39" spans="1:4" ht="15.6" x14ac:dyDescent="0.3">
      <c r="A39" s="634">
        <v>24</v>
      </c>
      <c r="B39" s="639" t="s">
        <v>605</v>
      </c>
      <c r="C39" s="639" t="s">
        <v>516</v>
      </c>
      <c r="D39" s="641">
        <v>600</v>
      </c>
    </row>
    <row r="40" spans="1:4" ht="15.6" x14ac:dyDescent="0.3">
      <c r="A40" s="634">
        <v>25</v>
      </c>
      <c r="B40" s="639" t="s">
        <v>606</v>
      </c>
      <c r="C40" s="639" t="s">
        <v>388</v>
      </c>
      <c r="D40" s="641">
        <v>1880</v>
      </c>
    </row>
    <row r="41" spans="1:4" ht="16.2" thickBot="1" x14ac:dyDescent="0.35">
      <c r="A41" s="648"/>
      <c r="B41" s="649" t="s">
        <v>607</v>
      </c>
      <c r="C41" s="649"/>
      <c r="D41" s="650">
        <f>SUM(D16:D40)</f>
        <v>49080</v>
      </c>
    </row>
    <row r="43" spans="1:4" ht="15" thickBot="1" x14ac:dyDescent="0.35"/>
    <row r="44" spans="1:4" ht="21" thickBot="1" x14ac:dyDescent="0.4">
      <c r="A44" s="1621" t="s">
        <v>611</v>
      </c>
      <c r="B44" s="1622"/>
      <c r="C44" s="1623"/>
    </row>
    <row r="45" spans="1:4" ht="16.2" thickBot="1" x14ac:dyDescent="0.35">
      <c r="A45" s="1607" t="s">
        <v>568</v>
      </c>
      <c r="B45" s="1608"/>
      <c r="C45" s="1609"/>
    </row>
    <row r="46" spans="1:4" ht="16.2" thickBot="1" x14ac:dyDescent="0.35">
      <c r="A46" s="651" t="s">
        <v>220</v>
      </c>
      <c r="B46" s="407" t="s">
        <v>612</v>
      </c>
      <c r="C46" s="652" t="s">
        <v>613</v>
      </c>
    </row>
    <row r="47" spans="1:4" ht="15.6" x14ac:dyDescent="0.3">
      <c r="A47" s="653">
        <v>1</v>
      </c>
      <c r="B47" s="654" t="s">
        <v>614</v>
      </c>
      <c r="C47" s="655">
        <v>100</v>
      </c>
    </row>
    <row r="48" spans="1:4" ht="15.6" x14ac:dyDescent="0.3">
      <c r="A48" s="656">
        <v>2</v>
      </c>
      <c r="B48" s="657" t="s">
        <v>615</v>
      </c>
      <c r="C48" s="658">
        <v>130</v>
      </c>
    </row>
    <row r="49" spans="1:7" ht="15.6" x14ac:dyDescent="0.3">
      <c r="A49" s="656">
        <v>3</v>
      </c>
      <c r="B49" s="657" t="s">
        <v>616</v>
      </c>
      <c r="C49" s="658">
        <v>200</v>
      </c>
    </row>
    <row r="50" spans="1:7" ht="16.2" thickBot="1" x14ac:dyDescent="0.35">
      <c r="A50" s="656">
        <v>4</v>
      </c>
      <c r="B50" s="657" t="s">
        <v>617</v>
      </c>
      <c r="C50" s="658">
        <v>50</v>
      </c>
    </row>
    <row r="51" spans="1:7" ht="16.2" thickBot="1" x14ac:dyDescent="0.35">
      <c r="A51" s="405"/>
      <c r="B51" s="406" t="s">
        <v>618</v>
      </c>
      <c r="C51" s="659">
        <f>SUM(C47:C50)</f>
        <v>480</v>
      </c>
    </row>
    <row r="52" spans="1:7" ht="15.6" x14ac:dyDescent="0.3">
      <c r="A52" s="660"/>
      <c r="B52" s="661"/>
      <c r="C52" s="662"/>
    </row>
    <row r="53" spans="1:7" ht="24" thickBot="1" x14ac:dyDescent="0.5">
      <c r="A53" s="1624" t="s">
        <v>960</v>
      </c>
      <c r="B53" s="1624"/>
      <c r="C53" s="1624"/>
      <c r="D53" s="1624"/>
      <c r="E53" s="1624"/>
      <c r="F53" s="1624"/>
      <c r="G53" s="1624"/>
    </row>
    <row r="54" spans="1:7" ht="37.950000000000003" customHeight="1" thickBot="1" x14ac:dyDescent="0.35">
      <c r="A54" s="663" t="s">
        <v>382</v>
      </c>
      <c r="B54" s="664" t="s">
        <v>152</v>
      </c>
      <c r="C54" s="664" t="s">
        <v>961</v>
      </c>
      <c r="D54" s="664" t="s">
        <v>962</v>
      </c>
      <c r="E54" s="664" t="s">
        <v>963</v>
      </c>
      <c r="F54" s="664" t="s">
        <v>964</v>
      </c>
      <c r="G54" s="664" t="s">
        <v>281</v>
      </c>
    </row>
    <row r="55" spans="1:7" ht="196.2" customHeight="1" thickBot="1" x14ac:dyDescent="0.35">
      <c r="A55" s="665">
        <v>1</v>
      </c>
      <c r="B55" s="666" t="s">
        <v>965</v>
      </c>
      <c r="C55" s="666">
        <v>1</v>
      </c>
      <c r="D55" s="667" t="s">
        <v>966</v>
      </c>
      <c r="E55" s="666">
        <v>6000</v>
      </c>
      <c r="F55" s="666"/>
      <c r="G55" s="668">
        <v>6000</v>
      </c>
    </row>
    <row r="56" spans="1:7" ht="83.4" thickBot="1" x14ac:dyDescent="0.35">
      <c r="A56" s="665">
        <v>2</v>
      </c>
      <c r="B56" s="666" t="s">
        <v>967</v>
      </c>
      <c r="C56" s="666">
        <v>1</v>
      </c>
      <c r="D56" s="666" t="s">
        <v>968</v>
      </c>
      <c r="E56" s="666">
        <v>15000</v>
      </c>
      <c r="F56" s="666"/>
      <c r="G56" s="669">
        <v>15000</v>
      </c>
    </row>
    <row r="57" spans="1:7" ht="28.2" thickBot="1" x14ac:dyDescent="0.35">
      <c r="A57" s="665">
        <v>3</v>
      </c>
      <c r="B57" s="666" t="s">
        <v>969</v>
      </c>
      <c r="C57" s="666">
        <v>1</v>
      </c>
      <c r="D57" s="666" t="s">
        <v>970</v>
      </c>
      <c r="E57" s="666">
        <v>7800</v>
      </c>
      <c r="F57" s="670"/>
      <c r="G57" s="669">
        <v>7800</v>
      </c>
    </row>
    <row r="58" spans="1:7" ht="69.599999999999994" thickBot="1" x14ac:dyDescent="0.35">
      <c r="A58" s="665">
        <v>4</v>
      </c>
      <c r="B58" s="666" t="s">
        <v>971</v>
      </c>
      <c r="C58" s="666">
        <v>25</v>
      </c>
      <c r="D58" s="666" t="s">
        <v>972</v>
      </c>
      <c r="E58" s="666">
        <v>50</v>
      </c>
      <c r="F58" s="670"/>
      <c r="G58" s="668">
        <v>1250</v>
      </c>
    </row>
    <row r="59" spans="1:7" ht="28.2" thickBot="1" x14ac:dyDescent="0.35">
      <c r="A59" s="665">
        <v>5</v>
      </c>
      <c r="B59" s="666" t="s">
        <v>570</v>
      </c>
      <c r="C59" s="666">
        <v>11</v>
      </c>
      <c r="D59" s="666" t="s">
        <v>973</v>
      </c>
      <c r="E59" s="666">
        <v>300</v>
      </c>
      <c r="F59" s="670"/>
      <c r="G59" s="668">
        <v>3300</v>
      </c>
    </row>
    <row r="63" spans="1:7" ht="18.600000000000001" thickBot="1" x14ac:dyDescent="0.4">
      <c r="A63" s="1625" t="s">
        <v>974</v>
      </c>
      <c r="B63" s="1625"/>
      <c r="C63" s="1625"/>
      <c r="D63" s="1625"/>
      <c r="E63" s="1625"/>
    </row>
    <row r="64" spans="1:7" ht="15.6" x14ac:dyDescent="0.3">
      <c r="A64" s="671"/>
      <c r="B64" s="672"/>
      <c r="C64" s="672"/>
      <c r="D64" s="673" t="s">
        <v>975</v>
      </c>
      <c r="E64" s="1602" t="s">
        <v>976</v>
      </c>
      <c r="F64" s="674"/>
    </row>
    <row r="65" spans="1:6" x14ac:dyDescent="0.3">
      <c r="A65" s="675" t="s">
        <v>977</v>
      </c>
      <c r="B65" s="676" t="s">
        <v>978</v>
      </c>
      <c r="C65" s="677" t="s">
        <v>979</v>
      </c>
      <c r="D65" s="678" t="s">
        <v>980</v>
      </c>
      <c r="E65" s="1603"/>
      <c r="F65" s="674"/>
    </row>
    <row r="66" spans="1:6" ht="15" x14ac:dyDescent="0.3">
      <c r="A66" s="679"/>
      <c r="B66" s="680"/>
      <c r="C66" s="680"/>
      <c r="D66" s="678" t="s">
        <v>981</v>
      </c>
      <c r="E66" s="681" t="s">
        <v>981</v>
      </c>
      <c r="F66" s="674"/>
    </row>
    <row r="67" spans="1:6" ht="15" thickBot="1" x14ac:dyDescent="0.35">
      <c r="A67" s="682"/>
      <c r="B67" s="683"/>
      <c r="C67" s="683"/>
      <c r="D67" s="683"/>
      <c r="E67" s="683"/>
      <c r="F67" s="674"/>
    </row>
    <row r="68" spans="1:6" ht="15" thickBot="1" x14ac:dyDescent="0.35">
      <c r="A68" s="684" t="s">
        <v>982</v>
      </c>
      <c r="B68" s="685" t="s">
        <v>983</v>
      </c>
      <c r="C68" s="685">
        <v>1</v>
      </c>
      <c r="D68" s="685">
        <v>500</v>
      </c>
      <c r="E68" s="685">
        <v>500</v>
      </c>
      <c r="F68" s="674"/>
    </row>
    <row r="69" spans="1:6" ht="24" x14ac:dyDescent="0.3">
      <c r="A69" s="686" t="s">
        <v>984</v>
      </c>
      <c r="B69" s="1596" t="s">
        <v>983</v>
      </c>
      <c r="C69" s="1596">
        <v>1</v>
      </c>
      <c r="D69" s="1596">
        <v>400</v>
      </c>
      <c r="E69" s="1596">
        <v>400</v>
      </c>
      <c r="F69" s="674"/>
    </row>
    <row r="70" spans="1:6" x14ac:dyDescent="0.3">
      <c r="A70" s="1600" t="s">
        <v>985</v>
      </c>
      <c r="B70" s="1597"/>
      <c r="C70" s="1597"/>
      <c r="D70" s="1597"/>
      <c r="E70" s="1597"/>
      <c r="F70" s="674"/>
    </row>
    <row r="71" spans="1:6" ht="15" thickBot="1" x14ac:dyDescent="0.35">
      <c r="A71" s="1601"/>
      <c r="B71" s="687"/>
      <c r="C71" s="687"/>
      <c r="D71" s="687"/>
      <c r="E71" s="687"/>
      <c r="F71" s="674"/>
    </row>
    <row r="72" spans="1:6" ht="15" thickBot="1" x14ac:dyDescent="0.35">
      <c r="A72" s="684" t="s">
        <v>986</v>
      </c>
      <c r="B72" s="685" t="s">
        <v>983</v>
      </c>
      <c r="C72" s="685">
        <v>1</v>
      </c>
      <c r="D72" s="685">
        <v>150</v>
      </c>
      <c r="E72" s="685">
        <v>150</v>
      </c>
      <c r="F72" s="674"/>
    </row>
    <row r="73" spans="1:6" ht="24" x14ac:dyDescent="0.3">
      <c r="A73" s="686" t="s">
        <v>987</v>
      </c>
      <c r="B73" s="1596" t="s">
        <v>983</v>
      </c>
      <c r="C73" s="1596">
        <v>18</v>
      </c>
      <c r="D73" s="1596">
        <v>390</v>
      </c>
      <c r="E73" s="1596">
        <v>7020</v>
      </c>
      <c r="F73" s="674"/>
    </row>
    <row r="74" spans="1:6" x14ac:dyDescent="0.3">
      <c r="A74" s="1600" t="s">
        <v>988</v>
      </c>
      <c r="B74" s="1597"/>
      <c r="C74" s="1597"/>
      <c r="D74" s="1597"/>
      <c r="E74" s="1597"/>
      <c r="F74" s="674"/>
    </row>
    <row r="75" spans="1:6" x14ac:dyDescent="0.3">
      <c r="A75" s="1600"/>
      <c r="B75" s="688"/>
      <c r="C75" s="688"/>
      <c r="D75" s="688"/>
      <c r="E75" s="688"/>
      <c r="F75" s="674"/>
    </row>
    <row r="76" spans="1:6" ht="15" thickBot="1" x14ac:dyDescent="0.35">
      <c r="A76" s="689"/>
      <c r="B76" s="690"/>
      <c r="C76" s="690"/>
      <c r="D76" s="690"/>
      <c r="E76" s="690"/>
      <c r="F76" s="674"/>
    </row>
    <row r="77" spans="1:6" ht="15" thickBot="1" x14ac:dyDescent="0.35">
      <c r="A77" s="684" t="s">
        <v>989</v>
      </c>
      <c r="B77" s="685" t="s">
        <v>983</v>
      </c>
      <c r="C77" s="685">
        <v>18</v>
      </c>
      <c r="D77" s="685">
        <v>100</v>
      </c>
      <c r="E77" s="685">
        <v>1800</v>
      </c>
      <c r="F77" s="674"/>
    </row>
    <row r="78" spans="1:6" ht="24" x14ac:dyDescent="0.3">
      <c r="A78" s="686" t="s">
        <v>990</v>
      </c>
      <c r="B78" s="1596" t="s">
        <v>983</v>
      </c>
      <c r="C78" s="1596">
        <v>18</v>
      </c>
      <c r="D78" s="1596">
        <v>95</v>
      </c>
      <c r="E78" s="1596">
        <v>1710</v>
      </c>
      <c r="F78" s="674"/>
    </row>
    <row r="79" spans="1:6" x14ac:dyDescent="0.3">
      <c r="A79" s="1600" t="s">
        <v>991</v>
      </c>
      <c r="B79" s="1597"/>
      <c r="C79" s="1597"/>
      <c r="D79" s="1597"/>
      <c r="E79" s="1597"/>
      <c r="F79" s="674"/>
    </row>
    <row r="80" spans="1:6" x14ac:dyDescent="0.3">
      <c r="A80" s="1600"/>
      <c r="B80" s="688"/>
      <c r="C80" s="688"/>
      <c r="D80" s="688"/>
      <c r="E80" s="688"/>
      <c r="F80" s="674"/>
    </row>
    <row r="81" spans="1:6" ht="15" thickBot="1" x14ac:dyDescent="0.35">
      <c r="A81" s="689"/>
      <c r="B81" s="690"/>
      <c r="C81" s="690"/>
      <c r="D81" s="690"/>
      <c r="E81" s="690"/>
      <c r="F81" s="674"/>
    </row>
    <row r="82" spans="1:6" ht="24" x14ac:dyDescent="0.3">
      <c r="A82" s="686" t="s">
        <v>992</v>
      </c>
      <c r="B82" s="1596" t="s">
        <v>983</v>
      </c>
      <c r="C82" s="1596">
        <v>18</v>
      </c>
      <c r="D82" s="1596">
        <v>600</v>
      </c>
      <c r="E82" s="1596">
        <v>10800</v>
      </c>
      <c r="F82" s="674"/>
    </row>
    <row r="83" spans="1:6" x14ac:dyDescent="0.3">
      <c r="A83" s="1600" t="s">
        <v>993</v>
      </c>
      <c r="B83" s="1597"/>
      <c r="C83" s="1597"/>
      <c r="D83" s="1597"/>
      <c r="E83" s="1597"/>
      <c r="F83" s="674"/>
    </row>
    <row r="84" spans="1:6" ht="15" thickBot="1" x14ac:dyDescent="0.35">
      <c r="A84" s="1601"/>
      <c r="B84" s="687"/>
      <c r="C84" s="687"/>
      <c r="D84" s="687"/>
      <c r="E84" s="687"/>
      <c r="F84" s="674"/>
    </row>
    <row r="85" spans="1:6" ht="24" x14ac:dyDescent="0.3">
      <c r="A85" s="686" t="s">
        <v>994</v>
      </c>
      <c r="B85" s="1596" t="s">
        <v>983</v>
      </c>
      <c r="C85" s="1596">
        <v>30</v>
      </c>
      <c r="D85" s="1596">
        <v>7</v>
      </c>
      <c r="E85" s="1596">
        <v>210</v>
      </c>
      <c r="F85" s="674"/>
    </row>
    <row r="86" spans="1:6" x14ac:dyDescent="0.3">
      <c r="A86" s="1600" t="s">
        <v>995</v>
      </c>
      <c r="B86" s="1597"/>
      <c r="C86" s="1597"/>
      <c r="D86" s="1597"/>
      <c r="E86" s="1597"/>
      <c r="F86" s="674"/>
    </row>
    <row r="87" spans="1:6" ht="15" thickBot="1" x14ac:dyDescent="0.35">
      <c r="A87" s="1601"/>
      <c r="B87" s="687"/>
      <c r="C87" s="687"/>
      <c r="D87" s="687"/>
      <c r="E87" s="687"/>
      <c r="F87" s="674"/>
    </row>
    <row r="88" spans="1:6" ht="24" x14ac:dyDescent="0.3">
      <c r="A88" s="686" t="s">
        <v>996</v>
      </c>
      <c r="B88" s="1596" t="s">
        <v>983</v>
      </c>
      <c r="C88" s="1596">
        <v>200</v>
      </c>
      <c r="D88" s="1596">
        <v>5</v>
      </c>
      <c r="E88" s="1596">
        <v>1000</v>
      </c>
      <c r="F88" s="674"/>
    </row>
    <row r="89" spans="1:6" x14ac:dyDescent="0.3">
      <c r="A89" s="1600" t="s">
        <v>997</v>
      </c>
      <c r="B89" s="1597"/>
      <c r="C89" s="1597"/>
      <c r="D89" s="1597"/>
      <c r="E89" s="1597"/>
      <c r="F89" s="674"/>
    </row>
    <row r="90" spans="1:6" ht="15" thickBot="1" x14ac:dyDescent="0.35">
      <c r="A90" s="1601"/>
      <c r="B90" s="687"/>
      <c r="C90" s="687"/>
      <c r="D90" s="687"/>
      <c r="E90" s="687"/>
      <c r="F90" s="674"/>
    </row>
    <row r="91" spans="1:6" ht="15" thickBot="1" x14ac:dyDescent="0.35">
      <c r="A91" s="684" t="s">
        <v>998</v>
      </c>
      <c r="B91" s="685" t="s">
        <v>983</v>
      </c>
      <c r="C91" s="685">
        <v>10</v>
      </c>
      <c r="D91" s="685">
        <v>10</v>
      </c>
      <c r="E91" s="685">
        <v>100</v>
      </c>
      <c r="F91" s="674"/>
    </row>
    <row r="92" spans="1:6" ht="24" x14ac:dyDescent="0.3">
      <c r="A92" s="686" t="s">
        <v>999</v>
      </c>
      <c r="B92" s="1596" t="s">
        <v>983</v>
      </c>
      <c r="C92" s="1596">
        <v>1</v>
      </c>
      <c r="D92" s="1596">
        <v>1000</v>
      </c>
      <c r="E92" s="1596">
        <v>1000</v>
      </c>
      <c r="F92" s="674"/>
    </row>
    <row r="93" spans="1:6" x14ac:dyDescent="0.3">
      <c r="A93" s="1600" t="s">
        <v>1000</v>
      </c>
      <c r="B93" s="1597"/>
      <c r="C93" s="1597"/>
      <c r="D93" s="1597"/>
      <c r="E93" s="1597"/>
      <c r="F93" s="674"/>
    </row>
    <row r="94" spans="1:6" ht="15" thickBot="1" x14ac:dyDescent="0.35">
      <c r="A94" s="1601"/>
      <c r="B94" s="687"/>
      <c r="C94" s="687"/>
      <c r="D94" s="687"/>
      <c r="E94" s="687"/>
      <c r="F94" s="674"/>
    </row>
    <row r="95" spans="1:6" x14ac:dyDescent="0.3">
      <c r="A95" s="691"/>
      <c r="B95" s="692"/>
      <c r="C95" s="1594" t="s">
        <v>1001</v>
      </c>
      <c r="D95" s="1595"/>
      <c r="E95" s="693">
        <v>24690</v>
      </c>
      <c r="F95" s="674"/>
    </row>
    <row r="96" spans="1:6" ht="15" thickBot="1" x14ac:dyDescent="0.35">
      <c r="A96" s="694"/>
      <c r="B96" s="695"/>
      <c r="C96" s="695"/>
      <c r="D96" s="696"/>
      <c r="E96" s="696"/>
      <c r="F96" s="674"/>
    </row>
    <row r="97" spans="1:10" x14ac:dyDescent="0.3">
      <c r="A97" s="697"/>
      <c r="B97" s="698"/>
      <c r="C97" s="698"/>
      <c r="D97" s="699" t="s">
        <v>1002</v>
      </c>
      <c r="E97" s="693">
        <v>5184.8999999999996</v>
      </c>
      <c r="F97" s="674"/>
    </row>
    <row r="98" spans="1:10" ht="15" thickBot="1" x14ac:dyDescent="0.35">
      <c r="A98" s="694"/>
      <c r="B98" s="695"/>
      <c r="C98" s="1598"/>
      <c r="D98" s="1599"/>
      <c r="E98" s="696"/>
      <c r="F98" s="674"/>
    </row>
    <row r="99" spans="1:10" x14ac:dyDescent="0.3">
      <c r="A99" s="697"/>
      <c r="B99" s="698"/>
      <c r="C99" s="1594" t="s">
        <v>1003</v>
      </c>
      <c r="D99" s="1595"/>
      <c r="E99" s="693">
        <v>29874.9</v>
      </c>
      <c r="F99" s="674"/>
    </row>
    <row r="100" spans="1:10" ht="15" thickBot="1" x14ac:dyDescent="0.35">
      <c r="A100" s="694"/>
      <c r="B100" s="695"/>
      <c r="C100" s="1598"/>
      <c r="D100" s="1599"/>
      <c r="E100" s="696"/>
      <c r="F100" s="674"/>
    </row>
    <row r="101" spans="1:10" x14ac:dyDescent="0.3">
      <c r="A101" s="697"/>
      <c r="B101" s="698"/>
      <c r="C101" s="1594" t="s">
        <v>1004</v>
      </c>
      <c r="D101" s="1595"/>
      <c r="E101" s="693">
        <v>0</v>
      </c>
      <c r="F101" s="674"/>
    </row>
    <row r="102" spans="1:10" ht="15" thickBot="1" x14ac:dyDescent="0.35">
      <c r="A102" s="694"/>
      <c r="B102" s="695"/>
      <c r="C102" s="1598"/>
      <c r="D102" s="1599"/>
      <c r="E102" s="696"/>
      <c r="F102" s="674"/>
    </row>
    <row r="103" spans="1:10" x14ac:dyDescent="0.3">
      <c r="A103" s="697"/>
      <c r="B103" s="698"/>
      <c r="C103" s="1594" t="s">
        <v>1005</v>
      </c>
      <c r="D103" s="1595"/>
      <c r="E103" s="700">
        <v>29874.9</v>
      </c>
      <c r="F103" s="674"/>
    </row>
    <row r="104" spans="1:10" ht="15" thickBot="1" x14ac:dyDescent="0.35">
      <c r="A104" s="694"/>
      <c r="B104" s="695"/>
      <c r="C104" s="695"/>
      <c r="D104" s="696"/>
      <c r="E104" s="696"/>
      <c r="F104" s="674"/>
    </row>
    <row r="106" spans="1:10" ht="21.6" thickBot="1" x14ac:dyDescent="0.45">
      <c r="A106" s="1589" t="s">
        <v>1006</v>
      </c>
      <c r="B106" s="1589"/>
      <c r="C106" s="1589"/>
      <c r="D106" s="1589"/>
      <c r="E106" s="1589"/>
      <c r="F106" s="1589"/>
      <c r="G106" s="1589"/>
      <c r="H106" s="1589"/>
      <c r="I106" s="1589"/>
      <c r="J106" s="1589"/>
    </row>
    <row r="107" spans="1:10" ht="18" x14ac:dyDescent="0.3">
      <c r="A107" s="701"/>
      <c r="B107" s="1590" t="s">
        <v>1007</v>
      </c>
      <c r="C107" s="1591"/>
      <c r="D107" s="702" t="s">
        <v>1008</v>
      </c>
      <c r="E107" s="702" t="s">
        <v>1009</v>
      </c>
      <c r="F107" s="703" t="s">
        <v>1010</v>
      </c>
      <c r="G107" s="704" t="s">
        <v>1011</v>
      </c>
      <c r="H107" s="705" t="s">
        <v>1012</v>
      </c>
      <c r="I107" s="706" t="s">
        <v>1013</v>
      </c>
      <c r="J107" s="1574" t="s">
        <v>1014</v>
      </c>
    </row>
    <row r="108" spans="1:10" x14ac:dyDescent="0.3">
      <c r="A108" s="707"/>
      <c r="B108" s="1592"/>
      <c r="C108" s="1593"/>
      <c r="D108" s="708"/>
      <c r="E108" s="708"/>
      <c r="F108" s="708"/>
      <c r="G108" s="708"/>
      <c r="H108" s="708"/>
      <c r="I108" s="708"/>
      <c r="J108" s="1575"/>
    </row>
    <row r="109" spans="1:10" x14ac:dyDescent="0.3">
      <c r="A109" s="709"/>
      <c r="B109" s="1592"/>
      <c r="C109" s="1593"/>
      <c r="D109" s="710"/>
      <c r="E109" s="710"/>
      <c r="F109" s="710"/>
      <c r="G109" s="710"/>
      <c r="H109" s="710"/>
      <c r="I109" s="710"/>
      <c r="J109" s="1575" t="s">
        <v>1015</v>
      </c>
    </row>
    <row r="110" spans="1:10" x14ac:dyDescent="0.3">
      <c r="A110" s="711"/>
      <c r="B110" s="712"/>
      <c r="C110" s="713"/>
      <c r="D110" s="688"/>
      <c r="E110" s="688"/>
      <c r="F110" s="688"/>
      <c r="G110" s="688"/>
      <c r="H110" s="688"/>
      <c r="I110" s="688"/>
      <c r="J110" s="1575"/>
    </row>
    <row r="111" spans="1:10" ht="16.2" thickBot="1" x14ac:dyDescent="0.35">
      <c r="A111" s="714"/>
      <c r="B111" s="715"/>
      <c r="C111" s="716"/>
      <c r="D111" s="717"/>
      <c r="E111" s="717"/>
      <c r="F111" s="717"/>
      <c r="G111" s="717"/>
      <c r="H111" s="717"/>
      <c r="I111" s="717"/>
      <c r="J111" s="717"/>
    </row>
    <row r="112" spans="1:10" x14ac:dyDescent="0.3">
      <c r="A112" s="718"/>
      <c r="B112" s="719" t="s">
        <v>1016</v>
      </c>
      <c r="C112" s="720" t="s">
        <v>1017</v>
      </c>
      <c r="D112" s="721"/>
      <c r="E112" s="721"/>
      <c r="F112" s="721"/>
      <c r="G112" s="721"/>
      <c r="H112" s="721"/>
      <c r="I112" s="721"/>
      <c r="J112" s="721"/>
    </row>
    <row r="113" spans="1:10" ht="15" thickBot="1" x14ac:dyDescent="0.35">
      <c r="A113" s="722"/>
      <c r="B113" s="723"/>
      <c r="C113" s="723"/>
      <c r="D113" s="723"/>
      <c r="E113" s="723"/>
      <c r="F113" s="723"/>
      <c r="G113" s="723"/>
      <c r="H113" s="723"/>
      <c r="I113" s="723"/>
      <c r="J113" s="723"/>
    </row>
    <row r="114" spans="1:10" ht="15.6" x14ac:dyDescent="0.3">
      <c r="A114" s="724"/>
      <c r="B114" s="725" t="s">
        <v>1018</v>
      </c>
      <c r="C114" s="726"/>
      <c r="D114" s="725" t="s">
        <v>1019</v>
      </c>
      <c r="E114" s="725">
        <v>1</v>
      </c>
      <c r="F114" s="727">
        <v>630</v>
      </c>
      <c r="G114" s="725">
        <v>280</v>
      </c>
      <c r="H114" s="725">
        <v>630</v>
      </c>
      <c r="I114" s="725">
        <v>280</v>
      </c>
      <c r="J114" s="725">
        <v>910</v>
      </c>
    </row>
    <row r="115" spans="1:10" ht="16.2" thickBot="1" x14ac:dyDescent="0.35">
      <c r="A115" s="714"/>
      <c r="B115" s="717"/>
      <c r="C115" s="717"/>
      <c r="D115" s="717"/>
      <c r="E115" s="717"/>
      <c r="F115" s="717"/>
      <c r="G115" s="717"/>
      <c r="H115" s="717"/>
      <c r="I115" s="717"/>
      <c r="J115" s="717"/>
    </row>
    <row r="116" spans="1:10" ht="15.6" x14ac:dyDescent="0.3">
      <c r="A116" s="724"/>
      <c r="B116" s="725" t="s">
        <v>1020</v>
      </c>
      <c r="C116" s="726"/>
      <c r="D116" s="725" t="s">
        <v>1019</v>
      </c>
      <c r="E116" s="725">
        <v>1</v>
      </c>
      <c r="F116" s="727">
        <v>885</v>
      </c>
      <c r="G116" s="725">
        <v>280</v>
      </c>
      <c r="H116" s="725">
        <v>885</v>
      </c>
      <c r="I116" s="725">
        <v>280</v>
      </c>
      <c r="J116" s="725" t="s">
        <v>1021</v>
      </c>
    </row>
    <row r="117" spans="1:10" ht="16.2" thickBot="1" x14ac:dyDescent="0.35">
      <c r="A117" s="714"/>
      <c r="B117" s="717"/>
      <c r="C117" s="717"/>
      <c r="D117" s="717"/>
      <c r="E117" s="717"/>
      <c r="F117" s="717"/>
      <c r="G117" s="717"/>
      <c r="H117" s="717"/>
      <c r="I117" s="717"/>
      <c r="J117" s="717"/>
    </row>
    <row r="118" spans="1:10" ht="15.6" x14ac:dyDescent="0.3">
      <c r="A118" s="724"/>
      <c r="B118" s="725" t="s">
        <v>1022</v>
      </c>
      <c r="C118" s="726"/>
      <c r="D118" s="725" t="s">
        <v>1019</v>
      </c>
      <c r="E118" s="725">
        <v>1</v>
      </c>
      <c r="F118" s="727">
        <v>790</v>
      </c>
      <c r="G118" s="725">
        <v>180</v>
      </c>
      <c r="H118" s="725">
        <v>790</v>
      </c>
      <c r="I118" s="725">
        <v>180</v>
      </c>
      <c r="J118" s="725">
        <v>970</v>
      </c>
    </row>
    <row r="119" spans="1:10" ht="16.2" thickBot="1" x14ac:dyDescent="0.35">
      <c r="A119" s="714"/>
      <c r="B119" s="717"/>
      <c r="C119" s="717"/>
      <c r="D119" s="717"/>
      <c r="E119" s="717"/>
      <c r="F119" s="717"/>
      <c r="G119" s="717"/>
      <c r="H119" s="717"/>
      <c r="I119" s="717"/>
      <c r="J119" s="717"/>
    </row>
    <row r="120" spans="1:10" ht="15.6" x14ac:dyDescent="0.3">
      <c r="A120" s="724"/>
      <c r="B120" s="725" t="s">
        <v>1023</v>
      </c>
      <c r="C120" s="726"/>
      <c r="D120" s="1574" t="s">
        <v>1019</v>
      </c>
      <c r="E120" s="1574">
        <v>1</v>
      </c>
      <c r="F120" s="1577">
        <v>730</v>
      </c>
      <c r="G120" s="1574">
        <v>280</v>
      </c>
      <c r="H120" s="1574">
        <v>730</v>
      </c>
      <c r="I120" s="1574">
        <v>280</v>
      </c>
      <c r="J120" s="1574" t="s">
        <v>1024</v>
      </c>
    </row>
    <row r="121" spans="1:10" x14ac:dyDescent="0.3">
      <c r="A121" s="728"/>
      <c r="B121" s="1576" t="s">
        <v>1025</v>
      </c>
      <c r="C121" s="729"/>
      <c r="D121" s="1575"/>
      <c r="E121" s="1575"/>
      <c r="F121" s="1578"/>
      <c r="G121" s="1575"/>
      <c r="H121" s="1575"/>
      <c r="I121" s="1575"/>
      <c r="J121" s="1575"/>
    </row>
    <row r="122" spans="1:10" x14ac:dyDescent="0.3">
      <c r="A122" s="709"/>
      <c r="B122" s="1576"/>
      <c r="C122" s="710"/>
      <c r="D122" s="710"/>
      <c r="E122" s="710"/>
      <c r="F122" s="710"/>
      <c r="G122" s="710"/>
      <c r="H122" s="710"/>
      <c r="I122" s="710"/>
      <c r="J122" s="710"/>
    </row>
    <row r="123" spans="1:10" ht="16.2" thickBot="1" x14ac:dyDescent="0.35">
      <c r="A123" s="714"/>
      <c r="B123" s="717"/>
      <c r="C123" s="717"/>
      <c r="D123" s="717"/>
      <c r="E123" s="717"/>
      <c r="F123" s="717"/>
      <c r="G123" s="717"/>
      <c r="H123" s="717"/>
      <c r="I123" s="717"/>
      <c r="J123" s="717"/>
    </row>
    <row r="124" spans="1:10" ht="15.6" x14ac:dyDescent="0.3">
      <c r="A124" s="724"/>
      <c r="B124" s="725" t="s">
        <v>1026</v>
      </c>
      <c r="C124" s="726"/>
      <c r="D124" s="725" t="s">
        <v>1019</v>
      </c>
      <c r="E124" s="725">
        <v>1</v>
      </c>
      <c r="F124" s="727">
        <v>600</v>
      </c>
      <c r="G124" s="725">
        <v>210</v>
      </c>
      <c r="H124" s="725">
        <v>600</v>
      </c>
      <c r="I124" s="725">
        <v>210</v>
      </c>
      <c r="J124" s="725">
        <v>810</v>
      </c>
    </row>
    <row r="125" spans="1:10" ht="16.2" thickBot="1" x14ac:dyDescent="0.35">
      <c r="A125" s="714"/>
      <c r="B125" s="717"/>
      <c r="C125" s="717"/>
      <c r="D125" s="717"/>
      <c r="E125" s="717"/>
      <c r="F125" s="717"/>
      <c r="G125" s="717"/>
      <c r="H125" s="717"/>
      <c r="I125" s="717"/>
      <c r="J125" s="717"/>
    </row>
    <row r="126" spans="1:10" ht="15.6" x14ac:dyDescent="0.3">
      <c r="A126" s="724"/>
      <c r="B126" s="725" t="s">
        <v>1027</v>
      </c>
      <c r="C126" s="726"/>
      <c r="D126" s="1574" t="s">
        <v>1019</v>
      </c>
      <c r="E126" s="1574">
        <v>1</v>
      </c>
      <c r="F126" s="1577">
        <v>430</v>
      </c>
      <c r="G126" s="1574">
        <v>180</v>
      </c>
      <c r="H126" s="1574">
        <v>430</v>
      </c>
      <c r="I126" s="1574">
        <v>180</v>
      </c>
      <c r="J126" s="1574">
        <v>610</v>
      </c>
    </row>
    <row r="127" spans="1:10" x14ac:dyDescent="0.3">
      <c r="A127" s="728"/>
      <c r="B127" s="1576" t="s">
        <v>1028</v>
      </c>
      <c r="C127" s="729"/>
      <c r="D127" s="1575"/>
      <c r="E127" s="1575"/>
      <c r="F127" s="1578"/>
      <c r="G127" s="1575"/>
      <c r="H127" s="1575"/>
      <c r="I127" s="1575"/>
      <c r="J127" s="1575"/>
    </row>
    <row r="128" spans="1:10" x14ac:dyDescent="0.3">
      <c r="A128" s="709"/>
      <c r="B128" s="1576"/>
      <c r="C128" s="710"/>
      <c r="D128" s="710"/>
      <c r="E128" s="710"/>
      <c r="F128" s="710"/>
      <c r="G128" s="710"/>
      <c r="H128" s="710"/>
      <c r="I128" s="710"/>
      <c r="J128" s="710"/>
    </row>
    <row r="129" spans="1:10" ht="15" thickBot="1" x14ac:dyDescent="0.35">
      <c r="A129" s="730"/>
      <c r="B129" s="731"/>
      <c r="C129" s="731"/>
      <c r="D129" s="731"/>
      <c r="E129" s="731"/>
      <c r="F129" s="731"/>
      <c r="G129" s="731"/>
      <c r="H129" s="731"/>
      <c r="I129" s="731"/>
      <c r="J129" s="731"/>
    </row>
    <row r="130" spans="1:10" x14ac:dyDescent="0.3">
      <c r="A130" s="732"/>
      <c r="B130" s="732"/>
      <c r="C130" s="732"/>
      <c r="D130" s="733"/>
      <c r="E130" s="732"/>
      <c r="F130" s="732"/>
      <c r="G130" s="733"/>
      <c r="H130" s="719" t="s">
        <v>1029</v>
      </c>
      <c r="I130" s="719" t="s">
        <v>1030</v>
      </c>
      <c r="J130" s="719" t="s">
        <v>1031</v>
      </c>
    </row>
    <row r="131" spans="1:10" ht="15" thickBot="1" x14ac:dyDescent="0.35">
      <c r="A131" s="734"/>
      <c r="B131" s="735"/>
      <c r="C131" s="735"/>
      <c r="D131" s="708"/>
      <c r="E131" s="695"/>
      <c r="F131" s="695"/>
      <c r="G131" s="696"/>
      <c r="H131" s="696"/>
      <c r="I131" s="696"/>
      <c r="J131" s="696"/>
    </row>
    <row r="132" spans="1:10" x14ac:dyDescent="0.3">
      <c r="A132" s="732"/>
      <c r="B132" s="1579" t="s">
        <v>1032</v>
      </c>
      <c r="C132" s="1580"/>
      <c r="D132" s="733"/>
      <c r="E132" s="732"/>
      <c r="F132" s="732"/>
      <c r="G132" s="732"/>
      <c r="H132" s="1583" t="s">
        <v>1033</v>
      </c>
      <c r="I132" s="1584"/>
      <c r="J132" s="725">
        <v>350</v>
      </c>
    </row>
    <row r="133" spans="1:10" ht="15" thickBot="1" x14ac:dyDescent="0.35">
      <c r="A133" s="736"/>
      <c r="B133" s="1581"/>
      <c r="C133" s="1582"/>
      <c r="D133" s="737"/>
      <c r="E133" s="738"/>
      <c r="F133" s="738"/>
      <c r="G133" s="738"/>
      <c r="H133" s="738"/>
      <c r="I133" s="739"/>
      <c r="J133" s="739"/>
    </row>
    <row r="134" spans="1:10" x14ac:dyDescent="0.3">
      <c r="A134" s="740"/>
      <c r="B134" s="1581"/>
      <c r="C134" s="1582"/>
      <c r="D134" s="741"/>
      <c r="E134" s="740"/>
      <c r="F134" s="740"/>
      <c r="G134" s="740"/>
      <c r="H134" s="740"/>
      <c r="I134" s="741"/>
      <c r="J134" s="741"/>
    </row>
    <row r="135" spans="1:10" x14ac:dyDescent="0.3">
      <c r="A135" s="742"/>
      <c r="B135" s="1581" t="s">
        <v>1034</v>
      </c>
      <c r="C135" s="1582"/>
      <c r="D135" s="721"/>
      <c r="E135" s="742"/>
      <c r="F135" s="742"/>
      <c r="G135" s="742"/>
      <c r="H135" s="1585" t="s">
        <v>1035</v>
      </c>
      <c r="I135" s="1586"/>
      <c r="J135" s="719">
        <v>5825</v>
      </c>
    </row>
    <row r="136" spans="1:10" ht="15" thickBot="1" x14ac:dyDescent="0.35">
      <c r="A136" s="743"/>
      <c r="B136" s="744"/>
      <c r="C136" s="744"/>
      <c r="D136" s="745"/>
      <c r="E136" s="746"/>
      <c r="F136" s="746"/>
      <c r="G136" s="746"/>
      <c r="H136" s="746"/>
      <c r="I136" s="747"/>
      <c r="J136" s="747"/>
    </row>
    <row r="137" spans="1:10" x14ac:dyDescent="0.3">
      <c r="A137" s="732"/>
      <c r="B137" s="732"/>
      <c r="C137" s="732"/>
      <c r="D137" s="733"/>
      <c r="E137" s="732"/>
      <c r="F137" s="732"/>
      <c r="G137" s="732"/>
      <c r="H137" s="732"/>
      <c r="I137" s="748" t="s">
        <v>1036</v>
      </c>
      <c r="J137" s="725">
        <v>1223.25</v>
      </c>
    </row>
    <row r="138" spans="1:10" ht="15" thickBot="1" x14ac:dyDescent="0.35">
      <c r="A138" s="749"/>
      <c r="B138" s="749"/>
      <c r="C138" s="749"/>
      <c r="D138" s="750"/>
      <c r="E138" s="751"/>
      <c r="F138" s="751"/>
      <c r="G138" s="751"/>
      <c r="H138" s="1587"/>
      <c r="I138" s="1588"/>
      <c r="J138" s="690"/>
    </row>
    <row r="139" spans="1:10" x14ac:dyDescent="0.3">
      <c r="A139" s="752"/>
      <c r="B139" s="752"/>
      <c r="C139" s="752"/>
      <c r="D139" s="753"/>
      <c r="E139" s="752"/>
      <c r="F139" s="752"/>
      <c r="G139" s="752"/>
      <c r="H139" s="1572" t="s">
        <v>1037</v>
      </c>
      <c r="I139" s="1573"/>
      <c r="J139" s="719">
        <v>7048.25</v>
      </c>
    </row>
    <row r="140" spans="1:10" ht="15" thickBot="1" x14ac:dyDescent="0.35">
      <c r="A140" s="751"/>
      <c r="B140" s="751"/>
      <c r="C140" s="751"/>
      <c r="D140" s="690"/>
      <c r="E140" s="751"/>
      <c r="F140" s="751"/>
      <c r="G140" s="751"/>
      <c r="H140" s="751"/>
      <c r="I140" s="690"/>
      <c r="J140" s="690"/>
    </row>
    <row r="143" spans="1:10" x14ac:dyDescent="0.3">
      <c r="B143" s="1006"/>
      <c r="C143" s="1007" t="s">
        <v>961</v>
      </c>
      <c r="D143" s="1006"/>
      <c r="E143" s="1007" t="s">
        <v>1283</v>
      </c>
      <c r="F143" s="1007" t="s">
        <v>123</v>
      </c>
      <c r="G143" s="1008" t="s">
        <v>1284</v>
      </c>
    </row>
    <row r="144" spans="1:10" ht="16.2" thickBot="1" x14ac:dyDescent="0.35">
      <c r="B144" s="1009"/>
      <c r="C144" s="1009"/>
      <c r="D144" s="1009"/>
      <c r="E144" s="1009"/>
      <c r="F144" s="1009"/>
      <c r="G144" s="1010"/>
    </row>
    <row r="145" spans="2:7" ht="42" thickBot="1" x14ac:dyDescent="0.35">
      <c r="B145" s="1011" t="s">
        <v>1285</v>
      </c>
      <c r="C145" s="1012">
        <v>1</v>
      </c>
      <c r="D145" s="1013"/>
      <c r="E145" s="1012" t="s">
        <v>1286</v>
      </c>
      <c r="F145" s="1012" t="s">
        <v>1286</v>
      </c>
      <c r="G145" s="1014">
        <f>5560*1.21</f>
        <v>6727.5999999999995</v>
      </c>
    </row>
    <row r="146" spans="2:7" ht="16.2" thickBot="1" x14ac:dyDescent="0.35">
      <c r="B146" s="1013"/>
      <c r="C146" s="1013"/>
      <c r="D146" s="1013"/>
      <c r="E146" s="1013"/>
      <c r="F146" s="1013"/>
      <c r="G146" s="1014"/>
    </row>
    <row r="147" spans="2:7" ht="28.2" thickBot="1" x14ac:dyDescent="0.35">
      <c r="B147" s="1011" t="s">
        <v>1287</v>
      </c>
      <c r="C147" s="1012">
        <v>1</v>
      </c>
      <c r="D147" s="1013"/>
      <c r="E147" s="1012" t="s">
        <v>1286</v>
      </c>
      <c r="F147" s="1012" t="s">
        <v>1286</v>
      </c>
      <c r="G147" s="1014">
        <f t="shared" ref="G147:G161" si="0">5560*1.21</f>
        <v>6727.5999999999995</v>
      </c>
    </row>
    <row r="148" spans="2:7" ht="16.2" thickBot="1" x14ac:dyDescent="0.35">
      <c r="B148" s="1013"/>
      <c r="C148" s="1013"/>
      <c r="D148" s="1013"/>
      <c r="E148" s="1013"/>
      <c r="F148" s="1013"/>
      <c r="G148" s="1014"/>
    </row>
    <row r="149" spans="2:7" ht="28.2" thickBot="1" x14ac:dyDescent="0.35">
      <c r="B149" s="1011" t="s">
        <v>1288</v>
      </c>
      <c r="C149" s="1012">
        <v>1</v>
      </c>
      <c r="D149" s="1013"/>
      <c r="E149" s="1012" t="s">
        <v>1286</v>
      </c>
      <c r="F149" s="1012" t="s">
        <v>1286</v>
      </c>
      <c r="G149" s="1014">
        <f t="shared" si="0"/>
        <v>6727.5999999999995</v>
      </c>
    </row>
    <row r="150" spans="2:7" ht="16.2" thickBot="1" x14ac:dyDescent="0.35">
      <c r="B150" s="1013"/>
      <c r="C150" s="1013"/>
      <c r="D150" s="1013"/>
      <c r="E150" s="1013"/>
      <c r="F150" s="1013"/>
      <c r="G150" s="1014"/>
    </row>
    <row r="151" spans="2:7" ht="28.2" thickBot="1" x14ac:dyDescent="0.35">
      <c r="B151" s="1011" t="s">
        <v>1289</v>
      </c>
      <c r="C151" s="1012">
        <v>1</v>
      </c>
      <c r="D151" s="1013"/>
      <c r="E151" s="1012" t="s">
        <v>1286</v>
      </c>
      <c r="F151" s="1012" t="s">
        <v>1286</v>
      </c>
      <c r="G151" s="1014">
        <f t="shared" si="0"/>
        <v>6727.5999999999995</v>
      </c>
    </row>
    <row r="152" spans="2:7" ht="16.2" thickBot="1" x14ac:dyDescent="0.35">
      <c r="B152" s="1013"/>
      <c r="C152" s="1013"/>
      <c r="D152" s="1013"/>
      <c r="E152" s="1013"/>
      <c r="F152" s="1013"/>
      <c r="G152" s="1014"/>
    </row>
    <row r="153" spans="2:7" ht="42" thickBot="1" x14ac:dyDescent="0.35">
      <c r="B153" s="1011" t="s">
        <v>1290</v>
      </c>
      <c r="C153" s="1012">
        <v>1</v>
      </c>
      <c r="D153" s="1013"/>
      <c r="E153" s="1012" t="s">
        <v>1286</v>
      </c>
      <c r="F153" s="1012" t="s">
        <v>1286</v>
      </c>
      <c r="G153" s="1014">
        <f t="shared" si="0"/>
        <v>6727.5999999999995</v>
      </c>
    </row>
    <row r="154" spans="2:7" ht="16.2" thickBot="1" x14ac:dyDescent="0.35">
      <c r="B154" s="1013"/>
      <c r="C154" s="1013"/>
      <c r="D154" s="1013"/>
      <c r="E154" s="1013"/>
      <c r="F154" s="1013"/>
      <c r="G154" s="1014"/>
    </row>
    <row r="155" spans="2:7" ht="42" thickBot="1" x14ac:dyDescent="0.35">
      <c r="B155" s="1011" t="s">
        <v>1291</v>
      </c>
      <c r="C155" s="1012">
        <v>1</v>
      </c>
      <c r="D155" s="1013"/>
      <c r="E155" s="1012" t="s">
        <v>1286</v>
      </c>
      <c r="F155" s="1012" t="s">
        <v>1286</v>
      </c>
      <c r="G155" s="1014">
        <f t="shared" si="0"/>
        <v>6727.5999999999995</v>
      </c>
    </row>
    <row r="156" spans="2:7" ht="16.2" thickBot="1" x14ac:dyDescent="0.35">
      <c r="B156" s="1013"/>
      <c r="C156" s="1013"/>
      <c r="D156" s="1013"/>
      <c r="E156" s="1013"/>
      <c r="F156" s="1013"/>
      <c r="G156" s="1014"/>
    </row>
    <row r="157" spans="2:7" ht="28.2" thickBot="1" x14ac:dyDescent="0.35">
      <c r="B157" s="1011" t="s">
        <v>1292</v>
      </c>
      <c r="C157" s="1012">
        <v>1</v>
      </c>
      <c r="D157" s="1013"/>
      <c r="E157" s="1012" t="s">
        <v>1286</v>
      </c>
      <c r="F157" s="1012" t="s">
        <v>1286</v>
      </c>
      <c r="G157" s="1014">
        <f t="shared" si="0"/>
        <v>6727.5999999999995</v>
      </c>
    </row>
    <row r="158" spans="2:7" ht="16.2" thickBot="1" x14ac:dyDescent="0.35">
      <c r="B158" s="1013"/>
      <c r="C158" s="1013"/>
      <c r="D158" s="1013"/>
      <c r="E158" s="1013"/>
      <c r="F158" s="1013"/>
      <c r="G158" s="1014"/>
    </row>
    <row r="159" spans="2:7" ht="28.2" thickBot="1" x14ac:dyDescent="0.35">
      <c r="B159" s="1011" t="s">
        <v>1293</v>
      </c>
      <c r="C159" s="1012">
        <v>1</v>
      </c>
      <c r="D159" s="1013"/>
      <c r="E159" s="1012" t="s">
        <v>1286</v>
      </c>
      <c r="F159" s="1012" t="s">
        <v>1286</v>
      </c>
      <c r="G159" s="1014">
        <f t="shared" si="0"/>
        <v>6727.5999999999995</v>
      </c>
    </row>
    <row r="160" spans="2:7" ht="16.2" thickBot="1" x14ac:dyDescent="0.35">
      <c r="B160" s="1013"/>
      <c r="C160" s="1013"/>
      <c r="D160" s="1013"/>
      <c r="E160" s="1013"/>
      <c r="F160" s="1013"/>
      <c r="G160" s="1014"/>
    </row>
    <row r="161" spans="2:7" ht="28.2" thickBot="1" x14ac:dyDescent="0.35">
      <c r="B161" s="1011" t="s">
        <v>1294</v>
      </c>
      <c r="C161" s="1012">
        <v>1</v>
      </c>
      <c r="D161" s="1013"/>
      <c r="E161" s="1012" t="s">
        <v>1286</v>
      </c>
      <c r="F161" s="1012" t="s">
        <v>1286</v>
      </c>
      <c r="G161" s="1014">
        <f t="shared" si="0"/>
        <v>6727.5999999999995</v>
      </c>
    </row>
    <row r="162" spans="2:7" ht="16.2" thickBot="1" x14ac:dyDescent="0.35">
      <c r="B162" s="1013"/>
      <c r="C162" s="1013"/>
      <c r="D162" s="1013"/>
      <c r="E162" s="1013"/>
      <c r="F162" s="1013"/>
      <c r="G162" s="1014"/>
    </row>
    <row r="163" spans="2:7" ht="28.2" thickBot="1" x14ac:dyDescent="0.35">
      <c r="B163" s="1011" t="s">
        <v>1295</v>
      </c>
      <c r="C163" s="1012">
        <v>1</v>
      </c>
      <c r="D163" s="1013"/>
      <c r="E163" s="1012" t="s">
        <v>1296</v>
      </c>
      <c r="F163" s="1012" t="s">
        <v>1296</v>
      </c>
      <c r="G163" s="1014">
        <f>4995*1.21</f>
        <v>6043.95</v>
      </c>
    </row>
    <row r="164" spans="2:7" ht="16.2" thickBot="1" x14ac:dyDescent="0.35">
      <c r="B164" s="1013"/>
      <c r="C164" s="1013"/>
      <c r="D164" s="1013"/>
      <c r="E164" s="1013"/>
      <c r="F164" s="1013"/>
      <c r="G164" s="1014"/>
    </row>
    <row r="165" spans="2:7" ht="28.2" thickBot="1" x14ac:dyDescent="0.35">
      <c r="B165" s="1011" t="s">
        <v>1297</v>
      </c>
      <c r="C165" s="1012">
        <v>8</v>
      </c>
      <c r="D165" s="1013"/>
      <c r="E165" s="1012" t="s">
        <v>1298</v>
      </c>
      <c r="F165" s="1012" t="s">
        <v>1299</v>
      </c>
      <c r="G165" s="1014">
        <f>5600*1.21</f>
        <v>6776</v>
      </c>
    </row>
    <row r="166" spans="2:7" ht="16.2" thickBot="1" x14ac:dyDescent="0.35">
      <c r="B166" s="1013"/>
      <c r="C166" s="1013"/>
      <c r="D166" s="1013"/>
      <c r="E166" s="1013"/>
      <c r="F166" s="1013"/>
      <c r="G166" s="1014"/>
    </row>
    <row r="167" spans="2:7" ht="28.2" thickBot="1" x14ac:dyDescent="0.35">
      <c r="B167" s="1011" t="s">
        <v>1300</v>
      </c>
      <c r="C167" s="1012">
        <v>2</v>
      </c>
      <c r="D167" s="1013"/>
      <c r="E167" s="1012" t="s">
        <v>1301</v>
      </c>
      <c r="F167" s="1012" t="s">
        <v>1302</v>
      </c>
      <c r="G167" s="1014">
        <f>1600*1.21</f>
        <v>1936</v>
      </c>
    </row>
    <row r="168" spans="2:7" ht="16.2" thickBot="1" x14ac:dyDescent="0.35">
      <c r="B168" s="1013"/>
      <c r="C168" s="1013"/>
      <c r="D168" s="1013"/>
      <c r="E168" s="1013"/>
      <c r="F168" s="1013"/>
      <c r="G168" s="1014"/>
    </row>
    <row r="169" spans="2:7" ht="28.2" thickBot="1" x14ac:dyDescent="0.35">
      <c r="B169" s="1011" t="s">
        <v>1303</v>
      </c>
      <c r="C169" s="1012">
        <v>1</v>
      </c>
      <c r="D169" s="1013"/>
      <c r="E169" s="1012" t="s">
        <v>1304</v>
      </c>
      <c r="F169" s="1012" t="s">
        <v>1304</v>
      </c>
      <c r="G169" s="1014">
        <f>1150*1.21</f>
        <v>1391.5</v>
      </c>
    </row>
    <row r="170" spans="2:7" ht="16.2" thickBot="1" x14ac:dyDescent="0.35">
      <c r="B170" s="1013"/>
      <c r="C170" s="1013"/>
      <c r="D170" s="1013"/>
      <c r="E170" s="1013"/>
      <c r="F170" s="1013"/>
      <c r="G170" s="1014"/>
    </row>
    <row r="171" spans="2:7" ht="16.2" thickBot="1" x14ac:dyDescent="0.35">
      <c r="B171" s="1013"/>
      <c r="C171" s="1013"/>
      <c r="D171" s="1571" t="s">
        <v>1305</v>
      </c>
      <c r="E171" s="1571"/>
      <c r="F171" s="1012" t="s">
        <v>1306</v>
      </c>
      <c r="G171" s="1014">
        <f>SUM(G145:G170)</f>
        <v>76695.849999999991</v>
      </c>
    </row>
    <row r="172" spans="2:7" ht="15" x14ac:dyDescent="0.3">
      <c r="B172" s="1015"/>
      <c r="C172" s="1016"/>
      <c r="D172" s="1016"/>
      <c r="E172" s="1017"/>
      <c r="F172" s="1018" t="s">
        <v>181</v>
      </c>
      <c r="G172"/>
    </row>
  </sheetData>
  <mergeCells count="81">
    <mergeCell ref="E64:E65"/>
    <mergeCell ref="B2:G2"/>
    <mergeCell ref="B3:G3"/>
    <mergeCell ref="B5:G5"/>
    <mergeCell ref="B8:G8"/>
    <mergeCell ref="A13:D13"/>
    <mergeCell ref="F13:G13"/>
    <mergeCell ref="A14:D14"/>
    <mergeCell ref="A44:C44"/>
    <mergeCell ref="A45:C45"/>
    <mergeCell ref="A53:G53"/>
    <mergeCell ref="A63:E63"/>
    <mergeCell ref="B73:B74"/>
    <mergeCell ref="C73:C74"/>
    <mergeCell ref="D73:D74"/>
    <mergeCell ref="E73:E74"/>
    <mergeCell ref="A74:A75"/>
    <mergeCell ref="B69:B70"/>
    <mergeCell ref="C69:C70"/>
    <mergeCell ref="D69:D70"/>
    <mergeCell ref="E69:E70"/>
    <mergeCell ref="A70:A71"/>
    <mergeCell ref="B82:B83"/>
    <mergeCell ref="C82:C83"/>
    <mergeCell ref="D82:D83"/>
    <mergeCell ref="E82:E83"/>
    <mergeCell ref="A83:A84"/>
    <mergeCell ref="B78:B79"/>
    <mergeCell ref="C78:C79"/>
    <mergeCell ref="D78:D79"/>
    <mergeCell ref="E78:E79"/>
    <mergeCell ref="A79:A80"/>
    <mergeCell ref="E85:E86"/>
    <mergeCell ref="A86:A87"/>
    <mergeCell ref="B88:B89"/>
    <mergeCell ref="C88:C89"/>
    <mergeCell ref="D88:D89"/>
    <mergeCell ref="E88:E89"/>
    <mergeCell ref="A89:A90"/>
    <mergeCell ref="A93:A94"/>
    <mergeCell ref="C95:D95"/>
    <mergeCell ref="B85:B86"/>
    <mergeCell ref="C85:C86"/>
    <mergeCell ref="D85:D86"/>
    <mergeCell ref="C103:D103"/>
    <mergeCell ref="B92:B93"/>
    <mergeCell ref="C92:C93"/>
    <mergeCell ref="D92:D93"/>
    <mergeCell ref="E92:E93"/>
    <mergeCell ref="C98:D98"/>
    <mergeCell ref="C99:D99"/>
    <mergeCell ref="C100:D100"/>
    <mergeCell ref="C101:D101"/>
    <mergeCell ref="C102:D102"/>
    <mergeCell ref="H138:I138"/>
    <mergeCell ref="A106:J106"/>
    <mergeCell ref="B107:C109"/>
    <mergeCell ref="J107:J108"/>
    <mergeCell ref="J109:J110"/>
    <mergeCell ref="D120:D121"/>
    <mergeCell ref="E120:E121"/>
    <mergeCell ref="F120:F121"/>
    <mergeCell ref="G120:G121"/>
    <mergeCell ref="H120:H121"/>
    <mergeCell ref="I120:I121"/>
    <mergeCell ref="D171:E171"/>
    <mergeCell ref="H139:I139"/>
    <mergeCell ref="J120:J121"/>
    <mergeCell ref="B121:B122"/>
    <mergeCell ref="D126:D127"/>
    <mergeCell ref="E126:E127"/>
    <mergeCell ref="F126:F127"/>
    <mergeCell ref="G126:G127"/>
    <mergeCell ref="H126:H127"/>
    <mergeCell ref="I126:I127"/>
    <mergeCell ref="J126:J127"/>
    <mergeCell ref="B127:B128"/>
    <mergeCell ref="B132:C134"/>
    <mergeCell ref="H132:I132"/>
    <mergeCell ref="B135:C135"/>
    <mergeCell ref="H135:I135"/>
  </mergeCells>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E20A2-F237-4137-B8A5-A0A4103BA872}">
  <sheetPr>
    <tabColor theme="7" tint="0.59999389629810485"/>
  </sheetPr>
  <dimension ref="A5:H39"/>
  <sheetViews>
    <sheetView workbookViewId="0">
      <selection activeCell="J23" sqref="J23"/>
    </sheetView>
  </sheetViews>
  <sheetFormatPr defaultRowHeight="11.4" x14ac:dyDescent="0.2"/>
  <cols>
    <col min="1" max="1" width="34.25" customWidth="1"/>
    <col min="3" max="3" width="17.25" customWidth="1"/>
    <col min="4" max="4" width="19.75" customWidth="1"/>
    <col min="5" max="5" width="20.625" customWidth="1"/>
    <col min="6" max="6" width="11.625" customWidth="1"/>
    <col min="8" max="8" width="75.75" customWidth="1"/>
  </cols>
  <sheetData>
    <row r="5" spans="1:8" ht="13.8" x14ac:dyDescent="0.2">
      <c r="A5" s="1006"/>
      <c r="B5" s="1007" t="s">
        <v>961</v>
      </c>
      <c r="C5" s="1006"/>
      <c r="D5" s="1007" t="s">
        <v>1283</v>
      </c>
      <c r="E5" s="1007" t="s">
        <v>123</v>
      </c>
      <c r="F5" s="1008" t="s">
        <v>1284</v>
      </c>
    </row>
    <row r="6" spans="1:8" ht="16.2" thickBot="1" x14ac:dyDescent="0.3">
      <c r="A6" s="1009"/>
      <c r="B6" s="1009"/>
      <c r="C6" s="1009"/>
      <c r="D6" s="1009"/>
      <c r="E6" s="1009"/>
      <c r="F6" s="1010"/>
    </row>
    <row r="7" spans="1:8" ht="28.2" thickBot="1" x14ac:dyDescent="0.3">
      <c r="A7" s="1147" t="s">
        <v>1285</v>
      </c>
      <c r="B7" s="1148">
        <v>1</v>
      </c>
      <c r="C7" s="1149"/>
      <c r="D7" s="1148" t="s">
        <v>1286</v>
      </c>
      <c r="E7" s="1148" t="s">
        <v>1286</v>
      </c>
      <c r="F7" s="1150">
        <f>5560*1.21</f>
        <v>6727.5999999999995</v>
      </c>
      <c r="H7" t="s">
        <v>1493</v>
      </c>
    </row>
    <row r="8" spans="1:8" ht="16.2" thickBot="1" x14ac:dyDescent="0.3">
      <c r="A8" s="1013"/>
      <c r="B8" s="1013"/>
      <c r="C8" s="1013"/>
      <c r="D8" s="1013"/>
      <c r="E8" s="1013"/>
      <c r="F8" s="1014"/>
    </row>
    <row r="9" spans="1:8" ht="16.2" thickBot="1" x14ac:dyDescent="0.3">
      <c r="A9" s="1147" t="s">
        <v>1287</v>
      </c>
      <c r="B9" s="1148">
        <v>1</v>
      </c>
      <c r="C9" s="1149"/>
      <c r="D9" s="1148" t="s">
        <v>1286</v>
      </c>
      <c r="E9" s="1148" t="s">
        <v>1286</v>
      </c>
      <c r="F9" s="1150">
        <f t="shared" ref="F9:F27" si="0">5560*1.21</f>
        <v>6727.5999999999995</v>
      </c>
      <c r="H9" t="s">
        <v>1494</v>
      </c>
    </row>
    <row r="10" spans="1:8" ht="16.2" thickBot="1" x14ac:dyDescent="0.3">
      <c r="A10" s="1013"/>
      <c r="B10" s="1013"/>
      <c r="C10" s="1013"/>
      <c r="D10" s="1013"/>
      <c r="E10" s="1013"/>
      <c r="F10" s="1014"/>
    </row>
    <row r="11" spans="1:8" ht="28.2" thickBot="1" x14ac:dyDescent="0.3">
      <c r="A11" s="1147" t="s">
        <v>1288</v>
      </c>
      <c r="B11" s="1148">
        <v>1</v>
      </c>
      <c r="C11" s="1149"/>
      <c r="D11" s="1148" t="s">
        <v>1286</v>
      </c>
      <c r="E11" s="1148" t="s">
        <v>1286</v>
      </c>
      <c r="F11" s="1150">
        <f t="shared" si="0"/>
        <v>6727.5999999999995</v>
      </c>
      <c r="H11" t="s">
        <v>1495</v>
      </c>
    </row>
    <row r="12" spans="1:8" ht="16.2" thickBot="1" x14ac:dyDescent="0.3">
      <c r="A12" s="1151"/>
      <c r="B12" s="1152"/>
      <c r="C12" s="1153"/>
      <c r="D12" s="1152"/>
      <c r="E12" s="1152"/>
      <c r="F12" s="1154"/>
    </row>
    <row r="13" spans="1:8" ht="31.8" thickBot="1" x14ac:dyDescent="0.3">
      <c r="A13" s="1147" t="s">
        <v>1297</v>
      </c>
      <c r="B13" s="1148">
        <v>3</v>
      </c>
      <c r="C13" s="1149"/>
      <c r="D13" s="1148" t="s">
        <v>1298</v>
      </c>
      <c r="E13" s="1148" t="s">
        <v>1496</v>
      </c>
      <c r="F13" s="1150">
        <f>2100*1.21</f>
        <v>2541</v>
      </c>
      <c r="H13" s="1155" t="s">
        <v>1497</v>
      </c>
    </row>
    <row r="14" spans="1:8" ht="47.4" thickBot="1" x14ac:dyDescent="0.3">
      <c r="A14" s="1151"/>
      <c r="B14" s="1152"/>
      <c r="C14" s="1153"/>
      <c r="D14" s="1152"/>
      <c r="E14" s="1148" t="s">
        <v>1498</v>
      </c>
      <c r="F14" s="1150">
        <f>F7+F9+F11+F13</f>
        <v>22723.8</v>
      </c>
      <c r="H14" s="1155" t="s">
        <v>1499</v>
      </c>
    </row>
    <row r="15" spans="1:8" ht="47.4" thickBot="1" x14ac:dyDescent="0.3">
      <c r="A15" s="1013"/>
      <c r="B15" s="1013"/>
      <c r="C15" s="1013"/>
      <c r="D15" s="1013"/>
      <c r="E15" s="1013"/>
      <c r="F15" s="1014"/>
      <c r="H15" s="1155" t="s">
        <v>1500</v>
      </c>
    </row>
    <row r="16" spans="1:8" ht="16.2" thickBot="1" x14ac:dyDescent="0.25">
      <c r="A16" s="1626" t="s">
        <v>1501</v>
      </c>
      <c r="B16" s="1627"/>
      <c r="C16" s="1627"/>
      <c r="D16" s="1627"/>
      <c r="E16" s="1627"/>
      <c r="F16" s="1628"/>
      <c r="H16" s="1155"/>
    </row>
    <row r="17" spans="1:7" ht="28.2" thickBot="1" x14ac:dyDescent="0.3">
      <c r="A17" s="1011" t="s">
        <v>1289</v>
      </c>
      <c r="B17" s="1012">
        <v>1</v>
      </c>
      <c r="C17" s="1013"/>
      <c r="D17" s="1012" t="s">
        <v>1286</v>
      </c>
      <c r="E17" s="1012" t="s">
        <v>1286</v>
      </c>
      <c r="F17" s="1014">
        <f t="shared" si="0"/>
        <v>6727.5999999999995</v>
      </c>
    </row>
    <row r="18" spans="1:7" ht="16.2" thickBot="1" x14ac:dyDescent="0.3">
      <c r="A18" s="1013"/>
      <c r="B18" s="1013"/>
      <c r="C18" s="1013"/>
      <c r="D18" s="1013"/>
      <c r="E18" s="1013"/>
      <c r="F18" s="1014"/>
    </row>
    <row r="19" spans="1:7" ht="42" thickBot="1" x14ac:dyDescent="0.3">
      <c r="A19" s="1011" t="s">
        <v>1290</v>
      </c>
      <c r="B19" s="1012">
        <v>1</v>
      </c>
      <c r="C19" s="1013"/>
      <c r="D19" s="1012" t="s">
        <v>1286</v>
      </c>
      <c r="E19" s="1012" t="s">
        <v>1286</v>
      </c>
      <c r="F19" s="1014">
        <f t="shared" si="0"/>
        <v>6727.5999999999995</v>
      </c>
    </row>
    <row r="20" spans="1:7" ht="16.2" thickBot="1" x14ac:dyDescent="0.3">
      <c r="A20" s="1013"/>
      <c r="B20" s="1013"/>
      <c r="C20" s="1013"/>
      <c r="D20" s="1013"/>
      <c r="E20" s="1013"/>
      <c r="F20" s="1014"/>
    </row>
    <row r="21" spans="1:7" ht="28.2" thickBot="1" x14ac:dyDescent="0.3">
      <c r="A21" s="1011" t="s">
        <v>1291</v>
      </c>
      <c r="B21" s="1012">
        <v>1</v>
      </c>
      <c r="C21" s="1013"/>
      <c r="D21" s="1012" t="s">
        <v>1286</v>
      </c>
      <c r="E21" s="1012" t="s">
        <v>1286</v>
      </c>
      <c r="F21" s="1014">
        <f t="shared" si="0"/>
        <v>6727.5999999999995</v>
      </c>
    </row>
    <row r="22" spans="1:7" ht="16.2" thickBot="1" x14ac:dyDescent="0.3">
      <c r="A22" s="1013"/>
      <c r="B22" s="1013"/>
      <c r="C22" s="1013"/>
      <c r="D22" s="1013"/>
      <c r="E22" s="1013"/>
      <c r="F22" s="1014"/>
    </row>
    <row r="23" spans="1:7" ht="28.2" thickBot="1" x14ac:dyDescent="0.3">
      <c r="A23" s="1011" t="s">
        <v>1292</v>
      </c>
      <c r="B23" s="1012">
        <v>1</v>
      </c>
      <c r="C23" s="1013"/>
      <c r="D23" s="1012" t="s">
        <v>1286</v>
      </c>
      <c r="E23" s="1012" t="s">
        <v>1286</v>
      </c>
      <c r="F23" s="1014">
        <f t="shared" si="0"/>
        <v>6727.5999999999995</v>
      </c>
    </row>
    <row r="24" spans="1:7" ht="16.2" thickBot="1" x14ac:dyDescent="0.3">
      <c r="A24" s="1013"/>
      <c r="B24" s="1013"/>
      <c r="C24" s="1013"/>
      <c r="D24" s="1013"/>
      <c r="E24" s="1013"/>
      <c r="F24" s="1014"/>
    </row>
    <row r="25" spans="1:7" ht="16.2" thickBot="1" x14ac:dyDescent="0.3">
      <c r="A25" s="1011" t="s">
        <v>1293</v>
      </c>
      <c r="B25" s="1012">
        <v>1</v>
      </c>
      <c r="C25" s="1013"/>
      <c r="D25" s="1012" t="s">
        <v>1286</v>
      </c>
      <c r="E25" s="1012" t="s">
        <v>1286</v>
      </c>
      <c r="F25" s="1014">
        <f t="shared" si="0"/>
        <v>6727.5999999999995</v>
      </c>
    </row>
    <row r="26" spans="1:7" ht="16.2" thickBot="1" x14ac:dyDescent="0.3">
      <c r="A26" s="1013"/>
      <c r="B26" s="1013"/>
      <c r="C26" s="1013"/>
      <c r="D26" s="1013"/>
      <c r="E26" s="1013"/>
      <c r="F26" s="1014"/>
    </row>
    <row r="27" spans="1:7" ht="16.2" thickBot="1" x14ac:dyDescent="0.3">
      <c r="A27" s="1011" t="s">
        <v>1294</v>
      </c>
      <c r="B27" s="1012">
        <v>1</v>
      </c>
      <c r="C27" s="1013"/>
      <c r="D27" s="1012" t="s">
        <v>1286</v>
      </c>
      <c r="E27" s="1012" t="s">
        <v>1286</v>
      </c>
      <c r="F27" s="1014">
        <f t="shared" si="0"/>
        <v>6727.5999999999995</v>
      </c>
    </row>
    <row r="28" spans="1:7" ht="16.2" thickBot="1" x14ac:dyDescent="0.3">
      <c r="A28" s="1013"/>
      <c r="B28" s="1013"/>
      <c r="C28" s="1013"/>
      <c r="D28" s="1013"/>
      <c r="E28" s="1013"/>
      <c r="F28" s="1014"/>
    </row>
    <row r="29" spans="1:7" ht="28.2" thickBot="1" x14ac:dyDescent="0.3">
      <c r="A29" s="1011" t="s">
        <v>1295</v>
      </c>
      <c r="B29" s="1012">
        <v>1</v>
      </c>
      <c r="C29" s="1013"/>
      <c r="D29" s="1012" t="s">
        <v>1296</v>
      </c>
      <c r="E29" s="1012" t="s">
        <v>1296</v>
      </c>
      <c r="F29" s="1014">
        <f>4995*1.21</f>
        <v>6043.95</v>
      </c>
    </row>
    <row r="30" spans="1:7" ht="16.2" thickBot="1" x14ac:dyDescent="0.3">
      <c r="A30" s="1013"/>
      <c r="B30" s="1013"/>
      <c r="C30" s="1013"/>
      <c r="D30" s="1013"/>
      <c r="E30" s="1013"/>
      <c r="F30" s="1014"/>
    </row>
    <row r="31" spans="1:7" ht="28.2" thickBot="1" x14ac:dyDescent="0.3">
      <c r="A31" s="1011" t="s">
        <v>1297</v>
      </c>
      <c r="B31" s="1012">
        <v>8</v>
      </c>
      <c r="C31" s="1013"/>
      <c r="D31" s="1012" t="s">
        <v>1298</v>
      </c>
      <c r="E31" s="1012" t="s">
        <v>1299</v>
      </c>
      <c r="F31" s="1014">
        <f>5600*1.21</f>
        <v>6776</v>
      </c>
      <c r="G31">
        <f>F31/B31</f>
        <v>847</v>
      </c>
    </row>
    <row r="32" spans="1:7" ht="16.2" thickBot="1" x14ac:dyDescent="0.3">
      <c r="A32" s="1013"/>
      <c r="B32" s="1013"/>
      <c r="C32" s="1013"/>
      <c r="D32" s="1013"/>
      <c r="E32" s="1013"/>
      <c r="F32" s="1014"/>
    </row>
    <row r="33" spans="1:6" ht="28.2" thickBot="1" x14ac:dyDescent="0.3">
      <c r="A33" s="1011" t="s">
        <v>1300</v>
      </c>
      <c r="B33" s="1012">
        <v>2</v>
      </c>
      <c r="C33" s="1013"/>
      <c r="D33" s="1012" t="s">
        <v>1301</v>
      </c>
      <c r="E33" s="1012" t="s">
        <v>1302</v>
      </c>
      <c r="F33" s="1014">
        <f>1600*1.21</f>
        <v>1936</v>
      </c>
    </row>
    <row r="34" spans="1:6" ht="16.2" thickBot="1" x14ac:dyDescent="0.3">
      <c r="A34" s="1013"/>
      <c r="B34" s="1013"/>
      <c r="C34" s="1013"/>
      <c r="D34" s="1013"/>
      <c r="E34" s="1013"/>
      <c r="F34" s="1014"/>
    </row>
    <row r="35" spans="1:6" ht="28.2" thickBot="1" x14ac:dyDescent="0.3">
      <c r="A35" s="1011" t="s">
        <v>1303</v>
      </c>
      <c r="B35" s="1012">
        <v>1</v>
      </c>
      <c r="C35" s="1013"/>
      <c r="D35" s="1012" t="s">
        <v>1304</v>
      </c>
      <c r="E35" s="1012" t="s">
        <v>1304</v>
      </c>
      <c r="F35" s="1014">
        <f>1150*1.21</f>
        <v>1391.5</v>
      </c>
    </row>
    <row r="36" spans="1:6" ht="16.2" thickBot="1" x14ac:dyDescent="0.3">
      <c r="A36" s="1013"/>
      <c r="B36" s="1013"/>
      <c r="C36" s="1013"/>
      <c r="D36" s="1013"/>
      <c r="E36" s="1013"/>
      <c r="F36" s="1014"/>
    </row>
    <row r="37" spans="1:6" ht="16.2" thickBot="1" x14ac:dyDescent="0.3">
      <c r="A37" s="1013"/>
      <c r="B37" s="1013"/>
      <c r="C37" s="1571" t="s">
        <v>1305</v>
      </c>
      <c r="D37" s="1571"/>
      <c r="E37" s="1012" t="s">
        <v>1306</v>
      </c>
      <c r="F37" s="1014">
        <f>SUM(F7:F36)-F13-F14-F14</f>
        <v>53972.05</v>
      </c>
    </row>
    <row r="38" spans="1:6" ht="15" x14ac:dyDescent="0.2">
      <c r="A38" s="1015"/>
      <c r="B38" s="1016"/>
      <c r="C38" s="1016"/>
      <c r="D38" s="1017"/>
      <c r="E38" s="1018" t="s">
        <v>181</v>
      </c>
    </row>
    <row r="39" spans="1:6" ht="16.2" thickBot="1" x14ac:dyDescent="0.25">
      <c r="A39" s="1156"/>
      <c r="B39" s="1157"/>
      <c r="C39" s="1157"/>
      <c r="D39" s="1158"/>
      <c r="E39" s="1158"/>
    </row>
  </sheetData>
  <mergeCells count="2">
    <mergeCell ref="A16:F16"/>
    <mergeCell ref="C37:D37"/>
  </mergeCells>
  <pageMargins left="0.7" right="0.7" top="0.75" bottom="0.75" header="0.3" footer="0.3"/>
  <pageSetup paperSize="9" orientation="portrait"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BF139-BDF8-4F41-95AC-5C98BC590CB4}">
  <sheetPr>
    <tabColor theme="7" tint="0.59999389629810485"/>
  </sheetPr>
  <dimension ref="A1:P32"/>
  <sheetViews>
    <sheetView topLeftCell="B22" zoomScaleNormal="100" workbookViewId="0">
      <selection activeCell="M35" sqref="M35:N35"/>
    </sheetView>
  </sheetViews>
  <sheetFormatPr defaultRowHeight="14.4" x14ac:dyDescent="0.2"/>
  <cols>
    <col min="2" max="2" width="37.375" customWidth="1"/>
    <col min="3" max="3" width="13.25" style="836" customWidth="1"/>
    <col min="4" max="4" width="41.25" customWidth="1"/>
    <col min="5" max="5" width="9" style="848" bestFit="1" customWidth="1"/>
    <col min="6" max="6" width="10.25" style="403" customWidth="1"/>
    <col min="7" max="7" width="11.875" customWidth="1"/>
    <col min="8" max="8" width="38.25" customWidth="1"/>
    <col min="10" max="10" width="9.625" customWidth="1"/>
  </cols>
  <sheetData>
    <row r="1" spans="1:16" ht="41.4" x14ac:dyDescent="0.3">
      <c r="A1" s="813" t="s">
        <v>1102</v>
      </c>
      <c r="B1" s="814"/>
      <c r="C1" s="815" t="s">
        <v>221</v>
      </c>
      <c r="D1" s="814"/>
      <c r="E1" s="816"/>
      <c r="F1" s="817" t="s">
        <v>1103</v>
      </c>
      <c r="H1" s="818" t="s">
        <v>1104</v>
      </c>
      <c r="I1" s="819"/>
      <c r="L1" s="404"/>
      <c r="M1" s="404"/>
      <c r="N1" s="404"/>
      <c r="O1" s="404"/>
      <c r="P1" s="404"/>
    </row>
    <row r="2" spans="1:16" x14ac:dyDescent="0.25">
      <c r="A2" s="820"/>
      <c r="B2" s="820"/>
      <c r="C2" s="821" t="s">
        <v>1009</v>
      </c>
      <c r="D2" s="822" t="s">
        <v>1105</v>
      </c>
      <c r="E2" s="823" t="s">
        <v>618</v>
      </c>
      <c r="F2" s="824"/>
      <c r="H2" s="825" t="s">
        <v>221</v>
      </c>
      <c r="I2" s="826" t="s">
        <v>610</v>
      </c>
    </row>
    <row r="3" spans="1:16" ht="43.2" x14ac:dyDescent="0.3">
      <c r="A3" s="820">
        <v>2</v>
      </c>
      <c r="B3" s="820" t="s">
        <v>1106</v>
      </c>
      <c r="C3" s="821">
        <v>2312</v>
      </c>
      <c r="D3" s="827" t="s">
        <v>1107</v>
      </c>
      <c r="E3" s="828">
        <v>3000</v>
      </c>
      <c r="F3" s="829">
        <f>E3</f>
        <v>3000</v>
      </c>
      <c r="H3" s="830">
        <v>2239</v>
      </c>
      <c r="I3" s="831">
        <f>SUM(E4:E23)</f>
        <v>68950</v>
      </c>
    </row>
    <row r="4" spans="1:16" x14ac:dyDescent="0.25">
      <c r="A4" s="820">
        <v>2</v>
      </c>
      <c r="B4" s="820" t="s">
        <v>1108</v>
      </c>
      <c r="C4" s="821"/>
      <c r="D4" s="832" t="s">
        <v>1109</v>
      </c>
      <c r="E4" s="828">
        <v>3000</v>
      </c>
      <c r="F4" s="824">
        <f>E4</f>
        <v>3000</v>
      </c>
      <c r="H4" s="830">
        <v>2312</v>
      </c>
      <c r="I4" s="831">
        <f>E3+E24</f>
        <v>9000</v>
      </c>
    </row>
    <row r="5" spans="1:16" ht="24" x14ac:dyDescent="0.3">
      <c r="A5" s="820">
        <v>3</v>
      </c>
      <c r="B5" s="833" t="s">
        <v>1110</v>
      </c>
      <c r="C5" s="821">
        <v>2239</v>
      </c>
      <c r="D5" s="832" t="s">
        <v>1111</v>
      </c>
      <c r="E5" s="828">
        <v>5200</v>
      </c>
      <c r="F5" s="1631">
        <f>E5+E6</f>
        <v>9000</v>
      </c>
      <c r="H5" s="834"/>
      <c r="I5" s="819">
        <f>SUM(I3:I4)</f>
        <v>77950</v>
      </c>
    </row>
    <row r="6" spans="1:16" ht="22.8" x14ac:dyDescent="0.2">
      <c r="A6" s="820"/>
      <c r="B6" s="835"/>
      <c r="C6" s="821"/>
      <c r="D6" s="832" t="s">
        <v>1112</v>
      </c>
      <c r="E6" s="828">
        <v>3800</v>
      </c>
      <c r="F6" s="1632"/>
      <c r="H6" s="836"/>
    </row>
    <row r="7" spans="1:16" x14ac:dyDescent="0.2">
      <c r="A7" s="820">
        <v>4</v>
      </c>
      <c r="B7" s="820" t="s">
        <v>1113</v>
      </c>
      <c r="C7" s="821"/>
      <c r="D7" s="832" t="s">
        <v>1114</v>
      </c>
      <c r="E7" s="828">
        <v>3000</v>
      </c>
      <c r="F7" s="824">
        <f>E7</f>
        <v>3000</v>
      </c>
      <c r="H7" s="836"/>
    </row>
    <row r="8" spans="1:16" x14ac:dyDescent="0.2">
      <c r="A8" s="820">
        <v>5</v>
      </c>
      <c r="B8" s="820" t="s">
        <v>1115</v>
      </c>
      <c r="C8" s="821"/>
      <c r="D8" s="837" t="s">
        <v>1116</v>
      </c>
      <c r="E8" s="828">
        <v>3000</v>
      </c>
      <c r="F8" s="824">
        <f>E8</f>
        <v>3000</v>
      </c>
      <c r="H8" s="836"/>
    </row>
    <row r="9" spans="1:16" ht="35.4" x14ac:dyDescent="0.3">
      <c r="A9" s="820">
        <v>6</v>
      </c>
      <c r="B9" s="833" t="s">
        <v>1117</v>
      </c>
      <c r="C9" s="821"/>
      <c r="D9" s="837" t="s">
        <v>1118</v>
      </c>
      <c r="E9" s="828">
        <v>2000</v>
      </c>
      <c r="F9" s="1633">
        <f>E9+E10+E11</f>
        <v>6650</v>
      </c>
      <c r="G9" s="1634">
        <f>F9+F12</f>
        <v>8650</v>
      </c>
      <c r="H9" s="838"/>
    </row>
    <row r="10" spans="1:16" ht="24" x14ac:dyDescent="0.3">
      <c r="A10" s="820"/>
      <c r="B10" s="820"/>
      <c r="C10" s="821"/>
      <c r="D10" s="837" t="s">
        <v>1119</v>
      </c>
      <c r="E10" s="828">
        <v>850</v>
      </c>
      <c r="F10" s="1631"/>
      <c r="G10" s="1634"/>
      <c r="H10" s="838"/>
    </row>
    <row r="11" spans="1:16" x14ac:dyDescent="0.3">
      <c r="A11" s="820"/>
      <c r="B11" s="835" t="s">
        <v>1120</v>
      </c>
      <c r="C11" s="821">
        <v>2239</v>
      </c>
      <c r="D11" s="832" t="s">
        <v>1121</v>
      </c>
      <c r="E11" s="828">
        <v>3800</v>
      </c>
      <c r="F11" s="1632"/>
      <c r="G11" s="1634"/>
      <c r="H11" s="838"/>
    </row>
    <row r="12" spans="1:16" ht="24" x14ac:dyDescent="0.3">
      <c r="A12" s="820"/>
      <c r="B12" s="822" t="s">
        <v>1122</v>
      </c>
      <c r="C12" s="821"/>
      <c r="D12" s="837" t="s">
        <v>1123</v>
      </c>
      <c r="E12" s="828">
        <v>2000</v>
      </c>
      <c r="F12" s="829">
        <f>E12</f>
        <v>2000</v>
      </c>
      <c r="G12" s="1634"/>
      <c r="H12" s="838"/>
    </row>
    <row r="13" spans="1:16" x14ac:dyDescent="0.3">
      <c r="A13" s="820">
        <v>7</v>
      </c>
      <c r="B13" s="833" t="s">
        <v>1124</v>
      </c>
      <c r="C13" s="821"/>
      <c r="D13" s="837"/>
      <c r="E13" s="823"/>
      <c r="F13" s="824"/>
      <c r="H13" s="839"/>
    </row>
    <row r="14" spans="1:16" ht="24" x14ac:dyDescent="0.3">
      <c r="A14" s="820"/>
      <c r="B14" s="835" t="s">
        <v>1125</v>
      </c>
      <c r="C14" s="821"/>
      <c r="D14" s="837" t="s">
        <v>1126</v>
      </c>
      <c r="E14" s="828">
        <v>300</v>
      </c>
      <c r="F14" s="1635">
        <f>E14+E15+E16+E17+E18+E19+E21+E22+E23+E24</f>
        <v>48300</v>
      </c>
      <c r="H14" s="840"/>
    </row>
    <row r="15" spans="1:16" ht="24" x14ac:dyDescent="0.3">
      <c r="A15" s="820"/>
      <c r="B15" s="835" t="s">
        <v>1127</v>
      </c>
      <c r="C15" s="821"/>
      <c r="D15" s="820" t="s">
        <v>1128</v>
      </c>
      <c r="E15" s="828">
        <v>3500</v>
      </c>
      <c r="F15" s="1635"/>
      <c r="G15" s="1636">
        <f>E15+E16+E17+E18+E19+E21</f>
        <v>38000</v>
      </c>
      <c r="H15" s="840"/>
    </row>
    <row r="16" spans="1:16" ht="24" x14ac:dyDescent="0.3">
      <c r="A16" s="820"/>
      <c r="B16" s="835" t="s">
        <v>1127</v>
      </c>
      <c r="C16" s="821"/>
      <c r="D16" s="820" t="s">
        <v>1129</v>
      </c>
      <c r="E16" s="828">
        <v>5000</v>
      </c>
      <c r="F16" s="1635"/>
      <c r="G16" s="1636"/>
      <c r="H16" s="840"/>
    </row>
    <row r="17" spans="1:9" ht="28.8" x14ac:dyDescent="0.3">
      <c r="A17" s="820"/>
      <c r="B17" s="835"/>
      <c r="C17" s="821"/>
      <c r="D17" s="841" t="s">
        <v>1130</v>
      </c>
      <c r="E17" s="828">
        <v>5000</v>
      </c>
      <c r="F17" s="1635"/>
      <c r="G17" s="1636"/>
      <c r="H17" s="840"/>
    </row>
    <row r="18" spans="1:9" x14ac:dyDescent="0.3">
      <c r="A18" s="820"/>
      <c r="B18" s="835" t="s">
        <v>1127</v>
      </c>
      <c r="C18" s="821"/>
      <c r="D18" s="822" t="s">
        <v>1131</v>
      </c>
      <c r="E18" s="828">
        <v>1500</v>
      </c>
      <c r="F18" s="1635"/>
      <c r="G18" s="1636"/>
      <c r="H18" s="840"/>
    </row>
    <row r="19" spans="1:9" ht="35.4" x14ac:dyDescent="0.3">
      <c r="A19" s="820"/>
      <c r="B19" s="835" t="s">
        <v>1132</v>
      </c>
      <c r="C19" s="821"/>
      <c r="D19" s="820" t="s">
        <v>1133</v>
      </c>
      <c r="E19" s="1629">
        <v>15000</v>
      </c>
      <c r="F19" s="1635"/>
      <c r="G19" s="1636"/>
      <c r="H19" s="840"/>
    </row>
    <row r="20" spans="1:9" x14ac:dyDescent="0.3">
      <c r="A20" s="820"/>
      <c r="B20" s="835"/>
      <c r="C20" s="821"/>
      <c r="D20" s="841" t="s">
        <v>1134</v>
      </c>
      <c r="E20" s="1630"/>
      <c r="F20" s="1635"/>
      <c r="G20" s="1636"/>
      <c r="H20" s="840"/>
    </row>
    <row r="21" spans="1:9" x14ac:dyDescent="0.3">
      <c r="A21" s="820"/>
      <c r="B21" s="835" t="s">
        <v>1132</v>
      </c>
      <c r="C21" s="821"/>
      <c r="D21" s="841" t="s">
        <v>1135</v>
      </c>
      <c r="E21" s="828">
        <v>8000</v>
      </c>
      <c r="F21" s="1635"/>
      <c r="G21" s="1636"/>
      <c r="H21" s="840"/>
    </row>
    <row r="22" spans="1:9" x14ac:dyDescent="0.3">
      <c r="A22" s="820"/>
      <c r="B22" s="835" t="s">
        <v>1136</v>
      </c>
      <c r="C22" s="821"/>
      <c r="D22" s="820" t="s">
        <v>1137</v>
      </c>
      <c r="E22" s="828">
        <v>2000</v>
      </c>
      <c r="F22" s="1635"/>
      <c r="G22" s="842"/>
      <c r="H22" s="840"/>
    </row>
    <row r="23" spans="1:9" x14ac:dyDescent="0.3">
      <c r="A23" s="820"/>
      <c r="B23" s="835" t="s">
        <v>1138</v>
      </c>
      <c r="C23" s="821"/>
      <c r="D23" s="820"/>
      <c r="E23" s="828">
        <v>2000</v>
      </c>
      <c r="F23" s="1635"/>
      <c r="G23" s="842"/>
      <c r="H23" s="840"/>
    </row>
    <row r="24" spans="1:9" ht="28.8" x14ac:dyDescent="0.3">
      <c r="A24" s="820"/>
      <c r="B24" s="835"/>
      <c r="C24" s="821">
        <v>2312</v>
      </c>
      <c r="D24" s="843" t="s">
        <v>1139</v>
      </c>
      <c r="E24" s="828">
        <v>6000</v>
      </c>
      <c r="F24" s="1635"/>
      <c r="H24" s="840"/>
    </row>
    <row r="25" spans="1:9" ht="13.8" x14ac:dyDescent="0.3">
      <c r="A25" s="107"/>
      <c r="B25" s="844"/>
      <c r="C25" s="845"/>
      <c r="D25" s="298"/>
      <c r="E25" s="846" t="s">
        <v>151</v>
      </c>
      <c r="F25" s="847">
        <f>SUM(F3:F24)</f>
        <v>77950</v>
      </c>
    </row>
    <row r="28" spans="1:9" x14ac:dyDescent="0.3">
      <c r="A28" s="933"/>
      <c r="B28" s="934" t="s">
        <v>1187</v>
      </c>
      <c r="C28" s="934"/>
      <c r="D28" s="934"/>
      <c r="E28" s="935"/>
      <c r="F28" s="936"/>
      <c r="G28" s="933"/>
      <c r="H28" s="937"/>
    </row>
    <row r="29" spans="1:9" ht="35.4" x14ac:dyDescent="0.3">
      <c r="A29" s="938">
        <v>1</v>
      </c>
      <c r="B29" s="939" t="s">
        <v>1188</v>
      </c>
      <c r="C29" s="940"/>
      <c r="D29" s="941" t="s">
        <v>1189</v>
      </c>
      <c r="E29" s="942">
        <v>45000</v>
      </c>
      <c r="F29" s="943">
        <f>E29</f>
        <v>45000</v>
      </c>
      <c r="G29" s="933"/>
      <c r="H29" s="937"/>
    </row>
    <row r="30" spans="1:9" x14ac:dyDescent="0.3">
      <c r="A30" s="938">
        <v>2</v>
      </c>
      <c r="B30" s="941" t="s">
        <v>1190</v>
      </c>
      <c r="C30" s="940"/>
      <c r="D30" s="941" t="s">
        <v>1191</v>
      </c>
      <c r="E30" s="942">
        <v>4600</v>
      </c>
      <c r="F30" s="943">
        <f>E30</f>
        <v>4600</v>
      </c>
      <c r="G30" s="933"/>
      <c r="H30" s="937"/>
    </row>
    <row r="31" spans="1:9" ht="24" x14ac:dyDescent="0.3">
      <c r="A31" s="938">
        <v>3</v>
      </c>
      <c r="B31" s="941" t="s">
        <v>1192</v>
      </c>
      <c r="C31" s="940"/>
      <c r="D31" s="944" t="s">
        <v>1193</v>
      </c>
      <c r="E31" s="942">
        <v>0</v>
      </c>
      <c r="F31" s="943">
        <f>E31</f>
        <v>0</v>
      </c>
      <c r="G31" s="933"/>
      <c r="H31" s="937"/>
      <c r="I31" t="s">
        <v>1194</v>
      </c>
    </row>
    <row r="32" spans="1:9" x14ac:dyDescent="0.3">
      <c r="A32" s="936"/>
      <c r="B32" s="933"/>
      <c r="C32" s="945"/>
      <c r="D32" s="933"/>
      <c r="E32" s="935"/>
      <c r="F32" s="936"/>
      <c r="G32" s="933"/>
      <c r="H32" s="937">
        <f>F29+F30+F31</f>
        <v>49600</v>
      </c>
    </row>
  </sheetData>
  <mergeCells count="6">
    <mergeCell ref="E19:E20"/>
    <mergeCell ref="F5:F6"/>
    <mergeCell ref="F9:F11"/>
    <mergeCell ref="G9:G12"/>
    <mergeCell ref="F14:F24"/>
    <mergeCell ref="G15:G21"/>
  </mergeCells>
  <conditionalFormatting sqref="B25">
    <cfRule type="colorScale" priority="1">
      <colorScale>
        <cfvo type="min"/>
        <cfvo type="percentile" val="50"/>
        <cfvo type="max"/>
        <color rgb="FFF8696B"/>
        <color rgb="FFFFEB84"/>
        <color rgb="FF63BE7B"/>
      </colorScale>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16</vt:i4>
      </vt:variant>
    </vt:vector>
  </HeadingPairs>
  <TitlesOfParts>
    <vt:vector size="26" baseType="lpstr">
      <vt:lpstr>PIVOT_2023</vt:lpstr>
      <vt:lpstr>Investīcijas_2023</vt:lpstr>
      <vt:lpstr>4.piel_Saistibas</vt:lpstr>
      <vt:lpstr>0841</vt:lpstr>
      <vt:lpstr>0841.1_Gaujas svetki</vt:lpstr>
      <vt:lpstr>0841.4_Dziesmu svētki</vt:lpstr>
      <vt:lpstr>0812_Sport</vt:lpstr>
      <vt:lpstr>0812 _Trenažieri</vt:lpstr>
      <vt:lpstr>0630_dekori</vt:lpstr>
      <vt:lpstr>Priekšlikumi ārtelpas projekt</vt:lpstr>
      <vt:lpstr>'0841'!_Hlk118286372</vt:lpstr>
      <vt:lpstr>Kolonnas_virsraksta_reģions1..B11.1</vt:lpstr>
      <vt:lpstr>Kolonnas_virsraksta_reģions1..D4</vt:lpstr>
      <vt:lpstr>Kolonnas_virsraksta_reģions2..D7</vt:lpstr>
      <vt:lpstr>Kolonnas_virsraksta_reģions3..C12</vt:lpstr>
      <vt:lpstr>KolonnasNosaukums1</vt:lpstr>
      <vt:lpstr>'0812 _Trenažieri'!page1</vt:lpstr>
      <vt:lpstr>'0812 _Trenažieri'!page2</vt:lpstr>
      <vt:lpstr>'0812 _Trenažieri'!page3</vt:lpstr>
      <vt:lpstr>'0812 _Trenažieri'!page4</vt:lpstr>
      <vt:lpstr>'0812 _Trenažieri'!page5</vt:lpstr>
      <vt:lpstr>'0812 _Trenažieri'!page6</vt:lpstr>
      <vt:lpstr>'0812 _Trenažieri'!page7</vt:lpstr>
      <vt:lpstr>'4.piel_Saistibas'!Print_Area</vt:lpstr>
      <vt:lpstr>'0841'!Print_Titles</vt:lpstr>
      <vt:lpstr>'4.piel_Saistibas'!Print_Titles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Sarmīte Mūze</dc:creator>
  <cp:lastModifiedBy>Sintija Tenisa</cp:lastModifiedBy>
  <cp:lastPrinted>2023-01-17T08:24:46Z</cp:lastPrinted>
  <dcterms:created xsi:type="dcterms:W3CDTF">2015-07-17T07:55:13Z</dcterms:created>
  <dcterms:modified xsi:type="dcterms:W3CDTF">2023-02-03T10:54:32Z</dcterms:modified>
</cp:coreProperties>
</file>