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Šī_darbgrāmata" hidePivotFieldList="1"/>
  <mc:AlternateContent xmlns:mc="http://schemas.openxmlformats.org/markup-compatibility/2006">
    <mc:Choice Requires="x15">
      <x15ac:absPath xmlns:x15ac="http://schemas.microsoft.com/office/spreadsheetml/2010/11/ac" url="C:\Users\Sarmite.Muze\Nextcloud\Finansu nodala kopmape\2026\07_2026\"/>
    </mc:Choice>
  </mc:AlternateContent>
  <xr:revisionPtr revIDLastSave="0" documentId="13_ncr:1_{4E90DDE9-902D-4375-856F-4E817B22C999}" xr6:coauthVersionLast="47" xr6:coauthVersionMax="47" xr10:uidLastSave="{00000000-0000-0000-0000-000000000000}"/>
  <bookViews>
    <workbookView xWindow="-120" yWindow="-120" windowWidth="29040" windowHeight="15720" tabRatio="921" xr2:uid="{00000000-000D-0000-FFFF-FFFF00000000}"/>
  </bookViews>
  <sheets>
    <sheet name="2026.gada budzeta plans_apvieno" sheetId="70" r:id="rId1"/>
    <sheet name="Līgumu saraksts_30072026" sheetId="191" r:id="rId2"/>
  </sheets>
  <definedNames>
    <definedName name="_0812">#REF!</definedName>
    <definedName name="_xlnm._FilterDatabase" localSheetId="0" hidden="1">'2026.gada budzeta plans_apvieno'!#REF!</definedName>
    <definedName name="_xlnm._FilterDatabase" localSheetId="1" hidden="1">'Līgumu saraksts_30072026'!$A$3:$AX$134</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'2026.gada budzeta plans_apvieno'!$A$1:$Q$313</definedName>
    <definedName name="_xlnm.Print_Titles" localSheetId="0">'2026.gada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3" i="70" l="1"/>
  <c r="L183" i="70"/>
  <c r="L296" i="70"/>
  <c r="L73" i="70"/>
  <c r="L208" i="70"/>
  <c r="AJ150" i="191"/>
  <c r="AQ148" i="191"/>
  <c r="AL148" i="191"/>
  <c r="AS144" i="191"/>
  <c r="AS150" i="191" s="1"/>
  <c r="AL144" i="191"/>
  <c r="AL150" i="191" s="1"/>
  <c r="AG144" i="191"/>
  <c r="AG150" i="191" s="1"/>
  <c r="R144" i="191"/>
  <c r="R150" i="191" s="1"/>
  <c r="AS143" i="191"/>
  <c r="AN143" i="191"/>
  <c r="AL143" i="191"/>
  <c r="AK143" i="191"/>
  <c r="AJ143" i="191"/>
  <c r="AG143" i="191"/>
  <c r="AB143" i="191"/>
  <c r="U143" i="191"/>
  <c r="N143" i="191"/>
  <c r="AM143" i="191" s="1"/>
  <c r="AV142" i="191"/>
  <c r="AB142" i="191"/>
  <c r="AA142" i="191"/>
  <c r="Z142" i="191"/>
  <c r="Z143" i="191" s="1"/>
  <c r="Z144" i="191" s="1"/>
  <c r="Z150" i="191" s="1"/>
  <c r="Y142" i="191"/>
  <c r="X142" i="191"/>
  <c r="W142" i="191"/>
  <c r="V142" i="191"/>
  <c r="U142" i="191"/>
  <c r="T142" i="191"/>
  <c r="S142" i="191"/>
  <c r="AT142" i="191" s="1"/>
  <c r="AS141" i="191"/>
  <c r="AR141" i="191"/>
  <c r="AO141" i="191"/>
  <c r="AL141" i="191"/>
  <c r="AK141" i="191"/>
  <c r="AK144" i="191" s="1"/>
  <c r="AK150" i="191" s="1"/>
  <c r="AJ141" i="191"/>
  <c r="AJ144" i="191" s="1"/>
  <c r="AH141" i="191"/>
  <c r="AG141" i="191"/>
  <c r="AF141" i="191"/>
  <c r="AC141" i="191"/>
  <c r="Z141" i="191"/>
  <c r="Y141" i="191"/>
  <c r="X141" i="191"/>
  <c r="W141" i="191"/>
  <c r="V141" i="191"/>
  <c r="U141" i="191"/>
  <c r="T141" i="191"/>
  <c r="N141" i="191"/>
  <c r="AI141" i="191" s="1"/>
  <c r="AW140" i="191"/>
  <c r="AV140" i="191"/>
  <c r="AT140" i="191"/>
  <c r="AV139" i="191"/>
  <c r="N139" i="191"/>
  <c r="AW138" i="191"/>
  <c r="AV138" i="191"/>
  <c r="AT138" i="191"/>
  <c r="AS133" i="191"/>
  <c r="AS149" i="191" s="1"/>
  <c r="AR133" i="191"/>
  <c r="AR149" i="191" s="1"/>
  <c r="AS132" i="191"/>
  <c r="AR132" i="191"/>
  <c r="AQ132" i="191"/>
  <c r="AP132" i="191"/>
  <c r="AO132" i="191"/>
  <c r="AO148" i="191" s="1"/>
  <c r="AN132" i="191"/>
  <c r="AM132" i="191"/>
  <c r="AL132" i="191"/>
  <c r="AK132" i="191"/>
  <c r="AK148" i="191" s="1"/>
  <c r="AB132" i="191"/>
  <c r="U132" i="191"/>
  <c r="K132" i="191"/>
  <c r="AV131" i="191"/>
  <c r="AW131" i="191" s="1"/>
  <c r="AU131" i="191"/>
  <c r="J131" i="191"/>
  <c r="AV129" i="191"/>
  <c r="P129" i="191"/>
  <c r="N129" i="191" s="1"/>
  <c r="AV128" i="191"/>
  <c r="W128" i="191"/>
  <c r="V128" i="191"/>
  <c r="U128" i="191"/>
  <c r="T128" i="191"/>
  <c r="S128" i="191"/>
  <c r="P127" i="191"/>
  <c r="N127" i="191" s="1"/>
  <c r="W127" i="191" s="1"/>
  <c r="AA126" i="191"/>
  <c r="Z126" i="191"/>
  <c r="AV126" i="191" s="1"/>
  <c r="Y126" i="191"/>
  <c r="X126" i="191"/>
  <c r="W126" i="191"/>
  <c r="V126" i="191"/>
  <c r="U126" i="191"/>
  <c r="T126" i="191"/>
  <c r="S126" i="191"/>
  <c r="AK125" i="191"/>
  <c r="AF125" i="191"/>
  <c r="P125" i="191"/>
  <c r="N125" i="191"/>
  <c r="AE125" i="191" s="1"/>
  <c r="AK124" i="191"/>
  <c r="AJ124" i="191"/>
  <c r="AJ132" i="191" s="1"/>
  <c r="AJ148" i="191" s="1"/>
  <c r="AI124" i="191"/>
  <c r="AI132" i="191" s="1"/>
  <c r="AH124" i="191"/>
  <c r="AH132" i="191" s="1"/>
  <c r="AG124" i="191"/>
  <c r="AG132" i="191" s="1"/>
  <c r="AF124" i="191"/>
  <c r="AE124" i="191"/>
  <c r="AD124" i="191"/>
  <c r="Y125" i="191" s="1"/>
  <c r="AC124" i="191"/>
  <c r="AC132" i="191" s="1"/>
  <c r="AC148" i="191" s="1"/>
  <c r="AB124" i="191"/>
  <c r="AA124" i="191"/>
  <c r="Z124" i="191"/>
  <c r="T125" i="191" s="1"/>
  <c r="Y124" i="191"/>
  <c r="X124" i="191"/>
  <c r="W124" i="191"/>
  <c r="V124" i="191"/>
  <c r="U124" i="191"/>
  <c r="T124" i="191"/>
  <c r="S124" i="191"/>
  <c r="P123" i="191"/>
  <c r="N123" i="191"/>
  <c r="AB123" i="191" s="1"/>
  <c r="AC122" i="191"/>
  <c r="AB122" i="191"/>
  <c r="AA122" i="191"/>
  <c r="Z122" i="191"/>
  <c r="Y122" i="191"/>
  <c r="AV122" i="191" s="1"/>
  <c r="X122" i="191"/>
  <c r="W122" i="191"/>
  <c r="V122" i="191"/>
  <c r="U122" i="191"/>
  <c r="T122" i="191"/>
  <c r="S122" i="191"/>
  <c r="R122" i="191"/>
  <c r="P121" i="191"/>
  <c r="N121" i="191" s="1"/>
  <c r="Z121" i="191" s="1"/>
  <c r="AA120" i="191"/>
  <c r="Z120" i="191"/>
  <c r="AV120" i="191" s="1"/>
  <c r="Y120" i="191"/>
  <c r="X120" i="191"/>
  <c r="W120" i="191"/>
  <c r="V120" i="191"/>
  <c r="U120" i="191"/>
  <c r="T120" i="191"/>
  <c r="S120" i="191"/>
  <c r="R120" i="191"/>
  <c r="AG119" i="191"/>
  <c r="AD119" i="191"/>
  <c r="P119" i="191"/>
  <c r="N119" i="191"/>
  <c r="AF118" i="191"/>
  <c r="AF132" i="191" s="1"/>
  <c r="AE118" i="191"/>
  <c r="AE132" i="191" s="1"/>
  <c r="AD118" i="191"/>
  <c r="AD132" i="191" s="1"/>
  <c r="AC118" i="191"/>
  <c r="AB118" i="191"/>
  <c r="AA118" i="191"/>
  <c r="Y119" i="191" s="1"/>
  <c r="Z118" i="191"/>
  <c r="Y118" i="191"/>
  <c r="X118" i="191"/>
  <c r="W118" i="191"/>
  <c r="V118" i="191"/>
  <c r="U118" i="191"/>
  <c r="T118" i="191"/>
  <c r="AV117" i="191"/>
  <c r="V117" i="191"/>
  <c r="P117" i="191"/>
  <c r="N117" i="191" s="1"/>
  <c r="AV116" i="191"/>
  <c r="V116" i="191"/>
  <c r="U116" i="191"/>
  <c r="T116" i="191"/>
  <c r="S116" i="191"/>
  <c r="R116" i="191"/>
  <c r="AV115" i="191"/>
  <c r="P115" i="191"/>
  <c r="N115" i="191"/>
  <c r="T115" i="191" s="1"/>
  <c r="AV114" i="191"/>
  <c r="T114" i="191"/>
  <c r="AT114" i="191" s="1"/>
  <c r="AU114" i="191" s="1"/>
  <c r="S114" i="191"/>
  <c r="R114" i="191"/>
  <c r="AW114" i="191" s="1"/>
  <c r="Z113" i="191"/>
  <c r="P113" i="191"/>
  <c r="N113" i="191" s="1"/>
  <c r="AV112" i="191"/>
  <c r="Y112" i="191"/>
  <c r="X112" i="191"/>
  <c r="W112" i="191"/>
  <c r="U113" i="191" s="1"/>
  <c r="V112" i="191"/>
  <c r="U112" i="191"/>
  <c r="T112" i="191"/>
  <c r="S112" i="191"/>
  <c r="R112" i="191"/>
  <c r="AA111" i="191"/>
  <c r="Z111" i="191"/>
  <c r="V111" i="191"/>
  <c r="N111" i="191"/>
  <c r="AA110" i="191"/>
  <c r="Z110" i="191"/>
  <c r="Y110" i="191"/>
  <c r="AT110" i="191" s="1"/>
  <c r="AU110" i="191" s="1"/>
  <c r="X110" i="191"/>
  <c r="W110" i="191"/>
  <c r="V110" i="191"/>
  <c r="U110" i="191"/>
  <c r="T110" i="191"/>
  <c r="S110" i="191"/>
  <c r="R110" i="191"/>
  <c r="AV109" i="191"/>
  <c r="U109" i="191"/>
  <c r="P109" i="191"/>
  <c r="N109" i="191" s="1"/>
  <c r="AW108" i="191"/>
  <c r="AV108" i="191"/>
  <c r="AT108" i="191"/>
  <c r="AU108" i="191" s="1"/>
  <c r="U108" i="191"/>
  <c r="AC107" i="191"/>
  <c r="X107" i="191"/>
  <c r="U107" i="191"/>
  <c r="T107" i="191"/>
  <c r="P107" i="191"/>
  <c r="N107" i="191" s="1"/>
  <c r="AW106" i="191"/>
  <c r="AV106" i="191"/>
  <c r="AT106" i="191"/>
  <c r="AU106" i="191" s="1"/>
  <c r="AA105" i="191"/>
  <c r="V105" i="191"/>
  <c r="S105" i="191"/>
  <c r="R105" i="191"/>
  <c r="P105" i="191"/>
  <c r="N105" i="191"/>
  <c r="AC105" i="191" s="1"/>
  <c r="Z104" i="191"/>
  <c r="U105" i="191" s="1"/>
  <c r="AV103" i="191"/>
  <c r="P103" i="191"/>
  <c r="N103" i="191" s="1"/>
  <c r="AV102" i="191"/>
  <c r="AW102" i="191" s="1"/>
  <c r="AU102" i="191"/>
  <c r="AT102" i="191"/>
  <c r="AA101" i="191"/>
  <c r="Z101" i="191"/>
  <c r="W101" i="191"/>
  <c r="S101" i="191"/>
  <c r="P101" i="191"/>
  <c r="N101" i="191" s="1"/>
  <c r="AW100" i="191"/>
  <c r="AV100" i="191"/>
  <c r="AT100" i="191"/>
  <c r="AU100" i="191" s="1"/>
  <c r="AV99" i="191"/>
  <c r="P99" i="191"/>
  <c r="N99" i="191"/>
  <c r="U99" i="191" s="1"/>
  <c r="AV98" i="191"/>
  <c r="AW98" i="191" s="1"/>
  <c r="AT98" i="191"/>
  <c r="AU98" i="191" s="1"/>
  <c r="R98" i="191"/>
  <c r="AV97" i="191"/>
  <c r="X97" i="191"/>
  <c r="W97" i="191"/>
  <c r="V97" i="191"/>
  <c r="U97" i="191"/>
  <c r="T97" i="191"/>
  <c r="S97" i="191"/>
  <c r="R97" i="191"/>
  <c r="P97" i="191"/>
  <c r="N97" i="191"/>
  <c r="AW96" i="191"/>
  <c r="AV96" i="191"/>
  <c r="AT96" i="191"/>
  <c r="AU96" i="191" s="1"/>
  <c r="AV95" i="191"/>
  <c r="S95" i="191"/>
  <c r="AW95" i="191" s="1"/>
  <c r="R95" i="191"/>
  <c r="P95" i="191"/>
  <c r="N95" i="191"/>
  <c r="AW94" i="191"/>
  <c r="AV94" i="191"/>
  <c r="AT94" i="191"/>
  <c r="AU94" i="191" s="1"/>
  <c r="AV93" i="191"/>
  <c r="S93" i="191"/>
  <c r="R93" i="191"/>
  <c r="AW93" i="191" s="1"/>
  <c r="P93" i="191"/>
  <c r="N93" i="191"/>
  <c r="AW92" i="191"/>
  <c r="AV92" i="191"/>
  <c r="AT92" i="191"/>
  <c r="AU92" i="191" s="1"/>
  <c r="U91" i="191"/>
  <c r="T91" i="191"/>
  <c r="P91" i="191"/>
  <c r="N91" i="191"/>
  <c r="AC91" i="191" s="1"/>
  <c r="Z90" i="191"/>
  <c r="R90" i="191"/>
  <c r="AV89" i="191"/>
  <c r="P89" i="191"/>
  <c r="N89" i="191" s="1"/>
  <c r="AV88" i="191"/>
  <c r="AW88" i="191" s="1"/>
  <c r="AT88" i="191"/>
  <c r="AU88" i="191" s="1"/>
  <c r="AV87" i="191"/>
  <c r="P87" i="191"/>
  <c r="N87" i="191" s="1"/>
  <c r="AW86" i="191"/>
  <c r="AV86" i="191"/>
  <c r="AT86" i="191"/>
  <c r="AU86" i="191" s="1"/>
  <c r="AV85" i="191"/>
  <c r="W85" i="191"/>
  <c r="U85" i="191"/>
  <c r="T85" i="191"/>
  <c r="S85" i="191"/>
  <c r="R85" i="191"/>
  <c r="AT85" i="191" s="1"/>
  <c r="AU85" i="191" s="1"/>
  <c r="P85" i="191"/>
  <c r="N85" i="191"/>
  <c r="V85" i="191" s="1"/>
  <c r="AW84" i="191"/>
  <c r="AV84" i="191"/>
  <c r="AT84" i="191"/>
  <c r="AU84" i="191" s="1"/>
  <c r="AW83" i="191"/>
  <c r="AV83" i="191"/>
  <c r="AU83" i="191"/>
  <c r="AT83" i="191"/>
  <c r="W83" i="191"/>
  <c r="V83" i="191"/>
  <c r="U83" i="191"/>
  <c r="T83" i="191"/>
  <c r="S83" i="191"/>
  <c r="R83" i="191"/>
  <c r="P83" i="191"/>
  <c r="N83" i="191"/>
  <c r="AW82" i="191"/>
  <c r="AV82" i="191"/>
  <c r="AU82" i="191"/>
  <c r="AT82" i="191"/>
  <c r="AB81" i="191"/>
  <c r="Z81" i="191"/>
  <c r="Y81" i="191"/>
  <c r="X81" i="191"/>
  <c r="W81" i="191"/>
  <c r="U81" i="191"/>
  <c r="P81" i="191"/>
  <c r="N81" i="191"/>
  <c r="AE81" i="191" s="1"/>
  <c r="AV80" i="191"/>
  <c r="AT80" i="191"/>
  <c r="AU80" i="191" s="1"/>
  <c r="T80" i="191"/>
  <c r="T132" i="191" s="1"/>
  <c r="AV79" i="191"/>
  <c r="AU79" i="191"/>
  <c r="AT79" i="191"/>
  <c r="P79" i="191"/>
  <c r="N79" i="191"/>
  <c r="R79" i="191" s="1"/>
  <c r="AW78" i="191"/>
  <c r="AV78" i="191"/>
  <c r="AT78" i="191"/>
  <c r="AU78" i="191" s="1"/>
  <c r="P77" i="191"/>
  <c r="N77" i="191" s="1"/>
  <c r="AV76" i="191"/>
  <c r="AW76" i="191" s="1"/>
  <c r="AU76" i="191"/>
  <c r="AT76" i="191"/>
  <c r="P75" i="191"/>
  <c r="N75" i="191" s="1"/>
  <c r="AW74" i="191"/>
  <c r="AV74" i="191"/>
  <c r="AT74" i="191"/>
  <c r="AU74" i="191" s="1"/>
  <c r="P73" i="191"/>
  <c r="N73" i="191" s="1"/>
  <c r="AV72" i="191"/>
  <c r="AW72" i="191" s="1"/>
  <c r="AT72" i="191"/>
  <c r="AU72" i="191" s="1"/>
  <c r="Z71" i="191"/>
  <c r="S71" i="191"/>
  <c r="R71" i="191"/>
  <c r="P71" i="191"/>
  <c r="N71" i="191"/>
  <c r="AC71" i="191" s="1"/>
  <c r="AW70" i="191"/>
  <c r="AV70" i="191"/>
  <c r="AT70" i="191"/>
  <c r="AU70" i="191" s="1"/>
  <c r="P69" i="191"/>
  <c r="N69" i="191" s="1"/>
  <c r="AW68" i="191"/>
  <c r="AV68" i="191"/>
  <c r="AU68" i="191"/>
  <c r="AT68" i="191"/>
  <c r="AN67" i="191"/>
  <c r="AI67" i="191"/>
  <c r="AH67" i="191"/>
  <c r="Z67" i="191"/>
  <c r="S67" i="191"/>
  <c r="R67" i="191"/>
  <c r="P67" i="191"/>
  <c r="N67" i="191"/>
  <c r="AQ67" i="191" s="1"/>
  <c r="AW66" i="191"/>
  <c r="AV66" i="191"/>
  <c r="AT66" i="191"/>
  <c r="AU66" i="191" s="1"/>
  <c r="AV65" i="191"/>
  <c r="P65" i="191"/>
  <c r="N65" i="191" s="1"/>
  <c r="AV64" i="191"/>
  <c r="AW64" i="191" s="1"/>
  <c r="AT64" i="191"/>
  <c r="AU64" i="191" s="1"/>
  <c r="P63" i="191"/>
  <c r="N63" i="191"/>
  <c r="AW62" i="191"/>
  <c r="AV62" i="191"/>
  <c r="AU62" i="191"/>
  <c r="AT62" i="191"/>
  <c r="P61" i="191"/>
  <c r="N61" i="191"/>
  <c r="Y61" i="191" s="1"/>
  <c r="AW60" i="191"/>
  <c r="AV60" i="191"/>
  <c r="AU60" i="191"/>
  <c r="AT60" i="191"/>
  <c r="P59" i="191"/>
  <c r="N59" i="191" s="1"/>
  <c r="AW58" i="191"/>
  <c r="AV58" i="191"/>
  <c r="AT58" i="191"/>
  <c r="AU58" i="191" s="1"/>
  <c r="W57" i="191"/>
  <c r="P57" i="191"/>
  <c r="N57" i="191"/>
  <c r="V57" i="191" s="1"/>
  <c r="AW56" i="191"/>
  <c r="AV56" i="191"/>
  <c r="AU56" i="191"/>
  <c r="AT56" i="191"/>
  <c r="P55" i="191"/>
  <c r="N55" i="191" s="1"/>
  <c r="AV54" i="191"/>
  <c r="AW54" i="191" s="1"/>
  <c r="AU54" i="191"/>
  <c r="AT54" i="191"/>
  <c r="P53" i="191"/>
  <c r="N53" i="191" s="1"/>
  <c r="AV52" i="191"/>
  <c r="AW52" i="191" s="1"/>
  <c r="AU52" i="191"/>
  <c r="AT52" i="191"/>
  <c r="P51" i="191"/>
  <c r="N51" i="191" s="1"/>
  <c r="AW50" i="191"/>
  <c r="AV50" i="191"/>
  <c r="AT50" i="191"/>
  <c r="AU50" i="191" s="1"/>
  <c r="P49" i="191"/>
  <c r="N49" i="191" s="1"/>
  <c r="AW48" i="191"/>
  <c r="AV48" i="191"/>
  <c r="AU48" i="191"/>
  <c r="AT48" i="191"/>
  <c r="AV47" i="191"/>
  <c r="P47" i="191"/>
  <c r="N47" i="191" s="1"/>
  <c r="AW46" i="191"/>
  <c r="AV46" i="191"/>
  <c r="AT46" i="191"/>
  <c r="AU46" i="191" s="1"/>
  <c r="W45" i="191"/>
  <c r="P45" i="191"/>
  <c r="N45" i="191"/>
  <c r="V45" i="191" s="1"/>
  <c r="AW44" i="191"/>
  <c r="AV44" i="191"/>
  <c r="AU44" i="191"/>
  <c r="AT44" i="191"/>
  <c r="AD43" i="191"/>
  <c r="AA43" i="191"/>
  <c r="X43" i="191"/>
  <c r="V43" i="191"/>
  <c r="U43" i="191"/>
  <c r="T43" i="191"/>
  <c r="S43" i="191"/>
  <c r="R43" i="191"/>
  <c r="P43" i="191"/>
  <c r="N43" i="191"/>
  <c r="AC43" i="191" s="1"/>
  <c r="AW42" i="191"/>
  <c r="AV42" i="191"/>
  <c r="AT42" i="191"/>
  <c r="AU42" i="191" s="1"/>
  <c r="P41" i="191"/>
  <c r="N41" i="191" s="1"/>
  <c r="U41" i="191" s="1"/>
  <c r="AV40" i="191"/>
  <c r="AW40" i="191" s="1"/>
  <c r="AU40" i="191"/>
  <c r="AT40" i="191"/>
  <c r="AV39" i="191"/>
  <c r="AU39" i="191"/>
  <c r="AT39" i="191"/>
  <c r="T39" i="191"/>
  <c r="S39" i="191"/>
  <c r="R39" i="191"/>
  <c r="AW39" i="191" s="1"/>
  <c r="P39" i="191"/>
  <c r="N39" i="191"/>
  <c r="AW38" i="191"/>
  <c r="AV38" i="191"/>
  <c r="AT38" i="191"/>
  <c r="AU38" i="191" s="1"/>
  <c r="P37" i="191"/>
  <c r="N37" i="191"/>
  <c r="AW36" i="191"/>
  <c r="AV36" i="191"/>
  <c r="AU36" i="191"/>
  <c r="AT36" i="191"/>
  <c r="P35" i="191"/>
  <c r="N35" i="191" s="1"/>
  <c r="AW34" i="191"/>
  <c r="AV34" i="191"/>
  <c r="AT34" i="191"/>
  <c r="AU34" i="191" s="1"/>
  <c r="Z33" i="191"/>
  <c r="Y33" i="191"/>
  <c r="X33" i="191"/>
  <c r="W33" i="191"/>
  <c r="V33" i="191"/>
  <c r="S33" i="191"/>
  <c r="P33" i="191"/>
  <c r="N33" i="191"/>
  <c r="U33" i="191" s="1"/>
  <c r="AV32" i="191"/>
  <c r="AW32" i="191" s="1"/>
  <c r="AU32" i="191"/>
  <c r="AT32" i="191"/>
  <c r="AI31" i="191"/>
  <c r="W31" i="191"/>
  <c r="P31" i="191"/>
  <c r="N31" i="191"/>
  <c r="AH31" i="191" s="1"/>
  <c r="AW30" i="191"/>
  <c r="AV30" i="191"/>
  <c r="AU30" i="191"/>
  <c r="AT30" i="191"/>
  <c r="P29" i="191"/>
  <c r="N29" i="191" s="1"/>
  <c r="AF29" i="191" s="1"/>
  <c r="AV28" i="191"/>
  <c r="AW28" i="191" s="1"/>
  <c r="AU28" i="191"/>
  <c r="AT28" i="191"/>
  <c r="AV27" i="191"/>
  <c r="P27" i="191"/>
  <c r="N27" i="191" s="1"/>
  <c r="AV26" i="191"/>
  <c r="AW26" i="191" s="1"/>
  <c r="AU26" i="191"/>
  <c r="AT26" i="191"/>
  <c r="P25" i="191"/>
  <c r="N25" i="191" s="1"/>
  <c r="AV24" i="191"/>
  <c r="AW24" i="191" s="1"/>
  <c r="AU24" i="191"/>
  <c r="AT24" i="191"/>
  <c r="Y23" i="191"/>
  <c r="AV23" i="191" s="1"/>
  <c r="X23" i="191"/>
  <c r="W23" i="191"/>
  <c r="V23" i="191"/>
  <c r="S23" i="191"/>
  <c r="P23" i="191"/>
  <c r="N23" i="191"/>
  <c r="U23" i="191" s="1"/>
  <c r="AV22" i="191"/>
  <c r="AW22" i="191" s="1"/>
  <c r="AU22" i="191"/>
  <c r="AT22" i="191"/>
  <c r="P21" i="191"/>
  <c r="N21" i="191" s="1"/>
  <c r="AW20" i="191"/>
  <c r="AV20" i="191"/>
  <c r="AU20" i="191"/>
  <c r="AT20" i="191"/>
  <c r="P19" i="191"/>
  <c r="N19" i="191" s="1"/>
  <c r="AV18" i="191"/>
  <c r="AW18" i="191" s="1"/>
  <c r="AT18" i="191"/>
  <c r="AU18" i="191" s="1"/>
  <c r="AG17" i="191"/>
  <c r="U17" i="191"/>
  <c r="P17" i="191"/>
  <c r="N17" i="191" s="1"/>
  <c r="AV16" i="191"/>
  <c r="AW16" i="191" s="1"/>
  <c r="AU16" i="191"/>
  <c r="AT16" i="191"/>
  <c r="AV15" i="191"/>
  <c r="X15" i="191"/>
  <c r="W15" i="191"/>
  <c r="V15" i="191"/>
  <c r="S15" i="191"/>
  <c r="P15" i="191"/>
  <c r="N15" i="191"/>
  <c r="U15" i="191" s="1"/>
  <c r="AV14" i="191"/>
  <c r="AW14" i="191" s="1"/>
  <c r="AU14" i="191"/>
  <c r="AT14" i="191"/>
  <c r="AV13" i="191"/>
  <c r="X13" i="191"/>
  <c r="S13" i="191"/>
  <c r="R13" i="191"/>
  <c r="P13" i="191"/>
  <c r="N13" i="191"/>
  <c r="W13" i="191" s="1"/>
  <c r="AW12" i="191"/>
  <c r="AV12" i="191"/>
  <c r="AT12" i="191"/>
  <c r="AU12" i="191" s="1"/>
  <c r="AW11" i="191"/>
  <c r="AV11" i="191"/>
  <c r="AU11" i="191"/>
  <c r="AT11" i="191"/>
  <c r="P11" i="191"/>
  <c r="N11" i="191" s="1"/>
  <c r="AV10" i="191"/>
  <c r="AW10" i="191" s="1"/>
  <c r="AU10" i="191"/>
  <c r="AT10" i="191"/>
  <c r="AV9" i="191"/>
  <c r="X9" i="191"/>
  <c r="V9" i="191"/>
  <c r="U9" i="191"/>
  <c r="T9" i="191"/>
  <c r="S9" i="191"/>
  <c r="R9" i="191"/>
  <c r="P9" i="191"/>
  <c r="N9" i="191"/>
  <c r="W9" i="191" s="1"/>
  <c r="AW8" i="191"/>
  <c r="AV8" i="191"/>
  <c r="AT8" i="191"/>
  <c r="AU8" i="191" s="1"/>
  <c r="X7" i="191"/>
  <c r="S7" i="191"/>
  <c r="R7" i="191"/>
  <c r="P7" i="191"/>
  <c r="N7" i="191"/>
  <c r="AA7" i="191" s="1"/>
  <c r="AW6" i="191"/>
  <c r="AV6" i="191"/>
  <c r="AT6" i="191"/>
  <c r="AU6" i="191" s="1"/>
  <c r="AW128" i="191" l="1"/>
  <c r="S132" i="191"/>
  <c r="W19" i="191"/>
  <c r="V19" i="191"/>
  <c r="U19" i="191"/>
  <c r="T19" i="191"/>
  <c r="S19" i="191"/>
  <c r="AD19" i="191"/>
  <c r="R19" i="191"/>
  <c r="AC19" i="191"/>
  <c r="AB19" i="191"/>
  <c r="AA19" i="191"/>
  <c r="Z19" i="191"/>
  <c r="Y19" i="191"/>
  <c r="AV19" i="191" s="1"/>
  <c r="Z35" i="191"/>
  <c r="Y35" i="191"/>
  <c r="X35" i="191"/>
  <c r="W35" i="191"/>
  <c r="V35" i="191"/>
  <c r="U35" i="191"/>
  <c r="T35" i="191"/>
  <c r="S35" i="191"/>
  <c r="AD35" i="191"/>
  <c r="R35" i="191"/>
  <c r="AC35" i="191"/>
  <c r="AB35" i="191"/>
  <c r="T47" i="191"/>
  <c r="U47" i="191"/>
  <c r="S47" i="191"/>
  <c r="R47" i="191"/>
  <c r="AH73" i="191"/>
  <c r="V73" i="191"/>
  <c r="AG73" i="191"/>
  <c r="U73" i="191"/>
  <c r="AM73" i="191"/>
  <c r="Y73" i="191"/>
  <c r="AE73" i="191"/>
  <c r="AL73" i="191"/>
  <c r="X73" i="191"/>
  <c r="AK73" i="191"/>
  <c r="W73" i="191"/>
  <c r="AJ73" i="191"/>
  <c r="T73" i="191"/>
  <c r="AI73" i="191"/>
  <c r="S73" i="191"/>
  <c r="AF73" i="191"/>
  <c r="R73" i="191"/>
  <c r="AD73" i="191"/>
  <c r="AQ73" i="191"/>
  <c r="AC73" i="191"/>
  <c r="AP73" i="191"/>
  <c r="AB73" i="191"/>
  <c r="AN73" i="191"/>
  <c r="AO73" i="191"/>
  <c r="AA73" i="191"/>
  <c r="Z73" i="191"/>
  <c r="X19" i="191"/>
  <c r="AA35" i="191"/>
  <c r="AG69" i="191"/>
  <c r="U69" i="191"/>
  <c r="AF69" i="191"/>
  <c r="T69" i="191"/>
  <c r="AN69" i="191"/>
  <c r="Z69" i="191"/>
  <c r="AM69" i="191"/>
  <c r="Y69" i="191"/>
  <c r="AL69" i="191"/>
  <c r="X69" i="191"/>
  <c r="R69" i="191"/>
  <c r="AK69" i="191"/>
  <c r="W69" i="191"/>
  <c r="AH69" i="191"/>
  <c r="AJ69" i="191"/>
  <c r="V69" i="191"/>
  <c r="AI69" i="191"/>
  <c r="S69" i="191"/>
  <c r="AE69" i="191"/>
  <c r="AD69" i="191"/>
  <c r="AQ69" i="191"/>
  <c r="AC69" i="191"/>
  <c r="AA69" i="191"/>
  <c r="AP69" i="191"/>
  <c r="AB69" i="191"/>
  <c r="AO69" i="191"/>
  <c r="AV81" i="191"/>
  <c r="Z51" i="191"/>
  <c r="Y51" i="191"/>
  <c r="X51" i="191"/>
  <c r="T51" i="191"/>
  <c r="W51" i="191"/>
  <c r="V51" i="191"/>
  <c r="U51" i="191"/>
  <c r="S51" i="191"/>
  <c r="R51" i="191"/>
  <c r="AE53" i="191"/>
  <c r="S53" i="191"/>
  <c r="AD53" i="191"/>
  <c r="R53" i="191"/>
  <c r="AC53" i="191"/>
  <c r="AB53" i="191"/>
  <c r="Y53" i="191"/>
  <c r="AA53" i="191"/>
  <c r="Z53" i="191"/>
  <c r="X53" i="191"/>
  <c r="W53" i="191"/>
  <c r="V53" i="191"/>
  <c r="T53" i="191"/>
  <c r="U53" i="191"/>
  <c r="U89" i="191"/>
  <c r="T89" i="191"/>
  <c r="R89" i="191"/>
  <c r="W89" i="191"/>
  <c r="V89" i="191"/>
  <c r="S89" i="191"/>
  <c r="T27" i="191"/>
  <c r="S27" i="191"/>
  <c r="R27" i="191"/>
  <c r="V75" i="191"/>
  <c r="AG75" i="191"/>
  <c r="U75" i="191"/>
  <c r="AE75" i="191"/>
  <c r="AD75" i="191"/>
  <c r="Y75" i="191"/>
  <c r="AV75" i="191" s="1"/>
  <c r="AC75" i="191"/>
  <c r="AB75" i="191"/>
  <c r="AA75" i="191"/>
  <c r="Z75" i="191"/>
  <c r="X75" i="191"/>
  <c r="R75" i="191"/>
  <c r="W75" i="191"/>
  <c r="T75" i="191"/>
  <c r="AF75" i="191"/>
  <c r="S75" i="191"/>
  <c r="AW9" i="191"/>
  <c r="AL59" i="191"/>
  <c r="Z59" i="191"/>
  <c r="T59" i="191"/>
  <c r="AK59" i="191"/>
  <c r="Y59" i="191"/>
  <c r="AJ59" i="191"/>
  <c r="X59" i="191"/>
  <c r="AI59" i="191"/>
  <c r="W59" i="191"/>
  <c r="AF59" i="191"/>
  <c r="AH59" i="191"/>
  <c r="V59" i="191"/>
  <c r="AG59" i="191"/>
  <c r="U59" i="191"/>
  <c r="AE59" i="191"/>
  <c r="S59" i="191"/>
  <c r="AA59" i="191"/>
  <c r="AP59" i="191"/>
  <c r="AP133" i="191" s="1"/>
  <c r="AP149" i="191" s="1"/>
  <c r="AD59" i="191"/>
  <c r="R59" i="191"/>
  <c r="AO59" i="191"/>
  <c r="AC59" i="191"/>
  <c r="AN59" i="191"/>
  <c r="AB59" i="191"/>
  <c r="AM59" i="191"/>
  <c r="X21" i="191"/>
  <c r="R21" i="191"/>
  <c r="W21" i="191"/>
  <c r="V21" i="191"/>
  <c r="U21" i="191"/>
  <c r="T21" i="191"/>
  <c r="AD21" i="191"/>
  <c r="S21" i="191"/>
  <c r="AC21" i="191"/>
  <c r="AB21" i="191"/>
  <c r="AA21" i="191"/>
  <c r="Z21" i="191"/>
  <c r="Y37" i="191"/>
  <c r="AV37" i="191" s="1"/>
  <c r="U37" i="191"/>
  <c r="X37" i="191"/>
  <c r="W37" i="191"/>
  <c r="V37" i="191"/>
  <c r="T37" i="191"/>
  <c r="S37" i="191"/>
  <c r="R37" i="191"/>
  <c r="AJ49" i="191"/>
  <c r="X49" i="191"/>
  <c r="AD49" i="191"/>
  <c r="AI49" i="191"/>
  <c r="W49" i="191"/>
  <c r="AH49" i="191"/>
  <c r="V49" i="191"/>
  <c r="AG49" i="191"/>
  <c r="U49" i="191"/>
  <c r="R49" i="191"/>
  <c r="AF49" i="191"/>
  <c r="T49" i="191"/>
  <c r="AE49" i="191"/>
  <c r="S49" i="191"/>
  <c r="AO49" i="191"/>
  <c r="AC49" i="191"/>
  <c r="AK49" i="191"/>
  <c r="AN49" i="191"/>
  <c r="AB49" i="191"/>
  <c r="AM49" i="191"/>
  <c r="AA49" i="191"/>
  <c r="AL49" i="191"/>
  <c r="Z49" i="191"/>
  <c r="Y49" i="191"/>
  <c r="AE55" i="191"/>
  <c r="S55" i="191"/>
  <c r="Y55" i="191"/>
  <c r="AD55" i="191"/>
  <c r="R55" i="191"/>
  <c r="AC55" i="191"/>
  <c r="AK55" i="191"/>
  <c r="AN55" i="191"/>
  <c r="AB55" i="191"/>
  <c r="AM55" i="191"/>
  <c r="AA55" i="191"/>
  <c r="AL55" i="191"/>
  <c r="Z55" i="191"/>
  <c r="AJ55" i="191"/>
  <c r="X55" i="191"/>
  <c r="AI55" i="191"/>
  <c r="W55" i="191"/>
  <c r="AH55" i="191"/>
  <c r="V55" i="191"/>
  <c r="AF55" i="191"/>
  <c r="AG55" i="191"/>
  <c r="U55" i="191"/>
  <c r="T55" i="191"/>
  <c r="S25" i="191"/>
  <c r="Y25" i="191"/>
  <c r="AD25" i="191"/>
  <c r="R25" i="191"/>
  <c r="AC25" i="191"/>
  <c r="AB25" i="191"/>
  <c r="AA25" i="191"/>
  <c r="Z25" i="191"/>
  <c r="X25" i="191"/>
  <c r="W25" i="191"/>
  <c r="V25" i="191"/>
  <c r="U25" i="191"/>
  <c r="AE29" i="191"/>
  <c r="S29" i="191"/>
  <c r="AD29" i="191"/>
  <c r="R29" i="191"/>
  <c r="AC29" i="191"/>
  <c r="AN29" i="191"/>
  <c r="AB29" i="191"/>
  <c r="AM29" i="191"/>
  <c r="AA29" i="191"/>
  <c r="Y29" i="191"/>
  <c r="AL29" i="191"/>
  <c r="Z29" i="191"/>
  <c r="AK29" i="191"/>
  <c r="AJ29" i="191"/>
  <c r="X29" i="191"/>
  <c r="AI29" i="191"/>
  <c r="W29" i="191"/>
  <c r="AH29" i="191"/>
  <c r="V29" i="191"/>
  <c r="AG29" i="191"/>
  <c r="AG133" i="191" s="1"/>
  <c r="U29" i="191"/>
  <c r="R87" i="191"/>
  <c r="S87" i="191"/>
  <c r="T25" i="191"/>
  <c r="T29" i="191"/>
  <c r="T41" i="191"/>
  <c r="S41" i="191"/>
  <c r="AD41" i="191"/>
  <c r="R41" i="191"/>
  <c r="Z41" i="191"/>
  <c r="AC41" i="191"/>
  <c r="AB41" i="191"/>
  <c r="AA41" i="191"/>
  <c r="Y41" i="191"/>
  <c r="X41" i="191"/>
  <c r="W41" i="191"/>
  <c r="V41" i="191"/>
  <c r="AF17" i="191"/>
  <c r="T17" i="191"/>
  <c r="Z17" i="191"/>
  <c r="AE17" i="191"/>
  <c r="S17" i="191"/>
  <c r="S133" i="191" s="1"/>
  <c r="AD17" i="191"/>
  <c r="R17" i="191"/>
  <c r="AC17" i="191"/>
  <c r="AN17" i="191"/>
  <c r="AB17" i="191"/>
  <c r="AL17" i="191"/>
  <c r="AM17" i="191"/>
  <c r="AA17" i="191"/>
  <c r="AA133" i="191" s="1"/>
  <c r="AA149" i="191" s="1"/>
  <c r="AK17" i="191"/>
  <c r="Y17" i="191"/>
  <c r="AJ17" i="191"/>
  <c r="X17" i="191"/>
  <c r="X133" i="191" s="1"/>
  <c r="X149" i="191" s="1"/>
  <c r="AI17" i="191"/>
  <c r="W17" i="191"/>
  <c r="AH17" i="191"/>
  <c r="V17" i="191"/>
  <c r="Y21" i="191"/>
  <c r="T65" i="191"/>
  <c r="S65" i="191"/>
  <c r="R65" i="191"/>
  <c r="W65" i="191"/>
  <c r="V65" i="191"/>
  <c r="U65" i="191"/>
  <c r="AF77" i="191"/>
  <c r="T77" i="191"/>
  <c r="AE77" i="191"/>
  <c r="S77" i="191"/>
  <c r="U77" i="191"/>
  <c r="AA77" i="191"/>
  <c r="R77" i="191"/>
  <c r="AG77" i="191"/>
  <c r="AD77" i="191"/>
  <c r="AC77" i="191"/>
  <c r="AB77" i="191"/>
  <c r="Z77" i="191"/>
  <c r="Y77" i="191"/>
  <c r="X77" i="191"/>
  <c r="W77" i="191"/>
  <c r="V77" i="191"/>
  <c r="W103" i="191"/>
  <c r="V103" i="191"/>
  <c r="T103" i="191"/>
  <c r="S103" i="191"/>
  <c r="R103" i="191"/>
  <c r="X103" i="191"/>
  <c r="U103" i="191"/>
  <c r="AG148" i="191"/>
  <c r="AK63" i="191"/>
  <c r="Y63" i="191"/>
  <c r="AJ63" i="191"/>
  <c r="X63" i="191"/>
  <c r="T7" i="191"/>
  <c r="AT7" i="191" s="1"/>
  <c r="AU7" i="191" s="1"/>
  <c r="T13" i="191"/>
  <c r="AT13" i="191" s="1"/>
  <c r="AU13" i="191" s="1"/>
  <c r="X31" i="191"/>
  <c r="AJ31" i="191"/>
  <c r="AA33" i="191"/>
  <c r="W43" i="191"/>
  <c r="AT43" i="191" s="1"/>
  <c r="AU43" i="191" s="1"/>
  <c r="X45" i="191"/>
  <c r="X57" i="191"/>
  <c r="AD61" i="191"/>
  <c r="AE63" i="191"/>
  <c r="V67" i="191"/>
  <c r="AJ67" i="191"/>
  <c r="V71" i="191"/>
  <c r="AA81" i="191"/>
  <c r="Y91" i="191"/>
  <c r="Y101" i="191"/>
  <c r="X101" i="191"/>
  <c r="U101" i="191"/>
  <c r="T101" i="191"/>
  <c r="R101" i="191"/>
  <c r="AC101" i="191"/>
  <c r="AB101" i="191"/>
  <c r="Y111" i="191"/>
  <c r="AV111" i="191" s="1"/>
  <c r="AT120" i="191"/>
  <c r="S121" i="191"/>
  <c r="AH144" i="191"/>
  <c r="AH150" i="191" s="1"/>
  <c r="AE148" i="191"/>
  <c r="AD63" i="191"/>
  <c r="U7" i="191"/>
  <c r="U13" i="191"/>
  <c r="Y31" i="191"/>
  <c r="AK31" i="191"/>
  <c r="AB33" i="191"/>
  <c r="AV33" i="191" s="1"/>
  <c r="Y45" i="191"/>
  <c r="Y57" i="191"/>
  <c r="R61" i="191"/>
  <c r="AE61" i="191"/>
  <c r="R63" i="191"/>
  <c r="AF63" i="191"/>
  <c r="W67" i="191"/>
  <c r="AK67" i="191"/>
  <c r="W71" i="191"/>
  <c r="AB91" i="191"/>
  <c r="V132" i="191"/>
  <c r="T113" i="191"/>
  <c r="S113" i="191"/>
  <c r="Y113" i="191"/>
  <c r="AV113" i="191" s="1"/>
  <c r="X113" i="191"/>
  <c r="W113" i="191"/>
  <c r="V113" i="191"/>
  <c r="AT118" i="191"/>
  <c r="AU118" i="191" s="1"/>
  <c r="AF148" i="191"/>
  <c r="W121" i="191"/>
  <c r="AI144" i="191"/>
  <c r="AI150" i="191" s="1"/>
  <c r="AD148" i="191"/>
  <c r="V7" i="191"/>
  <c r="AT9" i="191"/>
  <c r="AU9" i="191" s="1"/>
  <c r="V13" i="191"/>
  <c r="AW13" i="191" s="1"/>
  <c r="Z31" i="191"/>
  <c r="AL31" i="191"/>
  <c r="AC33" i="191"/>
  <c r="Y43" i="191"/>
  <c r="Z45" i="191"/>
  <c r="Z57" i="191"/>
  <c r="S61" i="191"/>
  <c r="AF61" i="191"/>
  <c r="S63" i="191"/>
  <c r="AG63" i="191"/>
  <c r="X67" i="191"/>
  <c r="AL67" i="191"/>
  <c r="X71" i="191"/>
  <c r="AW80" i="191"/>
  <c r="V101" i="191"/>
  <c r="W132" i="191"/>
  <c r="R113" i="191"/>
  <c r="AW124" i="191"/>
  <c r="AW126" i="191"/>
  <c r="AT128" i="191"/>
  <c r="AR134" i="191"/>
  <c r="AC61" i="191"/>
  <c r="S115" i="191"/>
  <c r="R115" i="191"/>
  <c r="Y121" i="191"/>
  <c r="AV121" i="191" s="1"/>
  <c r="X121" i="191"/>
  <c r="V121" i="191"/>
  <c r="U121" i="191"/>
  <c r="T121" i="191"/>
  <c r="R121" i="191"/>
  <c r="AA121" i="191"/>
  <c r="AA127" i="191"/>
  <c r="Z127" i="191"/>
  <c r="Y127" i="191"/>
  <c r="AV127" i="191" s="1"/>
  <c r="X127" i="191"/>
  <c r="V127" i="191"/>
  <c r="U127" i="191"/>
  <c r="T127" i="191"/>
  <c r="S127" i="191"/>
  <c r="W7" i="191"/>
  <c r="R15" i="191"/>
  <c r="R133" i="191" s="1"/>
  <c r="R23" i="191"/>
  <c r="AA31" i="191"/>
  <c r="AM31" i="191"/>
  <c r="R33" i="191"/>
  <c r="AD33" i="191"/>
  <c r="Z43" i="191"/>
  <c r="AA45" i="191"/>
  <c r="AA57" i="191"/>
  <c r="T61" i="191"/>
  <c r="T63" i="191"/>
  <c r="AH63" i="191"/>
  <c r="Y67" i="191"/>
  <c r="AV67" i="191" s="1"/>
  <c r="AM67" i="191"/>
  <c r="Y71" i="191"/>
  <c r="V81" i="191"/>
  <c r="AD81" i="191"/>
  <c r="R81" i="191"/>
  <c r="AC81" i="191"/>
  <c r="AF81" i="191"/>
  <c r="W111" i="191"/>
  <c r="X132" i="191"/>
  <c r="AW116" i="191"/>
  <c r="U119" i="191"/>
  <c r="X119" i="191"/>
  <c r="AW122" i="191"/>
  <c r="AT122" i="191"/>
  <c r="AU122" i="191" s="1"/>
  <c r="AH148" i="191"/>
  <c r="AS134" i="191"/>
  <c r="AS148" i="191"/>
  <c r="AS151" i="191" s="1"/>
  <c r="AS153" i="191" s="1"/>
  <c r="AB31" i="191"/>
  <c r="U63" i="191"/>
  <c r="AI63" i="191"/>
  <c r="U148" i="191"/>
  <c r="Y7" i="191"/>
  <c r="T15" i="191"/>
  <c r="T23" i="191"/>
  <c r="AC31" i="191"/>
  <c r="T33" i="191"/>
  <c r="AB43" i="191"/>
  <c r="V61" i="191"/>
  <c r="V63" i="191"/>
  <c r="AL63" i="191"/>
  <c r="AA67" i="191"/>
  <c r="AO67" i="191"/>
  <c r="AA71" i="191"/>
  <c r="AT71" i="191" s="1"/>
  <c r="AU71" i="191" s="1"/>
  <c r="AW79" i="191"/>
  <c r="S81" i="191"/>
  <c r="AT90" i="191"/>
  <c r="AU90" i="191" s="1"/>
  <c r="R132" i="191"/>
  <c r="S109" i="191"/>
  <c r="R109" i="191"/>
  <c r="AW112" i="191"/>
  <c r="AT112" i="191"/>
  <c r="AU112" i="191" s="1"/>
  <c r="R119" i="191"/>
  <c r="AB148" i="191"/>
  <c r="AR144" i="191"/>
  <c r="AR150" i="191" s="1"/>
  <c r="AI148" i="191"/>
  <c r="Z7" i="191"/>
  <c r="R31" i="191"/>
  <c r="AD31" i="191"/>
  <c r="R45" i="191"/>
  <c r="R57" i="191"/>
  <c r="W61" i="191"/>
  <c r="W63" i="191"/>
  <c r="AM63" i="191"/>
  <c r="AB67" i="191"/>
  <c r="AP67" i="191"/>
  <c r="AB71" i="191"/>
  <c r="T81" i="191"/>
  <c r="Z132" i="191"/>
  <c r="W107" i="191"/>
  <c r="V107" i="191"/>
  <c r="S107" i="191"/>
  <c r="AD107" i="191"/>
  <c r="R107" i="191"/>
  <c r="AB107" i="191"/>
  <c r="AA107" i="191"/>
  <c r="Z107" i="191"/>
  <c r="Y107" i="191"/>
  <c r="T109" i="191"/>
  <c r="AA132" i="191"/>
  <c r="V119" i="191"/>
  <c r="S123" i="191"/>
  <c r="AV124" i="191"/>
  <c r="AW97" i="191"/>
  <c r="AT97" i="191"/>
  <c r="AU97" i="191" s="1"/>
  <c r="S31" i="191"/>
  <c r="AE31" i="191"/>
  <c r="S45" i="191"/>
  <c r="S57" i="191"/>
  <c r="X61" i="191"/>
  <c r="Z63" i="191"/>
  <c r="AN63" i="191"/>
  <c r="AC67" i="191"/>
  <c r="AT95" i="191"/>
  <c r="AU95" i="191" s="1"/>
  <c r="X123" i="191"/>
  <c r="AT124" i="191"/>
  <c r="AU124" i="191" s="1"/>
  <c r="X139" i="191"/>
  <c r="X144" i="191" s="1"/>
  <c r="X150" i="191" s="1"/>
  <c r="W139" i="191"/>
  <c r="W144" i="191" s="1"/>
  <c r="W150" i="191" s="1"/>
  <c r="V139" i="191"/>
  <c r="U139" i="191"/>
  <c r="U144" i="191" s="1"/>
  <c r="U150" i="191" s="1"/>
  <c r="T139" i="191"/>
  <c r="S139" i="191"/>
  <c r="AO144" i="191"/>
  <c r="AO150" i="191" s="1"/>
  <c r="N132" i="191"/>
  <c r="AB7" i="191"/>
  <c r="T31" i="191"/>
  <c r="AF31" i="191"/>
  <c r="T45" i="191"/>
  <c r="T57" i="191"/>
  <c r="Z61" i="191"/>
  <c r="AA63" i="191"/>
  <c r="AO63" i="191"/>
  <c r="AG67" i="191"/>
  <c r="U67" i="191"/>
  <c r="AF67" i="191"/>
  <c r="T67" i="191"/>
  <c r="AT67" i="191" s="1"/>
  <c r="AU67" i="191" s="1"/>
  <c r="AD67" i="191"/>
  <c r="U71" i="191"/>
  <c r="T71" i="191"/>
  <c r="AD71" i="191"/>
  <c r="S91" i="191"/>
  <c r="R91" i="191"/>
  <c r="AA91" i="191"/>
  <c r="Z91" i="191"/>
  <c r="X91" i="191"/>
  <c r="W91" i="191"/>
  <c r="V91" i="191"/>
  <c r="X111" i="191"/>
  <c r="Z119" i="191"/>
  <c r="AV119" i="191" s="1"/>
  <c r="AV118" i="191"/>
  <c r="AW118" i="191" s="1"/>
  <c r="W129" i="191"/>
  <c r="V129" i="191"/>
  <c r="U129" i="191"/>
  <c r="T129" i="191"/>
  <c r="U61" i="191"/>
  <c r="Y132" i="191"/>
  <c r="AV110" i="191"/>
  <c r="AD123" i="191"/>
  <c r="R123" i="191"/>
  <c r="AC123" i="191"/>
  <c r="AA123" i="191"/>
  <c r="Z123" i="191"/>
  <c r="Y123" i="191"/>
  <c r="AV123" i="191" s="1"/>
  <c r="AI123" i="191"/>
  <c r="W123" i="191"/>
  <c r="AH123" i="191"/>
  <c r="V123" i="191"/>
  <c r="AG123" i="191"/>
  <c r="U123" i="191"/>
  <c r="AF123" i="191"/>
  <c r="T123" i="191"/>
  <c r="U31" i="191"/>
  <c r="AG31" i="191"/>
  <c r="U45" i="191"/>
  <c r="U57" i="191"/>
  <c r="AA61" i="191"/>
  <c r="AB63" i="191"/>
  <c r="AP63" i="191"/>
  <c r="AE67" i="191"/>
  <c r="AW110" i="191"/>
  <c r="R111" i="191"/>
  <c r="U117" i="191"/>
  <c r="T117" i="191"/>
  <c r="S117" i="191"/>
  <c r="R117" i="191"/>
  <c r="AE123" i="191"/>
  <c r="S129" i="191"/>
  <c r="AC144" i="191"/>
  <c r="AC150" i="191" s="1"/>
  <c r="AN31" i="191"/>
  <c r="T99" i="191"/>
  <c r="S99" i="191"/>
  <c r="R99" i="191"/>
  <c r="V31" i="191"/>
  <c r="AB61" i="191"/>
  <c r="AV61" i="191" s="1"/>
  <c r="AC63" i="191"/>
  <c r="AQ63" i="191"/>
  <c r="T148" i="191"/>
  <c r="AW85" i="191"/>
  <c r="AT93" i="191"/>
  <c r="AU93" i="191" s="1"/>
  <c r="U111" i="191"/>
  <c r="AJ123" i="191"/>
  <c r="AN148" i="191"/>
  <c r="AF144" i="191"/>
  <c r="AF150" i="191" s="1"/>
  <c r="S148" i="191"/>
  <c r="W105" i="191"/>
  <c r="AW120" i="191"/>
  <c r="U125" i="191"/>
  <c r="AG125" i="191"/>
  <c r="AW142" i="191"/>
  <c r="AC143" i="191"/>
  <c r="AO143" i="191"/>
  <c r="AM148" i="191"/>
  <c r="AT104" i="191"/>
  <c r="AU104" i="191" s="1"/>
  <c r="X105" i="191"/>
  <c r="AA119" i="191"/>
  <c r="V125" i="191"/>
  <c r="AH125" i="191"/>
  <c r="AD143" i="191"/>
  <c r="AP143" i="191"/>
  <c r="Y105" i="191"/>
  <c r="AB119" i="191"/>
  <c r="W125" i="191"/>
  <c r="AI125" i="191"/>
  <c r="AA141" i="191"/>
  <c r="AM141" i="191"/>
  <c r="AM144" i="191" s="1"/>
  <c r="AM150" i="191" s="1"/>
  <c r="S143" i="191"/>
  <c r="AE143" i="191"/>
  <c r="AQ143" i="191"/>
  <c r="AV104" i="191"/>
  <c r="AW104" i="191" s="1"/>
  <c r="Z105" i="191"/>
  <c r="AC119" i="191"/>
  <c r="X125" i="191"/>
  <c r="AJ125" i="191"/>
  <c r="AB141" i="191"/>
  <c r="AB144" i="191" s="1"/>
  <c r="AB150" i="191" s="1"/>
  <c r="AN141" i="191"/>
  <c r="AN144" i="191" s="1"/>
  <c r="AN150" i="191" s="1"/>
  <c r="T143" i="191"/>
  <c r="AF143" i="191"/>
  <c r="AR143" i="191"/>
  <c r="AP148" i="191"/>
  <c r="AV90" i="191"/>
  <c r="AW90" i="191" s="1"/>
  <c r="AB105" i="191"/>
  <c r="S111" i="191"/>
  <c r="S119" i="191"/>
  <c r="AE119" i="191"/>
  <c r="Z125" i="191"/>
  <c r="AV125" i="191" s="1"/>
  <c r="AD141" i="191"/>
  <c r="AD144" i="191" s="1"/>
  <c r="AD150" i="191" s="1"/>
  <c r="AP141" i="191"/>
  <c r="V143" i="191"/>
  <c r="AH143" i="191"/>
  <c r="AR148" i="191"/>
  <c r="AR151" i="191" s="1"/>
  <c r="AR153" i="191" s="1"/>
  <c r="T111" i="191"/>
  <c r="AT116" i="191"/>
  <c r="AU116" i="191" s="1"/>
  <c r="T119" i="191"/>
  <c r="AF119" i="191"/>
  <c r="AA125" i="191"/>
  <c r="AT126" i="191"/>
  <c r="AU126" i="191" s="1"/>
  <c r="S141" i="191"/>
  <c r="AE141" i="191"/>
  <c r="AE144" i="191" s="1"/>
  <c r="AE150" i="191" s="1"/>
  <c r="AQ141" i="191"/>
  <c r="W143" i="191"/>
  <c r="AI143" i="191"/>
  <c r="AB125" i="191"/>
  <c r="X143" i="191"/>
  <c r="AC125" i="191"/>
  <c r="Y143" i="191"/>
  <c r="T105" i="191"/>
  <c r="AT105" i="191" s="1"/>
  <c r="AU105" i="191" s="1"/>
  <c r="W119" i="191"/>
  <c r="AD125" i="191"/>
  <c r="S125" i="191"/>
  <c r="AA143" i="191"/>
  <c r="R149" i="191" l="1"/>
  <c r="AG149" i="191"/>
  <c r="AG134" i="191"/>
  <c r="S149" i="191"/>
  <c r="S134" i="191"/>
  <c r="AT107" i="191"/>
  <c r="AU107" i="191" s="1"/>
  <c r="AT119" i="191"/>
  <c r="AU119" i="191" s="1"/>
  <c r="AW119" i="191"/>
  <c r="AT127" i="191"/>
  <c r="AU127" i="191" s="1"/>
  <c r="AW127" i="191"/>
  <c r="W148" i="191"/>
  <c r="AV43" i="191"/>
  <c r="AV31" i="191"/>
  <c r="AT77" i="191"/>
  <c r="AU77" i="191" s="1"/>
  <c r="AJ133" i="191"/>
  <c r="AE133" i="191"/>
  <c r="AT41" i="191"/>
  <c r="AU41" i="191" s="1"/>
  <c r="AW21" i="191"/>
  <c r="AT21" i="191"/>
  <c r="AU21" i="191" s="1"/>
  <c r="AT51" i="191"/>
  <c r="AU51" i="191" s="1"/>
  <c r="AV73" i="191"/>
  <c r="AW73" i="191" s="1"/>
  <c r="AT35" i="191"/>
  <c r="AU35" i="191" s="1"/>
  <c r="AT117" i="191"/>
  <c r="AU117" i="191" s="1"/>
  <c r="AW117" i="191"/>
  <c r="Y133" i="191"/>
  <c r="AV7" i="191"/>
  <c r="AD133" i="191"/>
  <c r="AT141" i="191"/>
  <c r="AW141" i="191"/>
  <c r="V148" i="191"/>
  <c r="AT75" i="191"/>
  <c r="AU75" i="191" s="1"/>
  <c r="AW75" i="191"/>
  <c r="AT57" i="191"/>
  <c r="AU57" i="191" s="1"/>
  <c r="X148" i="191"/>
  <c r="X151" i="191" s="1"/>
  <c r="X153" i="191" s="1"/>
  <c r="X134" i="191"/>
  <c r="AV63" i="191"/>
  <c r="AW63" i="191" s="1"/>
  <c r="AV17" i="191"/>
  <c r="AT55" i="191"/>
  <c r="AU55" i="191" s="1"/>
  <c r="AW55" i="191"/>
  <c r="AV59" i="191"/>
  <c r="AT73" i="191"/>
  <c r="AU73" i="191" s="1"/>
  <c r="AT15" i="191"/>
  <c r="AU15" i="191" s="1"/>
  <c r="AW15" i="191"/>
  <c r="AI133" i="191"/>
  <c r="AW125" i="191"/>
  <c r="AT125" i="191"/>
  <c r="AU125" i="191" s="1"/>
  <c r="W133" i="191"/>
  <c r="W149" i="191" s="1"/>
  <c r="AT113" i="191"/>
  <c r="AU113" i="191" s="1"/>
  <c r="AW113" i="191"/>
  <c r="AW27" i="191"/>
  <c r="AT27" i="191"/>
  <c r="AU27" i="191" s="1"/>
  <c r="AV105" i="191"/>
  <c r="AW105" i="191" s="1"/>
  <c r="AT99" i="191"/>
  <c r="AU99" i="191" s="1"/>
  <c r="AW99" i="191"/>
  <c r="AW111" i="191"/>
  <c r="AT111" i="191"/>
  <c r="AU111" i="191" s="1"/>
  <c r="AT123" i="191"/>
  <c r="AU123" i="191" s="1"/>
  <c r="AW123" i="191"/>
  <c r="AB133" i="191"/>
  <c r="AT45" i="191"/>
  <c r="AU45" i="191" s="1"/>
  <c r="U133" i="191"/>
  <c r="AW101" i="191"/>
  <c r="AT101" i="191"/>
  <c r="AU101" i="191" s="1"/>
  <c r="AK133" i="191"/>
  <c r="AT29" i="191"/>
  <c r="AU29" i="191" s="1"/>
  <c r="AT25" i="191"/>
  <c r="AU25" i="191" s="1"/>
  <c r="AW25" i="191"/>
  <c r="AT69" i="191"/>
  <c r="AU69" i="191" s="1"/>
  <c r="AW69" i="191"/>
  <c r="AW59" i="191"/>
  <c r="AT59" i="191"/>
  <c r="AU59" i="191" s="1"/>
  <c r="AV143" i="191"/>
  <c r="AW143" i="191" s="1"/>
  <c r="AT109" i="191"/>
  <c r="AU109" i="191" s="1"/>
  <c r="AW109" i="191"/>
  <c r="AT115" i="191"/>
  <c r="AU115" i="191" s="1"/>
  <c r="AW115" i="191"/>
  <c r="AG151" i="191"/>
  <c r="AG153" i="191" s="1"/>
  <c r="AF133" i="191"/>
  <c r="AV55" i="191"/>
  <c r="AO133" i="191"/>
  <c r="AW43" i="191"/>
  <c r="AW67" i="191"/>
  <c r="AW19" i="191"/>
  <c r="AT19" i="191"/>
  <c r="AU19" i="191" s="1"/>
  <c r="AW31" i="191"/>
  <c r="AT31" i="191"/>
  <c r="AU31" i="191" s="1"/>
  <c r="AM133" i="191"/>
  <c r="AV25" i="191"/>
  <c r="AW132" i="191"/>
  <c r="R134" i="191"/>
  <c r="AT132" i="191"/>
  <c r="AU132" i="191" s="1"/>
  <c r="R148" i="191"/>
  <c r="AW81" i="191"/>
  <c r="AT81" i="191"/>
  <c r="AU81" i="191" s="1"/>
  <c r="AL133" i="191"/>
  <c r="AV69" i="191"/>
  <c r="Y144" i="191"/>
  <c r="S144" i="191"/>
  <c r="AW139" i="191"/>
  <c r="AT139" i="191"/>
  <c r="AA144" i="191"/>
  <c r="AA150" i="191" s="1"/>
  <c r="T133" i="191"/>
  <c r="AW103" i="191"/>
  <c r="AT103" i="191"/>
  <c r="AU103" i="191" s="1"/>
  <c r="AT65" i="191"/>
  <c r="AU65" i="191" s="1"/>
  <c r="AW65" i="191"/>
  <c r="Y148" i="191"/>
  <c r="AV132" i="191"/>
  <c r="AV141" i="191"/>
  <c r="Z133" i="191"/>
  <c r="Z149" i="191" s="1"/>
  <c r="AT63" i="191"/>
  <c r="AU63" i="191" s="1"/>
  <c r="AV53" i="191"/>
  <c r="AW53" i="191" s="1"/>
  <c r="AA134" i="191"/>
  <c r="AA148" i="191"/>
  <c r="V133" i="191"/>
  <c r="V149" i="191" s="1"/>
  <c r="AV101" i="191"/>
  <c r="AV77" i="191"/>
  <c r="AW77" i="191" s="1"/>
  <c r="AV21" i="191"/>
  <c r="AV49" i="191"/>
  <c r="AT37" i="191"/>
  <c r="AU37" i="191" s="1"/>
  <c r="AW37" i="191"/>
  <c r="AW47" i="191"/>
  <c r="AT47" i="191"/>
  <c r="AU47" i="191" s="1"/>
  <c r="T144" i="191"/>
  <c r="T150" i="191" s="1"/>
  <c r="AW61" i="191"/>
  <c r="AT61" i="191"/>
  <c r="AU61" i="191" s="1"/>
  <c r="AP134" i="191"/>
  <c r="AV91" i="191"/>
  <c r="AN133" i="191"/>
  <c r="AV41" i="191"/>
  <c r="AW41" i="191" s="1"/>
  <c r="AT87" i="191"/>
  <c r="AU87" i="191" s="1"/>
  <c r="AW87" i="191"/>
  <c r="AT89" i="191"/>
  <c r="AU89" i="191" s="1"/>
  <c r="AW89" i="191"/>
  <c r="AV51" i="191"/>
  <c r="AW51" i="191" s="1"/>
  <c r="AT33" i="191"/>
  <c r="AU33" i="191" s="1"/>
  <c r="AW33" i="191"/>
  <c r="AT143" i="191"/>
  <c r="AW129" i="191"/>
  <c r="AT129" i="191"/>
  <c r="AV107" i="191"/>
  <c r="AW107" i="191" s="1"/>
  <c r="AV71" i="191"/>
  <c r="AW71" i="191" s="1"/>
  <c r="AV57" i="191"/>
  <c r="AW57" i="191" s="1"/>
  <c r="AH133" i="191"/>
  <c r="AC133" i="191"/>
  <c r="AV29" i="191"/>
  <c r="AW29" i="191" s="1"/>
  <c r="AW49" i="191"/>
  <c r="AT49" i="191"/>
  <c r="AU49" i="191" s="1"/>
  <c r="AT53" i="191"/>
  <c r="AU53" i="191" s="1"/>
  <c r="AV35" i="191"/>
  <c r="AW35" i="191" s="1"/>
  <c r="Z134" i="191"/>
  <c r="Z148" i="191"/>
  <c r="Z151" i="191" s="1"/>
  <c r="Z153" i="191" s="1"/>
  <c r="AQ144" i="191"/>
  <c r="AQ150" i="191" s="1"/>
  <c r="AP144" i="191"/>
  <c r="AP150" i="191" s="1"/>
  <c r="AP151" i="191" s="1"/>
  <c r="AP153" i="191" s="1"/>
  <c r="AQ133" i="191"/>
  <c r="AT91" i="191"/>
  <c r="AU91" i="191" s="1"/>
  <c r="AW91" i="191"/>
  <c r="V144" i="191"/>
  <c r="V150" i="191" s="1"/>
  <c r="AW23" i="191"/>
  <c r="AT23" i="191"/>
  <c r="AU23" i="191" s="1"/>
  <c r="AW121" i="191"/>
  <c r="AT121" i="191"/>
  <c r="AV45" i="191"/>
  <c r="AW45" i="191" s="1"/>
  <c r="AW7" i="191"/>
  <c r="AW17" i="191"/>
  <c r="AT17" i="191"/>
  <c r="AU17" i="191" s="1"/>
  <c r="AT133" i="191" l="1"/>
  <c r="AU133" i="191" s="1"/>
  <c r="V151" i="191"/>
  <c r="V153" i="191" s="1"/>
  <c r="Y149" i="191"/>
  <c r="AV133" i="191"/>
  <c r="AM149" i="191"/>
  <c r="AM151" i="191" s="1"/>
  <c r="AM153" i="191" s="1"/>
  <c r="AM134" i="191"/>
  <c r="AJ149" i="191"/>
  <c r="AJ151" i="191" s="1"/>
  <c r="AJ153" i="191" s="1"/>
  <c r="AJ134" i="191"/>
  <c r="AN149" i="191"/>
  <c r="AN151" i="191" s="1"/>
  <c r="AN153" i="191" s="1"/>
  <c r="AN134" i="191"/>
  <c r="Y134" i="191"/>
  <c r="S150" i="191"/>
  <c r="AT144" i="191"/>
  <c r="AI149" i="191"/>
  <c r="AI151" i="191" s="1"/>
  <c r="AI153" i="191" s="1"/>
  <c r="AI134" i="191"/>
  <c r="AF149" i="191"/>
  <c r="AF151" i="191" s="1"/>
  <c r="AF153" i="191" s="1"/>
  <c r="AF134" i="191"/>
  <c r="AV144" i="191"/>
  <c r="AW144" i="191" s="1"/>
  <c r="Y150" i="191"/>
  <c r="AV150" i="191" s="1"/>
  <c r="AK149" i="191"/>
  <c r="AK151" i="191" s="1"/>
  <c r="AK153" i="191" s="1"/>
  <c r="AK134" i="191"/>
  <c r="AE149" i="191"/>
  <c r="AE151" i="191" s="1"/>
  <c r="AE153" i="191" s="1"/>
  <c r="AE134" i="191"/>
  <c r="AV148" i="191"/>
  <c r="Y151" i="191"/>
  <c r="AL149" i="191"/>
  <c r="AL151" i="191" s="1"/>
  <c r="AL153" i="191" s="1"/>
  <c r="AL134" i="191"/>
  <c r="AA151" i="191"/>
  <c r="AA153" i="191" s="1"/>
  <c r="U149" i="191"/>
  <c r="U151" i="191" s="1"/>
  <c r="U153" i="191" s="1"/>
  <c r="U134" i="191"/>
  <c r="W151" i="191"/>
  <c r="W153" i="191" s="1"/>
  <c r="AQ149" i="191"/>
  <c r="AQ151" i="191" s="1"/>
  <c r="AQ153" i="191" s="1"/>
  <c r="AQ134" i="191"/>
  <c r="AC149" i="191"/>
  <c r="AC151" i="191" s="1"/>
  <c r="AC153" i="191" s="1"/>
  <c r="AC134" i="191"/>
  <c r="V134" i="191"/>
  <c r="W134" i="191"/>
  <c r="AH149" i="191"/>
  <c r="AH151" i="191" s="1"/>
  <c r="AH153" i="191" s="1"/>
  <c r="AH134" i="191"/>
  <c r="AW148" i="191"/>
  <c r="AT148" i="191"/>
  <c r="R151" i="191"/>
  <c r="AW133" i="191"/>
  <c r="AO149" i="191"/>
  <c r="AO151" i="191" s="1"/>
  <c r="AO153" i="191" s="1"/>
  <c r="AO134" i="191"/>
  <c r="T149" i="191"/>
  <c r="T151" i="191" s="1"/>
  <c r="T153" i="191" s="1"/>
  <c r="T134" i="191"/>
  <c r="AB149" i="191"/>
  <c r="AB151" i="191" s="1"/>
  <c r="AB153" i="191" s="1"/>
  <c r="AB134" i="191"/>
  <c r="AD149" i="191"/>
  <c r="AD151" i="191" s="1"/>
  <c r="AD153" i="191" s="1"/>
  <c r="AD134" i="191"/>
  <c r="AT134" i="191" l="1"/>
  <c r="AU134" i="191" s="1"/>
  <c r="AW150" i="191"/>
  <c r="AT150" i="191"/>
  <c r="S151" i="191"/>
  <c r="S153" i="191" s="1"/>
  <c r="AV134" i="191"/>
  <c r="AW134" i="191" s="1"/>
  <c r="AV151" i="191"/>
  <c r="Y153" i="191"/>
  <c r="AT149" i="191"/>
  <c r="R153" i="191"/>
  <c r="AV149" i="191"/>
  <c r="AW149" i="191" s="1"/>
  <c r="AT151" i="191" l="1"/>
  <c r="AW151" i="191"/>
  <c r="O301" i="70" l="1"/>
  <c r="O293" i="70"/>
  <c r="O290" i="70"/>
  <c r="O285" i="70"/>
  <c r="O275" i="70"/>
  <c r="O272" i="70"/>
  <c r="O271" i="70" s="1"/>
  <c r="O260" i="70"/>
  <c r="O259" i="70" s="1"/>
  <c r="O258" i="70" s="1"/>
  <c r="O254" i="70"/>
  <c r="O249" i="70"/>
  <c r="O244" i="70"/>
  <c r="O239" i="70"/>
  <c r="O234" i="70"/>
  <c r="O223" i="70"/>
  <c r="O215" i="70"/>
  <c r="O214" i="70"/>
  <c r="O207" i="70"/>
  <c r="O201" i="70"/>
  <c r="O198" i="70" s="1"/>
  <c r="O189" i="70"/>
  <c r="O188" i="70"/>
  <c r="O185" i="70"/>
  <c r="O183" i="70"/>
  <c r="O167" i="70"/>
  <c r="O157" i="70"/>
  <c r="O149" i="70"/>
  <c r="O145" i="70"/>
  <c r="O144" i="70" s="1"/>
  <c r="O134" i="70"/>
  <c r="O112" i="70"/>
  <c r="O110" i="70"/>
  <c r="O109" i="70" s="1"/>
  <c r="O108" i="70"/>
  <c r="O106" i="70"/>
  <c r="O102" i="70"/>
  <c r="O99" i="70"/>
  <c r="O87" i="70"/>
  <c r="O70" i="70"/>
  <c r="O66" i="70"/>
  <c r="O52" i="70"/>
  <c r="O50" i="70" s="1"/>
  <c r="O47" i="70"/>
  <c r="O46" i="70"/>
  <c r="O39" i="70"/>
  <c r="O38" i="70"/>
  <c r="O35" i="70"/>
  <c r="O32" i="70"/>
  <c r="O31" i="70"/>
  <c r="O26" i="70"/>
  <c r="P309" i="70"/>
  <c r="P308" i="70"/>
  <c r="O182" i="70" l="1"/>
  <c r="O174" i="70" s="1"/>
  <c r="O270" i="70"/>
  <c r="O105" i="70"/>
  <c r="M309" i="70" l="1"/>
  <c r="M308" i="70"/>
  <c r="L307" i="70"/>
  <c r="N198" i="70"/>
  <c r="M132" i="70"/>
  <c r="L132" i="70"/>
  <c r="I177" i="70" l="1"/>
  <c r="P177" i="70" l="1"/>
  <c r="L177" i="70"/>
  <c r="M177" i="70" s="1"/>
  <c r="J309" i="70" l="1"/>
  <c r="J308" i="70"/>
  <c r="I204" i="70"/>
  <c r="P204" i="70" s="1"/>
  <c r="I203" i="70"/>
  <c r="P203" i="70" s="1"/>
  <c r="I65" i="70"/>
  <c r="P65" i="70" s="1"/>
  <c r="I307" i="70"/>
  <c r="M307" i="70" s="1"/>
  <c r="K198" i="70"/>
  <c r="J132" i="70"/>
  <c r="I132" i="70"/>
  <c r="J65" i="70" l="1"/>
  <c r="L65" i="70"/>
  <c r="M65" i="70" s="1"/>
  <c r="J203" i="70"/>
  <c r="L203" i="70"/>
  <c r="M203" i="70" s="1"/>
  <c r="J204" i="70"/>
  <c r="L204" i="70"/>
  <c r="M204" i="70" s="1"/>
  <c r="J177" i="70"/>
  <c r="I134" i="70" l="1"/>
  <c r="P134" i="70" l="1"/>
  <c r="L134" i="70"/>
  <c r="M134" i="70" s="1"/>
  <c r="I167" i="70"/>
  <c r="P167" i="70" s="1"/>
  <c r="I157" i="70"/>
  <c r="J134" i="70"/>
  <c r="I208" i="70"/>
  <c r="I296" i="70"/>
  <c r="P296" i="70" l="1"/>
  <c r="P157" i="70"/>
  <c r="L157" i="70"/>
  <c r="P208" i="70"/>
  <c r="M208" i="70"/>
  <c r="J167" i="70"/>
  <c r="L167" i="70"/>
  <c r="M167" i="70" s="1"/>
  <c r="J296" i="70"/>
  <c r="M296" i="70"/>
  <c r="M157" i="70"/>
  <c r="I76" i="70"/>
  <c r="P76" i="70" s="1"/>
  <c r="J208" i="70"/>
  <c r="J157" i="70"/>
  <c r="J76" i="70" l="1"/>
  <c r="L76" i="70"/>
  <c r="M76" i="70" s="1"/>
  <c r="I56" i="70" l="1"/>
  <c r="P56" i="70" s="1"/>
  <c r="I175" i="70"/>
  <c r="L175" i="70" l="1"/>
  <c r="P175" i="70"/>
  <c r="M175" i="70"/>
  <c r="J56" i="70"/>
  <c r="L56" i="70"/>
  <c r="M56" i="70" s="1"/>
  <c r="I112" i="70"/>
  <c r="P112" i="70" s="1"/>
  <c r="I236" i="70"/>
  <c r="I183" i="70"/>
  <c r="I185" i="70"/>
  <c r="P185" i="70" s="1"/>
  <c r="J175" i="70"/>
  <c r="I275" i="70"/>
  <c r="I278" i="70"/>
  <c r="P278" i="70" s="1"/>
  <c r="I55" i="70"/>
  <c r="P55" i="70" s="1"/>
  <c r="I266" i="70"/>
  <c r="P266" i="70" s="1"/>
  <c r="P275" i="70" l="1"/>
  <c r="L275" i="70"/>
  <c r="P183" i="70"/>
  <c r="M183" i="70"/>
  <c r="P236" i="70"/>
  <c r="L236" i="70"/>
  <c r="M236" i="70" s="1"/>
  <c r="J236" i="70"/>
  <c r="J112" i="70"/>
  <c r="L112" i="70"/>
  <c r="M112" i="70" s="1"/>
  <c r="J266" i="70"/>
  <c r="L266" i="70"/>
  <c r="M266" i="70" s="1"/>
  <c r="J55" i="70"/>
  <c r="L55" i="70"/>
  <c r="M55" i="70" s="1"/>
  <c r="J275" i="70"/>
  <c r="M275" i="70"/>
  <c r="J185" i="70"/>
  <c r="L185" i="70"/>
  <c r="M185" i="70" s="1"/>
  <c r="J278" i="70"/>
  <c r="L278" i="70"/>
  <c r="M278" i="70" s="1"/>
  <c r="J183" i="70"/>
  <c r="G179" i="70" l="1"/>
  <c r="I180" i="70"/>
  <c r="P180" i="70" s="1"/>
  <c r="I181" i="70"/>
  <c r="P181" i="70" s="1"/>
  <c r="G288" i="70"/>
  <c r="I247" i="70"/>
  <c r="P247" i="70" s="1"/>
  <c r="I242" i="70"/>
  <c r="P242" i="70" s="1"/>
  <c r="I279" i="70"/>
  <c r="P279" i="70" s="1"/>
  <c r="O7" i="70"/>
  <c r="O10" i="70"/>
  <c r="O13" i="70"/>
  <c r="O16" i="70"/>
  <c r="O19" i="70"/>
  <c r="O23" i="70"/>
  <c r="O34" i="70"/>
  <c r="O37" i="70"/>
  <c r="O67" i="70"/>
  <c r="O95" i="70"/>
  <c r="O114" i="70"/>
  <c r="O118" i="70"/>
  <c r="O124" i="70"/>
  <c r="O132" i="70"/>
  <c r="P132" i="70"/>
  <c r="O133" i="70"/>
  <c r="O156" i="70"/>
  <c r="O219" i="70"/>
  <c r="O222" i="70"/>
  <c r="O304" i="70"/>
  <c r="O307" i="70"/>
  <c r="P307" i="70" s="1"/>
  <c r="I267" i="70"/>
  <c r="P267" i="70" s="1"/>
  <c r="I252" i="70"/>
  <c r="P252" i="70" s="1"/>
  <c r="I237" i="70"/>
  <c r="P237" i="70" s="1"/>
  <c r="I87" i="70"/>
  <c r="P87" i="70" s="1"/>
  <c r="I88" i="70"/>
  <c r="P88" i="70" s="1"/>
  <c r="G89" i="70"/>
  <c r="I90" i="70"/>
  <c r="P90" i="70" s="1"/>
  <c r="I91" i="70"/>
  <c r="P91" i="70" s="1"/>
  <c r="I92" i="70"/>
  <c r="P92" i="70" s="1"/>
  <c r="I93" i="70"/>
  <c r="P93" i="70" s="1"/>
  <c r="O151" i="70" l="1"/>
  <c r="J279" i="70"/>
  <c r="L279" i="70"/>
  <c r="M279" i="70" s="1"/>
  <c r="J267" i="70"/>
  <c r="L267" i="70"/>
  <c r="M267" i="70" s="1"/>
  <c r="J93" i="70"/>
  <c r="L93" i="70"/>
  <c r="M93" i="70" s="1"/>
  <c r="J242" i="70"/>
  <c r="L242" i="70"/>
  <c r="M242" i="70" s="1"/>
  <c r="J92" i="70"/>
  <c r="L92" i="70"/>
  <c r="M92" i="70" s="1"/>
  <c r="J247" i="70"/>
  <c r="L247" i="70"/>
  <c r="M247" i="70" s="1"/>
  <c r="J91" i="70"/>
  <c r="L91" i="70"/>
  <c r="M91" i="70" s="1"/>
  <c r="J90" i="70"/>
  <c r="L90" i="70"/>
  <c r="M90" i="70" s="1"/>
  <c r="J237" i="70"/>
  <c r="L237" i="70"/>
  <c r="M237" i="70" s="1"/>
  <c r="J181" i="70"/>
  <c r="L181" i="70"/>
  <c r="M181" i="70" s="1"/>
  <c r="J180" i="70"/>
  <c r="L180" i="70"/>
  <c r="M180" i="70" s="1"/>
  <c r="J88" i="70"/>
  <c r="L88" i="70"/>
  <c r="M88" i="70" s="1"/>
  <c r="J252" i="70"/>
  <c r="L252" i="70"/>
  <c r="M252" i="70" s="1"/>
  <c r="J87" i="70"/>
  <c r="L87" i="70"/>
  <c r="M87" i="70" s="1"/>
  <c r="I116" i="70"/>
  <c r="I159" i="70"/>
  <c r="I282" i="70"/>
  <c r="P282" i="70" s="1"/>
  <c r="I187" i="70"/>
  <c r="P187" i="70" s="1"/>
  <c r="I260" i="70"/>
  <c r="I265" i="70"/>
  <c r="P265" i="70" s="1"/>
  <c r="I83" i="70"/>
  <c r="P83" i="70" s="1"/>
  <c r="I189" i="70"/>
  <c r="P189" i="70" s="1"/>
  <c r="I82" i="70"/>
  <c r="P82" i="70" s="1"/>
  <c r="I188" i="70"/>
  <c r="I214" i="70"/>
  <c r="I89" i="70"/>
  <c r="P89" i="70" s="1"/>
  <c r="I238" i="70"/>
  <c r="I283" i="70"/>
  <c r="P283" i="70" s="1"/>
  <c r="I272" i="70"/>
  <c r="I66" i="70"/>
  <c r="I264" i="70"/>
  <c r="I288" i="70"/>
  <c r="P288" i="70" s="1"/>
  <c r="I255" i="70"/>
  <c r="I273" i="70"/>
  <c r="P273" i="70" s="1"/>
  <c r="I179" i="70"/>
  <c r="P179" i="70" s="1"/>
  <c r="I209" i="70"/>
  <c r="G53" i="70"/>
  <c r="I53" i="70"/>
  <c r="P53" i="70" s="1"/>
  <c r="I103" i="70"/>
  <c r="I261" i="70"/>
  <c r="P261" i="70" s="1"/>
  <c r="I276" i="70"/>
  <c r="I178" i="70"/>
  <c r="P178" i="70" s="1"/>
  <c r="G242" i="70"/>
  <c r="G91" i="70"/>
  <c r="G88" i="70"/>
  <c r="G87" i="70"/>
  <c r="G267" i="70"/>
  <c r="G92" i="70"/>
  <c r="G247" i="70"/>
  <c r="G180" i="70"/>
  <c r="G252" i="70"/>
  <c r="G178" i="70"/>
  <c r="G93" i="70"/>
  <c r="G90" i="70"/>
  <c r="G237" i="70"/>
  <c r="G181" i="70"/>
  <c r="G279" i="70"/>
  <c r="O6" i="70"/>
  <c r="O197" i="70"/>
  <c r="O43" i="70"/>
  <c r="O9" i="70"/>
  <c r="O98" i="70"/>
  <c r="O213" i="70"/>
  <c r="O117" i="70"/>
  <c r="O27" i="70"/>
  <c r="P264" i="70" l="1"/>
  <c r="L264" i="70"/>
  <c r="M264" i="70" s="1"/>
  <c r="L260" i="70"/>
  <c r="M260" i="70" s="1"/>
  <c r="P260" i="70"/>
  <c r="L66" i="70"/>
  <c r="P66" i="70"/>
  <c r="P103" i="70"/>
  <c r="L103" i="70"/>
  <c r="M103" i="70" s="1"/>
  <c r="P116" i="70"/>
  <c r="L116" i="70"/>
  <c r="M116" i="70" s="1"/>
  <c r="P276" i="70"/>
  <c r="L276" i="70"/>
  <c r="M276" i="70" s="1"/>
  <c r="L272" i="70"/>
  <c r="P272" i="70"/>
  <c r="P238" i="70"/>
  <c r="L238" i="70"/>
  <c r="M238" i="70" s="1"/>
  <c r="L214" i="70"/>
  <c r="M214" i="70" s="1"/>
  <c r="P214" i="70"/>
  <c r="P188" i="70"/>
  <c r="L188" i="70"/>
  <c r="M188" i="70" s="1"/>
  <c r="P159" i="70"/>
  <c r="L159" i="70"/>
  <c r="M159" i="70" s="1"/>
  <c r="L209" i="70"/>
  <c r="M209" i="70" s="1"/>
  <c r="P209" i="70"/>
  <c r="L255" i="70"/>
  <c r="P255" i="70"/>
  <c r="J188" i="70"/>
  <c r="J178" i="70"/>
  <c r="L178" i="70"/>
  <c r="M178" i="70" s="1"/>
  <c r="J179" i="70"/>
  <c r="L179" i="70"/>
  <c r="M179" i="70" s="1"/>
  <c r="M272" i="70"/>
  <c r="J82" i="70"/>
  <c r="L82" i="70"/>
  <c r="M82" i="70" s="1"/>
  <c r="J282" i="70"/>
  <c r="L282" i="70"/>
  <c r="M282" i="70" s="1"/>
  <c r="J273" i="70"/>
  <c r="L273" i="70"/>
  <c r="M273" i="70" s="1"/>
  <c r="J283" i="70"/>
  <c r="L283" i="70"/>
  <c r="M283" i="70" s="1"/>
  <c r="J189" i="70"/>
  <c r="L189" i="70"/>
  <c r="M189" i="70" s="1"/>
  <c r="J159" i="70"/>
  <c r="J276" i="70"/>
  <c r="M255" i="70"/>
  <c r="J238" i="70"/>
  <c r="J83" i="70"/>
  <c r="L83" i="70"/>
  <c r="M83" i="70" s="1"/>
  <c r="J116" i="70"/>
  <c r="J261" i="70"/>
  <c r="L261" i="70"/>
  <c r="M261" i="70" s="1"/>
  <c r="J288" i="70"/>
  <c r="L288" i="70"/>
  <c r="M288" i="70" s="1"/>
  <c r="J89" i="70"/>
  <c r="L89" i="70"/>
  <c r="M89" i="70" s="1"/>
  <c r="J265" i="70"/>
  <c r="L265" i="70"/>
  <c r="M265" i="70" s="1"/>
  <c r="J66" i="70"/>
  <c r="M66" i="70"/>
  <c r="J264" i="70"/>
  <c r="J187" i="70"/>
  <c r="L187" i="70"/>
  <c r="M187" i="70" s="1"/>
  <c r="J53" i="70"/>
  <c r="L53" i="70"/>
  <c r="M53" i="70" s="1"/>
  <c r="J103" i="70"/>
  <c r="J260" i="70"/>
  <c r="J209" i="70"/>
  <c r="I207" i="70"/>
  <c r="P207" i="70" s="1"/>
  <c r="J255" i="70"/>
  <c r="J214" i="70"/>
  <c r="J272" i="70"/>
  <c r="O42" i="70"/>
  <c r="O212" i="70"/>
  <c r="O22" i="70"/>
  <c r="L207" i="70" l="1"/>
  <c r="M207" i="70"/>
  <c r="O113" i="70"/>
  <c r="O232" i="70"/>
  <c r="O310" i="70" l="1"/>
  <c r="O4" i="70"/>
  <c r="Q4" i="70" s="1"/>
  <c r="O127" i="70"/>
  <c r="O312" i="70" l="1"/>
  <c r="O313" i="70" l="1"/>
  <c r="G132" i="70" l="1"/>
  <c r="G188" i="70" l="1"/>
  <c r="I172" i="70" l="1"/>
  <c r="P172" i="70" s="1"/>
  <c r="I170" i="70"/>
  <c r="P170" i="70" s="1"/>
  <c r="I171" i="70"/>
  <c r="P171" i="70" s="1"/>
  <c r="J171" i="70" l="1"/>
  <c r="L171" i="70"/>
  <c r="M171" i="70" s="1"/>
  <c r="J172" i="70"/>
  <c r="L172" i="70"/>
  <c r="M172" i="70" s="1"/>
  <c r="J170" i="70"/>
  <c r="L170" i="70"/>
  <c r="M170" i="70" s="1"/>
  <c r="I169" i="70"/>
  <c r="P169" i="70" s="1"/>
  <c r="G173" i="70"/>
  <c r="I173" i="70"/>
  <c r="P173" i="70" s="1"/>
  <c r="G171" i="70"/>
  <c r="G170" i="70"/>
  <c r="G172" i="70"/>
  <c r="G82" i="70"/>
  <c r="J169" i="70" l="1"/>
  <c r="L169" i="70"/>
  <c r="M169" i="70" s="1"/>
  <c r="J173" i="70"/>
  <c r="L173" i="70"/>
  <c r="M173" i="70" s="1"/>
  <c r="H239" i="70" l="1"/>
  <c r="H244" i="70"/>
  <c r="H285" i="70"/>
  <c r="I104" i="70" l="1"/>
  <c r="G104" i="70"/>
  <c r="L104" i="70" l="1"/>
  <c r="M104" i="70" s="1"/>
  <c r="P104" i="70"/>
  <c r="J104" i="70"/>
  <c r="I102" i="70"/>
  <c r="P102" i="70" s="1"/>
  <c r="L102" i="70" l="1"/>
  <c r="M102" i="70"/>
  <c r="I311" i="70"/>
  <c r="P311" i="70" s="1"/>
  <c r="G309" i="70"/>
  <c r="G308" i="70"/>
  <c r="I301" i="70"/>
  <c r="I233" i="70"/>
  <c r="P233" i="70" s="1"/>
  <c r="H198" i="70"/>
  <c r="I160" i="70"/>
  <c r="I155" i="70"/>
  <c r="P155" i="70" s="1"/>
  <c r="I152" i="70"/>
  <c r="P152" i="70" s="1"/>
  <c r="I148" i="70"/>
  <c r="P148" i="70" s="1"/>
  <c r="I143" i="70"/>
  <c r="I141" i="70"/>
  <c r="P141" i="70" s="1"/>
  <c r="I140" i="70"/>
  <c r="P140" i="70" s="1"/>
  <c r="I135" i="70"/>
  <c r="I121" i="70"/>
  <c r="P121" i="70" s="1"/>
  <c r="I118" i="70"/>
  <c r="I94" i="70"/>
  <c r="P94" i="70" s="1"/>
  <c r="I61" i="70"/>
  <c r="P61" i="70" s="1"/>
  <c r="I59" i="70"/>
  <c r="P59" i="70" s="1"/>
  <c r="I58" i="70"/>
  <c r="P58" i="70" s="1"/>
  <c r="I49" i="70"/>
  <c r="I48" i="70"/>
  <c r="I39" i="70"/>
  <c r="P39" i="70" s="1"/>
  <c r="P49" i="70" l="1"/>
  <c r="L49" i="70"/>
  <c r="L118" i="70"/>
  <c r="P118" i="70"/>
  <c r="L160" i="70"/>
  <c r="M160" i="70" s="1"/>
  <c r="P160" i="70"/>
  <c r="L135" i="70"/>
  <c r="M135" i="70" s="1"/>
  <c r="P135" i="70"/>
  <c r="P143" i="70"/>
  <c r="L143" i="70"/>
  <c r="M143" i="70" s="1"/>
  <c r="P301" i="70"/>
  <c r="L301" i="70"/>
  <c r="M301" i="70" s="1"/>
  <c r="P48" i="70"/>
  <c r="L48" i="70"/>
  <c r="J121" i="70"/>
  <c r="L121" i="70"/>
  <c r="M121" i="70" s="1"/>
  <c r="J148" i="70"/>
  <c r="L148" i="70"/>
  <c r="M148" i="70" s="1"/>
  <c r="J39" i="70"/>
  <c r="L39" i="70"/>
  <c r="M39" i="70" s="1"/>
  <c r="J58" i="70"/>
  <c r="L58" i="70"/>
  <c r="M58" i="70" s="1"/>
  <c r="J94" i="70"/>
  <c r="L94" i="70"/>
  <c r="M94" i="70" s="1"/>
  <c r="J143" i="70"/>
  <c r="J59" i="70"/>
  <c r="L59" i="70"/>
  <c r="M59" i="70" s="1"/>
  <c r="M118" i="70"/>
  <c r="M48" i="70"/>
  <c r="J61" i="70"/>
  <c r="L61" i="70"/>
  <c r="M61" i="70" s="1"/>
  <c r="J152" i="70"/>
  <c r="L152" i="70"/>
  <c r="J49" i="70"/>
  <c r="M49" i="70"/>
  <c r="J140" i="70"/>
  <c r="L140" i="70"/>
  <c r="M140" i="70" s="1"/>
  <c r="J233" i="70"/>
  <c r="L233" i="70"/>
  <c r="J311" i="70"/>
  <c r="L311" i="70"/>
  <c r="M311" i="70" s="1"/>
  <c r="J141" i="70"/>
  <c r="L141" i="70"/>
  <c r="M141" i="70" s="1"/>
  <c r="J155" i="70"/>
  <c r="L155" i="70"/>
  <c r="M155" i="70" s="1"/>
  <c r="I15" i="70"/>
  <c r="P15" i="70" s="1"/>
  <c r="I32" i="70"/>
  <c r="P32" i="70" s="1"/>
  <c r="I35" i="70"/>
  <c r="I72" i="70"/>
  <c r="P72" i="70" s="1"/>
  <c r="I86" i="70"/>
  <c r="P86" i="70" s="1"/>
  <c r="I106" i="70"/>
  <c r="I142" i="70"/>
  <c r="P142" i="70" s="1"/>
  <c r="I163" i="70"/>
  <c r="P163" i="70" s="1"/>
  <c r="I199" i="70"/>
  <c r="I216" i="70"/>
  <c r="P216" i="70" s="1"/>
  <c r="I221" i="70"/>
  <c r="P221" i="70" s="1"/>
  <c r="I226" i="70"/>
  <c r="P226" i="70" s="1"/>
  <c r="I256" i="70"/>
  <c r="I263" i="70"/>
  <c r="P263" i="70" s="1"/>
  <c r="I274" i="70"/>
  <c r="I64" i="70"/>
  <c r="P64" i="70" s="1"/>
  <c r="I79" i="70"/>
  <c r="P79" i="70" s="1"/>
  <c r="I107" i="70"/>
  <c r="I158" i="70"/>
  <c r="I186" i="70"/>
  <c r="P186" i="70" s="1"/>
  <c r="I200" i="70"/>
  <c r="P200" i="70" s="1"/>
  <c r="I227" i="70"/>
  <c r="P227" i="70" s="1"/>
  <c r="I257" i="70"/>
  <c r="P257" i="70" s="1"/>
  <c r="I277" i="70"/>
  <c r="J301" i="70"/>
  <c r="I11" i="70"/>
  <c r="I24" i="70"/>
  <c r="I33" i="70"/>
  <c r="P33" i="70" s="1"/>
  <c r="I36" i="70"/>
  <c r="P36" i="70" s="1"/>
  <c r="I73" i="70"/>
  <c r="I108" i="70"/>
  <c r="P108" i="70" s="1"/>
  <c r="I122" i="70"/>
  <c r="P122" i="70" s="1"/>
  <c r="I201" i="70"/>
  <c r="P201" i="70" s="1"/>
  <c r="I217" i="70"/>
  <c r="P217" i="70" s="1"/>
  <c r="I235" i="70"/>
  <c r="I268" i="70"/>
  <c r="I294" i="70"/>
  <c r="I12" i="70"/>
  <c r="P12" i="70" s="1"/>
  <c r="I20" i="70"/>
  <c r="I40" i="70"/>
  <c r="P40" i="70" s="1"/>
  <c r="I80" i="70"/>
  <c r="P80" i="70" s="1"/>
  <c r="I164" i="70"/>
  <c r="I176" i="70"/>
  <c r="I202" i="70"/>
  <c r="P202" i="70" s="1"/>
  <c r="I210" i="70"/>
  <c r="I218" i="70"/>
  <c r="P218" i="70" s="1"/>
  <c r="I228" i="70"/>
  <c r="P228" i="70" s="1"/>
  <c r="I240" i="70"/>
  <c r="I250" i="70"/>
  <c r="I295" i="70"/>
  <c r="P295" i="70" s="1"/>
  <c r="I302" i="70"/>
  <c r="J307" i="70"/>
  <c r="I21" i="70"/>
  <c r="P21" i="70" s="1"/>
  <c r="I25" i="70"/>
  <c r="P25" i="70" s="1"/>
  <c r="I28" i="70"/>
  <c r="I51" i="70"/>
  <c r="I68" i="70"/>
  <c r="I74" i="70"/>
  <c r="P74" i="70" s="1"/>
  <c r="I123" i="70"/>
  <c r="P123" i="70" s="1"/>
  <c r="J135" i="70"/>
  <c r="J160" i="70"/>
  <c r="I211" i="70"/>
  <c r="P211" i="70" s="1"/>
  <c r="I241" i="70"/>
  <c r="P241" i="70" s="1"/>
  <c r="I251" i="70"/>
  <c r="P251" i="70" s="1"/>
  <c r="I269" i="70"/>
  <c r="P269" i="70" s="1"/>
  <c r="I280" i="70"/>
  <c r="P280" i="70" s="1"/>
  <c r="I44" i="70"/>
  <c r="P44" i="70" s="1"/>
  <c r="I52" i="70"/>
  <c r="P52" i="70" s="1"/>
  <c r="I60" i="70"/>
  <c r="P60" i="70" s="1"/>
  <c r="I75" i="70"/>
  <c r="P75" i="70" s="1"/>
  <c r="I81" i="70"/>
  <c r="P81" i="70" s="1"/>
  <c r="I136" i="70"/>
  <c r="P136" i="70" s="1"/>
  <c r="I165" i="70"/>
  <c r="P165" i="70" s="1"/>
  <c r="I223" i="70"/>
  <c r="I243" i="70"/>
  <c r="P243" i="70" s="1"/>
  <c r="I253" i="70"/>
  <c r="P253" i="70" s="1"/>
  <c r="I297" i="70"/>
  <c r="P297" i="70" s="1"/>
  <c r="I303" i="70"/>
  <c r="P303" i="70" s="1"/>
  <c r="I8" i="70"/>
  <c r="I26" i="70"/>
  <c r="P26" i="70" s="1"/>
  <c r="I29" i="70"/>
  <c r="P29" i="70" s="1"/>
  <c r="I69" i="70"/>
  <c r="P69" i="70" s="1"/>
  <c r="J118" i="70"/>
  <c r="I124" i="70"/>
  <c r="P124" i="70" s="1"/>
  <c r="I137" i="70"/>
  <c r="P137" i="70" s="1"/>
  <c r="I224" i="70"/>
  <c r="P224" i="70" s="1"/>
  <c r="I229" i="70"/>
  <c r="P229" i="70" s="1"/>
  <c r="I245" i="70"/>
  <c r="I281" i="70"/>
  <c r="I291" i="70"/>
  <c r="I45" i="70"/>
  <c r="P45" i="70" s="1"/>
  <c r="J48" i="70"/>
  <c r="I47" i="70"/>
  <c r="P47" i="70" s="1"/>
  <c r="I54" i="70"/>
  <c r="P54" i="70" s="1"/>
  <c r="I100" i="70"/>
  <c r="I138" i="70"/>
  <c r="I150" i="70"/>
  <c r="I161" i="70"/>
  <c r="P161" i="70" s="1"/>
  <c r="I166" i="70"/>
  <c r="P166" i="70" s="1"/>
  <c r="I205" i="70"/>
  <c r="P205" i="70" s="1"/>
  <c r="I230" i="70"/>
  <c r="I246" i="70"/>
  <c r="I292" i="70"/>
  <c r="P292" i="70" s="1"/>
  <c r="I298" i="70"/>
  <c r="P298" i="70" s="1"/>
  <c r="I17" i="70"/>
  <c r="I30" i="70"/>
  <c r="P30" i="70" s="1"/>
  <c r="I70" i="70"/>
  <c r="P70" i="70" s="1"/>
  <c r="I84" i="70"/>
  <c r="P84" i="70" s="1"/>
  <c r="I101" i="70"/>
  <c r="P101" i="70" s="1"/>
  <c r="I115" i="70"/>
  <c r="I119" i="70"/>
  <c r="P119" i="70" s="1"/>
  <c r="I125" i="70"/>
  <c r="P125" i="70" s="1"/>
  <c r="I139" i="70"/>
  <c r="P139" i="70" s="1"/>
  <c r="I206" i="70"/>
  <c r="P206" i="70" s="1"/>
  <c r="I231" i="70"/>
  <c r="P231" i="70" s="1"/>
  <c r="I248" i="70"/>
  <c r="P248" i="70" s="1"/>
  <c r="I284" i="70"/>
  <c r="P284" i="70" s="1"/>
  <c r="I18" i="70"/>
  <c r="P18" i="70" s="1"/>
  <c r="I46" i="70"/>
  <c r="P46" i="70" s="1"/>
  <c r="I62" i="70"/>
  <c r="P62" i="70" s="1"/>
  <c r="I77" i="70"/>
  <c r="P77" i="70" s="1"/>
  <c r="I96" i="70"/>
  <c r="I146" i="70"/>
  <c r="I153" i="70"/>
  <c r="P153" i="70" s="1"/>
  <c r="I220" i="70"/>
  <c r="I225" i="70"/>
  <c r="P225" i="70" s="1"/>
  <c r="I286" i="70"/>
  <c r="I299" i="70"/>
  <c r="P299" i="70" s="1"/>
  <c r="I31" i="70"/>
  <c r="P31" i="70" s="1"/>
  <c r="I71" i="70"/>
  <c r="P71" i="70" s="1"/>
  <c r="I85" i="70"/>
  <c r="P85" i="70" s="1"/>
  <c r="I110" i="70"/>
  <c r="I120" i="70"/>
  <c r="P120" i="70" s="1"/>
  <c r="I126" i="70"/>
  <c r="P126" i="70" s="1"/>
  <c r="I147" i="70"/>
  <c r="I154" i="70"/>
  <c r="P154" i="70" s="1"/>
  <c r="I162" i="70"/>
  <c r="P162" i="70" s="1"/>
  <c r="I168" i="70"/>
  <c r="I215" i="70"/>
  <c r="I262" i="70"/>
  <c r="I287" i="70"/>
  <c r="P287" i="70" s="1"/>
  <c r="I300" i="70"/>
  <c r="P300" i="70" s="1"/>
  <c r="I14" i="70"/>
  <c r="I38" i="70"/>
  <c r="I57" i="70"/>
  <c r="P57" i="70" s="1"/>
  <c r="I63" i="70"/>
  <c r="P63" i="70" s="1"/>
  <c r="I78" i="70"/>
  <c r="P78" i="70" s="1"/>
  <c r="I97" i="70"/>
  <c r="P97" i="70" s="1"/>
  <c r="I111" i="70"/>
  <c r="I184" i="70"/>
  <c r="I289" i="70"/>
  <c r="P289" i="70" s="1"/>
  <c r="G46" i="70"/>
  <c r="G38" i="70"/>
  <c r="G63" i="70"/>
  <c r="G112" i="70"/>
  <c r="G269" i="70"/>
  <c r="G49" i="70"/>
  <c r="G58" i="70"/>
  <c r="G124" i="70"/>
  <c r="G152" i="70"/>
  <c r="G39" i="70"/>
  <c r="G148" i="70"/>
  <c r="G225" i="70"/>
  <c r="G59" i="70"/>
  <c r="G69" i="70"/>
  <c r="G134" i="70"/>
  <c r="G66" i="70"/>
  <c r="G125" i="70"/>
  <c r="G140" i="70"/>
  <c r="G226" i="70"/>
  <c r="G233" i="70"/>
  <c r="G106" i="70"/>
  <c r="G110" i="70"/>
  <c r="G121" i="70"/>
  <c r="G141" i="70"/>
  <c r="G8" i="70"/>
  <c r="G61" i="70"/>
  <c r="G126" i="70"/>
  <c r="G107" i="70"/>
  <c r="G94" i="70"/>
  <c r="G80" i="70"/>
  <c r="G76" i="70"/>
  <c r="G77" i="70"/>
  <c r="G72" i="70"/>
  <c r="G73" i="70"/>
  <c r="G74" i="70"/>
  <c r="G18" i="70"/>
  <c r="G286" i="70"/>
  <c r="G52" i="70"/>
  <c r="G175" i="70"/>
  <c r="G186" i="70"/>
  <c r="G62" i="70"/>
  <c r="G28" i="70"/>
  <c r="G60" i="70"/>
  <c r="G153" i="70"/>
  <c r="G167" i="70"/>
  <c r="G96" i="70"/>
  <c r="G189" i="70"/>
  <c r="G246" i="70"/>
  <c r="G217" i="70"/>
  <c r="G20" i="70"/>
  <c r="G208" i="70"/>
  <c r="G169" i="70"/>
  <c r="G284" i="70"/>
  <c r="G231" i="70"/>
  <c r="G227" i="70"/>
  <c r="G71" i="70"/>
  <c r="G21" i="70"/>
  <c r="G108" i="70"/>
  <c r="G111" i="70"/>
  <c r="G142" i="70"/>
  <c r="G215" i="70"/>
  <c r="G261" i="70"/>
  <c r="G84" i="70"/>
  <c r="G120" i="70"/>
  <c r="G251" i="70"/>
  <c r="G79" i="70"/>
  <c r="G159" i="70"/>
  <c r="G203" i="70"/>
  <c r="G275" i="70"/>
  <c r="G48" i="70"/>
  <c r="G100" i="70"/>
  <c r="J207" i="70"/>
  <c r="G268" i="70"/>
  <c r="G280" i="70"/>
  <c r="G297" i="70"/>
  <c r="G137" i="70"/>
  <c r="G200" i="70"/>
  <c r="G216" i="70"/>
  <c r="G241" i="70"/>
  <c r="G54" i="70"/>
  <c r="G85" i="70"/>
  <c r="G116" i="70"/>
  <c r="G168" i="70"/>
  <c r="G25" i="70"/>
  <c r="G36" i="70"/>
  <c r="G44" i="70"/>
  <c r="G51" i="70"/>
  <c r="G157" i="70"/>
  <c r="G287" i="70"/>
  <c r="G291" i="70"/>
  <c r="G294" i="70"/>
  <c r="G17" i="70"/>
  <c r="G122" i="70"/>
  <c r="G201" i="70"/>
  <c r="G205" i="70"/>
  <c r="G230" i="70"/>
  <c r="G256" i="70"/>
  <c r="G11" i="70"/>
  <c r="G15" i="70"/>
  <c r="G161" i="70"/>
  <c r="G165" i="70"/>
  <c r="G264" i="70"/>
  <c r="G31" i="70"/>
  <c r="G138" i="70"/>
  <c r="G295" i="70"/>
  <c r="G83" i="70"/>
  <c r="G123" i="70"/>
  <c r="G236" i="70"/>
  <c r="G260" i="70"/>
  <c r="G277" i="70"/>
  <c r="G282" i="70"/>
  <c r="G12" i="70"/>
  <c r="G14" i="70"/>
  <c r="G30" i="70"/>
  <c r="G33" i="70"/>
  <c r="G45" i="70"/>
  <c r="G57" i="70"/>
  <c r="G97" i="70"/>
  <c r="G101" i="70"/>
  <c r="G118" i="70"/>
  <c r="G139" i="70"/>
  <c r="G154" i="70"/>
  <c r="G162" i="70"/>
  <c r="G177" i="70"/>
  <c r="G202" i="70"/>
  <c r="G218" i="70"/>
  <c r="G221" i="70"/>
  <c r="G240" i="70"/>
  <c r="G257" i="70"/>
  <c r="G266" i="70"/>
  <c r="G273" i="70"/>
  <c r="G302" i="70"/>
  <c r="G248" i="70"/>
  <c r="G255" i="70"/>
  <c r="G24" i="70"/>
  <c r="G55" i="70"/>
  <c r="G86" i="70"/>
  <c r="G115" i="70"/>
  <c r="G135" i="70"/>
  <c r="G146" i="70"/>
  <c r="G163" i="70"/>
  <c r="G187" i="70"/>
  <c r="G211" i="70"/>
  <c r="G214" i="70"/>
  <c r="G223" i="70"/>
  <c r="G262" i="70"/>
  <c r="G283" i="70"/>
  <c r="G311" i="70"/>
  <c r="G228" i="70"/>
  <c r="G245" i="70"/>
  <c r="G274" i="70"/>
  <c r="G276" i="70"/>
  <c r="G278" i="70"/>
  <c r="G281" i="70"/>
  <c r="G35" i="70"/>
  <c r="G64" i="70"/>
  <c r="G78" i="70"/>
  <c r="G81" i="70"/>
  <c r="G119" i="70"/>
  <c r="G155" i="70"/>
  <c r="G185" i="70"/>
  <c r="G296" i="70"/>
  <c r="G303" i="70"/>
  <c r="G166" i="70"/>
  <c r="G176" i="70"/>
  <c r="G183" i="70"/>
  <c r="G206" i="70"/>
  <c r="G209" i="70"/>
  <c r="G220" i="70"/>
  <c r="G238" i="70"/>
  <c r="G253" i="70"/>
  <c r="G265" i="70"/>
  <c r="G272" i="70"/>
  <c r="G29" i="70"/>
  <c r="G32" i="70"/>
  <c r="G56" i="70"/>
  <c r="G75" i="70"/>
  <c r="G103" i="70"/>
  <c r="G136" i="70"/>
  <c r="G147" i="70"/>
  <c r="G160" i="70"/>
  <c r="G164" i="70"/>
  <c r="G199" i="70"/>
  <c r="G204" i="70"/>
  <c r="G224" i="70"/>
  <c r="G235" i="70"/>
  <c r="G250" i="70"/>
  <c r="G263" i="70"/>
  <c r="G301" i="70"/>
  <c r="G143" i="70"/>
  <c r="G150" i="70"/>
  <c r="G210" i="70"/>
  <c r="G229" i="70"/>
  <c r="G243" i="70"/>
  <c r="G26" i="70"/>
  <c r="G40" i="70"/>
  <c r="J102" i="70"/>
  <c r="G158" i="70"/>
  <c r="G184" i="70"/>
  <c r="G289" i="70"/>
  <c r="G292" i="70"/>
  <c r="G70" i="70"/>
  <c r="G68" i="70"/>
  <c r="G307" i="70"/>
  <c r="G306" i="70"/>
  <c r="I306" i="70" s="1"/>
  <c r="G305" i="70"/>
  <c r="I305" i="70" s="1"/>
  <c r="G298" i="70"/>
  <c r="G299" i="70"/>
  <c r="G300" i="70"/>
  <c r="G193" i="70"/>
  <c r="I193" i="70" s="1"/>
  <c r="G190" i="70"/>
  <c r="I190" i="70" s="1"/>
  <c r="G194" i="70"/>
  <c r="I194" i="70" s="1"/>
  <c r="G191" i="70"/>
  <c r="I191" i="70" s="1"/>
  <c r="G195" i="70"/>
  <c r="I195" i="70" s="1"/>
  <c r="G192" i="70"/>
  <c r="I192" i="70" s="1"/>
  <c r="G196" i="70"/>
  <c r="I196" i="70" s="1"/>
  <c r="J193" i="70" l="1"/>
  <c r="L193" i="70" s="1"/>
  <c r="M193" i="70" s="1"/>
  <c r="P193" i="70"/>
  <c r="L215" i="70"/>
  <c r="P215" i="70"/>
  <c r="P286" i="70"/>
  <c r="L286" i="70"/>
  <c r="L8" i="70"/>
  <c r="P8" i="70"/>
  <c r="L28" i="70"/>
  <c r="M28" i="70" s="1"/>
  <c r="P28" i="70"/>
  <c r="J194" i="70"/>
  <c r="L194" i="70" s="1"/>
  <c r="M194" i="70" s="1"/>
  <c r="P194" i="70"/>
  <c r="J196" i="70"/>
  <c r="L196" i="70" s="1"/>
  <c r="M196" i="70" s="1"/>
  <c r="P196" i="70"/>
  <c r="L184" i="70"/>
  <c r="P184" i="70"/>
  <c r="P168" i="70"/>
  <c r="L168" i="70"/>
  <c r="P246" i="70"/>
  <c r="L246" i="70"/>
  <c r="L291" i="70"/>
  <c r="P291" i="70"/>
  <c r="L176" i="70"/>
  <c r="M176" i="70" s="1"/>
  <c r="P176" i="70"/>
  <c r="P199" i="70"/>
  <c r="L199" i="70"/>
  <c r="J306" i="70"/>
  <c r="L306" i="70" s="1"/>
  <c r="M306" i="70" s="1"/>
  <c r="P306" i="70"/>
  <c r="J192" i="70"/>
  <c r="L192" i="70" s="1"/>
  <c r="M192" i="70" s="1"/>
  <c r="P192" i="70"/>
  <c r="P111" i="70"/>
  <c r="L111" i="70"/>
  <c r="L220" i="70"/>
  <c r="M220" i="70" s="1"/>
  <c r="P220" i="70"/>
  <c r="P230" i="70"/>
  <c r="L230" i="70"/>
  <c r="M230" i="70" s="1"/>
  <c r="P281" i="70"/>
  <c r="L281" i="70"/>
  <c r="P164" i="70"/>
  <c r="L164" i="70"/>
  <c r="M164" i="70" s="1"/>
  <c r="P245" i="70"/>
  <c r="L245" i="70"/>
  <c r="M245" i="70" s="1"/>
  <c r="P158" i="70"/>
  <c r="L158" i="70"/>
  <c r="M158" i="70" s="1"/>
  <c r="J191" i="70"/>
  <c r="L191" i="70" s="1"/>
  <c r="M191" i="70" s="1"/>
  <c r="P191" i="70"/>
  <c r="P147" i="70"/>
  <c r="L147" i="70"/>
  <c r="M147" i="70" s="1"/>
  <c r="P146" i="70"/>
  <c r="L146" i="70"/>
  <c r="P73" i="70"/>
  <c r="M73" i="70"/>
  <c r="P107" i="70"/>
  <c r="L107" i="70"/>
  <c r="M107" i="70" s="1"/>
  <c r="L106" i="70"/>
  <c r="P106" i="70"/>
  <c r="L96" i="70"/>
  <c r="M96" i="70" s="1"/>
  <c r="P96" i="70"/>
  <c r="P115" i="70"/>
  <c r="L115" i="70"/>
  <c r="M115" i="70" s="1"/>
  <c r="L223" i="70"/>
  <c r="P223" i="70"/>
  <c r="P302" i="70"/>
  <c r="L302" i="70"/>
  <c r="M302" i="70" s="1"/>
  <c r="L20" i="70"/>
  <c r="M20" i="70" s="1"/>
  <c r="P20" i="70"/>
  <c r="J190" i="70"/>
  <c r="L190" i="70" s="1"/>
  <c r="M190" i="70" s="1"/>
  <c r="P190" i="70"/>
  <c r="L150" i="70"/>
  <c r="M150" i="70" s="1"/>
  <c r="P150" i="70"/>
  <c r="L38" i="70"/>
  <c r="P38" i="70"/>
  <c r="L110" i="70"/>
  <c r="P110" i="70"/>
  <c r="P138" i="70"/>
  <c r="L138" i="70"/>
  <c r="M138" i="70" s="1"/>
  <c r="P250" i="70"/>
  <c r="L250" i="70"/>
  <c r="M250" i="70" s="1"/>
  <c r="L24" i="70"/>
  <c r="M24" i="70" s="1"/>
  <c r="P24" i="70"/>
  <c r="P274" i="70"/>
  <c r="L274" i="70"/>
  <c r="M274" i="70" s="1"/>
  <c r="L35" i="70"/>
  <c r="M35" i="70" s="1"/>
  <c r="P35" i="70"/>
  <c r="L14" i="70"/>
  <c r="P14" i="70"/>
  <c r="L100" i="70"/>
  <c r="M100" i="70" s="1"/>
  <c r="P100" i="70"/>
  <c r="P240" i="70"/>
  <c r="L240" i="70"/>
  <c r="L11" i="70"/>
  <c r="P11" i="70"/>
  <c r="J305" i="70"/>
  <c r="L305" i="70" s="1"/>
  <c r="M305" i="70" s="1"/>
  <c r="P305" i="70"/>
  <c r="L294" i="70"/>
  <c r="M294" i="70" s="1"/>
  <c r="P294" i="70"/>
  <c r="L256" i="70"/>
  <c r="P256" i="70"/>
  <c r="L17" i="70"/>
  <c r="P17" i="70"/>
  <c r="L68" i="70"/>
  <c r="P68" i="70"/>
  <c r="P268" i="70"/>
  <c r="L268" i="70"/>
  <c r="P277" i="70"/>
  <c r="L277" i="70"/>
  <c r="M277" i="70" s="1"/>
  <c r="J195" i="70"/>
  <c r="L195" i="70" s="1"/>
  <c r="M195" i="70" s="1"/>
  <c r="P195" i="70"/>
  <c r="P262" i="70"/>
  <c r="L262" i="70"/>
  <c r="L51" i="70"/>
  <c r="P51" i="70"/>
  <c r="L210" i="70"/>
  <c r="P210" i="70"/>
  <c r="P235" i="70"/>
  <c r="L235" i="70"/>
  <c r="J111" i="70"/>
  <c r="M111" i="70"/>
  <c r="M14" i="70"/>
  <c r="J162" i="70"/>
  <c r="L162" i="70"/>
  <c r="M162" i="70" s="1"/>
  <c r="J85" i="70"/>
  <c r="L85" i="70"/>
  <c r="M85" i="70" s="1"/>
  <c r="J46" i="70"/>
  <c r="L46" i="70"/>
  <c r="M46" i="70" s="1"/>
  <c r="J139" i="70"/>
  <c r="L139" i="70"/>
  <c r="M139" i="70" s="1"/>
  <c r="J70" i="70"/>
  <c r="L70" i="70"/>
  <c r="M70" i="70" s="1"/>
  <c r="J230" i="70"/>
  <c r="J302" i="70"/>
  <c r="M210" i="70"/>
  <c r="J217" i="70"/>
  <c r="L217" i="70"/>
  <c r="M217" i="70" s="1"/>
  <c r="J33" i="70"/>
  <c r="L33" i="70"/>
  <c r="M33" i="70" s="1"/>
  <c r="L47" i="70"/>
  <c r="M47" i="70" s="1"/>
  <c r="J29" i="70"/>
  <c r="L29" i="70"/>
  <c r="M29" i="70" s="1"/>
  <c r="J243" i="70"/>
  <c r="L243" i="70"/>
  <c r="M243" i="70" s="1"/>
  <c r="J60" i="70"/>
  <c r="L60" i="70"/>
  <c r="M60" i="70" s="1"/>
  <c r="J241" i="70"/>
  <c r="L241" i="70"/>
  <c r="M241" i="70" s="1"/>
  <c r="M51" i="70"/>
  <c r="J200" i="70"/>
  <c r="L200" i="70"/>
  <c r="M200" i="70" s="1"/>
  <c r="L271" i="70"/>
  <c r="M199" i="70"/>
  <c r="J97" i="70"/>
  <c r="L97" i="70"/>
  <c r="M97" i="70" s="1"/>
  <c r="J300" i="70"/>
  <c r="L300" i="70"/>
  <c r="M300" i="70" s="1"/>
  <c r="J154" i="70"/>
  <c r="L154" i="70"/>
  <c r="M154" i="70" s="1"/>
  <c r="J71" i="70"/>
  <c r="L71" i="70"/>
  <c r="M71" i="70" s="1"/>
  <c r="J153" i="70"/>
  <c r="L153" i="70"/>
  <c r="M153" i="70" s="1"/>
  <c r="J18" i="70"/>
  <c r="L18" i="70"/>
  <c r="M18" i="70" s="1"/>
  <c r="J125" i="70"/>
  <c r="L125" i="70"/>
  <c r="M125" i="70" s="1"/>
  <c r="J30" i="70"/>
  <c r="L30" i="70"/>
  <c r="M30" i="70" s="1"/>
  <c r="J205" i="70"/>
  <c r="L205" i="70"/>
  <c r="M205" i="70" s="1"/>
  <c r="J54" i="70"/>
  <c r="L54" i="70"/>
  <c r="M54" i="70" s="1"/>
  <c r="J229" i="70"/>
  <c r="L229" i="70"/>
  <c r="M229" i="70" s="1"/>
  <c r="J295" i="70"/>
  <c r="L295" i="70"/>
  <c r="M295" i="70" s="1"/>
  <c r="J202" i="70"/>
  <c r="L202" i="70"/>
  <c r="M202" i="70" s="1"/>
  <c r="J12" i="70"/>
  <c r="L12" i="70"/>
  <c r="M12" i="70" s="1"/>
  <c r="J201" i="70"/>
  <c r="L201" i="70"/>
  <c r="M201" i="70" s="1"/>
  <c r="M233" i="70"/>
  <c r="J26" i="70"/>
  <c r="L26" i="70"/>
  <c r="M26" i="70" s="1"/>
  <c r="M223" i="70"/>
  <c r="J52" i="70"/>
  <c r="L52" i="70"/>
  <c r="M52" i="70" s="1"/>
  <c r="J211" i="70"/>
  <c r="L211" i="70"/>
  <c r="M211" i="70" s="1"/>
  <c r="J186" i="70"/>
  <c r="L186" i="70"/>
  <c r="M186" i="70" s="1"/>
  <c r="J263" i="70"/>
  <c r="L263" i="70"/>
  <c r="M263" i="70" s="1"/>
  <c r="J163" i="70"/>
  <c r="L163" i="70"/>
  <c r="M163" i="70" s="1"/>
  <c r="J32" i="70"/>
  <c r="L32" i="70"/>
  <c r="M32" i="70" s="1"/>
  <c r="J78" i="70"/>
  <c r="L78" i="70"/>
  <c r="M78" i="70" s="1"/>
  <c r="J287" i="70"/>
  <c r="L287" i="70"/>
  <c r="M287" i="70" s="1"/>
  <c r="J147" i="70"/>
  <c r="J31" i="70"/>
  <c r="L31" i="70"/>
  <c r="M31" i="70" s="1"/>
  <c r="M146" i="70"/>
  <c r="J284" i="70"/>
  <c r="L284" i="70"/>
  <c r="M284" i="70" s="1"/>
  <c r="J119" i="70"/>
  <c r="L119" i="70"/>
  <c r="M17" i="70"/>
  <c r="J166" i="70"/>
  <c r="L166" i="70"/>
  <c r="M166" i="70" s="1"/>
  <c r="J224" i="70"/>
  <c r="L224" i="70"/>
  <c r="M224" i="70" s="1"/>
  <c r="J122" i="70"/>
  <c r="L122" i="70"/>
  <c r="M122" i="70" s="1"/>
  <c r="M11" i="70"/>
  <c r="L7" i="70"/>
  <c r="M8" i="70"/>
  <c r="J165" i="70"/>
  <c r="L165" i="70"/>
  <c r="M165" i="70" s="1"/>
  <c r="J44" i="70"/>
  <c r="L44" i="70"/>
  <c r="M44" i="70" s="1"/>
  <c r="J25" i="70"/>
  <c r="L25" i="70"/>
  <c r="M25" i="70" s="1"/>
  <c r="M256" i="70"/>
  <c r="J142" i="70"/>
  <c r="L142" i="70"/>
  <c r="M142" i="70" s="1"/>
  <c r="J15" i="70"/>
  <c r="L15" i="70"/>
  <c r="M15" i="70" s="1"/>
  <c r="J63" i="70"/>
  <c r="L63" i="70"/>
  <c r="M63" i="70" s="1"/>
  <c r="M262" i="70"/>
  <c r="L259" i="70"/>
  <c r="J126" i="70"/>
  <c r="L126" i="70"/>
  <c r="M126" i="70" s="1"/>
  <c r="J299" i="70"/>
  <c r="L299" i="70"/>
  <c r="M299" i="70" s="1"/>
  <c r="L95" i="70"/>
  <c r="J248" i="70"/>
  <c r="L248" i="70"/>
  <c r="M248" i="70" s="1"/>
  <c r="J298" i="70"/>
  <c r="L298" i="70"/>
  <c r="M298" i="70" s="1"/>
  <c r="J161" i="70"/>
  <c r="L161" i="70"/>
  <c r="J45" i="70"/>
  <c r="L45" i="70"/>
  <c r="M45" i="70" s="1"/>
  <c r="J137" i="70"/>
  <c r="L137" i="70"/>
  <c r="M137" i="70" s="1"/>
  <c r="M240" i="70"/>
  <c r="J164" i="70"/>
  <c r="J108" i="70"/>
  <c r="L108" i="70"/>
  <c r="M108" i="70" s="1"/>
  <c r="J303" i="70"/>
  <c r="M303" i="70"/>
  <c r="J136" i="70"/>
  <c r="L136" i="70"/>
  <c r="J280" i="70"/>
  <c r="L280" i="70"/>
  <c r="J123" i="70"/>
  <c r="L123" i="70"/>
  <c r="M123" i="70" s="1"/>
  <c r="J21" i="70"/>
  <c r="L21" i="70"/>
  <c r="M21" i="70" s="1"/>
  <c r="J277" i="70"/>
  <c r="J107" i="70"/>
  <c r="J226" i="70"/>
  <c r="L226" i="70"/>
  <c r="M226" i="70" s="1"/>
  <c r="M106" i="70"/>
  <c r="L105" i="70"/>
  <c r="J289" i="70"/>
  <c r="L289" i="70"/>
  <c r="M289" i="70" s="1"/>
  <c r="J57" i="70"/>
  <c r="L57" i="70"/>
  <c r="M57" i="70" s="1"/>
  <c r="M215" i="70"/>
  <c r="J120" i="70"/>
  <c r="L120" i="70"/>
  <c r="M120" i="70" s="1"/>
  <c r="M286" i="70"/>
  <c r="J77" i="70"/>
  <c r="L77" i="70"/>
  <c r="M77" i="70" s="1"/>
  <c r="J231" i="70"/>
  <c r="L231" i="70"/>
  <c r="M231" i="70" s="1"/>
  <c r="J101" i="70"/>
  <c r="L101" i="70"/>
  <c r="M101" i="70" s="1"/>
  <c r="J292" i="70"/>
  <c r="L292" i="70"/>
  <c r="M292" i="70" s="1"/>
  <c r="M291" i="70"/>
  <c r="J124" i="70"/>
  <c r="L124" i="70"/>
  <c r="M124" i="70" s="1"/>
  <c r="J228" i="70"/>
  <c r="L228" i="70"/>
  <c r="M228" i="70" s="1"/>
  <c r="J80" i="70"/>
  <c r="L80" i="70"/>
  <c r="M80" i="70" s="1"/>
  <c r="J268" i="70"/>
  <c r="M268" i="70"/>
  <c r="J73" i="70"/>
  <c r="M152" i="70"/>
  <c r="J297" i="70"/>
  <c r="L297" i="70"/>
  <c r="M297" i="70" s="1"/>
  <c r="J81" i="70"/>
  <c r="L81" i="70"/>
  <c r="M81" i="70" s="1"/>
  <c r="J269" i="70"/>
  <c r="L269" i="70"/>
  <c r="M269" i="70" s="1"/>
  <c r="J74" i="70"/>
  <c r="L74" i="70"/>
  <c r="M74" i="70" s="1"/>
  <c r="J257" i="70"/>
  <c r="L257" i="70"/>
  <c r="M257" i="70" s="1"/>
  <c r="J79" i="70"/>
  <c r="L79" i="70"/>
  <c r="M79" i="70" s="1"/>
  <c r="J221" i="70"/>
  <c r="L221" i="70"/>
  <c r="M221" i="70" s="1"/>
  <c r="J86" i="70"/>
  <c r="L86" i="70"/>
  <c r="M86" i="70" s="1"/>
  <c r="M184" i="70"/>
  <c r="L182" i="70"/>
  <c r="M38" i="70"/>
  <c r="J168" i="70"/>
  <c r="M168" i="70"/>
  <c r="L109" i="70"/>
  <c r="M110" i="70"/>
  <c r="J225" i="70"/>
  <c r="L225" i="70"/>
  <c r="M225" i="70" s="1"/>
  <c r="J62" i="70"/>
  <c r="L62" i="70"/>
  <c r="M62" i="70" s="1"/>
  <c r="J206" i="70"/>
  <c r="L206" i="70"/>
  <c r="M206" i="70" s="1"/>
  <c r="J84" i="70"/>
  <c r="L84" i="70"/>
  <c r="M84" i="70" s="1"/>
  <c r="J246" i="70"/>
  <c r="M246" i="70"/>
  <c r="J138" i="70"/>
  <c r="J281" i="70"/>
  <c r="M281" i="70"/>
  <c r="J218" i="70"/>
  <c r="L218" i="70"/>
  <c r="M218" i="70" s="1"/>
  <c r="J40" i="70"/>
  <c r="L40" i="70"/>
  <c r="M40" i="70" s="1"/>
  <c r="M235" i="70"/>
  <c r="L234" i="70"/>
  <c r="J36" i="70"/>
  <c r="L36" i="70"/>
  <c r="M36" i="70" s="1"/>
  <c r="J69" i="70"/>
  <c r="L69" i="70"/>
  <c r="M69" i="70" s="1"/>
  <c r="J253" i="70"/>
  <c r="L253" i="70"/>
  <c r="M253" i="70" s="1"/>
  <c r="J75" i="70"/>
  <c r="L75" i="70"/>
  <c r="M75" i="70" s="1"/>
  <c r="J251" i="70"/>
  <c r="L251" i="70"/>
  <c r="M251" i="70" s="1"/>
  <c r="M68" i="70"/>
  <c r="J227" i="70"/>
  <c r="L227" i="70"/>
  <c r="M227" i="70" s="1"/>
  <c r="J64" i="70"/>
  <c r="L64" i="70"/>
  <c r="M64" i="70" s="1"/>
  <c r="J216" i="70"/>
  <c r="L216" i="70"/>
  <c r="M216" i="70" s="1"/>
  <c r="J72" i="70"/>
  <c r="L72" i="70"/>
  <c r="M72" i="70" s="1"/>
  <c r="J14" i="70"/>
  <c r="I13" i="70"/>
  <c r="J220" i="70"/>
  <c r="I219" i="70"/>
  <c r="I105" i="70"/>
  <c r="J106" i="70"/>
  <c r="J100" i="70"/>
  <c r="I99" i="70"/>
  <c r="P99" i="70" s="1"/>
  <c r="I244" i="70"/>
  <c r="J245" i="70"/>
  <c r="J235" i="70"/>
  <c r="I234" i="70"/>
  <c r="J68" i="70"/>
  <c r="I67" i="70"/>
  <c r="I145" i="70"/>
  <c r="P145" i="70" s="1"/>
  <c r="J146" i="70"/>
  <c r="J17" i="70"/>
  <c r="I16" i="70"/>
  <c r="J210" i="70"/>
  <c r="I19" i="70"/>
  <c r="J20" i="70"/>
  <c r="J47" i="70"/>
  <c r="I222" i="70"/>
  <c r="J223" i="70"/>
  <c r="I50" i="70"/>
  <c r="P50" i="70" s="1"/>
  <c r="J51" i="70"/>
  <c r="J262" i="70"/>
  <c r="I259" i="70"/>
  <c r="P259" i="70" s="1"/>
  <c r="J96" i="70"/>
  <c r="I95" i="70"/>
  <c r="J115" i="70"/>
  <c r="I114" i="70"/>
  <c r="I23" i="70"/>
  <c r="P23" i="70" s="1"/>
  <c r="J24" i="70"/>
  <c r="J274" i="70"/>
  <c r="I271" i="70"/>
  <c r="P271" i="70" s="1"/>
  <c r="J199" i="70"/>
  <c r="I198" i="70"/>
  <c r="I34" i="70"/>
  <c r="J35" i="70"/>
  <c r="J8" i="70"/>
  <c r="I7" i="70"/>
  <c r="P7" i="70" s="1"/>
  <c r="J28" i="70"/>
  <c r="I27" i="70"/>
  <c r="J215" i="70"/>
  <c r="I213" i="70"/>
  <c r="P213" i="70" s="1"/>
  <c r="I285" i="70"/>
  <c r="J286" i="70"/>
  <c r="I249" i="70"/>
  <c r="J250" i="70"/>
  <c r="J176" i="70"/>
  <c r="J11" i="70"/>
  <c r="I10" i="70"/>
  <c r="P10" i="70" s="1"/>
  <c r="I149" i="70"/>
  <c r="J150" i="70"/>
  <c r="I290" i="70"/>
  <c r="J291" i="70"/>
  <c r="I133" i="70"/>
  <c r="J184" i="70"/>
  <c r="I182" i="70"/>
  <c r="I37" i="70"/>
  <c r="J38" i="70"/>
  <c r="J110" i="70"/>
  <c r="I109" i="70"/>
  <c r="I239" i="70"/>
  <c r="J240" i="70"/>
  <c r="J294" i="70"/>
  <c r="I293" i="70"/>
  <c r="J158" i="70"/>
  <c r="I156" i="70"/>
  <c r="J256" i="70"/>
  <c r="I254" i="70"/>
  <c r="I117" i="70"/>
  <c r="G219" i="70"/>
  <c r="G222" i="70"/>
  <c r="G290" i="70"/>
  <c r="G304" i="70"/>
  <c r="G13" i="70"/>
  <c r="G207" i="70"/>
  <c r="G16" i="70"/>
  <c r="G117" i="70"/>
  <c r="G27" i="70"/>
  <c r="G114" i="70"/>
  <c r="I304" i="70"/>
  <c r="G109" i="70"/>
  <c r="G67" i="70"/>
  <c r="G244" i="70"/>
  <c r="G239" i="70"/>
  <c r="G285" i="70"/>
  <c r="G47" i="70"/>
  <c r="G293" i="70"/>
  <c r="G198" i="70"/>
  <c r="G259" i="70"/>
  <c r="G149" i="70"/>
  <c r="G95" i="70"/>
  <c r="G105" i="70"/>
  <c r="G234" i="70"/>
  <c r="G50" i="70"/>
  <c r="G102" i="70"/>
  <c r="G99" i="70"/>
  <c r="G249" i="70"/>
  <c r="G37" i="70"/>
  <c r="G145" i="70"/>
  <c r="G10" i="70"/>
  <c r="G7" i="70"/>
  <c r="G34" i="70"/>
  <c r="G19" i="70"/>
  <c r="G133" i="70"/>
  <c r="G182" i="70"/>
  <c r="G271" i="70"/>
  <c r="G254" i="70"/>
  <c r="G213" i="70"/>
  <c r="G156" i="70"/>
  <c r="G23" i="70"/>
  <c r="I41" i="70"/>
  <c r="L239" i="70" l="1"/>
  <c r="L114" i="70"/>
  <c r="L145" i="70"/>
  <c r="L149" i="70"/>
  <c r="M234" i="70"/>
  <c r="L293" i="70"/>
  <c r="L304" i="70"/>
  <c r="J293" i="70"/>
  <c r="P293" i="70"/>
  <c r="J290" i="70"/>
  <c r="P290" i="70"/>
  <c r="J27" i="70"/>
  <c r="P27" i="70"/>
  <c r="J244" i="70"/>
  <c r="P244" i="70"/>
  <c r="J114" i="70"/>
  <c r="P114" i="70"/>
  <c r="J19" i="70"/>
  <c r="P19" i="70"/>
  <c r="J149" i="70"/>
  <c r="P149" i="70"/>
  <c r="J239" i="70"/>
  <c r="P239" i="70"/>
  <c r="J95" i="70"/>
  <c r="P95" i="70"/>
  <c r="J16" i="70"/>
  <c r="P16" i="70"/>
  <c r="L41" i="70"/>
  <c r="M41" i="70" s="1"/>
  <c r="P41" i="70"/>
  <c r="J109" i="70"/>
  <c r="P109" i="70"/>
  <c r="J105" i="70"/>
  <c r="P105" i="70"/>
  <c r="J219" i="70"/>
  <c r="P219" i="70"/>
  <c r="M105" i="70"/>
  <c r="J117" i="70"/>
  <c r="P117" i="70"/>
  <c r="J34" i="70"/>
  <c r="P34" i="70"/>
  <c r="J254" i="70"/>
  <c r="P254" i="70"/>
  <c r="J37" i="70"/>
  <c r="P37" i="70"/>
  <c r="J249" i="70"/>
  <c r="P249" i="70"/>
  <c r="J198" i="70"/>
  <c r="P198" i="70"/>
  <c r="J67" i="70"/>
  <c r="P67" i="70"/>
  <c r="J13" i="70"/>
  <c r="P13" i="70"/>
  <c r="J182" i="70"/>
  <c r="P182" i="70"/>
  <c r="J156" i="70"/>
  <c r="P156" i="70"/>
  <c r="J285" i="70"/>
  <c r="P285" i="70"/>
  <c r="J234" i="70"/>
  <c r="P234" i="70"/>
  <c r="J304" i="70"/>
  <c r="P304" i="70"/>
  <c r="J133" i="70"/>
  <c r="P133" i="70"/>
  <c r="J222" i="70"/>
  <c r="P222" i="70"/>
  <c r="I174" i="70"/>
  <c r="P174" i="70" s="1"/>
  <c r="L27" i="70"/>
  <c r="M27" i="70" s="1"/>
  <c r="L37" i="70"/>
  <c r="M37" i="70" s="1"/>
  <c r="L213" i="70"/>
  <c r="M161" i="70"/>
  <c r="L156" i="70"/>
  <c r="M119" i="70"/>
  <c r="L117" i="70"/>
  <c r="M117" i="70" s="1"/>
  <c r="J41" i="70"/>
  <c r="L67" i="70"/>
  <c r="M67" i="70" s="1"/>
  <c r="M304" i="70"/>
  <c r="M182" i="70"/>
  <c r="M293" i="70"/>
  <c r="M259" i="70"/>
  <c r="L258" i="70"/>
  <c r="L174" i="70"/>
  <c r="M174" i="70" s="1"/>
  <c r="L50" i="70"/>
  <c r="L244" i="70"/>
  <c r="M244" i="70" s="1"/>
  <c r="L219" i="70"/>
  <c r="M219" i="70" s="1"/>
  <c r="L99" i="70"/>
  <c r="M145" i="70"/>
  <c r="L144" i="70"/>
  <c r="L222" i="70"/>
  <c r="M222" i="70" s="1"/>
  <c r="M114" i="70"/>
  <c r="L249" i="70"/>
  <c r="M249" i="70" s="1"/>
  <c r="M280" i="70"/>
  <c r="M239" i="70"/>
  <c r="L34" i="70"/>
  <c r="M34" i="70" s="1"/>
  <c r="L13" i="70"/>
  <c r="M13" i="70" s="1"/>
  <c r="L290" i="70"/>
  <c r="M290" i="70" s="1"/>
  <c r="M136" i="70"/>
  <c r="L133" i="70"/>
  <c r="M95" i="70"/>
  <c r="L198" i="70"/>
  <c r="M198" i="70" s="1"/>
  <c r="L19" i="70"/>
  <c r="M19" i="70" s="1"/>
  <c r="M109" i="70"/>
  <c r="L285" i="70"/>
  <c r="M285" i="70" s="1"/>
  <c r="M7" i="70"/>
  <c r="L197" i="70"/>
  <c r="M149" i="70"/>
  <c r="L254" i="70"/>
  <c r="M254" i="70" s="1"/>
  <c r="L10" i="70"/>
  <c r="L16" i="70"/>
  <c r="M16" i="70" s="1"/>
  <c r="L23" i="70"/>
  <c r="M271" i="70"/>
  <c r="J23" i="70"/>
  <c r="I22" i="70"/>
  <c r="J10" i="70"/>
  <c r="I9" i="70"/>
  <c r="I197" i="70"/>
  <c r="J99" i="70"/>
  <c r="I98" i="70"/>
  <c r="J7" i="70"/>
  <c r="I6" i="70"/>
  <c r="J259" i="70"/>
  <c r="I258" i="70"/>
  <c r="I144" i="70"/>
  <c r="J145" i="70"/>
  <c r="J50" i="70"/>
  <c r="I43" i="70"/>
  <c r="P43" i="70" s="1"/>
  <c r="J271" i="70"/>
  <c r="I270" i="70"/>
  <c r="I232" i="70" s="1"/>
  <c r="J213" i="70"/>
  <c r="I212" i="70"/>
  <c r="G174" i="70"/>
  <c r="G258" i="70"/>
  <c r="G144" i="70"/>
  <c r="G197" i="70"/>
  <c r="G270" i="70"/>
  <c r="G42" i="70"/>
  <c r="G98" i="70"/>
  <c r="G6" i="70"/>
  <c r="G212" i="70"/>
  <c r="G43" i="70"/>
  <c r="G22" i="70"/>
  <c r="G9" i="70"/>
  <c r="G41" i="70"/>
  <c r="G151" i="70"/>
  <c r="I151" i="70" l="1"/>
  <c r="P151" i="70" s="1"/>
  <c r="J174" i="70"/>
  <c r="J144" i="70"/>
  <c r="P144" i="70"/>
  <c r="M144" i="70"/>
  <c r="J258" i="70"/>
  <c r="P258" i="70"/>
  <c r="J232" i="70"/>
  <c r="P232" i="70"/>
  <c r="J6" i="70"/>
  <c r="P6" i="70"/>
  <c r="J212" i="70"/>
  <c r="P212" i="70"/>
  <c r="J98" i="70"/>
  <c r="P98" i="70"/>
  <c r="J270" i="70"/>
  <c r="P270" i="70"/>
  <c r="J197" i="70"/>
  <c r="P197" i="70"/>
  <c r="J9" i="70"/>
  <c r="P9" i="70"/>
  <c r="J22" i="70"/>
  <c r="P22" i="70"/>
  <c r="L270" i="70"/>
  <c r="M270" i="70" s="1"/>
  <c r="L9" i="70"/>
  <c r="M9" i="70" s="1"/>
  <c r="M10" i="70"/>
  <c r="M133" i="70"/>
  <c r="M99" i="70"/>
  <c r="L98" i="70"/>
  <c r="M98" i="70" s="1"/>
  <c r="M197" i="70"/>
  <c r="M50" i="70"/>
  <c r="L43" i="70"/>
  <c r="M156" i="70"/>
  <c r="L151" i="70"/>
  <c r="M151" i="70" s="1"/>
  <c r="L6" i="70"/>
  <c r="M6" i="70" s="1"/>
  <c r="M258" i="70"/>
  <c r="M213" i="70"/>
  <c r="L212" i="70"/>
  <c r="M212" i="70" s="1"/>
  <c r="M23" i="70"/>
  <c r="L22" i="70"/>
  <c r="M22" i="70" s="1"/>
  <c r="J43" i="70"/>
  <c r="I42" i="70"/>
  <c r="J151" i="70"/>
  <c r="I310" i="70"/>
  <c r="P310" i="70" s="1"/>
  <c r="G310" i="70"/>
  <c r="B115" i="70"/>
  <c r="G232" i="70"/>
  <c r="G113" i="70"/>
  <c r="L232" i="70" l="1"/>
  <c r="M232" i="70" s="1"/>
  <c r="P42" i="70"/>
  <c r="L42" i="70"/>
  <c r="L113" i="70" s="1"/>
  <c r="M43" i="70"/>
  <c r="I113" i="70"/>
  <c r="I127" i="70" s="1"/>
  <c r="J42" i="70"/>
  <c r="J310" i="70"/>
  <c r="I312" i="70"/>
  <c r="G127" i="70"/>
  <c r="G312" i="70"/>
  <c r="L310" i="70" l="1"/>
  <c r="J127" i="70"/>
  <c r="P127" i="70"/>
  <c r="J113" i="70"/>
  <c r="P113" i="70"/>
  <c r="J312" i="70"/>
  <c r="P312" i="70"/>
  <c r="I3" i="70"/>
  <c r="M113" i="70"/>
  <c r="L3" i="70"/>
  <c r="L127" i="70"/>
  <c r="M310" i="70"/>
  <c r="L312" i="70"/>
  <c r="M312" i="70" s="1"/>
  <c r="M42" i="70"/>
  <c r="I313" i="70"/>
  <c r="G313" i="70"/>
  <c r="J313" i="70" l="1"/>
  <c r="P313" i="70"/>
  <c r="L313" i="70"/>
  <c r="M313" i="70" s="1"/>
  <c r="M127"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6" authorId="0" shapeId="0" xr:uid="{D677856D-7020-4575-A1D2-132129FF2C9A}">
      <text>
        <r>
          <rPr>
            <b/>
            <sz val="9"/>
            <color indexed="81"/>
            <rFont val="Tahoma"/>
            <family val="2"/>
            <charset val="186"/>
          </rPr>
          <t>Sarmīte Mūze:</t>
        </r>
        <r>
          <rPr>
            <sz val="9"/>
            <color indexed="81"/>
            <rFont val="Tahoma"/>
            <family val="2"/>
            <charset val="186"/>
          </rPr>
          <t xml:space="preserve">
1010 supervizijas EKK 18.6.3.</t>
        </r>
      </text>
    </comment>
    <comment ref="O185" authorId="0" shapeId="0" xr:uid="{3398E239-90FD-4AEC-9ED6-7DDC4DEB041C}">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300" authorId="0" shapeId="0" xr:uid="{F33940A2-2E62-4AAF-8657-1EBDE77A525C}">
      <text>
        <r>
          <rPr>
            <b/>
            <sz val="9"/>
            <color indexed="81"/>
            <rFont val="Tahoma"/>
            <family val="2"/>
            <charset val="186"/>
          </rPr>
          <t>Sarmīte Mūze:</t>
        </r>
        <r>
          <rPr>
            <sz val="9"/>
            <color indexed="81"/>
            <rFont val="Tahoma"/>
            <family val="2"/>
            <charset val="186"/>
          </rPr>
          <t xml:space="preserve">
Šis ir jāizņem no 0930 un jāliek 0982 algā.
</t>
        </r>
      </text>
    </comment>
    <comment ref="F300"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300" authorId="0" shapeId="0" xr:uid="{C460955E-F820-46C3-B88A-769E11057E03}">
      <text>
        <r>
          <rPr>
            <b/>
            <sz val="9"/>
            <color indexed="81"/>
            <rFont val="Tahoma"/>
            <family val="2"/>
            <charset val="186"/>
          </rPr>
          <t>Sarmīte Mūze:</t>
        </r>
        <r>
          <rPr>
            <sz val="9"/>
            <color indexed="81"/>
            <rFont val="Tahoma"/>
            <family val="2"/>
            <charset val="186"/>
          </rPr>
          <t xml:space="preserve">
Šis ir jāizņem no 0930 un jāliek 0982 algā.
</t>
        </r>
      </text>
    </comment>
    <comment ref="L300" authorId="0" shapeId="0" xr:uid="{88F9A985-277C-465D-9CB6-AED29690A7A8}">
      <text>
        <r>
          <rPr>
            <b/>
            <sz val="9"/>
            <color indexed="81"/>
            <rFont val="Tahoma"/>
            <family val="2"/>
            <charset val="186"/>
          </rPr>
          <t>Sarmīte Mūze:</t>
        </r>
        <r>
          <rPr>
            <sz val="9"/>
            <color indexed="81"/>
            <rFont val="Tahoma"/>
            <family val="2"/>
            <charset val="186"/>
          </rPr>
          <t xml:space="preserve">
Šis ir jāizņem no 0930 un jāliek 0982 algā.
</t>
        </r>
      </text>
    </comment>
    <comment ref="O300" authorId="0" shapeId="0" xr:uid="{D7F17BB5-B3A7-4080-9EB1-677150E586FB}">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<sst xmlns="http://schemas.openxmlformats.org/spreadsheetml/2006/main" count="1733" uniqueCount="1153">
  <si>
    <t xml:space="preserve">Ieņēmumu daļa </t>
  </si>
  <si>
    <t xml:space="preserve">N.p.k. </t>
  </si>
  <si>
    <t>Sadaļa</t>
  </si>
  <si>
    <t>Komentāri</t>
  </si>
  <si>
    <t>Komentāri par izpildi</t>
  </si>
  <si>
    <t>1., 2., 3., 4., 5.</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</si>
  <si>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</si>
  <si>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</si>
  <si>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</si>
  <si>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</si>
  <si>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</si>
  <si>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</si>
  <si>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</si>
  <si>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</si>
  <si>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</si>
  <si>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</si>
  <si>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</si>
  <si>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</si>
  <si>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</si>
  <si>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</si>
  <si>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</si>
  <si>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</si>
  <si>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</si>
  <si>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</si>
  <si>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</si>
  <si>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</si>
  <si>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</si>
  <si>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</si>
  <si>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</si>
  <si>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</si>
  <si>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</si>
  <si>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</si>
  <si>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</si>
  <si>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</si>
  <si>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</si>
  <si>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</si>
  <si>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</si>
  <si>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</si>
  <si>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</si>
  <si>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</si>
  <si>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</si>
  <si>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</si>
  <si>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</si>
  <si>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</si>
  <si>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</si>
  <si>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</si>
  <si>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</si>
  <si>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</si>
  <si>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</si>
  <si>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</si>
  <si>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</si>
  <si>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</si>
  <si>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</si>
  <si>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</si>
  <si>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</si>
  <si>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</si>
  <si>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</si>
  <si>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</si>
  <si>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</si>
  <si>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</si>
  <si>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</si>
  <si>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</si>
  <si>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</si>
  <si>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</si>
  <si>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</si>
  <si>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</si>
  <si>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</si>
  <si>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</si>
  <si>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</si>
  <si>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</si>
  <si>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</si>
  <si>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</si>
  <si>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</si>
  <si>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</si>
  <si>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</si>
  <si>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</si>
  <si>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</si>
  <si>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</si>
  <si>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</si>
  <si>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</si>
  <si>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</si>
  <si>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</si>
  <si>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</si>
  <si>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</si>
  <si>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</si>
  <si>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</si>
  <si>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</si>
  <si>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</si>
  <si>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</si>
  <si>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</si>
  <si>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</si>
  <si>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</si>
  <si>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</si>
  <si>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</si>
  <si>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</si>
  <si>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</si>
  <si>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</si>
  <si>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</si>
  <si>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</si>
  <si>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</si>
  <si>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</si>
  <si>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</si>
  <si>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</si>
  <si>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</si>
  <si>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</si>
  <si>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</si>
  <si>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</si>
  <si>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</si>
  <si>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</si>
  <si>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</si>
  <si>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</si>
  <si>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</si>
  <si>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</si>
  <si>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</si>
  <si>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</si>
  <si>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</si>
  <si>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</si>
  <si>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</si>
  <si>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</si>
  <si>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</si>
  <si>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</si>
  <si>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</si>
  <si>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</si>
  <si>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</si>
  <si>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</si>
  <si>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</si>
  <si>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</si>
  <si>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</si>
  <si>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</si>
  <si>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</si>
  <si>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</si>
  <si>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</si>
  <si>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</si>
  <si>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</si>
  <si>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</si>
  <si>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</si>
  <si>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</si>
  <si>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</si>
  <si>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</si>
  <si>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</si>
  <si>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</si>
  <si>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</si>
  <si>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</si>
  <si>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</si>
  <si>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</si>
  <si>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</si>
  <si>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</si>
  <si>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</si>
  <si>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</si>
  <si>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</si>
  <si>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</si>
  <si>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</si>
  <si>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</si>
  <si>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</si>
  <si>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</si>
  <si>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</si>
  <si>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</si>
  <si>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Izdevumi neparedzētiem gadījumiem</t>
  </si>
  <si>
    <t>Sabiedriskā kārtība un drošība</t>
  </si>
  <si>
    <t>Sabiedriskās attiecības, laikraksts</t>
  </si>
  <si>
    <t>Pašvaldības teritoriju un mājokļu apsaimniekošana</t>
  </si>
  <si>
    <t>5.1.</t>
  </si>
  <si>
    <t>Būvvalde</t>
  </si>
  <si>
    <t>5.2.</t>
  </si>
  <si>
    <t>nodaļa</t>
  </si>
  <si>
    <t>5.3.</t>
  </si>
  <si>
    <t>Objektu un teritorijas apsaimniekošana un uzturēšana</t>
  </si>
  <si>
    <t>5.4.</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</si>
  <si>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</si>
  <si>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</si>
  <si>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</si>
  <si>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</si>
  <si>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</si>
  <si>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</si>
  <si>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</si>
  <si>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</si>
  <si>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</si>
  <si>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</si>
  <si>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</si>
  <si>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</si>
  <si>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</si>
  <si>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</si>
  <si>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</si>
  <si>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</si>
  <si>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</si>
  <si>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</si>
  <si>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</si>
  <si>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</si>
  <si>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</si>
  <si>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</si>
  <si>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</si>
  <si>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</si>
  <si>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</si>
  <si>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</si>
  <si>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</si>
  <si>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</si>
  <si>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</si>
  <si>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</si>
  <si>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</si>
  <si>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</si>
  <si>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</si>
  <si>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</si>
  <si>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</si>
  <si>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</si>
  <si>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</si>
  <si>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</si>
  <si>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Nosaukums</t>
  </si>
  <si>
    <t>0110</t>
  </si>
  <si>
    <t>0111</t>
  </si>
  <si>
    <t>0120</t>
  </si>
  <si>
    <t>0130</t>
  </si>
  <si>
    <t>0140</t>
  </si>
  <si>
    <t>0150</t>
  </si>
  <si>
    <t>0490</t>
  </si>
  <si>
    <t>0340</t>
  </si>
  <si>
    <t>0610</t>
  </si>
  <si>
    <t>0630</t>
  </si>
  <si>
    <t>0812</t>
  </si>
  <si>
    <t>0830</t>
  </si>
  <si>
    <t>0880</t>
  </si>
  <si>
    <t>0910</t>
  </si>
  <si>
    <t>0950</t>
  </si>
  <si>
    <t>0965</t>
  </si>
  <si>
    <t>0970</t>
  </si>
  <si>
    <t>EUR</t>
  </si>
  <si>
    <t>Mērķdotācija</t>
  </si>
  <si>
    <t>Pašvaldības finansējums</t>
  </si>
  <si>
    <t>A</t>
  </si>
  <si>
    <t>Pabalsti</t>
  </si>
  <si>
    <t>7.1.1.</t>
  </si>
  <si>
    <t>Asistentu pakalpojumi</t>
  </si>
  <si>
    <t>7.1.2.</t>
  </si>
  <si>
    <t>Domes finansējums</t>
  </si>
  <si>
    <t>NVA finansējums</t>
  </si>
  <si>
    <t>5.6.</t>
  </si>
  <si>
    <t>pārējās komisijas</t>
  </si>
  <si>
    <t>projekts Erasmus+</t>
  </si>
  <si>
    <t>pedagogu algas, grāmatas (mērķdotācija)</t>
  </si>
  <si>
    <t>6.6.</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</si>
  <si>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</si>
  <si>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</si>
  <si>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</si>
  <si>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</si>
  <si>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</si>
  <si>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</si>
  <si>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</si>
  <si>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</si>
  <si>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</si>
  <si>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</si>
  <si>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</si>
  <si>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</si>
  <si>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0956</t>
  </si>
  <si>
    <t>7.4.</t>
  </si>
  <si>
    <t>dotācija sociālajiem darbiniekiem, kuri strādā ar ģimenēm un bērniem</t>
  </si>
  <si>
    <t xml:space="preserve">18.6.3.13. </t>
  </si>
  <si>
    <t>sākumskolas uzturēšanas izmaksas</t>
  </si>
  <si>
    <t xml:space="preserve">Komentāri </t>
  </si>
  <si>
    <t>projekts "Skolas soma"</t>
  </si>
  <si>
    <t>dotācija māksliniecisko kolektīvu vadītāju atalgojumam</t>
  </si>
  <si>
    <t>18.6.2.6.1.</t>
  </si>
  <si>
    <t xml:space="preserve"> </t>
  </si>
  <si>
    <t>Pārējās privātās vidējās izglītības iestādes</t>
  </si>
  <si>
    <t>ēdināšana (mērķdotācija)</t>
  </si>
  <si>
    <t>sākumskolas ēdināšana (mērķdotācija)</t>
  </si>
  <si>
    <t>18.6.2.10.; 18.6.2.11</t>
  </si>
  <si>
    <t>0911</t>
  </si>
  <si>
    <t>0921</t>
  </si>
  <si>
    <t>valsts dotācija ceļu uzturēšanai</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</si>
  <si>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</si>
  <si>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</si>
  <si>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</si>
  <si>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</si>
  <si>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</si>
  <si>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</si>
  <si>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</si>
  <si>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</si>
  <si>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</si>
  <si>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</si>
  <si>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</si>
  <si>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</si>
  <si>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</si>
  <si>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</si>
  <si>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</si>
  <si>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</si>
  <si>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12.5.</t>
  </si>
  <si>
    <t>1.9.</t>
  </si>
  <si>
    <t>Autoceļu fonds</t>
  </si>
  <si>
    <t>CKS</t>
  </si>
  <si>
    <t>Projekts "Sabiedrība ar dvēseli"</t>
  </si>
  <si>
    <t>Pirmsskolas izglītības iestāde "Riekstiņš"</t>
  </si>
  <si>
    <t>Carnikava</t>
  </si>
  <si>
    <t>Nr.p.k.</t>
  </si>
  <si>
    <t>Kultūra</t>
  </si>
  <si>
    <t>Pirmsskolas izglītības iestādes "Piejūra"</t>
  </si>
  <si>
    <t>7.1.3.</t>
  </si>
  <si>
    <t>Projekts "Skolas soma" Ādaži</t>
  </si>
  <si>
    <t>ESF projekts Karjeras atbalsts vispārējās un profesionālās izglītības iestādēs ©</t>
  </si>
  <si>
    <t>12.3.1.</t>
  </si>
  <si>
    <t>12.3.2.</t>
  </si>
  <si>
    <t>ieņēmumi par telpu nomu</t>
  </si>
  <si>
    <t>ieņēmumi par zemes nomu</t>
  </si>
  <si>
    <t>12.3.3.</t>
  </si>
  <si>
    <t>pārējie ieņēmumi par nomu ©</t>
  </si>
  <si>
    <t>ieņēmumi no zvejas tiesību nomas</t>
  </si>
  <si>
    <t>Informācijas tehnoloģiju nodaļa, vispārējas nozīmes dienestu darbība un pakalpojumi - datortīkla uzturēšana ©</t>
  </si>
  <si>
    <t>Tautas nams "Ozolaine" ©</t>
  </si>
  <si>
    <t>SAM 5.5.1. Kultūras objektu būvniecība (maksājumi projekta partneriem) ©</t>
  </si>
  <si>
    <t>ES projekts Eiropa pilsoņiem (diskriminētām personām) ©</t>
  </si>
  <si>
    <t>Ādažu pašvaldības apvienotais budžets</t>
  </si>
  <si>
    <t>SAM 5.5.1. Kultūras objektu būvniecība</t>
  </si>
  <si>
    <t>Ādaži</t>
  </si>
  <si>
    <t>ERASMUS + projekti</t>
  </si>
  <si>
    <t>0952.1</t>
  </si>
  <si>
    <t>0954</t>
  </si>
  <si>
    <t>0957</t>
  </si>
  <si>
    <t>09824</t>
  </si>
  <si>
    <t>C</t>
  </si>
  <si>
    <t>09011</t>
  </si>
  <si>
    <t>0901; 650_0901</t>
  </si>
  <si>
    <t>0902; 650_0902</t>
  </si>
  <si>
    <t>09021</t>
  </si>
  <si>
    <t>0982</t>
  </si>
  <si>
    <t>09821</t>
  </si>
  <si>
    <t>09822</t>
  </si>
  <si>
    <t>0932</t>
  </si>
  <si>
    <t>0931</t>
  </si>
  <si>
    <t>5.5.</t>
  </si>
  <si>
    <t>7.5.</t>
  </si>
  <si>
    <t>0831</t>
  </si>
  <si>
    <t>0170</t>
  </si>
  <si>
    <t>0670</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</si>
  <si>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</si>
  <si>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</si>
  <si>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</si>
  <si>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</si>
  <si>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</si>
  <si>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</si>
  <si>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</si>
  <si>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</si>
  <si>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</si>
  <si>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</si>
  <si>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</si>
  <si>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Nodokļi un maksājumi par tiesībām lietot atsevišķas preces</t>
  </si>
  <si>
    <t>Ekonomiskā darbība</t>
  </si>
  <si>
    <t>Dabas resursu nodokļa izlietojums</t>
  </si>
  <si>
    <t>Vides aizsardzība</t>
  </si>
  <si>
    <t>7.6.</t>
  </si>
  <si>
    <t>7.7.</t>
  </si>
  <si>
    <t>8.3.3.</t>
  </si>
  <si>
    <t>Sabiedrisko attiecību nodaļa</t>
  </si>
  <si>
    <t>0841.2</t>
  </si>
  <si>
    <t>1014.1</t>
  </si>
  <si>
    <t>0510</t>
  </si>
  <si>
    <t>0420</t>
  </si>
  <si>
    <t>0633.1</t>
  </si>
  <si>
    <t>0633.2</t>
  </si>
  <si>
    <t>0841.1</t>
  </si>
  <si>
    <t>1013.1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</si>
  <si>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</si>
  <si>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</si>
  <si>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</si>
  <si>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</si>
  <si>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</si>
  <si>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</si>
  <si>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</si>
  <si>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</si>
  <si>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</si>
  <si>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</si>
  <si>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</si>
  <si>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</si>
  <si>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</si>
  <si>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</si>
  <si>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</si>
  <si>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</si>
  <si>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</si>
  <si>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</si>
  <si>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</si>
  <si>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</si>
  <si>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</si>
  <si>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</si>
  <si>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10.2.5.</t>
  </si>
  <si>
    <t>10.2.6.</t>
  </si>
  <si>
    <t>10.2.8.</t>
  </si>
  <si>
    <t>10.2.10.</t>
  </si>
  <si>
    <t>10.2.11.</t>
  </si>
  <si>
    <t>18.6.4.0.</t>
  </si>
  <si>
    <t>IIN budžeta dotācija</t>
  </si>
  <si>
    <t>10.3.</t>
  </si>
  <si>
    <t>0620</t>
  </si>
  <si>
    <t>0633.4</t>
  </si>
  <si>
    <t>0634</t>
  </si>
  <si>
    <t>0844.1</t>
  </si>
  <si>
    <t>0844.2</t>
  </si>
  <si>
    <t>0420 (18.6.2.9.)</t>
  </si>
  <si>
    <t>0933</t>
  </si>
  <si>
    <t>09651</t>
  </si>
  <si>
    <t>0920</t>
  </si>
  <si>
    <t>09825</t>
  </si>
  <si>
    <t>0660</t>
  </si>
  <si>
    <t>Ādažu vēstis</t>
  </si>
  <si>
    <t>Iedzīvotāju iniciatīvas un konkursi.</t>
  </si>
  <si>
    <t>10.2.13.</t>
  </si>
  <si>
    <t>10.2.14.</t>
  </si>
  <si>
    <t>0630.2</t>
  </si>
  <si>
    <t>0630.1</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</si>
  <si>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</si>
  <si>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</si>
  <si>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</si>
  <si>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</si>
  <si>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</si>
  <si>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</si>
  <si>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</si>
  <si>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</si>
  <si>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7.2.1.</t>
  </si>
  <si>
    <t>7.2.2.</t>
  </si>
  <si>
    <t xml:space="preserve">0633.1 </t>
  </si>
  <si>
    <t xml:space="preserve"> ”Mobilitātes punkta infrastruktūras izveidošana Rīgas metropoles areālā – “Carnikava””</t>
  </si>
  <si>
    <t>Dotācijas "Energoresursu atbalsts"</t>
  </si>
  <si>
    <t>Valsts finansējums projektu konkursā "Atbalsts jaunatnes politikas īstenošanai vietējā līmenī"  projekts "Mobilais darbs ar jaunatni Ādažu novadā"</t>
  </si>
  <si>
    <t>0912</t>
  </si>
  <si>
    <t>TEP “Atjaunojamo energoresursu izmantošana Ādažu novadā” (EUCF)</t>
  </si>
  <si>
    <t>SAM 5.1.1. Pretplūdu pasākumi Ādažu centra polderī, Ādažu novadā</t>
  </si>
  <si>
    <t>0632.5</t>
  </si>
  <si>
    <t>14.1.</t>
  </si>
  <si>
    <t>14.2.</t>
  </si>
  <si>
    <t>14.4.</t>
  </si>
  <si>
    <t>14.5.</t>
  </si>
  <si>
    <t>14.6.</t>
  </si>
  <si>
    <t>Plūdu risku projekts</t>
  </si>
  <si>
    <t>Dotācija nodarbinātības pasākumiem</t>
  </si>
  <si>
    <t>10.2.9.</t>
  </si>
  <si>
    <t>10.2.12.</t>
  </si>
  <si>
    <t>10.2.17.</t>
  </si>
  <si>
    <t>10.2.18.</t>
  </si>
  <si>
    <t>DI centra uzturēšanas izdevumi</t>
  </si>
  <si>
    <t>DI centra pakalpojumi (projekts)</t>
  </si>
  <si>
    <t>Ādažu novada  Mākslu skola</t>
  </si>
  <si>
    <t>DI projekts- specializētās darbnīcas</t>
  </si>
  <si>
    <t>ieņēmumi no vecāku maksām (PII)</t>
  </si>
  <si>
    <t>ieņēmumi no vecāku maksām (ĀMMS; BJSS)</t>
  </si>
  <si>
    <t>21.3.9.3.</t>
  </si>
  <si>
    <t>ieņēmumi no biļešu realizācijas</t>
  </si>
  <si>
    <t>maksa par izglītības pakalpojumiem</t>
  </si>
  <si>
    <t>pārējie ieņēmumi/stāvvietu ieņēmumi</t>
  </si>
  <si>
    <t>09.5.1.2.</t>
  </si>
  <si>
    <t>KA</t>
  </si>
  <si>
    <t>uzturēšanas izmaksas (CKS)</t>
  </si>
  <si>
    <t>Muzejs un Carnikavas novadpētniecības centrs</t>
  </si>
  <si>
    <t>0843</t>
  </si>
  <si>
    <t>1014.3</t>
  </si>
  <si>
    <t>10.2.20.</t>
  </si>
  <si>
    <t>14.10.</t>
  </si>
  <si>
    <t>EKII projekts</t>
  </si>
  <si>
    <t>Draudzības iela posmā no Saules ielai līdz Podnieku ielai ar ietvi 0.35km</t>
  </si>
  <si>
    <t>Dotācija CKS teritorijas uzturēšanai</t>
  </si>
  <si>
    <t>Dotācija CKS ceļu uzturēšanai</t>
  </si>
  <si>
    <t>Teritorijas uzturēšana (Dome)</t>
  </si>
  <si>
    <t>10.1.12.</t>
  </si>
  <si>
    <t>10.1.13.</t>
  </si>
  <si>
    <t>10.1.14.</t>
  </si>
  <si>
    <t>Precizēta summa pēc līguma noslēgšanas</t>
  </si>
  <si>
    <t>Tiek ieskaitīts reizi ceturksnī.</t>
  </si>
  <si>
    <t>Realizē CKS</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</si>
  <si>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</si>
  <si>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</si>
  <si>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</si>
  <si>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</si>
  <si>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</si>
  <si>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08412</t>
  </si>
  <si>
    <t>Rēķins par visu gadu gada sākumā, var nomaksāt 4os maksājumos.</t>
  </si>
  <si>
    <t>Pēc faktiskās izpildes.</t>
  </si>
  <si>
    <t>Par projektiem ziņo IDR</t>
  </si>
  <si>
    <t>Lielākās plāna pozīcijas bērnu radošās nometnes vasarā.</t>
  </si>
  <si>
    <t>Līdzfinansējums skolēnu dalībai konkursos</t>
  </si>
  <si>
    <t>Izglītības un jaunatnes nodaļa</t>
  </si>
  <si>
    <t>0633.6</t>
  </si>
  <si>
    <t>Tūrisms</t>
  </si>
  <si>
    <t>ANM pasākuma "Atbalsta pasākumi cilvēkiem ar invaliditāti mājokļu vides pieejamības nodrošināšanai" projekts</t>
  </si>
  <si>
    <t>Ādažu vidusskolas ēkas A korpusa, savienojuma daļas starp korpusiem (A un B), kā arī, vidusskolas centrālās daļas, tai skaitā torņa fasādes atjaunošana.</t>
  </si>
  <si>
    <t>0632.6</t>
  </si>
  <si>
    <t>LIFE NewBauhaus projekts</t>
  </si>
  <si>
    <t>Krastupes ielas projekts</t>
  </si>
  <si>
    <t>Dzirnupes ielas tilta projekts, Carnikava</t>
  </si>
  <si>
    <t xml:space="preserve">Pārējās privātās PII </t>
  </si>
  <si>
    <t>Publiskās ārtelpas izveide Gaujas ielā 31 Ādažos</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</si>
  <si>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</si>
  <si>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</si>
  <si>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</si>
  <si>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</si>
  <si>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21.3.9.9.; CKS</t>
  </si>
  <si>
    <t>AM līdzfinansējums Vecštāles ceļa rekonstrukcijai</t>
  </si>
  <si>
    <t>7.1.4.</t>
  </si>
  <si>
    <t xml:space="preserve">ESF projekts Atbalsts priekšlaicīgas mācību pārtraukšanas samazināšanai © </t>
  </si>
  <si>
    <t>10.1.15.</t>
  </si>
  <si>
    <t>projekti Erasmus+; NordPlus</t>
  </si>
  <si>
    <t xml:space="preserve">Apgaismes stabi Attekas ielas savienojumā no Ķiršu līdz Draudzības ielai. </t>
  </si>
  <si>
    <t>10.2.7.</t>
  </si>
  <si>
    <t>- uzturēšanas izmaksas (CKS)</t>
  </si>
  <si>
    <t>sākumskolas uzturēšanas izmaksas (CKS)</t>
  </si>
  <si>
    <t>-  sporta funkcijas nodrošināšana</t>
  </si>
  <si>
    <t>AND trūkstošais finansējums uz, ko jāatmaksā citām pašv.</t>
  </si>
  <si>
    <t>Jaunas pirmsskolas izglītības iestādes Podniekos būvniecība</t>
  </si>
  <si>
    <t>0903</t>
  </si>
  <si>
    <t>12.2.3.0.</t>
  </si>
  <si>
    <t>18.6.2.14.</t>
  </si>
  <si>
    <t>18.6.2.20.</t>
  </si>
  <si>
    <t>MD pedagogiem</t>
  </si>
  <si>
    <t>MD interešu izglītība</t>
  </si>
  <si>
    <t>MD mācību līdzekļiem</t>
  </si>
  <si>
    <t>0954.1</t>
  </si>
  <si>
    <t>09821.1</t>
  </si>
  <si>
    <t>- pedagogu algas, māc. līdzekļi (mērķdotācija)</t>
  </si>
  <si>
    <t>Pašvaldības DRN maksājums</t>
  </si>
  <si>
    <t>Projekts noslēdzies, konta atlikums.</t>
  </si>
  <si>
    <t>0632.7</t>
  </si>
  <si>
    <t>Atņemts EKK 7230, jo tā izpilde nāk no CKS</t>
  </si>
  <si>
    <t>Kļavu ielā divkārtas virsmas apstrāde 0.35km</t>
  </si>
  <si>
    <t>Mežmalas ielas seguma vienkāršotā atjaunošana, 0.22km, Alderi</t>
  </si>
  <si>
    <t>DI centra uzturēšanas izdevumi (CKS)</t>
  </si>
  <si>
    <t>Uzturēšanas izdevumi (CKS)</t>
  </si>
  <si>
    <t>8.9.</t>
  </si>
  <si>
    <t>0631.2</t>
  </si>
  <si>
    <t>0634.1</t>
  </si>
  <si>
    <t>Jaunais plūdu projekts - 2.1.3.2. "Nacionālas nozīmes plūdu un krasta erozijas pasākumi" 1.daļa</t>
  </si>
  <si>
    <t xml:space="preserve">Par projekta gaitu ziņo izpilddirektors. </t>
  </si>
  <si>
    <t>Līdzdalības budžets</t>
  </si>
  <si>
    <t>0940.2</t>
  </si>
  <si>
    <t>0940.3</t>
  </si>
  <si>
    <t>Carnikavas vidusskola</t>
  </si>
  <si>
    <t>Norēķini notiek 3x gadā.</t>
  </si>
  <si>
    <t>Ādažu vidusskolas D korpusa siltināšana</t>
  </si>
  <si>
    <t>Ziedojumi</t>
  </si>
  <si>
    <t>"Upesceļi II/Ūdenstūrisma pieejamības veicināšana (RiverwaysII/Facilitating access to watertourism activities)".</t>
  </si>
  <si>
    <t>0631.3</t>
  </si>
  <si>
    <t>Projekts "Atbalsta pasākumi cilvēkiem ar invaliditāti mājokļu vides pieejamības nodrošināšanai"</t>
  </si>
  <si>
    <t>0904</t>
  </si>
  <si>
    <t>I.cet. 22%, II.cet.23%. III.cet.27%, IV.cet. 28%</t>
  </si>
  <si>
    <t>21.1.9.1.</t>
  </si>
  <si>
    <t>8.3.9.0.; 8.6.1.2.; 8.6.4.0.; 12.3.9.9.</t>
  </si>
  <si>
    <t>pārrobežu projektu ieņēmumi</t>
  </si>
  <si>
    <t>0690</t>
  </si>
  <si>
    <t>3.1.1.</t>
  </si>
  <si>
    <t>3.1.2.</t>
  </si>
  <si>
    <t>5.5.1.</t>
  </si>
  <si>
    <t>5.5.2.</t>
  </si>
  <si>
    <t>5.5.3.</t>
  </si>
  <si>
    <t>5.5.4.</t>
  </si>
  <si>
    <t>5.5.5.</t>
  </si>
  <si>
    <t>5.5.6.</t>
  </si>
  <si>
    <t>5.5.7.</t>
  </si>
  <si>
    <t>5.5.8.</t>
  </si>
  <si>
    <t>5.5.9.</t>
  </si>
  <si>
    <t>5.5.10.</t>
  </si>
  <si>
    <t>5.5.11.</t>
  </si>
  <si>
    <t>5.5.12.</t>
  </si>
  <si>
    <t>5.5.13.</t>
  </si>
  <si>
    <t>5.6.1.</t>
  </si>
  <si>
    <t>5.6.2.</t>
  </si>
  <si>
    <t>5.6.3.</t>
  </si>
  <si>
    <t>5.6.4.</t>
  </si>
  <si>
    <t>5.6.6.</t>
  </si>
  <si>
    <t>5.6.7.</t>
  </si>
  <si>
    <t>5.6.10.</t>
  </si>
  <si>
    <t>5.6.11.</t>
  </si>
  <si>
    <t>5.6.12.</t>
  </si>
  <si>
    <t>5.6.13.</t>
  </si>
  <si>
    <t>5.6.14.</t>
  </si>
  <si>
    <t>5.6.15.</t>
  </si>
  <si>
    <t>5.6.16.</t>
  </si>
  <si>
    <t>6.1.4.</t>
  </si>
  <si>
    <t>7.1.5.</t>
  </si>
  <si>
    <t>7.3.1.</t>
  </si>
  <si>
    <t>7.3.2.</t>
  </si>
  <si>
    <t>7.3.3.</t>
  </si>
  <si>
    <t>7.3.4.</t>
  </si>
  <si>
    <t>8.2.3.</t>
  </si>
  <si>
    <t>8.4.1.</t>
  </si>
  <si>
    <t>8.4.2.</t>
  </si>
  <si>
    <t>8.4.3.</t>
  </si>
  <si>
    <t>8.5.1.</t>
  </si>
  <si>
    <t>8.5.2.</t>
  </si>
  <si>
    <t>8.5.3.</t>
  </si>
  <si>
    <t>8.6.1.</t>
  </si>
  <si>
    <t>8.6.2.</t>
  </si>
  <si>
    <t>8.6.3.</t>
  </si>
  <si>
    <t>8.7.1.</t>
  </si>
  <si>
    <t>8.7.1.1.</t>
  </si>
  <si>
    <t>8.7.1.2.</t>
  </si>
  <si>
    <t>8.7.1.3.</t>
  </si>
  <si>
    <t>8.7.2.</t>
  </si>
  <si>
    <t>8.7.3.</t>
  </si>
  <si>
    <t>8.7.4.</t>
  </si>
  <si>
    <t>8.7.5.</t>
  </si>
  <si>
    <t>8.7.6.</t>
  </si>
  <si>
    <t>8.7.7.</t>
  </si>
  <si>
    <t>8.8.1.</t>
  </si>
  <si>
    <t>8.8.1.1.</t>
  </si>
  <si>
    <t>8.8.1.2.</t>
  </si>
  <si>
    <t>8.8.1.3.</t>
  </si>
  <si>
    <t>8.8.2.</t>
  </si>
  <si>
    <t>8.8.3.</t>
  </si>
  <si>
    <t>8.8.4.</t>
  </si>
  <si>
    <t>8.8.5.</t>
  </si>
  <si>
    <t>8.8.6.</t>
  </si>
  <si>
    <t>8.8.7.</t>
  </si>
  <si>
    <t>8.8.8.</t>
  </si>
  <si>
    <t>8.8.9.</t>
  </si>
  <si>
    <t>8.8.10.</t>
  </si>
  <si>
    <t>8.8.11.</t>
  </si>
  <si>
    <t>8.9.1.</t>
  </si>
  <si>
    <t>8.10.</t>
  </si>
  <si>
    <t>8.10.2.</t>
  </si>
  <si>
    <t>8.10.1.</t>
  </si>
  <si>
    <t>8.11</t>
  </si>
  <si>
    <t>8.12.</t>
  </si>
  <si>
    <t>8.13.</t>
  </si>
  <si>
    <t>8.14.</t>
  </si>
  <si>
    <t>8.15.</t>
  </si>
  <si>
    <t>citi pārrobežu projektu ieņēmumi</t>
  </si>
  <si>
    <t xml:space="preserve">0631.4 </t>
  </si>
  <si>
    <t>Projekts “Infrastruktūras uzlabošana uzņēmējdarbības attīstībai Ādažos”</t>
  </si>
  <si>
    <t>8.18.</t>
  </si>
  <si>
    <t>8.18.1.</t>
  </si>
  <si>
    <t>8.18.2</t>
  </si>
  <si>
    <t>Teritorijas novērtēšana pirms būvprojekta izstrādes un būvprojekts jaunas pamatskolas izveidei Ādažu pilsētā</t>
  </si>
  <si>
    <t>"Blusu" kroga pārbūves tehniskā projekta izstrāde.</t>
  </si>
  <si>
    <t>"Blusu" kroga pārbūves tehniskā projekta izstrāde</t>
  </si>
  <si>
    <t>Investīcijas energosaimniecības uzlabošanā</t>
  </si>
  <si>
    <t>5.6.4.1.</t>
  </si>
  <si>
    <t>5.6.4.2.</t>
  </si>
  <si>
    <t>5.6.4.3.</t>
  </si>
  <si>
    <t>5.6.5.</t>
  </si>
  <si>
    <t>Investīcijas vides pārvaldībā un uzlabošanā</t>
  </si>
  <si>
    <t>Investīcijas ceļu, ielu infrastruktūras attīstībā un uzlabošanā</t>
  </si>
  <si>
    <t xml:space="preserve">Dzirnupes ielas tilta pārbūve I kārta </t>
  </si>
  <si>
    <t>18.6.2.9.; 18.6.2.6.1.</t>
  </si>
  <si>
    <t xml:space="preserve">Nekustamā īpašuma nodaļa </t>
  </si>
  <si>
    <t>EKII</t>
  </si>
  <si>
    <t>VĒRTĪBAS</t>
  </si>
  <si>
    <t>0631.5</t>
  </si>
  <si>
    <t>1010; 1010.1; 1010.2</t>
  </si>
  <si>
    <t>Projekts “Digitālā darba ar jaunatni sistēmas attīstība pašvaldībās”</t>
  </si>
  <si>
    <t>1010; 1010.3</t>
  </si>
  <si>
    <t>7210 (0940.1)</t>
  </si>
  <si>
    <t>Par projektu izpildes gaitu ziņo izpilddirektors</t>
  </si>
  <si>
    <t>Aizņēmums Skolas ielas rekonstrukcijai</t>
  </si>
  <si>
    <t>6.4.1.</t>
  </si>
  <si>
    <t>6.4.2.</t>
  </si>
  <si>
    <t>14.7.</t>
  </si>
  <si>
    <t>14.8.</t>
  </si>
  <si>
    <t>14.9.</t>
  </si>
  <si>
    <t>0934</t>
  </si>
  <si>
    <t>0935</t>
  </si>
  <si>
    <t>Maksājumi tiek veikti 3x gadā</t>
  </si>
  <si>
    <t>10.2.21.</t>
  </si>
  <si>
    <t>LEADER projektu realizācija</t>
  </si>
  <si>
    <t>10.1.16.</t>
  </si>
  <si>
    <t>ES Kohēzijas fonda projekts "STEM un pilsoniskās līdzdalības norises plašākai izglītības pieredzei un karjeras izvēlei"</t>
  </si>
  <si>
    <t>0953</t>
  </si>
  <si>
    <t>8.8.12.</t>
  </si>
  <si>
    <t>8.8.12.1</t>
  </si>
  <si>
    <t>8.8.12.2.</t>
  </si>
  <si>
    <t>8.8.12.3.</t>
  </si>
  <si>
    <t>09522</t>
  </si>
  <si>
    <t>8.8.12.4.</t>
  </si>
  <si>
    <t>- ES Kohēzijas fonda projekts "STEM un pilsoniskās līdzdalības norises plašākai izglītības pieredzei un karjeras izvēlei"</t>
  </si>
  <si>
    <t>8.7.8.</t>
  </si>
  <si>
    <t>09827</t>
  </si>
  <si>
    <t>09012</t>
  </si>
  <si>
    <t>8.4.4.</t>
  </si>
  <si>
    <t>8.2.4.</t>
  </si>
  <si>
    <t>0922</t>
  </si>
  <si>
    <t>8.3.4.</t>
  </si>
  <si>
    <t>09022</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</si>
  <si>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</si>
  <si>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</si>
  <si>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Dzirnupes ielas tilta pārbūve I kārta, MRG būve, Nr.02-20.1/25/167</t>
  </si>
  <si>
    <t>Patvertņu pielāgošana un aprīkošana civiliem aizsardzības mērķiem</t>
  </si>
  <si>
    <t>Vecštāles ceļa asfaltēšana (AM finansējums)</t>
  </si>
  <si>
    <t>Infrastruktūras uzlabošana uzņēmējdarbības attīstībai Ādažu novadā (Laveru ceļš + Smilgu iela)</t>
  </si>
  <si>
    <t>2026. gada budžets</t>
  </si>
  <si>
    <t>0841.3; 0844.3</t>
  </si>
  <si>
    <t>8.5.4.</t>
  </si>
  <si>
    <t>10.2.22.</t>
  </si>
  <si>
    <t>5.5.14.</t>
  </si>
  <si>
    <t>5.5.15.</t>
  </si>
  <si>
    <t>5.5.16.</t>
  </si>
  <si>
    <t xml:space="preserve">Multimodāls sabiedriskā transporta tīkls, 2. kārta” </t>
  </si>
  <si>
    <t>0905</t>
  </si>
  <si>
    <t>Projekts “Izglītības iestāžu nodrošinājums pilnveidotā vispārējās izglītības satura kvalitatīvai ieviešanai Ādažu novadā”</t>
  </si>
  <si>
    <t>5.6.8.</t>
  </si>
  <si>
    <t>Šķiroto atkritumu savākšanas laukums Laivu ielā 12, Carnikavā</t>
  </si>
  <si>
    <t>Laveru sūkņu stacijas pārbūve</t>
  </si>
  <si>
    <t>0930; 0990</t>
  </si>
  <si>
    <t>Pedagogu profesionālā atbalsta sistēmas izveide</t>
  </si>
  <si>
    <t>0630, 0631.7</t>
  </si>
  <si>
    <t>0649</t>
  </si>
  <si>
    <t>0648; 0643</t>
  </si>
  <si>
    <t>Investīcijas vides un hidromeliorācijas uzturēšanā un attīstībā</t>
  </si>
  <si>
    <t>05201</t>
  </si>
  <si>
    <t>05301</t>
  </si>
  <si>
    <t>26.03.2026. grozījumi</t>
  </si>
  <si>
    <t>Izmaiņa 26.03.2026. - 29.01.2026.</t>
  </si>
  <si>
    <t>Precizēts konta atlikums</t>
  </si>
  <si>
    <t>0631.10</t>
  </si>
  <si>
    <t>2026.gadā noteiktais Ropažu domes līdzmaksājums par Baltezera kapsētas uzturēšanu (0648/21.3.9.9.4.)</t>
  </si>
  <si>
    <t>1) 2025.gadā noteiktais Ropažu domes līdzmaksājuma daļa (EUR 29'826) par Baltezera kapsētas uzturēšanu, kas netika izlietots 2025.gada laikā un jāatmaksā atpakaļ.
2) EUR 9'936 līdzfinansējums daudzdzīvokļu mājām no domes sadaļas uz CKS.</t>
  </si>
  <si>
    <t>EUR 9'936 līdzfinansējums daudzdzīvokļu mājām no domes sadaļas uz CKS.</t>
  </si>
  <si>
    <t>EUR 3'000 + EUR 3'000 no nesadalītā konta atlikuma zemes ierīcības projekta izstrādeiu, lai sadalītu zemi Zvejnieku iela 23 un Tulpju iela 5, lai daļu nodotu SIA "Ādažu namsaimnieks</t>
  </si>
  <si>
    <t>EUR 300 no ĀPII budžeta uz Ādažu vidusskolas budžetu par apmācību vadīšanu Bērnu tiesību aizsardzībā.</t>
  </si>
  <si>
    <t>2026. gads</t>
  </si>
  <si>
    <t>Precizēta projekta "Pedagogu profesionālā atbalsta sistēmas izveide" naudas plūsma (realizē Izglītības nodaļa)</t>
  </si>
  <si>
    <r>
      <t xml:space="preserve">1) Saskaņā ar Domes 26.02.2026. lēmumu Nr. 74 EUR 8'000 izglītojamo pārvadājumiem uz speciālās izglītības iestādēm
</t>
    </r>
    <r>
      <rPr>
        <sz val="11"/>
        <color rgb="FFFF0000"/>
        <rFont val="Times New Roman"/>
        <family val="1"/>
        <charset val="186"/>
      </rPr>
      <t>2) Precizēta projekta "Pedagogu profesionālā atbalsta sistēmas izveide" naudas plūsma (realizē Izglītības nodaļa) papildus EUR 45'534</t>
    </r>
  </si>
  <si>
    <r>
      <t>Sakaņā ar Domes 26.02.2026. lēmumu Nr.76 EUR 10'000 no nesadalītā konta atlikuma Pirmā iela 42A metāla konstrukciju un pamatu detalizētai izpētei.</t>
    </r>
    <r>
      <rPr>
        <sz val="11"/>
        <color rgb="FFFF0000"/>
        <rFont val="Times New Roman"/>
        <family val="1"/>
        <charset val="186"/>
      </rPr>
      <t xml:space="preserve"> Pēc iepirkuma summa EUR 10'890, papildus EUR 890 no 0630/EKK 2239 (IIA izstrāde jaunā uzņēmējdarbības projekta pieteikumam - nav tomēr jāveic) uz 0632.6/EKK 5240</t>
    </r>
  </si>
  <si>
    <r>
      <t xml:space="preserve">1) - EUR 28'474 kopienu speciālista izmaksas. Saskaņā ar Domes 26.02.2026. lēmumu Nr.83, kur tiek pārcelta pozīcija kopienu speciālists no Attīstības daļas uz pārvaldi.
2) Sakaņā ar Domes 26.02.2026. lēmumu Nr.76 EUR 10'000 no nesadalītā konta atlikuma Pirmā iela 42A metāla konstrukciju un pamatu detalizētai izpētei. </t>
    </r>
    <r>
      <rPr>
        <sz val="11"/>
        <color rgb="FFFF0000"/>
        <rFont val="Times New Roman"/>
        <family val="1"/>
        <charset val="186"/>
      </rPr>
      <t>Pēc iepirkuma summa EUR 10'890, papildus EUR 890 no 0630/EKK 2239 (IIA izstrāde jaunā uzņēmējdarbības projekta pieteikumam - nav tomēr jāveic) uz 0632.6/EKK 5240</t>
    </r>
  </si>
  <si>
    <r>
      <t xml:space="preserve">1) EUR 28'474 kopienu speciālista izmaksas. Saskaņā ar Domes 26.02.2026. lēmumu Nr.83, kur tiek pārcelta pozīcija kopienu speciālists no Attīstības daļas uz pārvaldi.
</t>
    </r>
    <r>
      <rPr>
        <sz val="11"/>
        <color rgb="FFFF0000"/>
        <rFont val="Times New Roman"/>
        <family val="1"/>
        <charset val="186"/>
      </rPr>
      <t>2) Ekonomija 2 mēnešu priekšsēdētāja atalgojums EUR 10'296 uz nesadalīto konta atlikumu.</t>
    </r>
  </si>
  <si>
    <t>EUR 18'150 no nesadalītā KA hokeja bortu iegādei Carnikavā</t>
  </si>
  <si>
    <t>10.2.4.</t>
  </si>
  <si>
    <t>10.2.15.</t>
  </si>
  <si>
    <t>10.2.19.</t>
  </si>
  <si>
    <r>
      <rPr>
        <sz val="11"/>
        <rFont val="Times New Roman"/>
        <family val="1"/>
        <charset val="186"/>
      </rPr>
      <t xml:space="preserve">EUR 5'788 - % ieņēmumi no nakts depozīta; </t>
    </r>
    <r>
      <rPr>
        <sz val="11"/>
        <color rgb="FFFF0000"/>
        <rFont val="Times New Roman"/>
        <family val="1"/>
        <charset val="186"/>
      </rPr>
      <t xml:space="preserve">
EUR 5'317 AM kompensāciju par Vecštāles ceļa bojājumiem mācību laikā.</t>
    </r>
  </si>
  <si>
    <t>0630; 0936</t>
  </si>
  <si>
    <t>Soc. pabalsti pēc faktiskājām izmaksām EUR 38'388;
DI pakalpojumu finansējums pēc faktiskajām izmaksām EUR 5'528;
Projekts Skola-kopienā EUR 11'812</t>
  </si>
  <si>
    <t>28.05.2026. grozījumi</t>
  </si>
  <si>
    <t>Izmaiņa 28.05.2026. -26.03.2026.</t>
  </si>
  <si>
    <t>Precizēts valsts finansējums Saeimas vēlēšanu organizēšanai</t>
  </si>
  <si>
    <t>Dalība Zivju fonda projektā par zemūdens drona iegādi. Saskaņā ar Zemkopības ministrijas 30.04.2026. protokiolu Nr. 4.1.-28e/4/2026. Realizē pašvaldības policija.</t>
  </si>
  <si>
    <t>Erasmus + projekts "Personu mobilitātes mācību nolūkos" avanss EUR 67'062</t>
  </si>
  <si>
    <t>Saskaņā ar Domes 01.04.2026. lēmumu Nr.132 "Atbalsta pasākumu cilvēkiem ar invaliditāti mājokļu vides pieejamības nodrošināšana Ādažos" 
1) ārfinansējuma avansa summa EUR 33'210;
2) no plānotās summas pacēlājam pie TN "Ozolaine" EUR 22'000 un EUR 159 no EKK 5239
3) no plānotās summas pandusa izbūvei Ādažu vidusskolā EUR 25'000</t>
  </si>
  <si>
    <t>Saskaņā ar Domes 01.04.2026. lēmumu Nr.132 "Atbalsta pasākumu cilvēkiem ar invaliditāti mājokļu vides pieejamības nodrošināšana Ādažos" no plānotās summas pandusa izbūvei Ādažu vidusskolā EUR 25'000 uz nodaļu 1018</t>
  </si>
  <si>
    <t>1) Ieskaitīts projekta "Atbalsta pasākumu cilvēkiem ar invaliditāti mājokļu vides pieejamības nodrošināšana Ādažos" 1.kārtas gala maksājums EUR 40'772
2) Saskaņā ar Domes 01.04.2026. lēmumu Nr.132 "Atbalsta pasākumu cilvēkiem ar invaliditāti mājokļu vides pieejamības nodrošināšana Ādažos" ārfinansējuma avansa summa</t>
  </si>
  <si>
    <t>Ieskaitīta dotācija mācību līdzekļiem, kas izdevumos sadalās pa izglītības iestādēm</t>
  </si>
  <si>
    <t>Precizēts mērķdotācijas konta atlikums. Ieskaitīta dotācija mācību līdzekļiem</t>
  </si>
  <si>
    <t>Precizēts mērķdotācijas KA mācību līdzekļiem, veikti pārgrāmatojumi.</t>
  </si>
  <si>
    <t>EUR 44'980 apjomā līdzdalības projektus realizē CKS (EKK korekcija no 5240 uz 7230)</t>
  </si>
  <si>
    <t>EUR 1'080 no 0630 Attīstības un projektu nodaļas budžeta uz sadaļu "Teritorijas novērtēšana pirms būvprojekta izstrādes un būvprojekts jaunas pamatskolas izveidei Ādažu pilsētā" - precizēts soda naudas aprēķins.</t>
  </si>
  <si>
    <t>EUR 2000 no publikācijām, drukām un aptaujām paredzētajiem līdzekļiem uz avīžu izplatīšanas finansēšanu (degvielas kāpuma rezultātā sadārdzinājums).</t>
  </si>
  <si>
    <t>1) Precizēts valsts finansējums Saeimas vēlēšanu organizēšanai - EUR 13'411;
2) Dalība Zivju fonda projektā par zemūdens drona iegādi. Saskaņā ar Zemkopības ministrijas 30.04.2026. protokiolu Nr. 4.1.-28e/4/2026. Realizē pašvaldības policija. EUR 6’615
3) Noslēgts līgums ar IZM par EUR 3'887 finansējumu pedagogu profesionālās kompetences pilnveidei, vardarbības novēršanai un labbūtības veicināšanai izglītības vidē. (Realizē Izgl. nodaļa)</t>
  </si>
  <si>
    <t>1) Mācību līdzekļu mērķdotācijas korekcija
2) Noslēgts līgums ar IZM par EUR 3'887 finansējumu pedagogu profesionālās kompetences pilnveidei, vardarbības novēršanai un labbūtības veicināšanai izglītības vidē. (Realizē Izgl. nodaļa)</t>
  </si>
  <si>
    <t>Saskaņā ar Domes 23.04.2026. lēmumu Nr.159 "Par izmaiņām pašvaldības iestāžu amatu sarakstos" Jaunā PII Podniekos vadītāja un saimnieka vakanču izsludināšanai 2026.gadā nepieciešamo finansējumu EUR 33'728 nodrošināt no ekonomijas uz atalgojumu (slimība, vakances) EUR 8'000 no pārvaldes, EUR 8'241 no PII Riekstiņš, EUR 17'487 no CKS.</t>
  </si>
  <si>
    <t>Saskaņā ar FK 01.04.2026. protokollēmumu "Par grozījumiem Ādažu vidusskolas 2026.gada budžeta tāmē" plānoti ieņēmumi 40 gadu salidojumam EUR 12'000, kas novirzāmi izdevumiem šī pasākuma organizēšanai.</t>
  </si>
  <si>
    <t>Ādažu vidusskolas piebūves projektēšana un izbūve</t>
  </si>
  <si>
    <t>Saskaņā ar Domes 28.05.2026. lēmumu "Par Ādažu vidusskolas piebūves projektēšanu un izbūvi" tam nepieciešamos EUR 82'000 2026.gadā pārcelt no paredzētā finansējuma O.Vācieša skvēra projektēšana (papildu pilnveide) (50'000 euro), Carnikavas vidusskolas paplašināšanas sociāli tehniski ekonomiskā pamatojuma izstrādei paredzētā finansējuma (7'000 euro) un nesadalītā konta atlikuma (25'000 euro).</t>
  </si>
  <si>
    <t>1) Saskaņā ar Domes 01.04.2026. lēmumu Nr.132 "Atbalsta pasākumu cilvēkiem ar invaliditāti mājokļu vides pieejamības nodrošināšana Ādažos" no plānotās summas pacēlājam pie TN "Ozolaine" EUR 22'000 un EUR 159 no EKK 5239 uz nodaļu 1018.
2) Saskaņā ar Domes 23.04.2026. lēmumu Nr.163 "Par finansējuma piešķiršanu remontdarbiem Gaujas ielā 33A" novirzīt EUR 17'873 no nesadalītā konta atlikuma.
3) Saskaņā ar Domes 23.04.2026. lēmumu Nr.159 "Par izmaiņām pašvaldības iestāžu amatu sarakstos" Jaunā PII Podniekos vadītāja un saimnieka vakanču izsludināšanai 2026.gadā nepieciešamo finansējumu EUR 33'728 nodrošināt no ekonomijas uz atalgojumu (slimība, vakances) EUR 8'000 no pārvaldes, EUR 8'241 no PII Riekstiņš, EUR 17'487 no CKS.</t>
  </si>
  <si>
    <t>Saskaņā ar 26.03.2026. domes lēmumu Nr.88 "Par atteikšanos no dalības Plūdu projektā", izņemts sākotnēji plānotais finansējums EUR 193'242.</t>
  </si>
  <si>
    <r>
      <t xml:space="preserve">1) Saskaņā ar Domes 28.05.2026. lēmumu "Par Ādažu vidusskolas piebūves projektēšanu un izbūvi" tam nepieciešamos EUR 82'000 2026.gadā pārcelt </t>
    </r>
    <r>
      <rPr>
        <b/>
        <sz val="11"/>
        <rFont val="Times New Roman"/>
        <family val="1"/>
        <charset val="186"/>
      </rPr>
      <t>no paredzētā finansējuma</t>
    </r>
    <r>
      <rPr>
        <sz val="11"/>
        <rFont val="Times New Roman"/>
        <family val="1"/>
        <charset val="186"/>
      </rPr>
      <t xml:space="preserve"> O.Vācieša skvēra projektēšana (papildu pilnveide) (50'000 euro), </t>
    </r>
    <r>
      <rPr>
        <b/>
        <sz val="11"/>
        <rFont val="Times New Roman"/>
        <family val="1"/>
        <charset val="186"/>
      </rPr>
      <t>Carnikavas vidusskolas paplašināšanas sociāli tehniski ekonomiskā pamatojuma izstrādei paredzētā finansējuma (7'000 euro)</t>
    </r>
    <r>
      <rPr>
        <sz val="11"/>
        <rFont val="Times New Roman"/>
        <family val="1"/>
        <charset val="186"/>
      </rPr>
      <t xml:space="preserve"> un nesadalītā konta atlikuma (25'000 euro).
</t>
    </r>
    <r>
      <rPr>
        <sz val="11"/>
        <color rgb="FFFF0000"/>
        <rFont val="Times New Roman"/>
        <family val="1"/>
        <charset val="186"/>
      </rPr>
      <t>2) Tāmes iekšējie grozījumi pa EKK iegādājoties mēbeles (EUR 14'332 no EKK 2312 uz EKK 5239).</t>
    </r>
  </si>
  <si>
    <t>Tāmes iekšējie grozījumi pa EKK iegādājoties mēbeles (EUR 10'792 no EKK 5240 uz EKK 2312; EUR 7'678 no EKK 5240 uz EKK 5239).</t>
  </si>
  <si>
    <r>
      <t xml:space="preserve">1) Saskaņā ar Domes 23.04.2026. lēmumu Nr.159 "Par izmaiņām pašvaldības iestāžu amatu sarakstos" Jaunā PII Podniekos vadītāja un saimnieka vakanču izsludināšanai 2026.gadā nepieciešamo finansējumu EUR 33'728 nodrošināt no ekonomijas uz atalgojumu (slimība, vakances) EUR 8'000 no pārvaldes, EUR 8'241 no PII Riekstiņš, EUR 17'487 no CKS.
</t>
    </r>
    <r>
      <rPr>
        <sz val="11"/>
        <color rgb="FFFF0000"/>
        <rFont val="Times New Roman"/>
        <family val="1"/>
        <charset val="186"/>
      </rPr>
      <t xml:space="preserve">2) </t>
    </r>
    <r>
      <rPr>
        <b/>
        <sz val="11"/>
        <color rgb="FFFF0000"/>
        <rFont val="Times New Roman"/>
        <family val="1"/>
        <charset val="186"/>
      </rPr>
      <t xml:space="preserve">Izņemts </t>
    </r>
    <r>
      <rPr>
        <sz val="11"/>
        <color rgb="FFFF0000"/>
        <rFont val="Times New Roman"/>
        <family val="1"/>
        <charset val="186"/>
      </rPr>
      <t>- Saskaņā ar Domes 28.05.2026. lēmumu "Par atbalstu Ādažu lidlauka svētku organizēšanā" novirzīt EUR 2'000 no ekonomijas uz vakanci pārvaldē uz Attīstības un projektu nodaļas budžeta sadaļu</t>
    </r>
  </si>
  <si>
    <r>
      <t xml:space="preserve">1) EUR 1'080 no 0630 Attīstības un projektu nodaļas budžeta uz sadaļu "Teritorijas novērtēšana pirms būvprojekta izstrādes un būvprojekts jaunas pamatskolas izveidei Ādažu pilsētā" - precizēts soda naudas aprēķins.
2) Saskaņā ar Domes 28.05.2026. lēmumu "Par Ādažu vidusskolas piebūves projektēšanu un izbūvi" tam nepieciešamos EUR 82'000 2026.gadā pārcelt </t>
    </r>
    <r>
      <rPr>
        <b/>
        <sz val="11"/>
        <rFont val="Times New Roman"/>
        <family val="1"/>
        <charset val="186"/>
      </rPr>
      <t>no paredzētā finansējuma O.Vācieša skvēra projektēšana (papildu pilnveide) (50'000 euro)</t>
    </r>
    <r>
      <rPr>
        <sz val="11"/>
        <rFont val="Times New Roman"/>
        <family val="1"/>
        <charset val="186"/>
      </rPr>
      <t xml:space="preserve">, Carnikavas vidusskolas paplašināšanas sociāli tehniski ekonomiskā pamatojuma izstrādei paredzētā finansējuma (7'000 euro) un nesadalītā konta atlikuma (25'000 euro).
3) </t>
    </r>
    <r>
      <rPr>
        <b/>
        <sz val="11"/>
        <color rgb="FFFF0000"/>
        <rFont val="Times New Roman"/>
        <family val="1"/>
        <charset val="186"/>
      </rPr>
      <t xml:space="preserve"> Izņemt</t>
    </r>
    <r>
      <rPr>
        <sz val="11"/>
        <color rgb="FFFF0000"/>
        <rFont val="Times New Roman"/>
        <family val="1"/>
        <charset val="186"/>
      </rPr>
      <t>s - Saskaņā ar Domes 28.05.2026. lēmumu "Par atbalstu Ādažu lidlauka svētku organizēšanā" novirzīt EUR 2'000 no ekonomijas uz vakanci pārvaldē uz Attīstības un projektu nodaļas budžeta sadaļu</t>
    </r>
  </si>
  <si>
    <t>Pamatsumma</t>
  </si>
  <si>
    <t>Pašvaldības pamatbudžeta ieņēmumi bez mērķdotācijām un iemaksām PFIF saimnieciskajā gadā:</t>
  </si>
  <si>
    <t>Saistību apmērs % no pamatbudžeta ieņēmumiem:</t>
  </si>
  <si>
    <t>30.07.2026. grozījumi</t>
  </si>
  <si>
    <t>Izmaiņa 30.07.2026. - 28.05.2026.</t>
  </si>
  <si>
    <t>1) Saskaņā ar 01.07.2026. Domes lēmumu Nr.256 "Par SIA Adaži Airpark "FLY IN ADAZI" iniciat'vu projektu, EUR 2'000 no neizmantotā finansējuma sadaļā "Projekts "Sabiedrība ar dvēseli"'" uz iniciatīvu projektu un konkursu budžeta sadaļu.
2) Saskaņā ar 25.06.2026. Domes lēmumu Nr.241 "Par reliģiskās organizācijas "Misijas Baptistu draudze" iniciatīvu projektu", EUR 673 no Ādažu kultūras centra budžeta finansējuma kultūras projektiem uz Attīstības un projektu nodaļas sadaļu "Iedzīvotāju iniciatīvas un konkursi.</t>
  </si>
  <si>
    <t>Saskaņā ar ĀND 03.06.2026. lēmumu Nr.213 no nesadalītā konta atlikuma novirzīt EUR 33'731 projekta "Infrastruktūras uzlabošana uzņēmējdarbības attīstībai Ādažos 1.kārtas izmaksu sadārdzinājumam.</t>
  </si>
  <si>
    <t>0632.8</t>
  </si>
  <si>
    <t>Saskaņā ar 15.07. Finanšu komitejas protokollēmumu EUR 55'600 novirzīt no Ziedu ielas pārbūves plānotajiem līdzekļiem jaunas uzkopšanas tehnikas iegādei.</t>
  </si>
  <si>
    <t>Saskaņā ar 07.07.2026. Projekta uzraudzības komitejas pieņemto lēmumu pārtraukt turpmāku dalību konkursā, ņemot vērā projektēšanas termiņu kavējumus, Lauku atbalsta dienesta noteiktos termiņus un būtisko būvdarbu sadārdzinājumu, projekta turpmāka īstenošana nav ekonomiski pamatota. Novirzīt no LAD saņemtā avansa 75 000 euro apmērā uz izdevumu kodu 7500 "Atmaksa valsts budžetā par veiktajiem izdevumiem" un 293 067 euro uz nesadalīto konta atlikumu.</t>
  </si>
  <si>
    <t>1) Saskaņā ar 25.06.2026. Domes lēmumu Nr.241 "Par reliģiskās organizācijas "Misijas Baptistu draudze" iniciatīvu projektu", EUR 673 no Ādažu kultūras centra budžeta finansējuma kultūras projektiem uz Attīstības un projektu nodaļas sadaļu "Iedzīvotāju iniciatīvas un konkursi.
2) Saskaņā ar 25.06.2026. Domes lēmumu Nr.248 "Par grozījumiem pašvaldības domes 27.02.2025. lēmumā Nr.86 "Par neapbūvētu zemegabalu nomas maksu pasākumā "Gaujas svētki Ādažos"", faktiski saņemtos EUR 17'000 palielināt ieņēmumu daļu un novirzīt uz KC izmaksām.</t>
  </si>
  <si>
    <t>Saskaņā ar 25.06.2026. Domes lēmumu Nr.248 "Par grozījumiem pašvaldības domes 27.02.2025. lēmumā Nr.86 "Par neapbūvētu zemegabalu nomas maksu pasākumā "Gaujas svētki Ādažos"", faktiski saņemtos EUR 17'000 palielināt ieņēmumu daļu un novirzīt uz KC izmaksām</t>
  </si>
  <si>
    <t>EUR 3'500 no ekonomijas asistentu pakalpojumiem kondicieonieru iegādei 2016. un 2019.gadā pielāgotajām telpām.</t>
  </si>
  <si>
    <t>Faktiskie ieņēmumi no meža īpašuma pārdošanas un ienācis maksājums EUR 307 500 saskaņā ar nekustamā īpašuma pirkuma līgumu JUR 2025-10/1147</t>
  </si>
  <si>
    <t>EUR 37'312 NordPlus projekts Carnikavas vsk.</t>
  </si>
  <si>
    <t>30.06.2026. fakts</t>
  </si>
  <si>
    <t>30.06.2026. fakts (%) pret 2026. plānu</t>
  </si>
  <si>
    <t>Ādažu novada pašvaldības aizņēmumu un citu ilgtermiņa saistību pārskats</t>
  </si>
  <si>
    <t>Aizņēmumu pamatsummu un procentu atmaksa faktiskajiem un plānotajiem aizņēmumiem.</t>
  </si>
  <si>
    <t>A/C</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</si>
  <si>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</si>
  <si>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</si>
  <si>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</si>
  <si>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</si>
  <si>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</si>
  <si>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</si>
  <si>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</si>
  <si>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</si>
  <si>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</si>
  <si>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</si>
  <si>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</si>
  <si>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</si>
  <si>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</si>
  <si>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</si>
  <si>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</si>
  <si>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</si>
  <si>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 xml:space="preserve">Stabilizācijas aizdevums </t>
  </si>
  <si>
    <t>A2/1/11/107</t>
  </si>
  <si>
    <t>P-50/2011</t>
  </si>
  <si>
    <t>11.04.2011</t>
  </si>
  <si>
    <t>20.04.2036</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</si>
  <si>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</si>
  <si>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</si>
  <si>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</si>
  <si>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</si>
  <si>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</si>
  <si>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</si>
  <si>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</si>
  <si>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</si>
  <si>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</si>
  <si>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</si>
  <si>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</si>
  <si>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</si>
  <si>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</si>
  <si>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</si>
  <si>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</si>
  <si>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</si>
  <si>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</si>
  <si>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</si>
  <si>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</si>
  <si>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</si>
  <si>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</si>
  <si>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</si>
  <si>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</si>
  <si>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</si>
  <si>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</si>
  <si>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</si>
  <si>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</si>
  <si>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</si>
  <si>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</si>
  <si>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</si>
  <si>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</si>
  <si>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</si>
  <si>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</si>
  <si>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</si>
  <si>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</si>
  <si>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</si>
  <si>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</si>
  <si>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</si>
  <si>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</si>
  <si>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</si>
  <si>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</si>
  <si>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</si>
  <si>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</si>
  <si>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</si>
  <si>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</si>
  <si>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</si>
  <si>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</si>
  <si>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</si>
  <si>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</si>
  <si>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</si>
  <si>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</si>
  <si>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</si>
  <si>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</si>
  <si>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</si>
  <si>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</si>
  <si>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</si>
  <si>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</si>
  <si>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</si>
  <si>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</si>
  <si>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</si>
  <si>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</si>
  <si>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</si>
  <si>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</si>
  <si>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</si>
  <si>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</si>
  <si>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</si>
  <si>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</si>
  <si>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</si>
  <si>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</si>
  <si>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</si>
  <si>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</si>
  <si>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</si>
  <si>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</si>
  <si>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</si>
  <si>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</si>
  <si>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</si>
  <si>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</si>
  <si>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</si>
  <si>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</si>
  <si>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</si>
  <si>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</si>
  <si>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</si>
  <si>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</si>
  <si>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</si>
  <si>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</si>
  <si>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</si>
  <si>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</si>
  <si>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</si>
  <si>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</si>
  <si>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</si>
  <si>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</si>
  <si>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</si>
  <si>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</si>
  <si>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</si>
  <si>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</si>
  <si>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</si>
  <si>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</si>
  <si>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</si>
  <si>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</si>
  <si>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</si>
  <si>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</si>
  <si>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</si>
  <si>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</si>
  <si>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</si>
  <si>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</si>
  <si>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</si>
  <si>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</si>
  <si>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</si>
  <si>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</si>
  <si>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</si>
  <si>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</si>
  <si>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</si>
  <si>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</si>
  <si>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</si>
  <si>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</si>
  <si>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</si>
  <si>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</si>
  <si>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</si>
  <si>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</si>
  <si>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</si>
  <si>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</si>
  <si>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</si>
  <si>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</si>
  <si>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</si>
  <si>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</si>
  <si>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</si>
  <si>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</si>
  <si>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</si>
  <si>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</si>
  <si>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</si>
  <si>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</si>
  <si>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</si>
  <si>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</si>
  <si>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</si>
  <si>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</si>
  <si>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</si>
  <si>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</si>
  <si>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</si>
  <si>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</si>
  <si>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</si>
  <si>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</si>
  <si>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</si>
  <si>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</si>
  <si>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</si>
  <si>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</si>
  <si>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</si>
  <si>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</si>
  <si>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</si>
  <si>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</si>
  <si>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</si>
  <si>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</si>
  <si>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</si>
  <si>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</si>
  <si>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</si>
  <si>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</si>
  <si>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</si>
  <si>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</si>
  <si>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</si>
  <si>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</si>
  <si>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</si>
  <si>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</si>
  <si>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</si>
  <si>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</si>
  <si>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</si>
  <si>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</si>
  <si>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</si>
  <si>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</si>
  <si>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</si>
  <si>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</si>
  <si>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</si>
  <si>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</si>
  <si>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</si>
  <si>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</si>
  <si>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</si>
  <si>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</si>
  <si>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</si>
  <si>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</si>
  <si>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</si>
  <si>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</si>
  <si>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</si>
  <si>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</si>
  <si>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</si>
  <si>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</si>
  <si>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</si>
  <si>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</si>
  <si>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</si>
  <si>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</si>
  <si>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</si>
  <si>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</si>
  <si>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</si>
  <si>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</si>
  <si>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</si>
  <si>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</si>
  <si>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</si>
  <si>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</si>
  <si>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</si>
  <si>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</si>
  <si>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</si>
  <si>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</si>
  <si>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</si>
  <si>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</si>
  <si>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</si>
  <si>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</si>
  <si>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</si>
  <si>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</si>
  <si>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</si>
  <si>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</si>
  <si>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</si>
  <si>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</si>
  <si>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</si>
  <si>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</si>
  <si>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</si>
  <si>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</si>
  <si>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</si>
  <si>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</si>
  <si>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</si>
  <si>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</si>
  <si>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</si>
  <si>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</si>
  <si>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</si>
  <si>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</si>
  <si>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</si>
  <si>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</si>
  <si>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</si>
  <si>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</si>
  <si>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</si>
  <si>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</si>
  <si>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</si>
  <si>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</si>
  <si>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</si>
  <si>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</si>
  <si>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</si>
  <si>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</si>
  <si>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</si>
  <si>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</si>
  <si>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</si>
  <si>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</si>
  <si>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</si>
  <si>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</si>
  <si>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</si>
  <si>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</si>
  <si>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</si>
  <si>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</si>
  <si>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</si>
  <si>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</si>
  <si>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</si>
  <si>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</si>
  <si>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</si>
  <si>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</si>
  <si>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</si>
  <si>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</si>
  <si>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</si>
  <si>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</si>
  <si>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</si>
  <si>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</si>
  <si>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</si>
  <si>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</si>
  <si>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</si>
  <si>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</si>
  <si>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</si>
  <si>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</si>
  <si>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</si>
  <si>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</si>
  <si>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</si>
  <si>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</si>
  <si>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</si>
  <si>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</si>
  <si>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</si>
  <si>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</si>
  <si>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</si>
  <si>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</si>
  <si>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</si>
  <si>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</si>
  <si>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</si>
  <si>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</si>
  <si>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</si>
  <si>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</si>
  <si>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</si>
  <si>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</si>
  <si>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</si>
  <si>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</si>
  <si>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</si>
  <si>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</si>
  <si>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</si>
  <si>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</si>
  <si>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</si>
  <si>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</si>
  <si>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</si>
  <si>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</si>
  <si>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</si>
  <si>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</si>
  <si>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</si>
  <si>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</si>
  <si>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</si>
  <si>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</si>
  <si>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</si>
  <si>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</si>
  <si>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</si>
  <si>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</si>
  <si>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</si>
  <si>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</si>
  <si>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</si>
  <si>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</si>
  <si>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</si>
  <si>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</si>
  <si>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</si>
  <si>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</si>
  <si>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</si>
  <si>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</si>
  <si>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</si>
  <si>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</si>
  <si>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</si>
  <si>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</si>
  <si>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</si>
  <si>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</si>
  <si>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</si>
  <si>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</si>
  <si>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</si>
  <si>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</si>
  <si>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</si>
  <si>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</si>
  <si>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</si>
  <si>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</si>
  <si>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</si>
  <si>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</si>
  <si>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</si>
  <si>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</si>
  <si>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</si>
  <si>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</si>
  <si>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</si>
  <si>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</si>
  <si>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</si>
  <si>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</si>
  <si>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</si>
  <si>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</si>
  <si>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</si>
  <si>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</si>
  <si>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</si>
  <si>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A2/1/26/58</t>
  </si>
  <si>
    <t>Krastupes iela</t>
  </si>
  <si>
    <t>Plānots</t>
  </si>
  <si>
    <t xml:space="preserve">Projekts “Infrastruktūras uzlabošana </t>
  </si>
  <si>
    <t>uzņēmējdarbības attīstībai Ādažos”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</si>
  <si>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</si>
  <si>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</si>
  <si>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</si>
  <si>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</si>
  <si>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</si>
  <si>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</si>
  <si>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</si>
  <si>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</si>
  <si>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</si>
  <si>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</si>
  <si>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</si>
  <si>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</si>
  <si>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</si>
  <si>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</si>
  <si>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</si>
  <si>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1) Saskaņā ar ĀND 25.06.2026. protokollēmumu "Par subsīdiju sporta sacensībām "Fiba 3x3 Quest - izspēle uz Pasaules tūri" novirzīt EUR 5'000 no nesadalītā konta atlikuma.
2) Saskaņā ar pašvaldības 01.07.2026. lēmumu Nr. 257 "Par futbola laukuma ierīkošanu Garciemā" no nesadalītā KA novirzīt EUR 2'000 futbola vārtu iegādei.</t>
  </si>
  <si>
    <t>Precizēta projekta "Pedagogu profesionālā atbalsta sistēmas izveide" naudas plūsma + EUR 4'143 ārfinansējums un līgums par papildus aktivitāti - Mācību literatūras iegāde BJSS un ĀMS + EUR 19'319  (realizē Izglītības nodaļa).</t>
  </si>
  <si>
    <r>
      <t xml:space="preserve">1) Saskaņā ar pašvaldības 25.06.2026. lēmumu Nr. 243 "Par peldētapmācības nodarbībām 5-6 gadīgiem Ādažu novada privāto pirmsskolas izglītības iestāžu izglītojamajiem" no nesadalītā KA novirzīt EUR 6'099 pakalpojuma apmaksai.
2) </t>
    </r>
    <r>
      <rPr>
        <b/>
        <u/>
        <sz val="11"/>
        <rFont val="Times New Roman"/>
        <family val="1"/>
        <charset val="186"/>
      </rPr>
      <t>Iekš. groz.:</t>
    </r>
    <r>
      <rPr>
        <sz val="11"/>
        <rFont val="Times New Roman"/>
        <family val="1"/>
        <charset val="186"/>
      </rPr>
      <t xml:space="preserve"> EUR 19'085 no EKK 2239 uz EKK 1150 - skolēnu apbalvošana par augstiem sasniegumiem (EKK korekcija, jo sākotnēji plānots EKK 2239).
</t>
    </r>
    <r>
      <rPr>
        <sz val="11"/>
        <color rgb="FFFF0000"/>
        <rFont val="Times New Roman"/>
        <family val="1"/>
        <charset val="186"/>
      </rPr>
      <t>3) Projekta "Pedagogu profesionālā atbalsta sistēmas izveide" ietvaros līgums par papildus aktivitāti - Mācību literatūras iegāde BJSS un ĀMS + EUR 19'319  (realizē Izglītības nodaļa).</t>
    </r>
  </si>
  <si>
    <r>
      <t xml:space="preserve">1) Saskaņā ar 23.07.2026. domes lēmumu Nr. 262 "Par Ādažu vidusskolas teritorijas labiekārtošanu projekta ietvaros", saskaņā ar iepirkumu rezultātu sadārdzinājumu, novirzīt </t>
    </r>
    <r>
      <rPr>
        <sz val="11"/>
        <color rgb="FFFF0000"/>
        <rFont val="Times New Roman"/>
        <family val="1"/>
        <charset val="186"/>
      </rPr>
      <t xml:space="preserve">EUR 17'987 </t>
    </r>
    <r>
      <rPr>
        <sz val="11"/>
        <rFont val="Times New Roman"/>
        <family val="1"/>
        <charset val="186"/>
      </rPr>
      <t>no nesadalītā KA skolas teritorijas labiekārtošanai.</t>
    </r>
    <r>
      <rPr>
        <b/>
        <u/>
        <sz val="11"/>
        <rFont val="Times New Roman"/>
        <family val="1"/>
        <charset val="186"/>
      </rPr>
      <t xml:space="preserve">
</t>
    </r>
    <r>
      <rPr>
        <sz val="11"/>
        <rFont val="Times New Roman"/>
        <family val="1"/>
        <charset val="186"/>
      </rPr>
      <t xml:space="preserve">2) </t>
    </r>
    <r>
      <rPr>
        <b/>
        <u/>
        <sz val="11"/>
        <rFont val="Times New Roman"/>
        <family val="1"/>
        <charset val="186"/>
      </rPr>
      <t>Iekš. groz.:</t>
    </r>
    <r>
      <rPr>
        <sz val="11"/>
        <rFont val="Times New Roman"/>
        <family val="1"/>
        <charset val="186"/>
      </rPr>
      <t xml:space="preserve"> EKK korekcijas no EKK 5240 "Pamatlīdzekļu un ieguldījumu īpašumu izveidošana un nepabeigtā būvniecība" EUR 102'616 uz EKK 2312 "Inventārs", EUR 18'479 uz EKK 5238 "Datortehnika, sakaru un cita biroja tehnika", EUR 61'743 uz EKK 5239 "Pārējie iepriekš neklasificētie pamatlīdzekļi un ieguldījuma īpašumi".</t>
    </r>
  </si>
  <si>
    <r>
      <t xml:space="preserve">1) Saskaņā ar 15.07. Finanšu komitejas protokollēmumu EUR 55'600 novirzīt no Ziedu ielas pārbūves plānotajiem līdzekļiem jaunas uzkopšanas tehnikas iegādei.
2) EUR 6'637 papildus finansējums daudzdzīvokļu māju siltināšanai un teritorijas iekārtošnai.
</t>
    </r>
    <r>
      <rPr>
        <i/>
        <sz val="11"/>
        <color rgb="FFFF0000"/>
        <rFont val="Times New Roman"/>
        <family val="1"/>
        <charset val="186"/>
      </rPr>
      <t>3) Saskaņā ar Domes 23.07.2026. lēmumu Nr.263 "Par finansējuma piešķiršanu remontdarbiem Gaujas ielā 33A, Ādaži" novirzīt EUR 21'140 no nesadalītā konta atlikuma.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</si>
</sst>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426]General"/>
    <numFmt numFmtId="170" formatCode="[$-426]0%"/>
    <numFmt numFmtId="171" formatCode="&quot; &quot;#,##0.00&quot; &quot;;&quot;-&quot;#,##0.00&quot; &quot;;&quot; -&quot;#&quot; &quot;;&quot; &quot;@&quot; &quot;"/>
    <numFmt numFmtId="172" formatCode="[&lt;=9999999]###\-####;\(###\)\ ###\-####"/>
    <numFmt numFmtId="173" formatCode="_-* #,##0.00\ [$EUR]_-;\-* #,##0.00\ [$EUR]_-;_-* &quot;-&quot;??\ [$EUR]_-;_-@_-"/>
    <numFmt numFmtId="174" formatCode="_-* #,##0.000_-;\-* #,##0.000_-;_-* &quot;-&quot;??_-;_-@_-"/>
    <numFmt numFmtId="175" formatCode="_-&quot;€&quot;* #,##0.00_-;\-&quot;€&quot;* #,##0.00_-;_-&quot;€&quot;* &quot;-&quot;??_-;_-@_-"/>
    <numFmt numFmtId="176" formatCode="&quot; &quot;#,##0.00&quot; &quot;;&quot;-&quot;#,##0.00&quot; &quot;;&quot; -&quot;00&quot; &quot;;&quot; &quot;@&quot; &quot;"/>
    <numFmt numFmtId="177" formatCode="_(* #,##0.00_);_(* \(#,##0.00\);_(* &quot;-&quot;??_);_(@_)"/>
    <numFmt numFmtId="178" formatCode="0_ ;\-0\ "/>
  </numFmts>
  <fonts count="162"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sz val="10"/>
      <color rgb="FFFF0000"/>
      <name val="Times New Roman"/>
      <family val="1"/>
      <charset val="186"/>
    </font>
    <font>
      <i/>
      <sz val="11"/>
      <name val="Times New Roman"/>
      <family val="1"/>
      <charset val="186"/>
    </font>
    <font>
      <sz val="11"/>
      <color theme="1"/>
      <name val="Times New Roman"/>
      <family val="1"/>
      <charset val="186"/>
    </font>
    <font>
      <sz val="11"/>
      <name val="Calibri"/>
      <family val="2"/>
      <charset val="186"/>
      <scheme val="minor"/>
    </font>
    <font>
      <sz val="8"/>
      <name val="Arial"/>
      <family val="2"/>
      <charset val="186"/>
    </font>
    <font>
      <sz val="8"/>
      <color indexed="10"/>
      <name val="Tahoma"/>
      <family val="2"/>
      <charset val="186"/>
    </font>
    <font>
      <sz val="9"/>
      <color indexed="8"/>
      <name val="Arial"/>
      <family val="2"/>
      <charset val="186"/>
    </font>
    <font>
      <sz val="9"/>
      <color rgb="FF006100"/>
      <name val="Arial"/>
      <family val="2"/>
      <charset val="186"/>
    </font>
    <font>
      <sz val="12"/>
      <name val="Times New Roman"/>
      <family val="1"/>
      <charset val="186"/>
    </font>
    <font>
      <sz val="11"/>
      <name val="Times New Roman"/>
      <family val="1"/>
    </font>
    <font>
      <b/>
      <sz val="11"/>
      <color theme="1"/>
      <name val="Calibri"/>
      <family val="2"/>
      <charset val="186"/>
      <scheme val="minor"/>
    </font>
    <font>
      <u/>
      <sz val="11"/>
      <color theme="10"/>
      <name val="Calibri"/>
      <family val="2"/>
      <charset val="186"/>
      <scheme val="minor"/>
    </font>
    <font>
      <sz val="11"/>
      <color rgb="FF000000"/>
      <name val="Calibri"/>
      <family val="2"/>
    </font>
    <font>
      <b/>
      <sz val="11"/>
      <color rgb="FFFF0000"/>
      <name val="Calibri"/>
      <family val="2"/>
      <charset val="186"/>
      <scheme val="minor"/>
    </font>
    <font>
      <sz val="10"/>
      <name val="Arial"/>
      <family val="2"/>
    </font>
    <font>
      <b/>
      <sz val="11"/>
      <name val="Times New Roman"/>
      <family val="1"/>
    </font>
    <font>
      <i/>
      <sz val="11"/>
      <color rgb="FFFF0000"/>
      <name val="Times New Roman"/>
      <family val="1"/>
      <charset val="186"/>
    </font>
    <font>
      <sz val="9"/>
      <color indexed="81"/>
      <name val="Tahoma"/>
      <family val="2"/>
      <charset val="186"/>
    </font>
    <font>
      <b/>
      <sz val="9"/>
      <color indexed="81"/>
      <name val="Tahoma"/>
      <family val="2"/>
      <charset val="186"/>
    </font>
    <font>
      <sz val="10"/>
      <name val="Arial"/>
      <family val="2"/>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0"/>
      <name val="Helv"/>
    </font>
    <font>
      <sz val="11"/>
      <color rgb="FF000000"/>
      <name val="Calibri"/>
      <family val="2"/>
      <charset val="186"/>
    </font>
    <font>
      <u/>
      <sz val="9"/>
      <color theme="10"/>
      <name val="Arial"/>
      <family val="2"/>
      <charset val="186"/>
    </font>
    <font>
      <b/>
      <sz val="11"/>
      <name val="Calibri"/>
      <family val="2"/>
      <scheme val="minor"/>
    </font>
    <font>
      <sz val="11"/>
      <color rgb="FF9C5700"/>
      <name val="Calibri"/>
      <family val="2"/>
      <charset val="186"/>
      <scheme val="minor"/>
    </font>
    <font>
      <b/>
      <sz val="14"/>
      <color theme="1"/>
      <name val="Calibri"/>
      <family val="2"/>
      <charset val="186"/>
      <scheme val="minor"/>
    </font>
    <font>
      <u/>
      <sz val="11"/>
      <color theme="10"/>
      <name val="Calibri"/>
      <family val="2"/>
      <charset val="186"/>
    </font>
    <font>
      <b/>
      <sz val="18"/>
      <name val="Calibri"/>
      <family val="2"/>
      <scheme val="minor"/>
    </font>
    <font>
      <sz val="10"/>
      <name val="Calibri"/>
      <family val="2"/>
      <charset val="186"/>
      <scheme val="minor"/>
    </font>
    <font>
      <sz val="10"/>
      <color rgb="FFFF0000"/>
      <name val="Calibri"/>
      <family val="2"/>
      <charset val="186"/>
      <scheme val="minor"/>
    </font>
    <font>
      <sz val="28"/>
      <color theme="0" tint="-0.499984740745262"/>
      <name val="Calibri Light"/>
      <family val="2"/>
      <scheme val="major"/>
    </font>
    <font>
      <b/>
      <i/>
      <sz val="11"/>
      <name val="Calibri"/>
      <family val="2"/>
      <scheme val="minor"/>
    </font>
    <font>
      <i/>
      <sz val="11"/>
      <name val="Calibri"/>
      <family val="2"/>
      <scheme val="minor"/>
    </font>
    <font>
      <sz val="11"/>
      <color rgb="FF000000"/>
      <name val="Calibri"/>
      <family val="2"/>
      <charset val="1"/>
    </font>
    <font>
      <i/>
      <sz val="11"/>
      <color indexed="8"/>
      <name val="Times New Roman"/>
      <family val="1"/>
      <charset val="186"/>
    </font>
    <font>
      <b/>
      <sz val="20"/>
      <name val="Times New Roman"/>
      <family val="1"/>
      <charset val="186"/>
    </font>
    <font>
      <sz val="11"/>
      <color rgb="FF000000"/>
      <name val="Arial"/>
      <family val="2"/>
      <charset val="186"/>
    </font>
    <font>
      <b/>
      <sz val="10"/>
      <color theme="1"/>
      <name val="Calibri"/>
      <family val="2"/>
      <charset val="186"/>
      <scheme val="minor"/>
    </font>
    <font>
      <b/>
      <sz val="10"/>
      <name val="Calibri"/>
      <family val="2"/>
      <charset val="186"/>
      <scheme val="minor"/>
    </font>
    <font>
      <b/>
      <sz val="10"/>
      <color rgb="FFFF0000"/>
      <name val="Calibri"/>
      <family val="2"/>
      <charset val="186"/>
      <scheme val="minor"/>
    </font>
    <font>
      <b/>
      <sz val="11"/>
      <name val="Calibri"/>
      <family val="2"/>
      <charset val="186"/>
      <scheme val="minor"/>
    </font>
    <font>
      <b/>
      <sz val="11"/>
      <color rgb="FFEE0000"/>
      <name val="Times New Roman"/>
      <family val="1"/>
      <charset val="186"/>
    </font>
    <font>
      <sz val="11"/>
      <color rgb="FFEE0000"/>
      <name val="Times New Roman"/>
      <family val="1"/>
      <charset val="186"/>
    </font>
    <font>
      <u/>
      <sz val="11"/>
      <color theme="10"/>
      <name val="Calibri"/>
      <family val="2"/>
      <scheme val="minor"/>
    </font>
    <font>
      <sz val="10"/>
      <name val="Arial"/>
      <family val="2"/>
      <charset val="204"/>
    </font>
    <font>
      <i/>
      <sz val="11"/>
      <name val="Calibri"/>
      <family val="2"/>
      <charset val="186"/>
      <scheme val="minor"/>
    </font>
    <font>
      <sz val="11"/>
      <color theme="4"/>
      <name val="Times New Roman"/>
      <family val="1"/>
      <charset val="186"/>
    </font>
    <font>
      <b/>
      <sz val="11"/>
      <color theme="4"/>
      <name val="Times New Roman"/>
      <family val="1"/>
      <charset val="186"/>
    </font>
    <font>
      <b/>
      <u/>
      <sz val="11"/>
      <name val="Times New Roman"/>
      <family val="1"/>
      <charset val="186"/>
    </font>
    <font>
      <sz val="11"/>
      <color indexed="8"/>
      <name val="Calibri"/>
      <family val="2"/>
      <charset val="186"/>
      <scheme val="minor"/>
    </font>
    <font>
      <b/>
      <sz val="12"/>
      <name val="Calibri"/>
      <family val="2"/>
      <charset val="186"/>
      <scheme val="minor"/>
    </font>
    <font>
      <b/>
      <sz val="11"/>
      <color indexed="8"/>
      <name val="Calibri"/>
      <family val="2"/>
      <charset val="186"/>
      <scheme val="minor"/>
    </font>
    <font>
      <b/>
      <sz val="10"/>
      <color indexed="8"/>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sz val="10"/>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b/>
      <i/>
      <sz val="11"/>
      <name val="Calibri"/>
      <family val="2"/>
      <charset val="186"/>
      <scheme val="minor"/>
    </font>
  </fonts>
  <fills count="50">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s>
  <borders count="9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60">
    <xf numFmtId="0" fontId="0" fillId="0" borderId="0"/>
    <xf numFmtId="43" fontId="74" fillId="0" borderId="0" applyFont="0" applyFill="0" applyBorder="0" applyAlignment="0" applyProtection="0"/>
    <xf numFmtId="9" fontId="74" fillId="0" borderId="0" applyFont="0" applyFill="0" applyBorder="0" applyAlignment="0" applyProtection="0"/>
    <xf numFmtId="0" fontId="66" fillId="0" borderId="0"/>
    <xf numFmtId="9" fontId="72" fillId="0" borderId="0" applyFont="0" applyFill="0" applyBorder="0" applyAlignment="0" applyProtection="0"/>
    <xf numFmtId="43" fontId="72" fillId="0" borderId="0" applyFont="0" applyFill="0" applyBorder="0" applyAlignment="0" applyProtection="0"/>
    <xf numFmtId="9" fontId="72" fillId="0" borderId="0" applyFont="0" applyFill="0" applyBorder="0" applyAlignment="0" applyProtection="0"/>
    <xf numFmtId="0" fontId="75" fillId="0" borderId="0"/>
    <xf numFmtId="43" fontId="72" fillId="0" borderId="0" applyFont="0" applyFill="0" applyBorder="0" applyAlignment="0" applyProtection="0"/>
    <xf numFmtId="9" fontId="72" fillId="0" borderId="0" applyFont="0" applyFill="0" applyBorder="0" applyAlignment="0" applyProtection="0"/>
    <xf numFmtId="0" fontId="75" fillId="0" borderId="0"/>
    <xf numFmtId="43" fontId="75" fillId="0" borderId="0" applyFont="0" applyFill="0" applyBorder="0" applyAlignment="0" applyProtection="0"/>
    <xf numFmtId="43" fontId="72" fillId="0" borderId="0" applyFont="0" applyFill="0" applyBorder="0" applyAlignment="0" applyProtection="0"/>
    <xf numFmtId="0" fontId="65" fillId="0" borderId="0"/>
    <xf numFmtId="9" fontId="75"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9" fillId="0" borderId="0"/>
    <xf numFmtId="43" fontId="74" fillId="0" borderId="0" applyFont="0" applyFill="0" applyBorder="0" applyAlignment="0" applyProtection="0"/>
    <xf numFmtId="43" fontId="72" fillId="0" borderId="0" applyFont="0" applyFill="0" applyBorder="0" applyAlignment="0" applyProtection="0"/>
    <xf numFmtId="166" fontId="74" fillId="0" borderId="0" applyFont="0" applyFill="0" applyBorder="0" applyAlignment="0" applyProtection="0"/>
    <xf numFmtId="43" fontId="72" fillId="0" borderId="0" applyFont="0" applyFill="0" applyBorder="0" applyAlignment="0" applyProtection="0"/>
    <xf numFmtId="43" fontId="86" fillId="0" borderId="0" applyFont="0" applyFill="0" applyBorder="0" applyAlignment="0" applyProtection="0"/>
    <xf numFmtId="43" fontId="65" fillId="0" borderId="0" applyFont="0" applyFill="0" applyBorder="0" applyAlignment="0" applyProtection="0"/>
    <xf numFmtId="43" fontId="72" fillId="0" borderId="0" applyFont="0" applyFill="0" applyBorder="0" applyAlignment="0" applyProtection="0"/>
    <xf numFmtId="0" fontId="65" fillId="0" borderId="0"/>
    <xf numFmtId="0" fontId="87" fillId="2" borderId="0" applyNumberFormat="0" applyBorder="0" applyAlignment="0" applyProtection="0"/>
    <xf numFmtId="0" fontId="75" fillId="0" borderId="0"/>
    <xf numFmtId="43" fontId="75" fillId="0" borderId="0" applyFont="0" applyFill="0" applyBorder="0" applyAlignment="0" applyProtection="0"/>
    <xf numFmtId="43" fontId="75" fillId="0" borderId="0" applyFont="0" applyFill="0" applyBorder="0" applyAlignment="0" applyProtection="0"/>
    <xf numFmtId="9" fontId="75" fillId="0" borderId="0" applyFont="0" applyFill="0" applyBorder="0" applyAlignment="0" applyProtection="0"/>
    <xf numFmtId="0" fontId="64" fillId="0" borderId="0"/>
    <xf numFmtId="0" fontId="63" fillId="0" borderId="0"/>
    <xf numFmtId="9" fontId="63" fillId="0" borderId="0" applyFont="0" applyFill="0" applyBorder="0" applyAlignment="0" applyProtection="0"/>
    <xf numFmtId="0" fontId="63" fillId="0" borderId="0"/>
    <xf numFmtId="43" fontId="72" fillId="0" borderId="0" applyFont="0" applyFill="0" applyBorder="0" applyAlignment="0" applyProtection="0"/>
    <xf numFmtId="0" fontId="72" fillId="0" borderId="0"/>
    <xf numFmtId="0" fontId="72" fillId="0" borderId="0"/>
    <xf numFmtId="43" fontId="63" fillId="0" borderId="0" applyFont="0" applyFill="0" applyBorder="0" applyAlignment="0" applyProtection="0"/>
    <xf numFmtId="0" fontId="88" fillId="0" borderId="0"/>
    <xf numFmtId="0" fontId="91" fillId="0" borderId="0" applyNumberFormat="0" applyFill="0" applyBorder="0" applyAlignment="0" applyProtection="0"/>
    <xf numFmtId="0" fontId="75" fillId="0" borderId="0" applyNumberFormat="0" applyFill="0" applyBorder="0" applyAlignment="0" applyProtection="0"/>
    <xf numFmtId="0" fontId="62" fillId="0" borderId="0"/>
    <xf numFmtId="0" fontId="62" fillId="0" borderId="0"/>
    <xf numFmtId="0" fontId="72" fillId="0" borderId="0"/>
    <xf numFmtId="0" fontId="72" fillId="0" borderId="0"/>
    <xf numFmtId="0" fontId="75" fillId="0" borderId="0"/>
    <xf numFmtId="0" fontId="61" fillId="0" borderId="0"/>
    <xf numFmtId="43" fontId="61" fillId="0" borderId="0" applyFont="0" applyFill="0" applyBorder="0" applyAlignment="0" applyProtection="0"/>
    <xf numFmtId="43" fontId="74" fillId="0" borderId="0" applyFont="0" applyFill="0" applyBorder="0" applyAlignment="0" applyProtection="0"/>
    <xf numFmtId="0" fontId="75" fillId="0" borderId="0"/>
    <xf numFmtId="0" fontId="61" fillId="0" borderId="0"/>
    <xf numFmtId="0" fontId="94" fillId="0" borderId="0"/>
    <xf numFmtId="169" fontId="92" fillId="0" borderId="0"/>
    <xf numFmtId="0" fontId="60" fillId="0" borderId="0"/>
    <xf numFmtId="9" fontId="60" fillId="0" borderId="0" applyFont="0" applyFill="0" applyBorder="0" applyAlignment="0" applyProtection="0"/>
    <xf numFmtId="43" fontId="74" fillId="0" borderId="0" applyFont="0" applyFill="0" applyBorder="0" applyAlignment="0" applyProtection="0"/>
    <xf numFmtId="43" fontId="86" fillId="0" borderId="0" applyFont="0" applyFill="0" applyBorder="0" applyAlignment="0" applyProtection="0"/>
    <xf numFmtId="43" fontId="60" fillId="0" borderId="0" applyFont="0" applyFill="0" applyBorder="0" applyAlignment="0" applyProtection="0"/>
    <xf numFmtId="43" fontId="75" fillId="0" borderId="0" applyFont="0" applyFill="0" applyBorder="0" applyAlignment="0" applyProtection="0"/>
    <xf numFmtId="43" fontId="72" fillId="0" borderId="0" applyFont="0" applyFill="0" applyBorder="0" applyAlignment="0" applyProtection="0"/>
    <xf numFmtId="0" fontId="60" fillId="0" borderId="0"/>
    <xf numFmtId="43" fontId="60" fillId="0" borderId="0" applyFont="0" applyFill="0" applyBorder="0" applyAlignment="0" applyProtection="0"/>
    <xf numFmtId="0" fontId="59" fillId="0" borderId="0"/>
    <xf numFmtId="0" fontId="58" fillId="0" borderId="0"/>
    <xf numFmtId="0" fontId="57" fillId="0" borderId="0"/>
    <xf numFmtId="43" fontId="57" fillId="0" borderId="0" applyFont="0" applyFill="0" applyBorder="0" applyAlignment="0" applyProtection="0"/>
    <xf numFmtId="170" fontId="92" fillId="0" borderId="0" applyBorder="0" applyProtection="0"/>
    <xf numFmtId="171" fontId="92" fillId="0" borderId="0" applyBorder="0" applyProtection="0"/>
    <xf numFmtId="0" fontId="75" fillId="0" borderId="0"/>
    <xf numFmtId="0" fontId="56" fillId="0" borderId="0"/>
    <xf numFmtId="43" fontId="56" fillId="0" borderId="0" applyFont="0" applyFill="0" applyBorder="0" applyAlignment="0" applyProtection="0"/>
    <xf numFmtId="9" fontId="56" fillId="0" borderId="0" applyFont="0" applyFill="0" applyBorder="0" applyAlignment="0" applyProtection="0"/>
    <xf numFmtId="0" fontId="55" fillId="0" borderId="0"/>
    <xf numFmtId="43" fontId="55" fillId="0" borderId="0" applyFont="0" applyFill="0" applyBorder="0" applyAlignment="0" applyProtection="0"/>
    <xf numFmtId="0" fontId="99" fillId="0" borderId="0"/>
    <xf numFmtId="0" fontId="54" fillId="0" borderId="0"/>
    <xf numFmtId="43" fontId="54" fillId="0" borderId="0" applyFont="0" applyFill="0" applyBorder="0" applyAlignment="0" applyProtection="0"/>
    <xf numFmtId="165" fontId="54" fillId="0" borderId="0" applyFont="0" applyFill="0" applyBorder="0" applyAlignment="0" applyProtection="0"/>
    <xf numFmtId="9" fontId="54" fillId="0" borderId="0" applyFont="0" applyFill="0" applyBorder="0" applyAlignment="0" applyProtection="0"/>
    <xf numFmtId="43" fontId="74" fillId="0" borderId="0" applyFont="0" applyFill="0" applyBorder="0" applyAlignment="0" applyProtection="0"/>
    <xf numFmtId="0" fontId="53" fillId="0" borderId="0"/>
    <xf numFmtId="0" fontId="52" fillId="0" borderId="0"/>
    <xf numFmtId="0" fontId="51" fillId="0" borderId="0"/>
    <xf numFmtId="0" fontId="103" fillId="0" borderId="0" applyNumberFormat="0" applyProtection="0">
      <alignment vertical="top"/>
    </xf>
    <xf numFmtId="0" fontId="94" fillId="0" borderId="0"/>
    <xf numFmtId="43" fontId="51" fillId="0" borderId="0" applyFont="0" applyFill="0" applyBorder="0" applyAlignment="0" applyProtection="0"/>
    <xf numFmtId="0" fontId="51" fillId="0" borderId="0"/>
    <xf numFmtId="0" fontId="50" fillId="0" borderId="0"/>
    <xf numFmtId="0" fontId="49" fillId="0" borderId="0"/>
    <xf numFmtId="0" fontId="104" fillId="0" borderId="0" applyNumberFormat="0" applyFill="0" applyBorder="0" applyAlignment="0" applyProtection="0"/>
    <xf numFmtId="0" fontId="105" fillId="0" borderId="0"/>
    <xf numFmtId="0" fontId="47" fillId="0" borderId="0"/>
    <xf numFmtId="0" fontId="47" fillId="0" borderId="0"/>
    <xf numFmtId="9" fontId="75" fillId="0" borderId="0" applyFont="0" applyFill="0" applyBorder="0" applyAlignment="0" applyProtection="0"/>
    <xf numFmtId="0" fontId="46" fillId="0" borderId="0"/>
    <xf numFmtId="0" fontId="75" fillId="0" borderId="0"/>
    <xf numFmtId="43" fontId="75" fillId="0" borderId="0" applyFont="0" applyFill="0" applyBorder="0" applyAlignment="0" applyProtection="0"/>
    <xf numFmtId="43" fontId="46" fillId="0" borderId="0" applyFont="0" applyFill="0" applyBorder="0" applyAlignment="0" applyProtection="0"/>
    <xf numFmtId="0" fontId="74" fillId="0" borderId="0"/>
    <xf numFmtId="0" fontId="108" fillId="0" borderId="0" applyNumberFormat="0" applyFill="0" applyBorder="0" applyAlignment="0" applyProtection="0"/>
    <xf numFmtId="0" fontId="109" fillId="0" borderId="30" applyNumberFormat="0" applyFill="0" applyAlignment="0" applyProtection="0"/>
    <xf numFmtId="0" fontId="110" fillId="0" borderId="31" applyNumberFormat="0" applyFill="0" applyAlignment="0" applyProtection="0"/>
    <xf numFmtId="0" fontId="111" fillId="0" borderId="32" applyNumberFormat="0" applyFill="0" applyAlignment="0" applyProtection="0"/>
    <xf numFmtId="0" fontId="111" fillId="0" borderId="0" applyNumberFormat="0" applyFill="0" applyBorder="0" applyAlignment="0" applyProtection="0"/>
    <xf numFmtId="0" fontId="112" fillId="2" borderId="0" applyNumberFormat="0" applyBorder="0" applyAlignment="0" applyProtection="0"/>
    <xf numFmtId="0" fontId="113" fillId="19" borderId="0" applyNumberFormat="0" applyBorder="0" applyAlignment="0" applyProtection="0"/>
    <xf numFmtId="0" fontId="114" fillId="20" borderId="0" applyNumberFormat="0" applyBorder="0" applyAlignment="0" applyProtection="0"/>
    <xf numFmtId="0" fontId="115" fillId="21" borderId="33" applyNumberFormat="0" applyAlignment="0" applyProtection="0"/>
    <xf numFmtId="0" fontId="116" fillId="22" borderId="34" applyNumberFormat="0" applyAlignment="0" applyProtection="0"/>
    <xf numFmtId="0" fontId="117" fillId="22" borderId="33" applyNumberFormat="0" applyAlignment="0" applyProtection="0"/>
    <xf numFmtId="0" fontId="118" fillId="0" borderId="35" applyNumberFormat="0" applyFill="0" applyAlignment="0" applyProtection="0"/>
    <xf numFmtId="0" fontId="119" fillId="23" borderId="36" applyNumberFormat="0" applyAlignment="0" applyProtection="0"/>
    <xf numFmtId="0" fontId="67" fillId="0" borderId="0" applyNumberFormat="0" applyFill="0" applyBorder="0" applyAlignment="0" applyProtection="0"/>
    <xf numFmtId="0" fontId="120" fillId="0" borderId="0" applyNumberFormat="0" applyFill="0" applyBorder="0" applyAlignment="0" applyProtection="0"/>
    <xf numFmtId="0" fontId="90" fillId="0" borderId="38" applyNumberFormat="0" applyFill="0" applyAlignment="0" applyProtection="0"/>
    <xf numFmtId="0" fontId="121" fillId="2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121" fillId="28" borderId="0" applyNumberFormat="0" applyBorder="0" applyAlignment="0" applyProtection="0"/>
    <xf numFmtId="0" fontId="121"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121" fillId="32" borderId="0" applyNumberFormat="0" applyBorder="0" applyAlignment="0" applyProtection="0"/>
    <xf numFmtId="0" fontId="121" fillId="33"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121" fillId="36" borderId="0" applyNumberFormat="0" applyBorder="0" applyAlignment="0" applyProtection="0"/>
    <xf numFmtId="0" fontId="121"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121" fillId="40" borderId="0" applyNumberFormat="0" applyBorder="0" applyAlignment="0" applyProtection="0"/>
    <xf numFmtId="0" fontId="121" fillId="41"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121" fillId="44" borderId="0" applyNumberFormat="0" applyBorder="0" applyAlignment="0" applyProtection="0"/>
    <xf numFmtId="0" fontId="121" fillId="45"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121" fillId="48" borderId="0" applyNumberFormat="0" applyBorder="0" applyAlignment="0" applyProtection="0"/>
    <xf numFmtId="0" fontId="44" fillId="0" borderId="0"/>
    <xf numFmtId="0" fontId="44" fillId="24" borderId="37" applyNumberFormat="0" applyFont="0" applyAlignment="0" applyProtection="0"/>
    <xf numFmtId="0" fontId="43" fillId="0" borderId="0"/>
    <xf numFmtId="43" fontId="43" fillId="0" borderId="0" applyFont="0" applyFill="0" applyBorder="0" applyAlignment="0" applyProtection="0"/>
    <xf numFmtId="43" fontId="105" fillId="0" borderId="0" applyFont="0" applyFill="0" applyBorder="0" applyAlignment="0" applyProtection="0"/>
    <xf numFmtId="0" fontId="42" fillId="0" borderId="0"/>
    <xf numFmtId="0" fontId="42" fillId="24" borderId="37" applyNumberFormat="0" applyFont="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85" fillId="0" borderId="0" pivotButton="1"/>
    <xf numFmtId="43" fontId="85" fillId="0" borderId="0" applyFont="0" applyFill="0" applyBorder="0" applyAlignment="0" applyProtection="0"/>
    <xf numFmtId="0" fontId="105" fillId="0" borderId="0"/>
    <xf numFmtId="0" fontId="100" fillId="0" borderId="0"/>
    <xf numFmtId="0" fontId="75" fillId="0" borderId="0"/>
    <xf numFmtId="43" fontId="75" fillId="0" borderId="0" applyFont="0" applyFill="0" applyBorder="0" applyAlignment="0" applyProtection="0"/>
    <xf numFmtId="0" fontId="41" fillId="0" borderId="0"/>
    <xf numFmtId="0" fontId="75" fillId="0" borderId="0" applyBorder="0"/>
    <xf numFmtId="0" fontId="41" fillId="0" borderId="0"/>
    <xf numFmtId="0" fontId="122" fillId="0" borderId="0"/>
    <xf numFmtId="0" fontId="74" fillId="0" borderId="0"/>
    <xf numFmtId="9" fontId="74" fillId="0" borderId="0" applyFont="0" applyFill="0" applyBorder="0" applyAlignment="0" applyProtection="0"/>
    <xf numFmtId="0" fontId="40" fillId="0" borderId="0"/>
    <xf numFmtId="0" fontId="124" fillId="0" borderId="0" applyNumberFormat="0" applyFill="0" applyBorder="0" applyAlignment="0" applyProtection="0"/>
    <xf numFmtId="0" fontId="39" fillId="0" borderId="0"/>
    <xf numFmtId="0" fontId="38" fillId="0" borderId="0"/>
    <xf numFmtId="0" fontId="126" fillId="20" borderId="0" applyNumberFormat="0" applyBorder="0" applyAlignment="0" applyProtection="0"/>
    <xf numFmtId="0" fontId="38" fillId="24" borderId="37" applyNumberFormat="0" applyFont="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32"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38" fillId="36"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7" fillId="0" borderId="0"/>
    <xf numFmtId="0" fontId="128" fillId="0" borderId="0" applyNumberFormat="0" applyFill="0" applyBorder="0" applyAlignment="0" applyProtection="0">
      <alignment vertical="top"/>
      <protection locked="0"/>
    </xf>
    <xf numFmtId="0" fontId="36" fillId="0" borderId="0"/>
    <xf numFmtId="0" fontId="36" fillId="0" borderId="0"/>
    <xf numFmtId="0" fontId="35" fillId="0" borderId="0"/>
    <xf numFmtId="43" fontId="35" fillId="0" borderId="0" applyFont="0" applyFill="0" applyBorder="0" applyAlignment="0" applyProtection="0"/>
    <xf numFmtId="0" fontId="34" fillId="0" borderId="0"/>
    <xf numFmtId="0" fontId="34" fillId="0" borderId="0"/>
    <xf numFmtId="0" fontId="129" fillId="0" borderId="0">
      <alignment horizontal="left" wrapText="1"/>
    </xf>
    <xf numFmtId="0" fontId="132" fillId="0" borderId="0">
      <alignment horizontal="right"/>
    </xf>
    <xf numFmtId="0" fontId="106" fillId="0" borderId="0">
      <alignment horizontal="left" wrapText="1"/>
    </xf>
    <xf numFmtId="0" fontId="133" fillId="0" borderId="0">
      <alignment vertical="top" wrapText="1"/>
    </xf>
    <xf numFmtId="0" fontId="125" fillId="0" borderId="0">
      <alignment horizontal="right" indent="1"/>
    </xf>
    <xf numFmtId="14" fontId="106" fillId="0" borderId="0" applyFont="0" applyFill="0" applyBorder="0" applyAlignment="0" applyProtection="0">
      <alignment horizontal="left"/>
    </xf>
    <xf numFmtId="172" fontId="106" fillId="0" borderId="0" applyFont="0" applyFill="0" applyBorder="0" applyProtection="0">
      <alignment horizontal="left" vertical="top" wrapText="1"/>
    </xf>
    <xf numFmtId="0" fontId="125" fillId="0" borderId="0">
      <alignment horizontal="left" vertical="top"/>
    </xf>
    <xf numFmtId="0" fontId="134" fillId="0" borderId="0">
      <alignment horizontal="right" indent="1"/>
    </xf>
    <xf numFmtId="0" fontId="106" fillId="0" borderId="0">
      <alignment horizontal="left" vertical="top" wrapText="1"/>
    </xf>
    <xf numFmtId="173" fontId="106" fillId="0" borderId="0" applyFont="0" applyFill="0" applyBorder="0" applyProtection="0">
      <alignment horizontal="right"/>
    </xf>
    <xf numFmtId="0" fontId="125" fillId="0" borderId="0">
      <alignment horizontal="center" wrapText="1"/>
    </xf>
    <xf numFmtId="0" fontId="33" fillId="0" borderId="0"/>
    <xf numFmtId="43" fontId="33" fillId="0" borderId="0" applyFont="0" applyFill="0" applyBorder="0" applyAlignment="0" applyProtection="0"/>
    <xf numFmtId="0" fontId="32" fillId="0" borderId="0"/>
    <xf numFmtId="0" fontId="126" fillId="20" borderId="0" applyNumberFormat="0" applyBorder="0" applyAlignment="0" applyProtection="0"/>
    <xf numFmtId="0" fontId="32" fillId="24" borderId="37" applyNumberFormat="0" applyFont="0" applyAlignment="0" applyProtection="0"/>
    <xf numFmtId="0" fontId="32"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1" fillId="0" borderId="0"/>
    <xf numFmtId="0" fontId="31" fillId="0" borderId="0"/>
    <xf numFmtId="0" fontId="31" fillId="0" borderId="0"/>
    <xf numFmtId="175" fontId="74" fillId="0" borderId="0" applyFont="0" applyFill="0" applyBorder="0" applyAlignment="0" applyProtection="0"/>
    <xf numFmtId="0" fontId="30" fillId="0" borderId="0"/>
    <xf numFmtId="0" fontId="29" fillId="0" borderId="0"/>
    <xf numFmtId="0" fontId="28" fillId="0" borderId="0"/>
    <xf numFmtId="0" fontId="27" fillId="0" borderId="0"/>
    <xf numFmtId="0" fontId="26" fillId="0" borderId="0"/>
    <xf numFmtId="0" fontId="25" fillId="0" borderId="0"/>
    <xf numFmtId="43" fontId="25" fillId="0" borderId="0" applyFont="0" applyFill="0" applyBorder="0" applyAlignment="0" applyProtection="0"/>
    <xf numFmtId="0" fontId="24" fillId="0" borderId="0"/>
    <xf numFmtId="43" fontId="24" fillId="0" borderId="0" applyFont="0" applyFill="0" applyBorder="0" applyAlignment="0" applyProtection="0"/>
    <xf numFmtId="0" fontId="23" fillId="0" borderId="0"/>
    <xf numFmtId="0" fontId="23" fillId="24" borderId="37" applyNumberFormat="0" applyFont="0" applyAlignment="0" applyProtection="0"/>
    <xf numFmtId="0" fontId="2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135" fillId="0" borderId="0"/>
    <xf numFmtId="43" fontId="105" fillId="0" borderId="0" applyFont="0" applyFill="0" applyBorder="0" applyAlignment="0" applyProtection="0"/>
    <xf numFmtId="0" fontId="74" fillId="0" borderId="0"/>
    <xf numFmtId="43" fontId="74" fillId="0" borderId="0" applyFont="0" applyFill="0" applyBorder="0" applyAlignment="0" applyProtection="0"/>
    <xf numFmtId="0" fontId="22" fillId="0" borderId="0"/>
    <xf numFmtId="0" fontId="21" fillId="0" borderId="0"/>
    <xf numFmtId="0" fontId="20"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74" fillId="0" borderId="0" applyFont="0" applyFill="0" applyBorder="0" applyAlignment="0" applyProtection="0"/>
    <xf numFmtId="176" fontId="123" fillId="0" borderId="0" applyFont="0" applyFill="0" applyBorder="0" applyAlignment="0" applyProtection="0"/>
    <xf numFmtId="0" fontId="19" fillId="0" borderId="0"/>
    <xf numFmtId="0" fontId="135" fillId="0" borderId="0"/>
    <xf numFmtId="0" fontId="100" fillId="0" borderId="0"/>
    <xf numFmtId="43" fontId="100" fillId="0" borderId="0" applyFont="0" applyFill="0" applyBorder="0" applyAlignment="0" applyProtection="0"/>
    <xf numFmtId="0" fontId="15" fillId="0" borderId="0"/>
    <xf numFmtId="0" fontId="14" fillId="0" borderId="0"/>
    <xf numFmtId="0" fontId="14" fillId="24" borderId="37" applyNumberFormat="0" applyFont="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3" fillId="0" borderId="0"/>
    <xf numFmtId="0" fontId="13" fillId="24" borderId="37" applyNumberFormat="0" applyFont="0" applyAlignment="0" applyProtection="0"/>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2" fillId="0" borderId="0"/>
    <xf numFmtId="43" fontId="12" fillId="0" borderId="0" applyFont="0" applyFill="0" applyBorder="0" applyAlignment="0" applyProtection="0"/>
    <xf numFmtId="0" fontId="11" fillId="0" borderId="0"/>
    <xf numFmtId="0" fontId="11" fillId="0" borderId="0"/>
    <xf numFmtId="0" fontId="11" fillId="0" borderId="0"/>
    <xf numFmtId="0" fontId="91" fillId="0" borderId="0" applyNumberFormat="0" applyFill="0" applyBorder="0" applyAlignment="0" applyProtection="0"/>
    <xf numFmtId="0" fontId="145" fillId="0" borderId="0" applyNumberFormat="0" applyFill="0" applyBorder="0" applyAlignment="0" applyProtection="0"/>
    <xf numFmtId="177" fontId="74" fillId="0" borderId="0" applyFont="0" applyFill="0" applyBorder="0" applyAlignment="0" applyProtection="0"/>
    <xf numFmtId="0" fontId="146" fillId="0" borderId="0"/>
    <xf numFmtId="0" fontId="10" fillId="0" borderId="0"/>
    <xf numFmtId="0" fontId="138" fillId="0" borderId="0"/>
    <xf numFmtId="169" fontId="123" fillId="0" borderId="0" applyBorder="0" applyProtection="0"/>
    <xf numFmtId="0" fontId="9" fillId="0" borderId="0"/>
    <xf numFmtId="0" fontId="8" fillId="0" borderId="0"/>
    <xf numFmtId="0" fontId="8" fillId="0" borderId="0"/>
    <xf numFmtId="0" fontId="7" fillId="0" borderId="0"/>
    <xf numFmtId="0" fontId="7" fillId="0" borderId="0"/>
    <xf numFmtId="43" fontId="7" fillId="0" borderId="0" applyFont="0" applyFill="0" applyBorder="0" applyAlignment="0" applyProtection="0"/>
    <xf numFmtId="177" fontId="74" fillId="0" borderId="0" applyFont="0" applyFill="0" applyBorder="0" applyAlignment="0" applyProtection="0"/>
    <xf numFmtId="177" fontId="86" fillId="0" borderId="0" applyFont="0" applyFill="0" applyBorder="0" applyAlignment="0" applyProtection="0"/>
    <xf numFmtId="43" fontId="75" fillId="0" borderId="0" quotePrefix="1" applyFont="0" applyFill="0" applyBorder="0" applyAlignment="0">
      <protection locked="0"/>
    </xf>
    <xf numFmtId="0" fontId="6" fillId="0" borderId="0"/>
    <xf numFmtId="0" fontId="6" fillId="0" borderId="0"/>
    <xf numFmtId="43" fontId="5"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28" fillId="0" borderId="0" applyNumberFormat="0" applyFill="0" applyBorder="0" applyAlignment="0" applyProtection="0">
      <alignment vertical="top"/>
      <protection locked="0"/>
    </xf>
    <xf numFmtId="0" fontId="1" fillId="0" borderId="0"/>
    <xf numFmtId="43" fontId="75" fillId="0" borderId="0" applyFill="0" applyBorder="0" applyAlignment="0" applyProtection="0"/>
    <xf numFmtId="43" fontId="74" fillId="0" borderId="0" applyFont="0" applyFill="0" applyBorder="0" applyAlignment="0" applyProtection="0"/>
  </cellStyleXfs>
  <cellXfs count="619">
    <xf numFmtId="0" fontId="0" fillId="0" borderId="0" xfId="0"/>
    <xf numFmtId="9" fontId="68" fillId="0" borderId="0" xfId="4" applyFont="1"/>
    <xf numFmtId="0" fontId="68" fillId="0" borderId="0" xfId="43" applyFont="1"/>
    <xf numFmtId="0" fontId="68" fillId="0" borderId="0" xfId="43" applyFont="1" applyAlignment="1">
      <alignment wrapText="1"/>
    </xf>
    <xf numFmtId="0" fontId="73" fillId="0" borderId="0" xfId="43" applyFont="1"/>
    <xf numFmtId="0" fontId="71" fillId="0" borderId="0" xfId="43" applyFont="1"/>
    <xf numFmtId="0" fontId="73" fillId="0" borderId="1" xfId="43" applyFont="1" applyBorder="1" applyAlignment="1">
      <alignment horizontal="center" vertical="center"/>
    </xf>
    <xf numFmtId="0" fontId="73" fillId="0" borderId="2" xfId="43" applyFont="1" applyBorder="1" applyAlignment="1">
      <alignment horizontal="center" vertical="center" wrapText="1"/>
    </xf>
    <xf numFmtId="3" fontId="73" fillId="3" borderId="4" xfId="43" applyNumberFormat="1" applyFont="1" applyFill="1" applyBorder="1"/>
    <xf numFmtId="3" fontId="73" fillId="4" borderId="4" xfId="43" applyNumberFormat="1" applyFont="1" applyFill="1" applyBorder="1"/>
    <xf numFmtId="0" fontId="78" fillId="0" borderId="0" xfId="43" applyFont="1"/>
    <xf numFmtId="3" fontId="68" fillId="0" borderId="7" xfId="43" applyNumberFormat="1" applyFont="1" applyBorder="1"/>
    <xf numFmtId="3" fontId="73" fillId="4" borderId="7" xfId="43" applyNumberFormat="1" applyFont="1" applyFill="1" applyBorder="1"/>
    <xf numFmtId="3" fontId="68" fillId="6" borderId="7" xfId="43" applyNumberFormat="1" applyFont="1" applyFill="1" applyBorder="1"/>
    <xf numFmtId="3" fontId="79" fillId="8" borderId="7" xfId="43" applyNumberFormat="1" applyFont="1" applyFill="1" applyBorder="1"/>
    <xf numFmtId="0" fontId="79" fillId="0" borderId="0" xfId="43" applyFont="1"/>
    <xf numFmtId="0" fontId="70" fillId="0" borderId="0" xfId="43" applyFont="1"/>
    <xf numFmtId="3" fontId="68" fillId="3" borderId="7" xfId="43" applyNumberFormat="1" applyFont="1" applyFill="1" applyBorder="1"/>
    <xf numFmtId="0" fontId="69" fillId="0" borderId="0" xfId="43" applyFont="1"/>
    <xf numFmtId="0" fontId="73" fillId="0" borderId="9" xfId="43" applyFont="1" applyBorder="1"/>
    <xf numFmtId="0" fontId="73" fillId="0" borderId="10" xfId="43" applyFont="1" applyBorder="1" applyAlignment="1">
      <alignment horizontal="right" wrapText="1"/>
    </xf>
    <xf numFmtId="49" fontId="68" fillId="0" borderId="6" xfId="43" applyNumberFormat="1" applyFont="1" applyBorder="1" applyAlignment="1">
      <alignment horizontal="left" wrapText="1" indent="4"/>
    </xf>
    <xf numFmtId="3" fontId="73" fillId="4" borderId="12" xfId="43" applyNumberFormat="1" applyFont="1" applyFill="1" applyBorder="1"/>
    <xf numFmtId="3" fontId="73" fillId="3" borderId="7" xfId="43" applyNumberFormat="1" applyFont="1" applyFill="1" applyBorder="1"/>
    <xf numFmtId="49" fontId="68" fillId="0" borderId="5" xfId="43" applyNumberFormat="1" applyFont="1" applyBorder="1" applyAlignment="1">
      <alignment horizontal="left" indent="2"/>
    </xf>
    <xf numFmtId="0" fontId="68" fillId="0" borderId="0" xfId="43" applyFont="1" applyAlignment="1">
      <alignment horizontal="right"/>
    </xf>
    <xf numFmtId="0" fontId="68" fillId="6" borderId="0" xfId="43" applyFont="1" applyFill="1"/>
    <xf numFmtId="49" fontId="73" fillId="0" borderId="9" xfId="43" applyNumberFormat="1" applyFont="1" applyBorder="1"/>
    <xf numFmtId="3" fontId="73" fillId="0" borderId="13" xfId="43" applyNumberFormat="1" applyFont="1" applyBorder="1"/>
    <xf numFmtId="3" fontId="73" fillId="0" borderId="14" xfId="43" applyNumberFormat="1" applyFont="1" applyBorder="1"/>
    <xf numFmtId="49" fontId="73" fillId="4" borderId="15" xfId="43" applyNumberFormat="1" applyFont="1" applyFill="1" applyBorder="1" applyAlignment="1">
      <alignment horizontal="center"/>
    </xf>
    <xf numFmtId="3" fontId="73" fillId="4" borderId="17" xfId="43" applyNumberFormat="1" applyFont="1" applyFill="1" applyBorder="1"/>
    <xf numFmtId="3" fontId="73" fillId="0" borderId="0" xfId="43" applyNumberFormat="1" applyFont="1"/>
    <xf numFmtId="0" fontId="78" fillId="5" borderId="0" xfId="43" applyFont="1" applyFill="1"/>
    <xf numFmtId="3" fontId="68" fillId="5" borderId="7" xfId="43" applyNumberFormat="1" applyFont="1" applyFill="1" applyBorder="1"/>
    <xf numFmtId="167" fontId="68" fillId="3" borderId="7" xfId="1" applyNumberFormat="1" applyFont="1" applyFill="1" applyBorder="1"/>
    <xf numFmtId="167" fontId="68" fillId="5" borderId="7" xfId="1" applyNumberFormat="1" applyFont="1" applyFill="1" applyBorder="1"/>
    <xf numFmtId="3" fontId="68" fillId="0" borderId="0" xfId="43" applyNumberFormat="1" applyFont="1"/>
    <xf numFmtId="3" fontId="73" fillId="0" borderId="3" xfId="43" applyNumberFormat="1" applyFont="1" applyBorder="1"/>
    <xf numFmtId="3" fontId="73" fillId="0" borderId="11" xfId="43" applyNumberFormat="1" applyFont="1" applyBorder="1"/>
    <xf numFmtId="3" fontId="68" fillId="0" borderId="27" xfId="43" applyNumberFormat="1" applyFont="1" applyBorder="1"/>
    <xf numFmtId="167" fontId="73" fillId="0" borderId="0" xfId="5" applyNumberFormat="1" applyFont="1"/>
    <xf numFmtId="0" fontId="73" fillId="0" borderId="3" xfId="7" applyFont="1" applyBorder="1" applyAlignment="1">
      <alignment horizontal="center" vertical="center" wrapText="1"/>
    </xf>
    <xf numFmtId="3" fontId="68" fillId="7" borderId="7" xfId="43" applyNumberFormat="1" applyFont="1" applyFill="1" applyBorder="1"/>
    <xf numFmtId="10" fontId="68" fillId="0" borderId="0" xfId="9" applyNumberFormat="1" applyFont="1"/>
    <xf numFmtId="0" fontId="48" fillId="0" borderId="0" xfId="43" applyFont="1"/>
    <xf numFmtId="0" fontId="45" fillId="0" borderId="0" xfId="43" applyFont="1"/>
    <xf numFmtId="3" fontId="68" fillId="11" borderId="7" xfId="43" applyNumberFormat="1" applyFont="1" applyFill="1" applyBorder="1"/>
    <xf numFmtId="3" fontId="68" fillId="0" borderId="42" xfId="43" applyNumberFormat="1" applyFont="1" applyBorder="1"/>
    <xf numFmtId="167" fontId="73" fillId="3" borderId="4" xfId="1" applyNumberFormat="1" applyFont="1" applyFill="1" applyBorder="1"/>
    <xf numFmtId="0" fontId="62" fillId="0" borderId="0" xfId="43"/>
    <xf numFmtId="0" fontId="73" fillId="0" borderId="19" xfId="43" applyFont="1" applyBorder="1"/>
    <xf numFmtId="0" fontId="101" fillId="0" borderId="0" xfId="83" applyFont="1"/>
    <xf numFmtId="0" fontId="68" fillId="0" borderId="0" xfId="43" quotePrefix="1" applyFont="1"/>
    <xf numFmtId="0" fontId="71" fillId="0" borderId="0" xfId="43" quotePrefix="1" applyFont="1"/>
    <xf numFmtId="0" fontId="78" fillId="0" borderId="0" xfId="43" quotePrefix="1" applyFont="1"/>
    <xf numFmtId="0" fontId="68" fillId="6" borderId="0" xfId="43" quotePrefix="1" applyFont="1" applyFill="1"/>
    <xf numFmtId="0" fontId="73" fillId="3" borderId="44" xfId="43" applyFont="1" applyFill="1" applyBorder="1"/>
    <xf numFmtId="0" fontId="73" fillId="3" borderId="48" xfId="43" applyFont="1" applyFill="1" applyBorder="1" applyAlignment="1">
      <alignment wrapText="1"/>
    </xf>
    <xf numFmtId="0" fontId="73" fillId="4" borderId="44" xfId="43" quotePrefix="1" applyFont="1" applyFill="1" applyBorder="1"/>
    <xf numFmtId="0" fontId="73" fillId="4" borderId="48" xfId="43" applyFont="1" applyFill="1" applyBorder="1" applyAlignment="1">
      <alignment wrapText="1"/>
    </xf>
    <xf numFmtId="0" fontId="68" fillId="0" borderId="52" xfId="43" applyFont="1" applyBorder="1" applyAlignment="1">
      <alignment horizontal="left" indent="1"/>
    </xf>
    <xf numFmtId="0" fontId="68" fillId="0" borderId="46" xfId="43" applyFont="1" applyBorder="1" applyAlignment="1">
      <alignment horizontal="left" wrapText="1" indent="2"/>
    </xf>
    <xf numFmtId="0" fontId="73" fillId="4" borderId="52" xfId="43" applyFont="1" applyFill="1" applyBorder="1"/>
    <xf numFmtId="0" fontId="73" fillId="4" borderId="46" xfId="43" applyFont="1" applyFill="1" applyBorder="1" applyAlignment="1">
      <alignment wrapText="1"/>
    </xf>
    <xf numFmtId="0" fontId="79" fillId="0" borderId="52" xfId="43" applyFont="1" applyBorder="1" applyAlignment="1">
      <alignment horizontal="left" indent="2"/>
    </xf>
    <xf numFmtId="0" fontId="79" fillId="0" borderId="46" xfId="43" applyFont="1" applyBorder="1" applyAlignment="1">
      <alignment horizontal="left" wrapText="1" indent="3"/>
    </xf>
    <xf numFmtId="0" fontId="73" fillId="4" borderId="52" xfId="43" quotePrefix="1" applyFont="1" applyFill="1" applyBorder="1"/>
    <xf numFmtId="0" fontId="68" fillId="3" borderId="52" xfId="43" applyFont="1" applyFill="1" applyBorder="1" applyAlignment="1">
      <alignment horizontal="left" indent="1"/>
    </xf>
    <xf numFmtId="0" fontId="68" fillId="6" borderId="52" xfId="43" applyFont="1" applyFill="1" applyBorder="1" applyAlignment="1">
      <alignment horizontal="left" indent="2"/>
    </xf>
    <xf numFmtId="0" fontId="68" fillId="6" borderId="46" xfId="43" applyFont="1" applyFill="1" applyBorder="1" applyAlignment="1">
      <alignment horizontal="left" wrapText="1" indent="3"/>
    </xf>
    <xf numFmtId="0" fontId="73" fillId="0" borderId="43" xfId="43" quotePrefix="1" applyFont="1" applyBorder="1"/>
    <xf numFmtId="49" fontId="73" fillId="4" borderId="39" xfId="43" applyNumberFormat="1" applyFont="1" applyFill="1" applyBorder="1" applyAlignment="1">
      <alignment horizontal="left" indent="2"/>
    </xf>
    <xf numFmtId="49" fontId="68" fillId="3" borderId="52" xfId="43" applyNumberFormat="1" applyFont="1" applyFill="1" applyBorder="1" applyAlignment="1">
      <alignment horizontal="left" indent="1"/>
    </xf>
    <xf numFmtId="49" fontId="73" fillId="4" borderId="52" xfId="43" applyNumberFormat="1" applyFont="1" applyFill="1" applyBorder="1"/>
    <xf numFmtId="49" fontId="68" fillId="0" borderId="52" xfId="43" applyNumberFormat="1" applyFont="1" applyBorder="1" applyAlignment="1">
      <alignment horizontal="left" indent="2"/>
    </xf>
    <xf numFmtId="0" fontId="78" fillId="5" borderId="46" xfId="43" applyFont="1" applyFill="1" applyBorder="1" applyAlignment="1">
      <alignment horizontal="left" indent="2"/>
    </xf>
    <xf numFmtId="0" fontId="78" fillId="0" borderId="46" xfId="43" applyFont="1" applyBorder="1" applyAlignment="1">
      <alignment horizontal="left" indent="2"/>
    </xf>
    <xf numFmtId="49" fontId="73" fillId="3" borderId="52" xfId="43" applyNumberFormat="1" applyFont="1" applyFill="1" applyBorder="1" applyAlignment="1">
      <alignment horizontal="left" indent="1"/>
    </xf>
    <xf numFmtId="49" fontId="68" fillId="6" borderId="52" xfId="43" applyNumberFormat="1" applyFont="1" applyFill="1" applyBorder="1" applyAlignment="1">
      <alignment horizontal="left" indent="2"/>
    </xf>
    <xf numFmtId="49" fontId="68" fillId="0" borderId="52" xfId="43" applyNumberFormat="1" applyFont="1" applyBorder="1" applyAlignment="1">
      <alignment horizontal="left" indent="3"/>
    </xf>
    <xf numFmtId="49" fontId="95" fillId="3" borderId="52" xfId="43" applyNumberFormat="1" applyFont="1" applyFill="1" applyBorder="1" applyAlignment="1">
      <alignment horizontal="left" indent="1"/>
    </xf>
    <xf numFmtId="0" fontId="77" fillId="0" borderId="0" xfId="43" applyFont="1"/>
    <xf numFmtId="49" fontId="73" fillId="0" borderId="52" xfId="43" applyNumberFormat="1" applyFont="1" applyBorder="1" applyAlignment="1">
      <alignment horizontal="left" indent="2"/>
    </xf>
    <xf numFmtId="3" fontId="68" fillId="5" borderId="56" xfId="43" applyNumberFormat="1" applyFont="1" applyFill="1" applyBorder="1"/>
    <xf numFmtId="3" fontId="68" fillId="0" borderId="56" xfId="43" applyNumberFormat="1" applyFont="1" applyBorder="1"/>
    <xf numFmtId="3" fontId="68" fillId="3" borderId="56" xfId="43" applyNumberFormat="1" applyFont="1" applyFill="1" applyBorder="1"/>
    <xf numFmtId="167" fontId="70" fillId="0" borderId="0" xfId="1" applyNumberFormat="1" applyFont="1"/>
    <xf numFmtId="0" fontId="124" fillId="0" borderId="0" xfId="173"/>
    <xf numFmtId="167" fontId="68" fillId="0" borderId="0" xfId="1" applyNumberFormat="1" applyFont="1"/>
    <xf numFmtId="0" fontId="79" fillId="0" borderId="57" xfId="43" applyFont="1" applyBorder="1" applyAlignment="1">
      <alignment horizontal="left" indent="2"/>
    </xf>
    <xf numFmtId="0" fontId="68" fillId="0" borderId="63" xfId="43" applyFont="1" applyBorder="1" applyAlignment="1">
      <alignment horizontal="left" wrapText="1" indent="2"/>
    </xf>
    <xf numFmtId="49" fontId="68" fillId="3" borderId="57" xfId="43" applyNumberFormat="1" applyFont="1" applyFill="1" applyBorder="1" applyAlignment="1">
      <alignment horizontal="left" indent="1"/>
    </xf>
    <xf numFmtId="3" fontId="73" fillId="3" borderId="53" xfId="43" applyNumberFormat="1" applyFont="1" applyFill="1" applyBorder="1"/>
    <xf numFmtId="3" fontId="73" fillId="0" borderId="7" xfId="43" applyNumberFormat="1" applyFont="1" applyBorder="1"/>
    <xf numFmtId="49" fontId="68" fillId="17" borderId="52" xfId="43" applyNumberFormat="1" applyFont="1" applyFill="1" applyBorder="1" applyAlignment="1">
      <alignment horizontal="left" indent="2"/>
    </xf>
    <xf numFmtId="49" fontId="68" fillId="17" borderId="52" xfId="43" applyNumberFormat="1" applyFont="1" applyFill="1" applyBorder="1" applyAlignment="1">
      <alignment horizontal="left" indent="1"/>
    </xf>
    <xf numFmtId="0" fontId="78" fillId="17" borderId="46" xfId="43" applyFont="1" applyFill="1" applyBorder="1" applyAlignment="1">
      <alignment horizontal="left" indent="2"/>
    </xf>
    <xf numFmtId="0" fontId="68" fillId="6" borderId="57" xfId="43" applyFont="1" applyFill="1" applyBorder="1" applyAlignment="1">
      <alignment horizontal="left" indent="2"/>
    </xf>
    <xf numFmtId="3" fontId="68" fillId="0" borderId="53" xfId="43" applyNumberFormat="1" applyFont="1" applyBorder="1"/>
    <xf numFmtId="0" fontId="68" fillId="6" borderId="63" xfId="43" applyFont="1" applyFill="1" applyBorder="1" applyAlignment="1">
      <alignment horizontal="left" wrapText="1" indent="3"/>
    </xf>
    <xf numFmtId="49" fontId="68" fillId="0" borderId="57" xfId="43" applyNumberFormat="1" applyFont="1" applyBorder="1" applyAlignment="1">
      <alignment horizontal="left" indent="2"/>
    </xf>
    <xf numFmtId="167" fontId="73" fillId="0" borderId="0" xfId="1" applyNumberFormat="1" applyFont="1"/>
    <xf numFmtId="0" fontId="68" fillId="6" borderId="65" xfId="43" applyFont="1" applyFill="1" applyBorder="1" applyAlignment="1">
      <alignment horizontal="left" indent="2"/>
    </xf>
    <xf numFmtId="49" fontId="81" fillId="0" borderId="57" xfId="43" applyNumberFormat="1" applyFont="1" applyBorder="1" applyAlignment="1">
      <alignment horizontal="left" indent="3"/>
    </xf>
    <xf numFmtId="0" fontId="79" fillId="0" borderId="66" xfId="43" applyFont="1" applyBorder="1" applyAlignment="1">
      <alignment horizontal="left" indent="2"/>
    </xf>
    <xf numFmtId="3" fontId="68" fillId="0" borderId="67" xfId="43" applyNumberFormat="1" applyFont="1" applyBorder="1"/>
    <xf numFmtId="0" fontId="68" fillId="6" borderId="66" xfId="43" applyFont="1" applyFill="1" applyBorder="1" applyAlignment="1">
      <alignment horizontal="left" indent="2"/>
    </xf>
    <xf numFmtId="167" fontId="68" fillId="0" borderId="0" xfId="1" applyNumberFormat="1" applyFont="1" applyAlignment="1">
      <alignment wrapText="1"/>
    </xf>
    <xf numFmtId="0" fontId="68" fillId="6" borderId="46" xfId="43" applyFont="1" applyFill="1" applyBorder="1" applyAlignment="1">
      <alignment horizontal="left" wrapText="1" indent="2"/>
    </xf>
    <xf numFmtId="49" fontId="68" fillId="0" borderId="46" xfId="43" applyNumberFormat="1" applyFont="1" applyBorder="1" applyAlignment="1">
      <alignment horizontal="left" wrapText="1" indent="4"/>
    </xf>
    <xf numFmtId="0" fontId="68" fillId="3" borderId="46" xfId="43" applyFont="1" applyFill="1" applyBorder="1" applyAlignment="1">
      <alignment horizontal="left" wrapText="1" indent="2"/>
    </xf>
    <xf numFmtId="49" fontId="68" fillId="0" borderId="46" xfId="43" applyNumberFormat="1" applyFont="1" applyBorder="1" applyAlignment="1">
      <alignment horizontal="left" wrapText="1" indent="2"/>
    </xf>
    <xf numFmtId="0" fontId="68" fillId="5" borderId="47" xfId="43" applyFont="1" applyFill="1" applyBorder="1" applyAlignment="1">
      <alignment horizontal="left" indent="3"/>
    </xf>
    <xf numFmtId="49" fontId="68" fillId="3" borderId="46" xfId="43" applyNumberFormat="1" applyFont="1" applyFill="1" applyBorder="1" applyAlignment="1">
      <alignment horizontal="left" wrapText="1" indent="2"/>
    </xf>
    <xf numFmtId="0" fontId="68" fillId="49" borderId="46" xfId="43" applyFont="1" applyFill="1" applyBorder="1" applyAlignment="1">
      <alignment horizontal="left" wrapText="1" indent="2"/>
    </xf>
    <xf numFmtId="49" fontId="68" fillId="3" borderId="55" xfId="43" applyNumberFormat="1" applyFont="1" applyFill="1" applyBorder="1" applyAlignment="1">
      <alignment horizontal="left" wrapText="1" indent="2"/>
    </xf>
    <xf numFmtId="0" fontId="68" fillId="0" borderId="60" xfId="43" applyFont="1" applyBorder="1" applyAlignment="1">
      <alignment horizontal="left" wrapText="1" indent="2"/>
    </xf>
    <xf numFmtId="49" fontId="68" fillId="3" borderId="63" xfId="43" applyNumberFormat="1" applyFont="1" applyFill="1" applyBorder="1" applyAlignment="1">
      <alignment horizontal="left" wrapText="1" indent="2"/>
    </xf>
    <xf numFmtId="49" fontId="68" fillId="3" borderId="60" xfId="43" applyNumberFormat="1" applyFont="1" applyFill="1" applyBorder="1" applyAlignment="1">
      <alignment horizontal="left" wrapText="1" indent="2"/>
    </xf>
    <xf numFmtId="0" fontId="68" fillId="5" borderId="49" xfId="43" applyFont="1" applyFill="1" applyBorder="1" applyAlignment="1">
      <alignment horizontal="left" indent="3"/>
    </xf>
    <xf numFmtId="0" fontId="68" fillId="0" borderId="47" xfId="43" applyFont="1" applyBorder="1" applyAlignment="1">
      <alignment horizontal="left" indent="3"/>
    </xf>
    <xf numFmtId="49" fontId="73" fillId="4" borderId="46" xfId="43" applyNumberFormat="1" applyFont="1" applyFill="1" applyBorder="1" applyAlignment="1">
      <alignment wrapText="1"/>
    </xf>
    <xf numFmtId="0" fontId="68" fillId="5" borderId="46" xfId="43" applyFont="1" applyFill="1" applyBorder="1" applyAlignment="1">
      <alignment horizontal="left" wrapText="1" indent="3"/>
    </xf>
    <xf numFmtId="0" fontId="68" fillId="0" borderId="46" xfId="43" applyFont="1" applyBorder="1" applyAlignment="1">
      <alignment horizontal="left" wrapText="1" indent="3"/>
    </xf>
    <xf numFmtId="0" fontId="68" fillId="0" borderId="76" xfId="43" applyFont="1" applyBorder="1" applyAlignment="1">
      <alignment horizontal="left" wrapText="1" indent="3"/>
    </xf>
    <xf numFmtId="49" fontId="73" fillId="3" borderId="46" xfId="43" applyNumberFormat="1" applyFont="1" applyFill="1" applyBorder="1" applyAlignment="1">
      <alignment horizontal="left" wrapText="1" indent="2"/>
    </xf>
    <xf numFmtId="49" fontId="68" fillId="0" borderId="62" xfId="43" applyNumberFormat="1" applyFont="1" applyBorder="1" applyAlignment="1">
      <alignment horizontal="left" wrapText="1" indent="4"/>
    </xf>
    <xf numFmtId="49" fontId="68" fillId="0" borderId="63" xfId="43" applyNumberFormat="1" applyFont="1" applyBorder="1" applyAlignment="1">
      <alignment horizontal="left" wrapText="1" indent="4"/>
    </xf>
    <xf numFmtId="0" fontId="68" fillId="5" borderId="63" xfId="43" applyFont="1" applyFill="1" applyBorder="1" applyAlignment="1">
      <alignment horizontal="left" wrapText="1" indent="3"/>
    </xf>
    <xf numFmtId="49" fontId="68" fillId="0" borderId="76" xfId="43" applyNumberFormat="1" applyFont="1" applyBorder="1" applyAlignment="1">
      <alignment horizontal="left" wrapText="1" indent="4"/>
    </xf>
    <xf numFmtId="0" fontId="68" fillId="0" borderId="55" xfId="43" applyFont="1" applyBorder="1" applyAlignment="1">
      <alignment horizontal="left" wrapText="1" indent="2"/>
    </xf>
    <xf numFmtId="49" fontId="68" fillId="0" borderId="60" xfId="43" applyNumberFormat="1" applyFont="1" applyBorder="1" applyAlignment="1">
      <alignment horizontal="left" wrapText="1" indent="4"/>
    </xf>
    <xf numFmtId="0" fontId="68" fillId="5" borderId="46" xfId="43" applyFont="1" applyFill="1" applyBorder="1" applyAlignment="1">
      <alignment horizontal="left" indent="2"/>
    </xf>
    <xf numFmtId="0" fontId="81" fillId="5" borderId="63" xfId="43" applyFont="1" applyFill="1" applyBorder="1" applyAlignment="1">
      <alignment horizontal="left" wrapText="1" indent="6"/>
    </xf>
    <xf numFmtId="0" fontId="81" fillId="0" borderId="0" xfId="43" applyFont="1"/>
    <xf numFmtId="49" fontId="73" fillId="4" borderId="40" xfId="43" applyNumberFormat="1" applyFont="1" applyFill="1" applyBorder="1" applyAlignment="1">
      <alignment wrapText="1"/>
    </xf>
    <xf numFmtId="49" fontId="68" fillId="0" borderId="60" xfId="43" applyNumberFormat="1" applyFont="1" applyBorder="1" applyAlignment="1">
      <alignment horizontal="left" wrapText="1" indent="2"/>
    </xf>
    <xf numFmtId="0" fontId="73" fillId="4" borderId="50" xfId="43" applyFont="1" applyFill="1" applyBorder="1" applyAlignment="1">
      <alignment wrapText="1"/>
    </xf>
    <xf numFmtId="49" fontId="68" fillId="6" borderId="46" xfId="43" applyNumberFormat="1" applyFont="1" applyFill="1" applyBorder="1" applyAlignment="1">
      <alignment horizontal="left" wrapText="1" indent="4"/>
    </xf>
    <xf numFmtId="49" fontId="73" fillId="0" borderId="46" xfId="43" applyNumberFormat="1" applyFont="1" applyBorder="1" applyAlignment="1">
      <alignment horizontal="left" wrapText="1" indent="4"/>
    </xf>
    <xf numFmtId="49" fontId="68" fillId="0" borderId="55" xfId="43" applyNumberFormat="1" applyFont="1" applyBorder="1" applyAlignment="1">
      <alignment horizontal="left" wrapText="1" indent="4"/>
    </xf>
    <xf numFmtId="49" fontId="73" fillId="0" borderId="10" xfId="43" applyNumberFormat="1" applyFont="1" applyBorder="1" applyAlignment="1">
      <alignment horizontal="right" wrapText="1"/>
    </xf>
    <xf numFmtId="49" fontId="73" fillId="4" borderId="16" xfId="43" applyNumberFormat="1" applyFont="1" applyFill="1" applyBorder="1" applyAlignment="1">
      <alignment wrapText="1"/>
    </xf>
    <xf numFmtId="0" fontId="73" fillId="0" borderId="20" xfId="43" applyFont="1" applyBorder="1" applyAlignment="1">
      <alignment horizontal="right" wrapText="1"/>
    </xf>
    <xf numFmtId="167" fontId="68" fillId="0" borderId="7" xfId="1" applyNumberFormat="1" applyFont="1" applyBorder="1"/>
    <xf numFmtId="0" fontId="73" fillId="0" borderId="51" xfId="43" applyFont="1" applyBorder="1" applyAlignment="1">
      <alignment wrapText="1"/>
    </xf>
    <xf numFmtId="0" fontId="81" fillId="0" borderId="0" xfId="43" quotePrefix="1" applyFont="1"/>
    <xf numFmtId="49" fontId="68" fillId="0" borderId="76" xfId="43" applyNumberFormat="1" applyFont="1" applyBorder="1" applyAlignment="1">
      <alignment horizontal="left" wrapText="1" indent="2"/>
    </xf>
    <xf numFmtId="0" fontId="136" fillId="0" borderId="0" xfId="43" applyFont="1"/>
    <xf numFmtId="0" fontId="136" fillId="0" borderId="0" xfId="43" quotePrefix="1" applyFont="1"/>
    <xf numFmtId="3" fontId="81" fillId="0" borderId="78" xfId="43" applyNumberFormat="1" applyFont="1" applyBorder="1"/>
    <xf numFmtId="3" fontId="68" fillId="5" borderId="78" xfId="43" applyNumberFormat="1" applyFont="1" applyFill="1" applyBorder="1"/>
    <xf numFmtId="3" fontId="68" fillId="0" borderId="78" xfId="43" applyNumberFormat="1" applyFont="1" applyBorder="1"/>
    <xf numFmtId="0" fontId="68" fillId="5" borderId="74" xfId="43" applyFont="1" applyFill="1" applyBorder="1" applyAlignment="1">
      <alignment horizontal="left" indent="3"/>
    </xf>
    <xf numFmtId="3" fontId="68" fillId="3" borderId="78" xfId="43" applyNumberFormat="1" applyFont="1" applyFill="1" applyBorder="1"/>
    <xf numFmtId="3" fontId="73" fillId="4" borderId="78" xfId="43" applyNumberFormat="1" applyFont="1" applyFill="1" applyBorder="1"/>
    <xf numFmtId="3" fontId="68" fillId="15" borderId="78" xfId="43" applyNumberFormat="1" applyFont="1" applyFill="1" applyBorder="1"/>
    <xf numFmtId="0" fontId="137" fillId="0" borderId="0" xfId="83" applyFont="1"/>
    <xf numFmtId="49" fontId="68" fillId="0" borderId="69" xfId="43" applyNumberFormat="1" applyFont="1" applyBorder="1" applyAlignment="1">
      <alignment horizontal="left" wrapText="1" indent="4"/>
    </xf>
    <xf numFmtId="3" fontId="68" fillId="11" borderId="78" xfId="43" applyNumberFormat="1" applyFont="1" applyFill="1" applyBorder="1"/>
    <xf numFmtId="0" fontId="18" fillId="0" borderId="0" xfId="43" quotePrefix="1" applyFont="1"/>
    <xf numFmtId="49" fontId="73" fillId="3" borderId="81" xfId="43" applyNumberFormat="1" applyFont="1" applyFill="1" applyBorder="1" applyAlignment="1">
      <alignment horizontal="left" wrapText="1" indent="2"/>
    </xf>
    <xf numFmtId="0" fontId="70" fillId="0" borderId="0" xfId="43" quotePrefix="1" applyFont="1"/>
    <xf numFmtId="49" fontId="70" fillId="3" borderId="46" xfId="43" applyNumberFormat="1" applyFont="1" applyFill="1" applyBorder="1" applyAlignment="1">
      <alignment horizontal="left" wrapText="1" indent="2"/>
    </xf>
    <xf numFmtId="49" fontId="76" fillId="3" borderId="46" xfId="43" applyNumberFormat="1" applyFont="1" applyFill="1" applyBorder="1" applyAlignment="1">
      <alignment horizontal="left" wrapText="1" indent="2"/>
    </xf>
    <xf numFmtId="49" fontId="76" fillId="3" borderId="55" xfId="43" applyNumberFormat="1" applyFont="1" applyFill="1" applyBorder="1" applyAlignment="1">
      <alignment horizontal="left" wrapText="1" indent="2"/>
    </xf>
    <xf numFmtId="49" fontId="68" fillId="0" borderId="50" xfId="43" applyNumberFormat="1" applyFont="1" applyBorder="1" applyAlignment="1">
      <alignment horizontal="left" wrapText="1" indent="4"/>
    </xf>
    <xf numFmtId="0" fontId="17" fillId="0" borderId="0" xfId="43" applyFont="1"/>
    <xf numFmtId="167" fontId="73" fillId="4" borderId="7" xfId="1" applyNumberFormat="1" applyFont="1" applyFill="1" applyBorder="1"/>
    <xf numFmtId="167" fontId="68" fillId="0" borderId="56" xfId="1" applyNumberFormat="1" applyFont="1" applyBorder="1"/>
    <xf numFmtId="167" fontId="68" fillId="0" borderId="27" xfId="1" applyNumberFormat="1" applyFont="1" applyBorder="1"/>
    <xf numFmtId="167" fontId="68" fillId="0" borderId="42" xfId="1" applyNumberFormat="1" applyFont="1" applyBorder="1"/>
    <xf numFmtId="167" fontId="73" fillId="3" borderId="7" xfId="1" applyNumberFormat="1" applyFont="1" applyFill="1" applyBorder="1"/>
    <xf numFmtId="167" fontId="68" fillId="3" borderId="27" xfId="1" applyNumberFormat="1" applyFont="1" applyFill="1" applyBorder="1"/>
    <xf numFmtId="167" fontId="68" fillId="0" borderId="67" xfId="1" applyNumberFormat="1" applyFont="1" applyBorder="1"/>
    <xf numFmtId="167" fontId="68" fillId="6" borderId="7" xfId="1" applyNumberFormat="1" applyFont="1" applyFill="1" applyBorder="1"/>
    <xf numFmtId="167" fontId="73" fillId="0" borderId="13" xfId="1" applyNumberFormat="1" applyFont="1" applyBorder="1"/>
    <xf numFmtId="0" fontId="78" fillId="5" borderId="0" xfId="43" applyFont="1" applyFill="1" applyAlignment="1">
      <alignment wrapText="1"/>
    </xf>
    <xf numFmtId="167" fontId="70" fillId="0" borderId="0" xfId="1" applyNumberFormat="1" applyFont="1" applyAlignment="1">
      <alignment wrapText="1"/>
    </xf>
    <xf numFmtId="9" fontId="68" fillId="0" borderId="7" xfId="4" applyFont="1" applyBorder="1" applyAlignment="1">
      <alignment wrapText="1"/>
    </xf>
    <xf numFmtId="9" fontId="68" fillId="0" borderId="67" xfId="4" applyFont="1" applyFill="1" applyBorder="1" applyAlignment="1">
      <alignment wrapText="1"/>
    </xf>
    <xf numFmtId="9" fontId="68" fillId="3" borderId="7" xfId="4" applyFont="1" applyFill="1" applyBorder="1"/>
    <xf numFmtId="9" fontId="68" fillId="0" borderId="7" xfId="4" applyFont="1" applyFill="1" applyBorder="1" applyAlignment="1">
      <alignment wrapText="1"/>
    </xf>
    <xf numFmtId="9" fontId="68" fillId="0" borderId="23" xfId="4" applyFont="1" applyFill="1" applyBorder="1"/>
    <xf numFmtId="9" fontId="68" fillId="0" borderId="7" xfId="4" applyFont="1" applyFill="1" applyBorder="1"/>
    <xf numFmtId="9" fontId="73" fillId="3" borderId="7" xfId="4" applyFont="1" applyFill="1" applyBorder="1"/>
    <xf numFmtId="9" fontId="81" fillId="0" borderId="78" xfId="4" applyFont="1" applyFill="1" applyBorder="1" applyAlignment="1">
      <alignment wrapText="1"/>
    </xf>
    <xf numFmtId="9" fontId="68" fillId="0" borderId="56" xfId="4" applyFont="1" applyFill="1" applyBorder="1" applyAlignment="1">
      <alignment wrapText="1"/>
    </xf>
    <xf numFmtId="9" fontId="68" fillId="0" borderId="53" xfId="4" applyFont="1" applyFill="1" applyBorder="1"/>
    <xf numFmtId="9" fontId="68" fillId="0" borderId="56" xfId="4" applyFont="1" applyFill="1" applyBorder="1"/>
    <xf numFmtId="9" fontId="68" fillId="0" borderId="0" xfId="4" applyFont="1" applyAlignment="1">
      <alignment wrapText="1"/>
    </xf>
    <xf numFmtId="1" fontId="68" fillId="0" borderId="0" xfId="4" applyNumberFormat="1" applyFont="1" applyFill="1"/>
    <xf numFmtId="9" fontId="73" fillId="0" borderId="3" xfId="4" applyFont="1" applyBorder="1" applyAlignment="1">
      <alignment horizontal="center" vertical="center" wrapText="1"/>
    </xf>
    <xf numFmtId="9" fontId="68" fillId="3" borderId="4" xfId="4" applyFont="1" applyFill="1" applyBorder="1" applyAlignment="1">
      <alignment wrapText="1"/>
    </xf>
    <xf numFmtId="9" fontId="73" fillId="4" borderId="4" xfId="4" applyFont="1" applyFill="1" applyBorder="1"/>
    <xf numFmtId="9" fontId="73" fillId="4" borderId="7" xfId="4" applyFont="1" applyFill="1" applyBorder="1"/>
    <xf numFmtId="9" fontId="68" fillId="0" borderId="7" xfId="4" applyFont="1" applyBorder="1"/>
    <xf numFmtId="9" fontId="68" fillId="0" borderId="8" xfId="4" applyFont="1" applyFill="1" applyBorder="1"/>
    <xf numFmtId="9" fontId="68" fillId="0" borderId="8" xfId="4" applyFont="1" applyFill="1" applyBorder="1" applyAlignment="1">
      <alignment wrapText="1"/>
    </xf>
    <xf numFmtId="9" fontId="68" fillId="0" borderId="42" xfId="4" applyFont="1" applyBorder="1"/>
    <xf numFmtId="9" fontId="68" fillId="4" borderId="7" xfId="4" applyFont="1" applyFill="1" applyBorder="1" applyAlignment="1">
      <alignment wrapText="1"/>
    </xf>
    <xf numFmtId="9" fontId="68" fillId="0" borderId="42" xfId="4" applyFont="1" applyFill="1" applyBorder="1"/>
    <xf numFmtId="3" fontId="68" fillId="7" borderId="7" xfId="43" applyNumberFormat="1" applyFont="1" applyFill="1" applyBorder="1" applyAlignment="1">
      <alignment wrapText="1"/>
    </xf>
    <xf numFmtId="9" fontId="79" fillId="8" borderId="7" xfId="4" applyFont="1" applyFill="1" applyBorder="1" applyAlignment="1">
      <alignment wrapText="1"/>
    </xf>
    <xf numFmtId="9" fontId="68" fillId="0" borderId="27" xfId="4" applyFont="1" applyFill="1" applyBorder="1"/>
    <xf numFmtId="9" fontId="68" fillId="0" borderId="67" xfId="4" applyFont="1" applyFill="1" applyBorder="1"/>
    <xf numFmtId="9" fontId="68" fillId="0" borderId="27" xfId="4" applyFont="1" applyFill="1" applyBorder="1" applyAlignment="1">
      <alignment wrapText="1"/>
    </xf>
    <xf numFmtId="9" fontId="68" fillId="5" borderId="7" xfId="4" applyFont="1" applyFill="1" applyBorder="1" applyAlignment="1">
      <alignment wrapText="1"/>
    </xf>
    <xf numFmtId="9" fontId="68" fillId="3" borderId="7" xfId="4" applyFont="1" applyFill="1" applyBorder="1" applyAlignment="1">
      <alignment wrapText="1"/>
    </xf>
    <xf numFmtId="9" fontId="68" fillId="0" borderId="29" xfId="4" applyFont="1" applyFill="1" applyBorder="1"/>
    <xf numFmtId="9" fontId="68" fillId="0" borderId="70" xfId="4" applyFont="1" applyFill="1" applyBorder="1"/>
    <xf numFmtId="9" fontId="68" fillId="0" borderId="24" xfId="4" applyFont="1" applyFill="1" applyBorder="1" applyAlignment="1">
      <alignment wrapText="1"/>
    </xf>
    <xf numFmtId="9" fontId="68" fillId="0" borderId="26" xfId="4" applyFont="1" applyFill="1" applyBorder="1"/>
    <xf numFmtId="9" fontId="68" fillId="0" borderId="28" xfId="4" applyFont="1" applyFill="1" applyBorder="1"/>
    <xf numFmtId="9" fontId="68" fillId="0" borderId="41" xfId="4" applyFont="1" applyFill="1" applyBorder="1"/>
    <xf numFmtId="9" fontId="68" fillId="0" borderId="58" xfId="4" applyFont="1" applyFill="1" applyBorder="1"/>
    <xf numFmtId="9" fontId="68" fillId="0" borderId="64" xfId="4" applyFont="1" applyFill="1" applyBorder="1"/>
    <xf numFmtId="1" fontId="68" fillId="0" borderId="7" xfId="4" applyNumberFormat="1" applyFont="1" applyFill="1" applyBorder="1"/>
    <xf numFmtId="9" fontId="68" fillId="0" borderId="42" xfId="4" applyFont="1" applyFill="1" applyBorder="1" applyAlignment="1">
      <alignment wrapText="1"/>
    </xf>
    <xf numFmtId="9" fontId="73" fillId="0" borderId="3" xfId="4" applyFont="1" applyBorder="1"/>
    <xf numFmtId="9" fontId="73" fillId="0" borderId="11" xfId="4" applyFont="1" applyFill="1" applyBorder="1"/>
    <xf numFmtId="9" fontId="68" fillId="0" borderId="59" xfId="4" applyFont="1" applyFill="1" applyBorder="1" applyAlignment="1">
      <alignment wrapText="1"/>
    </xf>
    <xf numFmtId="9" fontId="68" fillId="0" borderId="59" xfId="4" applyFont="1" applyFill="1" applyBorder="1"/>
    <xf numFmtId="9" fontId="68" fillId="0" borderId="61" xfId="4" applyFont="1" applyFill="1" applyBorder="1"/>
    <xf numFmtId="9" fontId="73" fillId="0" borderId="11" xfId="4" applyFont="1" applyBorder="1"/>
    <xf numFmtId="9" fontId="73" fillId="4" borderId="12" xfId="4" applyFont="1" applyFill="1" applyBorder="1"/>
    <xf numFmtId="9" fontId="68" fillId="3" borderId="27" xfId="4" applyFont="1" applyFill="1" applyBorder="1" applyAlignment="1">
      <alignment wrapText="1"/>
    </xf>
    <xf numFmtId="9" fontId="68" fillId="3" borderId="42" xfId="4" applyFont="1" applyFill="1" applyBorder="1" applyAlignment="1">
      <alignment wrapText="1"/>
    </xf>
    <xf numFmtId="9" fontId="68" fillId="3" borderId="56" xfId="4" applyFont="1" applyFill="1" applyBorder="1" applyAlignment="1">
      <alignment wrapText="1"/>
    </xf>
    <xf numFmtId="9" fontId="68" fillId="3" borderId="78" xfId="4" applyFont="1" applyFill="1" applyBorder="1"/>
    <xf numFmtId="9" fontId="68" fillId="3" borderId="53" xfId="4" applyFont="1" applyFill="1" applyBorder="1" applyAlignment="1">
      <alignment wrapText="1"/>
    </xf>
    <xf numFmtId="9" fontId="68" fillId="0" borderId="42" xfId="4" applyFont="1" applyBorder="1" applyAlignment="1">
      <alignment wrapText="1"/>
    </xf>
    <xf numFmtId="9" fontId="68" fillId="0" borderId="56" xfId="4" applyFont="1" applyBorder="1" applyAlignment="1">
      <alignment wrapText="1"/>
    </xf>
    <xf numFmtId="9" fontId="68" fillId="0" borderId="22" xfId="4" applyFont="1" applyBorder="1" applyAlignment="1">
      <alignment wrapText="1"/>
    </xf>
    <xf numFmtId="9" fontId="68" fillId="0" borderId="25" xfId="4" applyFont="1" applyBorder="1" applyAlignment="1">
      <alignment wrapText="1"/>
    </xf>
    <xf numFmtId="9" fontId="68" fillId="0" borderId="78" xfId="4" applyFont="1" applyBorder="1" applyAlignment="1">
      <alignment wrapText="1"/>
    </xf>
    <xf numFmtId="9" fontId="81" fillId="0" borderId="56" xfId="4" applyFont="1" applyBorder="1" applyAlignment="1">
      <alignment wrapText="1"/>
    </xf>
    <xf numFmtId="9" fontId="81" fillId="0" borderId="7" xfId="4" applyFont="1" applyFill="1" applyBorder="1" applyAlignment="1">
      <alignment wrapText="1"/>
    </xf>
    <xf numFmtId="9" fontId="81" fillId="10" borderId="7" xfId="4" applyFont="1" applyFill="1" applyBorder="1" applyAlignment="1">
      <alignment wrapText="1"/>
    </xf>
    <xf numFmtId="9" fontId="81" fillId="3" borderId="7" xfId="4" applyFont="1" applyFill="1" applyBorder="1" applyAlignment="1">
      <alignment wrapText="1"/>
    </xf>
    <xf numFmtId="9" fontId="81" fillId="3" borderId="27" xfId="4" applyFont="1" applyFill="1" applyBorder="1" applyAlignment="1">
      <alignment wrapText="1"/>
    </xf>
    <xf numFmtId="9" fontId="68" fillId="5" borderId="7" xfId="4" applyFont="1" applyFill="1" applyBorder="1"/>
    <xf numFmtId="9" fontId="68" fillId="5" borderId="56" xfId="4" applyFont="1" applyFill="1" applyBorder="1" applyAlignment="1">
      <alignment wrapText="1"/>
    </xf>
    <xf numFmtId="9" fontId="68" fillId="5" borderId="78" xfId="4" applyFont="1" applyFill="1" applyBorder="1"/>
    <xf numFmtId="9" fontId="68" fillId="0" borderId="78" xfId="4" applyFont="1" applyFill="1" applyBorder="1"/>
    <xf numFmtId="9" fontId="68" fillId="3" borderId="56" xfId="4" applyFont="1" applyFill="1" applyBorder="1"/>
    <xf numFmtId="9" fontId="68" fillId="0" borderId="68" xfId="4" applyFont="1" applyFill="1" applyBorder="1" applyAlignment="1">
      <alignment wrapText="1"/>
    </xf>
    <xf numFmtId="9" fontId="68" fillId="0" borderId="22" xfId="4" applyFont="1" applyFill="1" applyBorder="1" applyAlignment="1">
      <alignment wrapText="1"/>
    </xf>
    <xf numFmtId="9" fontId="79" fillId="0" borderId="7" xfId="4" applyFont="1" applyFill="1" applyBorder="1" applyAlignment="1">
      <alignment wrapText="1"/>
    </xf>
    <xf numFmtId="9" fontId="68" fillId="3" borderId="67" xfId="4" applyFont="1" applyFill="1" applyBorder="1" applyAlignment="1">
      <alignment wrapText="1"/>
    </xf>
    <xf numFmtId="9" fontId="68" fillId="3" borderId="78" xfId="4" applyFont="1" applyFill="1" applyBorder="1" applyAlignment="1">
      <alignment wrapText="1"/>
    </xf>
    <xf numFmtId="9" fontId="68" fillId="3" borderId="23" xfId="4" applyFont="1" applyFill="1" applyBorder="1" applyAlignment="1">
      <alignment wrapText="1"/>
    </xf>
    <xf numFmtId="9" fontId="68" fillId="0" borderId="14" xfId="4" applyFont="1" applyBorder="1"/>
    <xf numFmtId="9" fontId="73" fillId="4" borderId="17" xfId="4" applyFont="1" applyFill="1" applyBorder="1"/>
    <xf numFmtId="9" fontId="68" fillId="0" borderId="41" xfId="4" applyFont="1" applyFill="1" applyBorder="1" applyAlignment="1">
      <alignment wrapText="1"/>
    </xf>
    <xf numFmtId="0" fontId="16" fillId="0" borderId="0" xfId="43" quotePrefix="1" applyFont="1"/>
    <xf numFmtId="9" fontId="73" fillId="0" borderId="3" xfId="2" applyFont="1" applyBorder="1" applyAlignment="1">
      <alignment horizontal="center" vertical="center" wrapText="1"/>
    </xf>
    <xf numFmtId="167" fontId="73" fillId="3" borderId="61" xfId="1" applyNumberFormat="1" applyFont="1" applyFill="1" applyBorder="1"/>
    <xf numFmtId="3" fontId="68" fillId="0" borderId="78" xfId="43" applyNumberFormat="1" applyFont="1" applyBorder="1" applyAlignment="1">
      <alignment wrapText="1"/>
    </xf>
    <xf numFmtId="9" fontId="68" fillId="0" borderId="7" xfId="2" applyFont="1" applyFill="1" applyBorder="1"/>
    <xf numFmtId="167" fontId="73" fillId="4" borderId="7" xfId="4" applyNumberFormat="1" applyFont="1" applyFill="1" applyBorder="1"/>
    <xf numFmtId="9" fontId="68" fillId="0" borderId="42" xfId="2" applyFont="1" applyFill="1" applyBorder="1"/>
    <xf numFmtId="3" fontId="73" fillId="4" borderId="61" xfId="43" applyNumberFormat="1" applyFont="1" applyFill="1" applyBorder="1"/>
    <xf numFmtId="9" fontId="73" fillId="0" borderId="11" xfId="2" applyFont="1" applyFill="1" applyBorder="1"/>
    <xf numFmtId="3" fontId="73" fillId="4" borderId="64" xfId="43" applyNumberFormat="1" applyFont="1" applyFill="1" applyBorder="1"/>
    <xf numFmtId="9" fontId="73" fillId="4" borderId="41" xfId="2" applyFont="1" applyFill="1" applyBorder="1"/>
    <xf numFmtId="9" fontId="68" fillId="0" borderId="58" xfId="2" applyFont="1" applyFill="1" applyBorder="1"/>
    <xf numFmtId="9" fontId="68" fillId="0" borderId="41" xfId="2" applyFont="1" applyFill="1" applyBorder="1"/>
    <xf numFmtId="9" fontId="73" fillId="0" borderId="11" xfId="2" applyFont="1" applyBorder="1"/>
    <xf numFmtId="3" fontId="73" fillId="3" borderId="78" xfId="43" applyNumberFormat="1" applyFont="1" applyFill="1" applyBorder="1"/>
    <xf numFmtId="9" fontId="68" fillId="18" borderId="42" xfId="2" applyFont="1" applyFill="1" applyBorder="1"/>
    <xf numFmtId="9" fontId="68" fillId="3" borderId="7" xfId="2" applyFont="1" applyFill="1" applyBorder="1"/>
    <xf numFmtId="9" fontId="81" fillId="18" borderId="56" xfId="2" applyFont="1" applyFill="1" applyBorder="1"/>
    <xf numFmtId="9" fontId="68" fillId="0" borderId="56" xfId="2" applyFont="1" applyFill="1" applyBorder="1"/>
    <xf numFmtId="9" fontId="68" fillId="0" borderId="78" xfId="2" applyFont="1" applyFill="1" applyBorder="1"/>
    <xf numFmtId="167" fontId="68" fillId="0" borderId="0" xfId="43" applyNumberFormat="1" applyFont="1"/>
    <xf numFmtId="9" fontId="73" fillId="3" borderId="4" xfId="2" applyFont="1" applyFill="1" applyBorder="1"/>
    <xf numFmtId="167" fontId="68" fillId="3" borderId="61" xfId="1" applyNumberFormat="1" applyFont="1" applyFill="1" applyBorder="1" applyAlignment="1">
      <alignment wrapText="1"/>
    </xf>
    <xf numFmtId="9" fontId="73" fillId="4" borderId="4" xfId="2" applyFont="1" applyFill="1" applyBorder="1"/>
    <xf numFmtId="9" fontId="73" fillId="4" borderId="7" xfId="2" applyFont="1" applyFill="1" applyBorder="1"/>
    <xf numFmtId="9" fontId="68" fillId="0" borderId="7" xfId="2" applyFont="1" applyBorder="1"/>
    <xf numFmtId="9" fontId="68" fillId="0" borderId="27" xfId="2" applyFont="1" applyFill="1" applyBorder="1"/>
    <xf numFmtId="9" fontId="68" fillId="15" borderId="56" xfId="2" applyFont="1" applyFill="1" applyBorder="1"/>
    <xf numFmtId="9" fontId="68" fillId="11" borderId="7" xfId="2" applyFont="1" applyFill="1" applyBorder="1"/>
    <xf numFmtId="9" fontId="68" fillId="7" borderId="7" xfId="2" applyFont="1" applyFill="1" applyBorder="1"/>
    <xf numFmtId="9" fontId="79" fillId="8" borderId="7" xfId="2" applyFont="1" applyFill="1" applyBorder="1"/>
    <xf numFmtId="9" fontId="68" fillId="0" borderId="67" xfId="2" applyFont="1" applyFill="1" applyBorder="1"/>
    <xf numFmtId="9" fontId="73" fillId="0" borderId="3" xfId="2" applyFont="1" applyBorder="1"/>
    <xf numFmtId="9" fontId="73" fillId="4" borderId="12" xfId="2" applyFont="1" applyFill="1" applyBorder="1"/>
    <xf numFmtId="9" fontId="68" fillId="3" borderId="78" xfId="2" applyFont="1" applyFill="1" applyBorder="1"/>
    <xf numFmtId="9" fontId="73" fillId="3" borderId="7" xfId="2" applyFont="1" applyFill="1" applyBorder="1"/>
    <xf numFmtId="9" fontId="68" fillId="3" borderId="27" xfId="2" applyFont="1" applyFill="1" applyBorder="1"/>
    <xf numFmtId="9" fontId="68" fillId="5" borderId="7" xfId="2" applyFont="1" applyFill="1" applyBorder="1"/>
    <xf numFmtId="9" fontId="68" fillId="3" borderId="56" xfId="2" applyFont="1" applyFill="1" applyBorder="1"/>
    <xf numFmtId="9" fontId="68" fillId="6" borderId="7" xfId="2" applyFont="1" applyFill="1" applyBorder="1"/>
    <xf numFmtId="9" fontId="68" fillId="0" borderId="22" xfId="2" applyFont="1" applyFill="1" applyBorder="1" applyAlignment="1"/>
    <xf numFmtId="9" fontId="81" fillId="0" borderId="78" xfId="2" applyFont="1" applyFill="1" applyBorder="1"/>
    <xf numFmtId="9" fontId="68" fillId="0" borderId="0" xfId="2" applyFont="1" applyAlignment="1">
      <alignment wrapText="1"/>
    </xf>
    <xf numFmtId="167" fontId="68" fillId="0" borderId="0" xfId="2" applyNumberFormat="1" applyFont="1" applyFill="1"/>
    <xf numFmtId="9" fontId="73" fillId="0" borderId="0" xfId="2" applyFont="1"/>
    <xf numFmtId="9" fontId="68" fillId="0" borderId="0" xfId="2" applyFont="1"/>
    <xf numFmtId="9" fontId="73" fillId="0" borderId="7" xfId="2" applyFont="1" applyFill="1" applyBorder="1"/>
    <xf numFmtId="9" fontId="68" fillId="3" borderId="67" xfId="2" applyFont="1" applyFill="1" applyBorder="1"/>
    <xf numFmtId="9" fontId="73" fillId="0" borderId="13" xfId="2" applyFont="1" applyBorder="1"/>
    <xf numFmtId="9" fontId="73" fillId="0" borderId="14" xfId="2" applyFont="1" applyBorder="1"/>
    <xf numFmtId="9" fontId="73" fillId="4" borderId="17" xfId="2" applyFont="1" applyFill="1" applyBorder="1"/>
    <xf numFmtId="49" fontId="68" fillId="13" borderId="46" xfId="43" applyNumberFormat="1" applyFont="1" applyFill="1" applyBorder="1" applyAlignment="1">
      <alignment horizontal="left" wrapText="1" indent="2"/>
    </xf>
    <xf numFmtId="164" fontId="68" fillId="0" borderId="0" xfId="43" applyNumberFormat="1" applyFont="1"/>
    <xf numFmtId="3" fontId="144" fillId="0" borderId="78" xfId="43" applyNumberFormat="1" applyFont="1" applyBorder="1"/>
    <xf numFmtId="3" fontId="143" fillId="4" borderId="78" xfId="43" applyNumberFormat="1" applyFont="1" applyFill="1" applyBorder="1"/>
    <xf numFmtId="3" fontId="144" fillId="11" borderId="78" xfId="43" applyNumberFormat="1" applyFont="1" applyFill="1" applyBorder="1"/>
    <xf numFmtId="3" fontId="144" fillId="3" borderId="78" xfId="43" applyNumberFormat="1" applyFont="1" applyFill="1" applyBorder="1"/>
    <xf numFmtId="0" fontId="144" fillId="0" borderId="0" xfId="43" applyFont="1"/>
    <xf numFmtId="3" fontId="144" fillId="0" borderId="0" xfId="43" applyNumberFormat="1" applyFont="1"/>
    <xf numFmtId="10" fontId="144" fillId="0" borderId="0" xfId="9" applyNumberFormat="1" applyFont="1"/>
    <xf numFmtId="3" fontId="144" fillId="13" borderId="78" xfId="43" applyNumberFormat="1" applyFont="1" applyFill="1" applyBorder="1"/>
    <xf numFmtId="167" fontId="73" fillId="4" borderId="78" xfId="1" applyNumberFormat="1" applyFont="1" applyFill="1" applyBorder="1"/>
    <xf numFmtId="9" fontId="68" fillId="0" borderId="42" xfId="2" applyFont="1" applyBorder="1"/>
    <xf numFmtId="3" fontId="70" fillId="0" borderId="0" xfId="43" applyNumberFormat="1" applyFont="1"/>
    <xf numFmtId="0" fontId="68" fillId="0" borderId="77" xfId="43" applyFont="1" applyBorder="1" applyAlignment="1">
      <alignment horizontal="left" wrapText="1" indent="3"/>
    </xf>
    <xf numFmtId="3" fontId="68" fillId="0" borderId="83" xfId="43" applyNumberFormat="1" applyFont="1" applyBorder="1"/>
    <xf numFmtId="9" fontId="68" fillId="0" borderId="83" xfId="2" applyFont="1" applyFill="1" applyBorder="1"/>
    <xf numFmtId="9" fontId="68" fillId="5" borderId="83" xfId="4" applyFont="1" applyFill="1" applyBorder="1" applyAlignment="1">
      <alignment wrapText="1"/>
    </xf>
    <xf numFmtId="49" fontId="68" fillId="0" borderId="86" xfId="43" applyNumberFormat="1" applyFont="1" applyBorder="1" applyAlignment="1">
      <alignment horizontal="left" indent="2"/>
    </xf>
    <xf numFmtId="49" fontId="68" fillId="0" borderId="85" xfId="43" applyNumberFormat="1" applyFont="1" applyBorder="1" applyAlignment="1">
      <alignment horizontal="left" wrapText="1" indent="4"/>
    </xf>
    <xf numFmtId="9" fontId="68" fillId="0" borderId="83" xfId="4" applyFont="1" applyFill="1" applyBorder="1"/>
    <xf numFmtId="9" fontId="68" fillId="0" borderId="87" xfId="4" applyFont="1" applyFill="1" applyBorder="1" applyAlignment="1">
      <alignment wrapText="1"/>
    </xf>
    <xf numFmtId="9" fontId="68" fillId="0" borderId="83" xfId="4" applyFont="1" applyFill="1" applyBorder="1" applyAlignment="1">
      <alignment wrapText="1"/>
    </xf>
    <xf numFmtId="0" fontId="89" fillId="0" borderId="81" xfId="272" quotePrefix="1" applyFont="1" applyBorder="1"/>
    <xf numFmtId="3" fontId="68" fillId="6" borderId="93" xfId="43" applyNumberFormat="1" applyFont="1" applyFill="1" applyBorder="1"/>
    <xf numFmtId="9" fontId="68" fillId="0" borderId="93" xfId="4" applyFont="1" applyFill="1" applyBorder="1" applyAlignment="1">
      <alignment wrapText="1"/>
    </xf>
    <xf numFmtId="3" fontId="68" fillId="0" borderId="93" xfId="43" applyNumberFormat="1" applyFont="1" applyBorder="1"/>
    <xf numFmtId="9" fontId="68" fillId="0" borderId="93" xfId="2" applyFont="1" applyFill="1" applyBorder="1"/>
    <xf numFmtId="0" fontId="68" fillId="0" borderId="91" xfId="43" applyFont="1" applyBorder="1" applyAlignment="1">
      <alignment horizontal="left" wrapText="1" indent="3"/>
    </xf>
    <xf numFmtId="9" fontId="68" fillId="0" borderId="95" xfId="4" applyFont="1" applyFill="1" applyBorder="1"/>
    <xf numFmtId="0" fontId="68" fillId="0" borderId="55" xfId="43" applyFont="1" applyBorder="1" applyAlignment="1">
      <alignment horizontal="left" wrapText="1" indent="3"/>
    </xf>
    <xf numFmtId="9" fontId="68" fillId="0" borderId="93" xfId="4" applyFont="1" applyBorder="1" applyAlignment="1">
      <alignment wrapText="1"/>
    </xf>
    <xf numFmtId="49" fontId="68" fillId="0" borderId="94" xfId="43" applyNumberFormat="1" applyFont="1" applyBorder="1" applyAlignment="1">
      <alignment horizontal="left" indent="2"/>
    </xf>
    <xf numFmtId="0" fontId="68" fillId="5" borderId="91" xfId="43" applyFont="1" applyFill="1" applyBorder="1" applyAlignment="1">
      <alignment horizontal="left" wrapText="1" indent="3"/>
    </xf>
    <xf numFmtId="0" fontId="76" fillId="0" borderId="0" xfId="43" quotePrefix="1" applyFont="1"/>
    <xf numFmtId="0" fontId="4" fillId="0" borderId="0" xfId="43" quotePrefix="1" applyFont="1"/>
    <xf numFmtId="0" fontId="82" fillId="0" borderId="91" xfId="43" applyFont="1" applyBorder="1" applyAlignment="1">
      <alignment horizontal="left" wrapText="1" indent="3"/>
    </xf>
    <xf numFmtId="3" fontId="68" fillId="9" borderId="0" xfId="43" applyNumberFormat="1" applyFont="1" applyFill="1"/>
    <xf numFmtId="167" fontId="81" fillId="15" borderId="42" xfId="1" applyNumberFormat="1" applyFont="1" applyFill="1" applyBorder="1"/>
    <xf numFmtId="0" fontId="68" fillId="12" borderId="46" xfId="43" applyFont="1" applyFill="1" applyBorder="1" applyAlignment="1">
      <alignment horizontal="left" wrapText="1" indent="3"/>
    </xf>
    <xf numFmtId="0" fontId="68" fillId="12" borderId="55" xfId="43" applyFont="1" applyFill="1" applyBorder="1" applyAlignment="1">
      <alignment horizontal="left" wrapText="1" indent="3"/>
    </xf>
    <xf numFmtId="0" fontId="68" fillId="12" borderId="76" xfId="43" applyFont="1" applyFill="1" applyBorder="1" applyAlignment="1">
      <alignment horizontal="left" wrapText="1" indent="3"/>
    </xf>
    <xf numFmtId="0" fontId="68" fillId="12" borderId="91" xfId="43" applyFont="1" applyFill="1" applyBorder="1" applyAlignment="1">
      <alignment horizontal="left" wrapText="1" indent="3"/>
    </xf>
    <xf numFmtId="0" fontId="68" fillId="12" borderId="77" xfId="43" applyFont="1" applyFill="1" applyBorder="1" applyAlignment="1">
      <alignment horizontal="left" wrapText="1" indent="3"/>
    </xf>
    <xf numFmtId="3" fontId="70" fillId="0" borderId="7" xfId="43" applyNumberFormat="1" applyFont="1" applyBorder="1"/>
    <xf numFmtId="0" fontId="70" fillId="0" borderId="0" xfId="43" applyFont="1" applyAlignment="1">
      <alignment wrapText="1"/>
    </xf>
    <xf numFmtId="167" fontId="76" fillId="0" borderId="0" xfId="5" applyNumberFormat="1" applyFont="1"/>
    <xf numFmtId="3" fontId="76" fillId="4" borderId="7" xfId="43" applyNumberFormat="1" applyFont="1" applyFill="1" applyBorder="1"/>
    <xf numFmtId="3" fontId="70" fillId="0" borderId="42" xfId="43" applyNumberFormat="1" applyFont="1" applyBorder="1"/>
    <xf numFmtId="3" fontId="70" fillId="3" borderId="7" xfId="43" applyNumberFormat="1" applyFont="1" applyFill="1" applyBorder="1"/>
    <xf numFmtId="3" fontId="70" fillId="0" borderId="56" xfId="43" applyNumberFormat="1" applyFont="1" applyBorder="1"/>
    <xf numFmtId="3" fontId="70" fillId="0" borderId="67" xfId="43" applyNumberFormat="1" applyFont="1" applyBorder="1"/>
    <xf numFmtId="3" fontId="70" fillId="0" borderId="27" xfId="43" applyNumberFormat="1" applyFont="1" applyBorder="1"/>
    <xf numFmtId="3" fontId="70" fillId="0" borderId="83" xfId="43" applyNumberFormat="1" applyFont="1" applyBorder="1"/>
    <xf numFmtId="3" fontId="70" fillId="0" borderId="93" xfId="43" applyNumberFormat="1" applyFont="1" applyBorder="1"/>
    <xf numFmtId="3" fontId="76" fillId="0" borderId="11" xfId="43" applyNumberFormat="1" applyFont="1" applyBorder="1"/>
    <xf numFmtId="3" fontId="70" fillId="0" borderId="64" xfId="43" applyNumberFormat="1" applyFont="1" applyBorder="1"/>
    <xf numFmtId="10" fontId="70" fillId="0" borderId="0" xfId="9" applyNumberFormat="1" applyFont="1"/>
    <xf numFmtId="3" fontId="76" fillId="4" borderId="12" xfId="43" applyNumberFormat="1" applyFont="1" applyFill="1" applyBorder="1"/>
    <xf numFmtId="3" fontId="76" fillId="3" borderId="7" xfId="43" applyNumberFormat="1" applyFont="1" applyFill="1" applyBorder="1"/>
    <xf numFmtId="3" fontId="70" fillId="0" borderId="78" xfId="43" applyNumberFormat="1" applyFont="1" applyBorder="1"/>
    <xf numFmtId="3" fontId="70" fillId="5" borderId="78" xfId="43" applyNumberFormat="1" applyFont="1" applyFill="1" applyBorder="1"/>
    <xf numFmtId="3" fontId="70" fillId="3" borderId="78" xfId="43" applyNumberFormat="1" applyFont="1" applyFill="1" applyBorder="1"/>
    <xf numFmtId="3" fontId="70" fillId="6" borderId="83" xfId="43" applyNumberFormat="1" applyFont="1" applyFill="1" applyBorder="1"/>
    <xf numFmtId="3" fontId="96" fillId="0" borderId="78" xfId="43" applyNumberFormat="1" applyFont="1" applyBorder="1"/>
    <xf numFmtId="3" fontId="70" fillId="11" borderId="78" xfId="43" applyNumberFormat="1" applyFont="1" applyFill="1" applyBorder="1"/>
    <xf numFmtId="3" fontId="76" fillId="0" borderId="13" xfId="43" applyNumberFormat="1" applyFont="1" applyBorder="1"/>
    <xf numFmtId="3" fontId="76" fillId="0" borderId="14" xfId="43" applyNumberFormat="1" applyFont="1" applyBorder="1"/>
    <xf numFmtId="3" fontId="76" fillId="4" borderId="17" xfId="43" applyNumberFormat="1" applyFont="1" applyFill="1" applyBorder="1"/>
    <xf numFmtId="167" fontId="73" fillId="0" borderId="3" xfId="1" applyNumberFormat="1" applyFont="1" applyBorder="1" applyAlignment="1">
      <alignment horizontal="center" vertical="center" wrapText="1"/>
    </xf>
    <xf numFmtId="167" fontId="73" fillId="4" borderId="4" xfId="1" applyNumberFormat="1" applyFont="1" applyFill="1" applyBorder="1"/>
    <xf numFmtId="167" fontId="68" fillId="11" borderId="7" xfId="1" applyNumberFormat="1" applyFont="1" applyFill="1" applyBorder="1"/>
    <xf numFmtId="167" fontId="68" fillId="7" borderId="7" xfId="1" applyNumberFormat="1" applyFont="1" applyFill="1" applyBorder="1"/>
    <xf numFmtId="167" fontId="79" fillId="8" borderId="7" xfId="1" applyNumberFormat="1" applyFont="1" applyFill="1" applyBorder="1"/>
    <xf numFmtId="167" fontId="68" fillId="0" borderId="83" xfId="1" applyNumberFormat="1" applyFont="1" applyBorder="1"/>
    <xf numFmtId="167" fontId="68" fillId="0" borderId="93" xfId="1" applyNumberFormat="1" applyFont="1" applyBorder="1"/>
    <xf numFmtId="167" fontId="73" fillId="0" borderId="3" xfId="1" applyNumberFormat="1" applyFont="1" applyBorder="1"/>
    <xf numFmtId="167" fontId="73" fillId="0" borderId="11" xfId="1" applyNumberFormat="1" applyFont="1" applyBorder="1"/>
    <xf numFmtId="167" fontId="73" fillId="4" borderId="41" xfId="1" applyNumberFormat="1" applyFont="1" applyFill="1" applyBorder="1"/>
    <xf numFmtId="167" fontId="68" fillId="0" borderId="82" xfId="1" applyNumberFormat="1" applyFont="1" applyBorder="1"/>
    <xf numFmtId="167" fontId="68" fillId="0" borderId="79" xfId="1" applyNumberFormat="1" applyFont="1" applyBorder="1"/>
    <xf numFmtId="167" fontId="73" fillId="4" borderId="12" xfId="1" applyNumberFormat="1" applyFont="1" applyFill="1" applyBorder="1"/>
    <xf numFmtId="167" fontId="73" fillId="3" borderId="78" xfId="1" applyNumberFormat="1" applyFont="1" applyFill="1" applyBorder="1"/>
    <xf numFmtId="167" fontId="68" fillId="0" borderId="78" xfId="1" applyNumberFormat="1" applyFont="1" applyBorder="1"/>
    <xf numFmtId="167" fontId="68" fillId="0" borderId="42" xfId="1" applyNumberFormat="1" applyFont="1" applyFill="1" applyBorder="1"/>
    <xf numFmtId="167" fontId="81" fillId="15" borderId="56" xfId="1" applyNumberFormat="1" applyFont="1" applyFill="1" applyBorder="1"/>
    <xf numFmtId="167" fontId="68" fillId="0" borderId="7" xfId="1" applyNumberFormat="1" applyFont="1" applyFill="1" applyBorder="1"/>
    <xf numFmtId="167" fontId="68" fillId="0" borderId="67" xfId="1" applyNumberFormat="1" applyFont="1" applyFill="1" applyBorder="1"/>
    <xf numFmtId="167" fontId="68" fillId="5" borderId="78" xfId="1" applyNumberFormat="1" applyFont="1" applyFill="1" applyBorder="1"/>
    <xf numFmtId="167" fontId="68" fillId="3" borderId="56" xfId="1" applyNumberFormat="1" applyFont="1" applyFill="1" applyBorder="1"/>
    <xf numFmtId="167" fontId="68" fillId="3" borderId="78" xfId="1" applyNumberFormat="1" applyFont="1" applyFill="1" applyBorder="1"/>
    <xf numFmtId="167" fontId="68" fillId="6" borderId="83" xfId="1" applyNumberFormat="1" applyFont="1" applyFill="1" applyBorder="1"/>
    <xf numFmtId="167" fontId="68" fillId="6" borderId="67" xfId="1" applyNumberFormat="1" applyFont="1" applyFill="1" applyBorder="1"/>
    <xf numFmtId="167" fontId="81" fillId="0" borderId="78" xfId="1" applyNumberFormat="1" applyFont="1" applyBorder="1"/>
    <xf numFmtId="167" fontId="73" fillId="0" borderId="7" xfId="1" applyNumberFormat="1" applyFont="1" applyBorder="1"/>
    <xf numFmtId="167" fontId="68" fillId="3" borderId="67" xfId="1" applyNumberFormat="1" applyFont="1" applyFill="1" applyBorder="1"/>
    <xf numFmtId="167" fontId="73" fillId="0" borderId="14" xfId="1" applyNumberFormat="1" applyFont="1" applyBorder="1"/>
    <xf numFmtId="167" fontId="73" fillId="4" borderId="17" xfId="1" applyNumberFormat="1" applyFont="1" applyFill="1" applyBorder="1"/>
    <xf numFmtId="3" fontId="68" fillId="0" borderId="62" xfId="43" applyNumberFormat="1" applyFont="1" applyBorder="1"/>
    <xf numFmtId="3" fontId="68" fillId="0" borderId="73" xfId="43" applyNumberFormat="1" applyFont="1" applyBorder="1"/>
    <xf numFmtId="3" fontId="68" fillId="0" borderId="54" xfId="43" applyNumberFormat="1" applyFont="1" applyBorder="1"/>
    <xf numFmtId="3" fontId="68" fillId="0" borderId="21" xfId="43" applyNumberFormat="1" applyFont="1" applyBorder="1"/>
    <xf numFmtId="3" fontId="68" fillId="3" borderId="42" xfId="43" applyNumberFormat="1" applyFont="1" applyFill="1" applyBorder="1"/>
    <xf numFmtId="3" fontId="81" fillId="10" borderId="42" xfId="43" applyNumberFormat="1" applyFont="1" applyFill="1" applyBorder="1"/>
    <xf numFmtId="3" fontId="81" fillId="0" borderId="42" xfId="43" applyNumberFormat="1" applyFont="1" applyBorder="1"/>
    <xf numFmtId="3" fontId="68" fillId="3" borderId="27" xfId="43" applyNumberFormat="1" applyFont="1" applyFill="1" applyBorder="1"/>
    <xf numFmtId="3" fontId="68" fillId="5" borderId="42" xfId="43" applyNumberFormat="1" applyFont="1" applyFill="1" applyBorder="1"/>
    <xf numFmtId="3" fontId="68" fillId="6" borderId="42" xfId="43" applyNumberFormat="1" applyFont="1" applyFill="1" applyBorder="1"/>
    <xf numFmtId="167" fontId="68" fillId="0" borderId="56" xfId="1" applyNumberFormat="1" applyFont="1" applyFill="1" applyBorder="1"/>
    <xf numFmtId="167" fontId="68" fillId="0" borderId="45" xfId="1" applyNumberFormat="1" applyFont="1" applyFill="1" applyBorder="1"/>
    <xf numFmtId="167" fontId="68" fillId="0" borderId="58" xfId="1" applyNumberFormat="1" applyFont="1" applyFill="1" applyBorder="1"/>
    <xf numFmtId="167" fontId="68" fillId="0" borderId="70" xfId="1" applyNumberFormat="1" applyFont="1" applyFill="1" applyBorder="1"/>
    <xf numFmtId="9" fontId="68" fillId="0" borderId="80" xfId="4" applyFont="1" applyFill="1" applyBorder="1" applyAlignment="1">
      <alignment wrapText="1"/>
    </xf>
    <xf numFmtId="9" fontId="68" fillId="0" borderId="7" xfId="4" quotePrefix="1" applyFont="1" applyBorder="1" applyAlignment="1">
      <alignment wrapText="1"/>
    </xf>
    <xf numFmtId="9" fontId="70" fillId="0" borderId="70" xfId="4" applyFont="1" applyFill="1" applyBorder="1" applyAlignment="1">
      <alignment wrapText="1"/>
    </xf>
    <xf numFmtId="3" fontId="68" fillId="5" borderId="92" xfId="43" applyNumberFormat="1" applyFont="1" applyFill="1" applyBorder="1"/>
    <xf numFmtId="3" fontId="68" fillId="0" borderId="95" xfId="43" applyNumberFormat="1" applyFont="1" applyBorder="1"/>
    <xf numFmtId="9" fontId="70" fillId="0" borderId="91" xfId="4" applyFont="1" applyFill="1" applyBorder="1" applyAlignment="1">
      <alignment wrapText="1"/>
    </xf>
    <xf numFmtId="167" fontId="70" fillId="0" borderId="0" xfId="4" applyNumberFormat="1" applyFont="1"/>
    <xf numFmtId="9" fontId="76" fillId="0" borderId="3" xfId="4" applyFont="1" applyBorder="1" applyAlignment="1">
      <alignment horizontal="center" vertical="center" wrapText="1"/>
    </xf>
    <xf numFmtId="167" fontId="70" fillId="3" borderId="61" xfId="1" applyNumberFormat="1" applyFont="1" applyFill="1" applyBorder="1" applyAlignment="1">
      <alignment wrapText="1"/>
    </xf>
    <xf numFmtId="3" fontId="76" fillId="4" borderId="61" xfId="43" applyNumberFormat="1" applyFont="1" applyFill="1" applyBorder="1"/>
    <xf numFmtId="3" fontId="76" fillId="4" borderId="78" xfId="43" applyNumberFormat="1" applyFont="1" applyFill="1" applyBorder="1"/>
    <xf numFmtId="3" fontId="70" fillId="4" borderId="78" xfId="43" applyNumberFormat="1" applyFont="1" applyFill="1" applyBorder="1"/>
    <xf numFmtId="3" fontId="70" fillId="0" borderId="78" xfId="43" applyNumberFormat="1" applyFont="1" applyBorder="1" applyAlignment="1">
      <alignment wrapText="1"/>
    </xf>
    <xf numFmtId="3" fontId="70" fillId="7" borderId="78" xfId="43" applyNumberFormat="1" applyFont="1" applyFill="1" applyBorder="1"/>
    <xf numFmtId="3" fontId="80" fillId="8" borderId="78" xfId="43" applyNumberFormat="1" applyFont="1" applyFill="1" applyBorder="1"/>
    <xf numFmtId="3" fontId="70" fillId="15" borderId="78" xfId="43" applyNumberFormat="1" applyFont="1" applyFill="1" applyBorder="1"/>
    <xf numFmtId="3" fontId="70" fillId="0" borderId="83" xfId="43" applyNumberFormat="1" applyFont="1" applyBorder="1" applyAlignment="1">
      <alignment wrapText="1"/>
    </xf>
    <xf numFmtId="3" fontId="70" fillId="0" borderId="93" xfId="43" applyNumberFormat="1" applyFont="1" applyBorder="1" applyAlignment="1">
      <alignment wrapText="1"/>
    </xf>
    <xf numFmtId="3" fontId="70" fillId="4" borderId="78" xfId="43" applyNumberFormat="1" applyFont="1" applyFill="1" applyBorder="1" applyAlignment="1">
      <alignment wrapText="1"/>
    </xf>
    <xf numFmtId="3" fontId="70" fillId="0" borderId="3" xfId="43" applyNumberFormat="1" applyFont="1" applyBorder="1" applyAlignment="1">
      <alignment wrapText="1"/>
    </xf>
    <xf numFmtId="3" fontId="76" fillId="4" borderId="64" xfId="43" applyNumberFormat="1" applyFont="1" applyFill="1" applyBorder="1"/>
    <xf numFmtId="3" fontId="70" fillId="0" borderId="58" xfId="43" applyNumberFormat="1" applyFont="1" applyBorder="1" applyAlignment="1">
      <alignment wrapText="1"/>
    </xf>
    <xf numFmtId="3" fontId="70" fillId="0" borderId="41" xfId="43" applyNumberFormat="1" applyFont="1" applyBorder="1"/>
    <xf numFmtId="3" fontId="70" fillId="4" borderId="7" xfId="43" applyNumberFormat="1" applyFont="1" applyFill="1" applyBorder="1"/>
    <xf numFmtId="3" fontId="70" fillId="3" borderId="7" xfId="43" applyNumberFormat="1" applyFont="1" applyFill="1" applyBorder="1" applyAlignment="1">
      <alignment wrapText="1"/>
    </xf>
    <xf numFmtId="3" fontId="70" fillId="3" borderId="78" xfId="43" applyNumberFormat="1" applyFont="1" applyFill="1" applyBorder="1" applyAlignment="1">
      <alignment wrapText="1"/>
    </xf>
    <xf numFmtId="3" fontId="70" fillId="0" borderId="7" xfId="43" applyNumberFormat="1" applyFont="1" applyBorder="1" applyAlignment="1">
      <alignment wrapText="1"/>
    </xf>
    <xf numFmtId="3" fontId="70" fillId="0" borderId="42" xfId="43" applyNumberFormat="1" applyFont="1" applyBorder="1" applyAlignment="1">
      <alignment wrapText="1"/>
    </xf>
    <xf numFmtId="3" fontId="70" fillId="18" borderId="42" xfId="43" applyNumberFormat="1" applyFont="1" applyFill="1" applyBorder="1"/>
    <xf numFmtId="3" fontId="96" fillId="18" borderId="56" xfId="43" applyNumberFormat="1" applyFont="1" applyFill="1" applyBorder="1"/>
    <xf numFmtId="3" fontId="70" fillId="0" borderId="56" xfId="43" applyNumberFormat="1" applyFont="1" applyBorder="1" applyAlignment="1">
      <alignment wrapText="1"/>
    </xf>
    <xf numFmtId="3" fontId="70" fillId="6" borderId="78" xfId="43" applyNumberFormat="1" applyFont="1" applyFill="1" applyBorder="1"/>
    <xf numFmtId="3" fontId="76" fillId="3" borderId="78" xfId="43" applyNumberFormat="1" applyFont="1" applyFill="1" applyBorder="1"/>
    <xf numFmtId="3" fontId="76" fillId="0" borderId="78" xfId="43" applyNumberFormat="1" applyFont="1" applyBorder="1"/>
    <xf numFmtId="0" fontId="68" fillId="0" borderId="0" xfId="43" quotePrefix="1" applyFont="1" applyAlignment="1">
      <alignment wrapText="1"/>
    </xf>
    <xf numFmtId="9" fontId="68" fillId="0" borderId="70" xfId="4" applyFont="1" applyFill="1" applyBorder="1" applyAlignment="1">
      <alignment wrapText="1"/>
    </xf>
    <xf numFmtId="9" fontId="70" fillId="0" borderId="78" xfId="4" applyFont="1" applyBorder="1" applyAlignment="1">
      <alignment wrapText="1"/>
    </xf>
    <xf numFmtId="9" fontId="70" fillId="3" borderId="78" xfId="4" applyFont="1" applyFill="1" applyBorder="1" applyAlignment="1">
      <alignment wrapText="1"/>
    </xf>
    <xf numFmtId="3" fontId="149" fillId="4" borderId="7" xfId="43" applyNumberFormat="1" applyFont="1" applyFill="1" applyBorder="1"/>
    <xf numFmtId="9" fontId="148" fillId="4" borderId="7" xfId="4" applyFont="1" applyFill="1" applyBorder="1" applyAlignment="1">
      <alignment wrapText="1"/>
    </xf>
    <xf numFmtId="9" fontId="68" fillId="0" borderId="96" xfId="4" applyFont="1" applyFill="1" applyBorder="1" applyAlignment="1">
      <alignment wrapText="1"/>
    </xf>
    <xf numFmtId="9" fontId="68" fillId="0" borderId="91" xfId="4" applyFont="1" applyFill="1" applyBorder="1" applyAlignment="1">
      <alignment wrapText="1"/>
    </xf>
    <xf numFmtId="3" fontId="73" fillId="4" borderId="93" xfId="43" applyNumberFormat="1" applyFont="1" applyFill="1" applyBorder="1"/>
    <xf numFmtId="3" fontId="68" fillId="7" borderId="93" xfId="43" applyNumberFormat="1" applyFont="1" applyFill="1" applyBorder="1"/>
    <xf numFmtId="3" fontId="79" fillId="8" borderId="93" xfId="43" applyNumberFormat="1" applyFont="1" applyFill="1" applyBorder="1"/>
    <xf numFmtId="3" fontId="68" fillId="3" borderId="93" xfId="43" applyNumberFormat="1" applyFont="1" applyFill="1" applyBorder="1"/>
    <xf numFmtId="3" fontId="73" fillId="3" borderId="93" xfId="43" applyNumberFormat="1" applyFont="1" applyFill="1" applyBorder="1"/>
    <xf numFmtId="3" fontId="68" fillId="16" borderId="93" xfId="43" applyNumberFormat="1" applyFont="1" applyFill="1" applyBorder="1"/>
    <xf numFmtId="3" fontId="68" fillId="18" borderId="93" xfId="43" applyNumberFormat="1" applyFont="1" applyFill="1" applyBorder="1"/>
    <xf numFmtId="3" fontId="81" fillId="18" borderId="93" xfId="43" applyNumberFormat="1" applyFont="1" applyFill="1" applyBorder="1"/>
    <xf numFmtId="3" fontId="68" fillId="14" borderId="93" xfId="43" applyNumberFormat="1" applyFont="1" applyFill="1" applyBorder="1"/>
    <xf numFmtId="3" fontId="68" fillId="14" borderId="95" xfId="43" applyNumberFormat="1" applyFont="1" applyFill="1" applyBorder="1"/>
    <xf numFmtId="3" fontId="68" fillId="13" borderId="93" xfId="43" applyNumberFormat="1" applyFont="1" applyFill="1" applyBorder="1"/>
    <xf numFmtId="3" fontId="68" fillId="5" borderId="93" xfId="43" applyNumberFormat="1" applyFont="1" applyFill="1" applyBorder="1"/>
    <xf numFmtId="3" fontId="81" fillId="0" borderId="93" xfId="43" applyNumberFormat="1" applyFont="1" applyBorder="1"/>
    <xf numFmtId="3" fontId="73" fillId="0" borderId="93" xfId="43" applyNumberFormat="1" applyFont="1" applyBorder="1"/>
    <xf numFmtId="0" fontId="151" fillId="0" borderId="0" xfId="16" applyFont="1"/>
    <xf numFmtId="0" fontId="127" fillId="0" borderId="0" xfId="357" applyFont="1"/>
    <xf numFmtId="0" fontId="83" fillId="0" borderId="0" xfId="16" applyFont="1"/>
    <xf numFmtId="0" fontId="93" fillId="0" borderId="0" xfId="16" applyFont="1"/>
    <xf numFmtId="0" fontId="93" fillId="0" borderId="0" xfId="16" applyFont="1" applyAlignment="1">
      <alignment horizontal="center"/>
    </xf>
    <xf numFmtId="164" fontId="151" fillId="0" borderId="0" xfId="16" applyNumberFormat="1" applyFont="1"/>
    <xf numFmtId="167" fontId="151" fillId="0" borderId="0" xfId="16" applyNumberFormat="1" applyFont="1"/>
    <xf numFmtId="0" fontId="152" fillId="0" borderId="0" xfId="10" applyFont="1"/>
    <xf numFmtId="167" fontId="93" fillId="0" borderId="0" xfId="16" applyNumberFormat="1" applyFont="1" applyAlignment="1">
      <alignment horizontal="center"/>
    </xf>
    <xf numFmtId="0" fontId="140" fillId="0" borderId="0" xfId="10" applyFont="1"/>
    <xf numFmtId="0" fontId="142" fillId="0" borderId="0" xfId="16" applyFont="1"/>
    <xf numFmtId="1" fontId="151" fillId="0" borderId="0" xfId="16" applyNumberFormat="1" applyFont="1"/>
    <xf numFmtId="0" fontId="151" fillId="0" borderId="0" xfId="16" applyFont="1" applyAlignment="1">
      <alignment horizontal="center" vertical="center"/>
    </xf>
    <xf numFmtId="0" fontId="153" fillId="0" borderId="92" xfId="16" applyFont="1" applyBorder="1" applyAlignment="1">
      <alignment horizontal="center" vertical="center"/>
    </xf>
    <xf numFmtId="0" fontId="153" fillId="0" borderId="91" xfId="16" applyFont="1" applyBorder="1" applyAlignment="1">
      <alignment horizontal="center" vertical="center" wrapText="1"/>
    </xf>
    <xf numFmtId="0" fontId="153" fillId="0" borderId="91" xfId="16" applyFont="1" applyBorder="1" applyAlignment="1">
      <alignment horizontal="center" vertical="center"/>
    </xf>
    <xf numFmtId="0" fontId="142" fillId="0" borderId="91" xfId="16" applyFont="1" applyBorder="1" applyAlignment="1">
      <alignment horizontal="center" vertical="center" wrapText="1"/>
    </xf>
    <xf numFmtId="0" fontId="93" fillId="0" borderId="91" xfId="16" applyFont="1" applyBorder="1" applyAlignment="1">
      <alignment horizontal="center" vertical="center" wrapText="1"/>
    </xf>
    <xf numFmtId="0" fontId="142" fillId="0" borderId="92" xfId="16" applyFont="1" applyBorder="1" applyAlignment="1">
      <alignment horizontal="center" vertical="center" wrapText="1"/>
    </xf>
    <xf numFmtId="0" fontId="151" fillId="0" borderId="90" xfId="16" applyFont="1" applyBorder="1" applyAlignment="1">
      <alignment horizontal="center" vertical="center"/>
    </xf>
    <xf numFmtId="0" fontId="153" fillId="0" borderId="0" xfId="16" applyFont="1"/>
    <xf numFmtId="0" fontId="153" fillId="0" borderId="90" xfId="16" applyFont="1" applyBorder="1"/>
    <xf numFmtId="0" fontId="154" fillId="0" borderId="97" xfId="16" applyFont="1" applyBorder="1"/>
    <xf numFmtId="0" fontId="154" fillId="0" borderId="90" xfId="16" applyFont="1" applyBorder="1"/>
    <xf numFmtId="0" fontId="130" fillId="0" borderId="90" xfId="16" applyFont="1" applyBorder="1"/>
    <xf numFmtId="0" fontId="155" fillId="0" borderId="90" xfId="16" applyFont="1" applyBorder="1"/>
    <xf numFmtId="167" fontId="130" fillId="0" borderId="90" xfId="358" applyNumberFormat="1" applyFont="1" applyFill="1" applyBorder="1"/>
    <xf numFmtId="167" fontId="140" fillId="0" borderId="90" xfId="358" applyNumberFormat="1" applyFont="1" applyFill="1" applyBorder="1"/>
    <xf numFmtId="174" fontId="140" fillId="0" borderId="90" xfId="358" applyNumberFormat="1" applyFont="1" applyFill="1" applyBorder="1"/>
    <xf numFmtId="167" fontId="140" fillId="0" borderId="89" xfId="358" applyNumberFormat="1" applyFont="1" applyFill="1" applyBorder="1"/>
    <xf numFmtId="167" fontId="156" fillId="0" borderId="89" xfId="358" applyNumberFormat="1" applyFont="1" applyFill="1" applyBorder="1"/>
    <xf numFmtId="167" fontId="155" fillId="0" borderId="0" xfId="16" applyNumberFormat="1" applyFont="1"/>
    <xf numFmtId="167" fontId="140" fillId="0" borderId="97" xfId="358" applyNumberFormat="1" applyFont="1" applyFill="1" applyBorder="1"/>
    <xf numFmtId="167" fontId="153" fillId="0" borderId="0" xfId="16" applyNumberFormat="1" applyFont="1"/>
    <xf numFmtId="0" fontId="151" fillId="0" borderId="84" xfId="16" applyFont="1" applyBorder="1"/>
    <xf numFmtId="0" fontId="155" fillId="0" borderId="72" xfId="16" applyFont="1" applyBorder="1"/>
    <xf numFmtId="0" fontId="154" fillId="0" borderId="84" xfId="16" applyFont="1" applyBorder="1"/>
    <xf numFmtId="0" fontId="130" fillId="0" borderId="84" xfId="16" applyFont="1" applyBorder="1"/>
    <xf numFmtId="0" fontId="155" fillId="0" borderId="84" xfId="16" applyFont="1" applyBorder="1"/>
    <xf numFmtId="167" fontId="130" fillId="0" borderId="84" xfId="358" applyNumberFormat="1" applyFont="1" applyFill="1" applyBorder="1"/>
    <xf numFmtId="167" fontId="131" fillId="0" borderId="84" xfId="358" applyNumberFormat="1" applyFont="1" applyFill="1" applyBorder="1"/>
    <xf numFmtId="174" fontId="130" fillId="0" borderId="84" xfId="358" applyNumberFormat="1" applyFont="1" applyFill="1" applyBorder="1"/>
    <xf numFmtId="167" fontId="130" fillId="0" borderId="88" xfId="358" applyNumberFormat="1" applyFont="1" applyFill="1" applyBorder="1"/>
    <xf numFmtId="167" fontId="157" fillId="0" borderId="88" xfId="358" applyNumberFormat="1" applyFont="1" applyFill="1" applyBorder="1"/>
    <xf numFmtId="167" fontId="130" fillId="0" borderId="72" xfId="358" applyNumberFormat="1" applyFont="1" applyFill="1" applyBorder="1"/>
    <xf numFmtId="174" fontId="141" fillId="0" borderId="90" xfId="358" applyNumberFormat="1" applyFont="1" applyFill="1" applyBorder="1"/>
    <xf numFmtId="0" fontId="142" fillId="0" borderId="90" xfId="16" applyFont="1" applyBorder="1"/>
    <xf numFmtId="0" fontId="140" fillId="0" borderId="97" xfId="16" applyFont="1" applyBorder="1"/>
    <xf numFmtId="0" fontId="140" fillId="0" borderId="90" xfId="16" applyFont="1" applyBorder="1"/>
    <xf numFmtId="167" fontId="130" fillId="0" borderId="0" xfId="16" applyNumberFormat="1" applyFont="1"/>
    <xf numFmtId="0" fontId="83" fillId="0" borderId="84" xfId="16" applyFont="1" applyBorder="1"/>
    <xf numFmtId="0" fontId="130" fillId="0" borderId="72" xfId="16" applyFont="1" applyBorder="1"/>
    <xf numFmtId="0" fontId="140" fillId="0" borderId="84" xfId="16" applyFont="1" applyBorder="1"/>
    <xf numFmtId="14" fontId="130" fillId="0" borderId="90" xfId="16" applyNumberFormat="1" applyFont="1" applyBorder="1"/>
    <xf numFmtId="174" fontId="131" fillId="0" borderId="90" xfId="358" applyNumberFormat="1" applyFont="1" applyFill="1" applyBorder="1"/>
    <xf numFmtId="174" fontId="130" fillId="0" borderId="90" xfId="358" applyNumberFormat="1" applyFont="1" applyFill="1" applyBorder="1"/>
    <xf numFmtId="0" fontId="140" fillId="0" borderId="72" xfId="16" applyFont="1" applyBorder="1"/>
    <xf numFmtId="0" fontId="90" fillId="0" borderId="90" xfId="16" applyFont="1" applyBorder="1"/>
    <xf numFmtId="0" fontId="139" fillId="0" borderId="97" xfId="16" applyFont="1" applyBorder="1"/>
    <xf numFmtId="0" fontId="139" fillId="0" borderId="90" xfId="16" applyFont="1" applyBorder="1"/>
    <xf numFmtId="0" fontId="107" fillId="0" borderId="90" xfId="16" applyFont="1" applyBorder="1"/>
    <xf numFmtId="14" fontId="107" fillId="0" borderId="90" xfId="16" applyNumberFormat="1" applyFont="1" applyBorder="1"/>
    <xf numFmtId="167" fontId="107" fillId="0" borderId="90" xfId="358" applyNumberFormat="1" applyFont="1" applyFill="1" applyBorder="1"/>
    <xf numFmtId="167" fontId="131" fillId="0" borderId="90" xfId="358" applyNumberFormat="1" applyFont="1" applyFill="1" applyBorder="1"/>
    <xf numFmtId="174" fontId="107" fillId="0" borderId="90" xfId="358" applyNumberFormat="1" applyFont="1" applyFill="1" applyBorder="1"/>
    <xf numFmtId="174" fontId="139" fillId="0" borderId="90" xfId="358" applyNumberFormat="1" applyFont="1" applyFill="1" applyBorder="1"/>
    <xf numFmtId="167" fontId="139" fillId="0" borderId="89" xfId="358" applyNumberFormat="1" applyFont="1" applyFill="1" applyBorder="1"/>
    <xf numFmtId="167" fontId="139" fillId="0" borderId="97" xfId="358" applyNumberFormat="1" applyFont="1" applyFill="1" applyBorder="1"/>
    <xf numFmtId="167" fontId="107" fillId="0" borderId="0" xfId="16" applyNumberFormat="1" applyFont="1"/>
    <xf numFmtId="0" fontId="1" fillId="0" borderId="0" xfId="16" applyFont="1"/>
    <xf numFmtId="167" fontId="90" fillId="0" borderId="0" xfId="16" applyNumberFormat="1" applyFont="1"/>
    <xf numFmtId="0" fontId="1" fillId="0" borderId="84" xfId="16" applyFont="1" applyBorder="1"/>
    <xf numFmtId="0" fontId="139" fillId="0" borderId="72" xfId="16" applyFont="1" applyBorder="1"/>
    <xf numFmtId="0" fontId="139" fillId="0" borderId="84" xfId="16" applyFont="1" applyBorder="1"/>
    <xf numFmtId="0" fontId="107" fillId="0" borderId="84" xfId="16" applyFont="1" applyBorder="1"/>
    <xf numFmtId="167" fontId="107" fillId="0" borderId="84" xfId="358" applyNumberFormat="1" applyFont="1" applyFill="1" applyBorder="1"/>
    <xf numFmtId="174" fontId="107" fillId="0" borderId="84" xfId="358" applyNumberFormat="1" applyFont="1" applyFill="1" applyBorder="1"/>
    <xf numFmtId="167" fontId="107" fillId="0" borderId="88" xfId="358" applyNumberFormat="1" applyFont="1" applyFill="1" applyBorder="1"/>
    <xf numFmtId="167" fontId="107" fillId="0" borderId="72" xfId="358" applyNumberFormat="1" applyFont="1" applyFill="1" applyBorder="1"/>
    <xf numFmtId="0" fontId="90" fillId="0" borderId="0" xfId="16" applyFont="1"/>
    <xf numFmtId="167" fontId="140" fillId="0" borderId="0" xfId="16" applyNumberFormat="1" applyFont="1"/>
    <xf numFmtId="167" fontId="142" fillId="0" borderId="0" xfId="16" applyNumberFormat="1" applyFont="1"/>
    <xf numFmtId="0" fontId="142" fillId="0" borderId="84" xfId="16" applyFont="1" applyBorder="1"/>
    <xf numFmtId="167" fontId="140" fillId="0" borderId="84" xfId="358" applyNumberFormat="1" applyFont="1" applyFill="1" applyBorder="1"/>
    <xf numFmtId="174" fontId="140" fillId="0" borderId="84" xfId="358" applyNumberFormat="1" applyFont="1" applyFill="1" applyBorder="1"/>
    <xf numFmtId="167" fontId="130" fillId="0" borderId="84" xfId="16" applyNumberFormat="1" applyFont="1" applyBorder="1"/>
    <xf numFmtId="0" fontId="130" fillId="10" borderId="90" xfId="16" applyFont="1" applyFill="1" applyBorder="1"/>
    <xf numFmtId="167" fontId="130" fillId="0" borderId="0" xfId="358" applyNumberFormat="1" applyFont="1" applyFill="1" applyBorder="1"/>
    <xf numFmtId="174" fontId="130" fillId="0" borderId="0" xfId="358" applyNumberFormat="1" applyFont="1" applyFill="1" applyBorder="1"/>
    <xf numFmtId="167" fontId="158" fillId="0" borderId="84" xfId="16" applyNumberFormat="1" applyFont="1" applyBorder="1"/>
    <xf numFmtId="167" fontId="75" fillId="0" borderId="0" xfId="358" applyNumberFormat="1" applyFill="1"/>
    <xf numFmtId="0" fontId="153" fillId="0" borderId="0" xfId="16" applyFont="1" applyAlignment="1">
      <alignment horizontal="right"/>
    </xf>
    <xf numFmtId="174" fontId="153" fillId="0" borderId="0" xfId="16" applyNumberFormat="1" applyFont="1"/>
    <xf numFmtId="174" fontId="140" fillId="0" borderId="0" xfId="358" applyNumberFormat="1" applyFont="1" applyFill="1" applyBorder="1" applyAlignment="1">
      <alignment horizontal="right"/>
    </xf>
    <xf numFmtId="174" fontId="130" fillId="0" borderId="0" xfId="358" applyNumberFormat="1" applyFont="1" applyFill="1" applyBorder="1" applyAlignment="1">
      <alignment horizontal="right"/>
    </xf>
    <xf numFmtId="167" fontId="142" fillId="0" borderId="88" xfId="16" applyNumberFormat="1" applyFont="1" applyBorder="1"/>
    <xf numFmtId="178" fontId="159" fillId="0" borderId="0" xfId="359" applyNumberFormat="1" applyFont="1"/>
    <xf numFmtId="167" fontId="159" fillId="0" borderId="0" xfId="16" applyNumberFormat="1" applyFont="1"/>
    <xf numFmtId="167" fontId="83" fillId="0" borderId="0" xfId="16" applyNumberFormat="1" applyFont="1"/>
    <xf numFmtId="167" fontId="160" fillId="0" borderId="0" xfId="358" applyNumberFormat="1" applyFont="1" applyFill="1"/>
    <xf numFmtId="174" fontId="140" fillId="0" borderId="98" xfId="358" applyNumberFormat="1" applyFont="1" applyFill="1" applyBorder="1"/>
    <xf numFmtId="0" fontId="154" fillId="0" borderId="0" xfId="16" applyFont="1"/>
    <xf numFmtId="174" fontId="130" fillId="0" borderId="75" xfId="358" applyNumberFormat="1" applyFont="1" applyFill="1" applyBorder="1"/>
    <xf numFmtId="0" fontId="155" fillId="0" borderId="0" xfId="16" applyFont="1"/>
    <xf numFmtId="14" fontId="155" fillId="0" borderId="90" xfId="16" applyNumberFormat="1" applyFont="1" applyBorder="1"/>
    <xf numFmtId="0" fontId="140" fillId="0" borderId="0" xfId="16" applyFont="1"/>
    <xf numFmtId="0" fontId="140" fillId="0" borderId="0" xfId="16" applyFont="1" applyAlignment="1">
      <alignment horizontal="right"/>
    </xf>
    <xf numFmtId="167" fontId="140" fillId="0" borderId="88" xfId="16" applyNumberFormat="1" applyFont="1" applyBorder="1"/>
    <xf numFmtId="167" fontId="140" fillId="0" borderId="91" xfId="358" applyNumberFormat="1" applyFont="1" applyFill="1" applyBorder="1"/>
    <xf numFmtId="167" fontId="140" fillId="0" borderId="91" xfId="16" applyNumberFormat="1" applyFont="1" applyBorder="1"/>
    <xf numFmtId="0" fontId="83" fillId="0" borderId="0" xfId="10" applyFont="1" applyAlignment="1">
      <alignment horizontal="right"/>
    </xf>
    <xf numFmtId="167" fontId="83" fillId="0" borderId="71" xfId="16" applyNumberFormat="1" applyFont="1" applyBorder="1"/>
    <xf numFmtId="167" fontId="140" fillId="0" borderId="71" xfId="358" applyNumberFormat="1" applyFont="1" applyFill="1" applyBorder="1"/>
    <xf numFmtId="167" fontId="130" fillId="0" borderId="71" xfId="358" applyNumberFormat="1" applyFont="1" applyFill="1" applyBorder="1"/>
    <xf numFmtId="0" fontId="142" fillId="0" borderId="0" xfId="16" applyFont="1" applyAlignment="1">
      <alignment horizontal="right"/>
    </xf>
    <xf numFmtId="167" fontId="142" fillId="0" borderId="91" xfId="16" applyNumberFormat="1" applyFont="1" applyBorder="1"/>
    <xf numFmtId="168" fontId="142" fillId="0" borderId="91" xfId="9" applyNumberFormat="1" applyFont="1" applyFill="1" applyBorder="1"/>
    <xf numFmtId="168" fontId="142" fillId="0" borderId="0" xfId="9" applyNumberFormat="1" applyFont="1" applyFill="1"/>
    <xf numFmtId="0" fontId="147" fillId="0" borderId="0" xfId="10" applyFont="1" applyAlignment="1">
      <alignment horizontal="right"/>
    </xf>
    <xf numFmtId="167" fontId="161" fillId="10" borderId="0" xfId="358" applyNumberFormat="1" applyFont="1" applyFill="1"/>
    <xf numFmtId="168" fontId="67" fillId="0" borderId="0" xfId="9" applyNumberFormat="1" applyFont="1" applyFill="1"/>
    <xf numFmtId="167" fontId="131" fillId="0" borderId="0" xfId="358" applyNumberFormat="1" applyFont="1" applyFill="1"/>
    <xf numFmtId="9" fontId="68" fillId="3" borderId="93" xfId="4" applyFont="1" applyFill="1" applyBorder="1" applyAlignment="1">
      <alignment wrapText="1"/>
    </xf>
    <xf numFmtId="9" fontId="81" fillId="0" borderId="93" xfId="4" applyFont="1" applyBorder="1" applyAlignment="1">
      <alignment wrapText="1"/>
    </xf>
    <xf numFmtId="0" fontId="102" fillId="0" borderId="0" xfId="83" applyFont="1"/>
    <xf numFmtId="0" fontId="62" fillId="0" borderId="0" xfId="43"/>
    <xf numFmtId="0" fontId="101" fillId="0" borderId="0" xfId="83" applyFont="1"/>
    <xf numFmtId="9" fontId="68" fillId="0" borderId="96" xfId="2" applyFont="1" applyBorder="1" applyAlignment="1">
      <alignment horizontal="right" wrapText="1"/>
    </xf>
    <xf numFmtId="9" fontId="68" fillId="0" borderId="22" xfId="2" applyFont="1" applyBorder="1" applyAlignment="1">
      <alignment horizontal="right" wrapText="1"/>
    </xf>
    <xf numFmtId="3" fontId="79" fillId="8" borderId="96" xfId="43" applyNumberFormat="1" applyFont="1" applyFill="1" applyBorder="1" applyAlignment="1">
      <alignment horizontal="right" vertical="center"/>
    </xf>
    <xf numFmtId="3" fontId="79" fillId="8" borderId="22" xfId="43" applyNumberFormat="1" applyFont="1" applyFill="1" applyBorder="1" applyAlignment="1">
      <alignment horizontal="right" vertical="center"/>
    </xf>
    <xf numFmtId="3" fontId="68" fillId="0" borderId="96" xfId="43" applyNumberFormat="1" applyFont="1" applyBorder="1" applyAlignment="1">
      <alignment horizontal="right" vertical="center"/>
    </xf>
    <xf numFmtId="3" fontId="68" fillId="0" borderId="22" xfId="43" applyNumberFormat="1" applyFont="1" applyBorder="1" applyAlignment="1">
      <alignment horizontal="right" vertical="center"/>
    </xf>
    <xf numFmtId="3" fontId="68" fillId="0" borderId="96" xfId="43" applyNumberFormat="1" applyFont="1" applyBorder="1" applyAlignment="1">
      <alignment horizontal="right"/>
    </xf>
    <xf numFmtId="3" fontId="68" fillId="0" borderId="22" xfId="43" applyNumberFormat="1" applyFont="1" applyBorder="1" applyAlignment="1">
      <alignment horizontal="right"/>
    </xf>
    <xf numFmtId="9" fontId="79" fillId="8" borderId="96" xfId="2" applyFont="1" applyFill="1" applyBorder="1" applyAlignment="1">
      <alignment horizontal="right" vertical="center"/>
    </xf>
    <xf numFmtId="9" fontId="79" fillId="8" borderId="22" xfId="2" applyFont="1" applyFill="1" applyBorder="1" applyAlignment="1">
      <alignment horizontal="right" vertical="center"/>
    </xf>
    <xf numFmtId="9" fontId="68" fillId="15" borderId="96" xfId="2" applyFont="1" applyFill="1" applyBorder="1" applyAlignment="1">
      <alignment horizontal="right" vertical="center"/>
    </xf>
    <xf numFmtId="9" fontId="68" fillId="15" borderId="22" xfId="2" applyFont="1" applyFill="1" applyBorder="1" applyAlignment="1">
      <alignment horizontal="right" vertical="center"/>
    </xf>
    <xf numFmtId="9" fontId="68" fillId="0" borderId="18" xfId="4" applyFont="1" applyFill="1" applyBorder="1" applyAlignment="1">
      <alignment horizontal="left"/>
    </xf>
    <xf numFmtId="9" fontId="68" fillId="0" borderId="22" xfId="4" applyFont="1" applyFill="1" applyBorder="1" applyAlignment="1">
      <alignment horizontal="left"/>
    </xf>
    <xf numFmtId="9" fontId="68" fillId="0" borderId="96" xfId="4" applyFont="1" applyFill="1" applyBorder="1" applyAlignment="1">
      <alignment horizontal="left" wrapText="1"/>
    </xf>
    <xf numFmtId="9" fontId="68" fillId="0" borderId="22" xfId="4" applyFont="1" applyFill="1" applyBorder="1" applyAlignment="1">
      <alignment horizontal="left" wrapText="1"/>
    </xf>
    <xf numFmtId="9" fontId="68" fillId="0" borderId="96" xfId="4" applyFont="1" applyBorder="1" applyAlignment="1">
      <alignment horizontal="left" wrapText="1"/>
    </xf>
    <xf numFmtId="9" fontId="68" fillId="0" borderId="22" xfId="4" applyFont="1" applyBorder="1" applyAlignment="1">
      <alignment horizontal="left" wrapText="1"/>
    </xf>
  </cellXfs>
  <cellStyles count="360">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1. izcēluma 3" xfId="293" xr:uid="{6E6DDF74-1124-452E-8DEA-BE136C66FD35}"/>
    <cellStyle name="60% no 1. izcēluma 4" xfId="313" xr:uid="{FD9E8D96-C712-462C-8C77-1F9F40495FB6}"/>
    <cellStyle name="60% no 2. izcēluma 2" xfId="226" xr:uid="{E8127104-1405-4FB8-A7A8-A9AC3EFE9E68}"/>
    <cellStyle name="60% no 2. izcēluma 3" xfId="296" xr:uid="{8E8CF635-DE1E-48BD-9894-6B0ED7F30586}"/>
    <cellStyle name="60% no 2. izcēluma 4" xfId="316" xr:uid="{8C110840-DBE8-42A4-B129-6FA4AE31D5A2}"/>
    <cellStyle name="60% no 3. izcēluma 2" xfId="229" xr:uid="{DF56DC40-6B6E-4ECB-9EB0-25F22FE902E7}"/>
    <cellStyle name="60% no 3. izcēluma 3" xfId="299" xr:uid="{AB6F73AB-E870-4C67-BCB8-91DE26B16151}"/>
    <cellStyle name="60% no 3. izcēluma 4" xfId="319" xr:uid="{05C04937-C729-444E-A89F-DD3EBC717066}"/>
    <cellStyle name="60% no 4. izcēluma 2" xfId="232" xr:uid="{B21BC850-C4D2-4CC5-A843-4B748E0B26A3}"/>
    <cellStyle name="60% no 4. izcēluma 3" xfId="302" xr:uid="{BB661609-EFCF-49F1-9834-CB5B796206BC}"/>
    <cellStyle name="60% no 4. izcēluma 4" xfId="322" xr:uid="{317F5FFD-B391-49E0-B954-B8BF4F0E3CEF}"/>
    <cellStyle name="60% no 5. izcēluma 2" xfId="235" xr:uid="{93DD5956-1773-4ED8-803E-11AD19B3C5C4}"/>
    <cellStyle name="60% no 5. izcēluma 3" xfId="305" xr:uid="{8E15DA69-81B4-4F76-BEB8-D54236B4D5FB}"/>
    <cellStyle name="60% no 5. izcēluma 4" xfId="325" xr:uid="{0895A06E-5B5E-4177-BD65-3E77CEDF170B}"/>
    <cellStyle name="60% no 6. izcēluma 2" xfId="238" xr:uid="{521FF28F-DC94-43B6-BBAC-663C1ED4DF4C}"/>
    <cellStyle name="60% no 6. izcēluma 3" xfId="308" xr:uid="{74A471CA-D70E-4D05-8BB8-D0BDEEE83208}"/>
    <cellStyle name="60% no 6. izcēluma 4" xfId="328" xr:uid="{8B75D909-116E-4F22-A6F2-2861B219AE89}"/>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10" xfId="346" xr:uid="{4AEB9CA1-D5D0-4EB5-9E5B-8AF3960B2AA6}"/>
    <cellStyle name="Comma 11" xfId="355" xr:uid="{D360B394-E1A9-47C9-8189-31944E82ED6E}"/>
    <cellStyle name="Comma 2" xfId="217" xr:uid="{A6C95BC1-19F2-4D14-8F05-F1BCAFFD66B6}"/>
    <cellStyle name="Comma 2 2" xfId="25" xr:uid="{00000000-0005-0000-0000-000020000000}"/>
    <cellStyle name="Comma 2 3" xfId="275" xr:uid="{F9D5D71F-661B-4307-A0AF-6B2ED6BF2B9D}"/>
    <cellStyle name="Comma 2 4" xfId="349" xr:uid="{AE970975-841F-4898-894E-0F08D0BD3029}"/>
    <cellStyle name="Comma 2 5" xfId="358" xr:uid="{427A44C6-4C9C-4BB4-AE10-48B8A12FB098}"/>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omma 9" xfId="336" xr:uid="{26B5D914-D3F0-4FCB-AF52-C2533471B040}"/>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Normal 2" xfId="340" xr:uid="{620B331D-89B2-49E7-AB45-45365CACB7DE}"/>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Hyperlink 2" xfId="334" xr:uid="{F95411F1-DA76-4DD5-A910-76A15CEB3EAE}"/>
    <cellStyle name="Hyperlink 3" xfId="335" xr:uid="{9B7BA1C6-BD62-44EA-8EED-CEA290CA7D57}"/>
    <cellStyle name="Hyperlink 4" xfId="356" xr:uid="{F84425BD-07C7-47FD-AEA9-F519333DAC29}"/>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8" xr:uid="{440F2FA2-8C4D-40B8-B2C0-4F53F3D6CCBD}"/>
    <cellStyle name="Komats 14" xfId="145" xr:uid="{00000000-0005-0000-0000-00003D000000}"/>
    <cellStyle name="Komats 15" xfId="201" xr:uid="{B05EB464-085D-4EEA-BAF8-CC5AD2B4A2D0}"/>
    <cellStyle name="Komats 16" xfId="280" xr:uid="{AD548885-FD29-4088-8317-79BA9DC61C67}"/>
    <cellStyle name="Komats 17" xfId="330"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 4" xfId="359" xr:uid="{1CC505D2-4B39-42F0-8BDD-B9C38D0D5869}"/>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20 6" xfId="347"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2" xr:uid="{C34E2C00-0D92-448C-B0EB-5A110AA20781}"/>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16" xfId="338" xr:uid="{A9AEFFD9-19C6-492D-80CC-92B62533031B}"/>
    <cellStyle name="Normal 17" xfId="339" xr:uid="{C80E5B2A-9567-4222-B247-41EA50EAE90D}"/>
    <cellStyle name="Normal 18" xfId="345" xr:uid="{DCCF1C3E-180C-4FA4-8014-054AAEF7C2C6}"/>
    <cellStyle name="Normal 19" xfId="354"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3" xr:uid="{4E6C777C-44D1-4CA1-A5AB-B297299DD3F0}"/>
    <cellStyle name="Normal 2 2 3 2" xfId="351" xr:uid="{CDB092AD-4678-4DA7-B692-8F5469150626}"/>
    <cellStyle name="Normal 2 3" xfId="64" xr:uid="{00000000-0005-0000-0000-00005D000000}"/>
    <cellStyle name="Normal 2 4" xfId="167" xr:uid="{00000000-0005-0000-0000-00005E000000}"/>
    <cellStyle name="Normal 2 5" xfId="274" xr:uid="{700C907F-C361-4212-BDF9-43011535042A}"/>
    <cellStyle name="Normal 2 6" xfId="353" xr:uid="{317713BA-54D8-4B34-AAEA-DB1774D4541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2 3" xfId="333" xr:uid="{8A3427C7-D1FE-467B-A2F0-E532BFDE58AC}"/>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rmal 9 2 2" xfId="342" xr:uid="{DFD4CD40-CD05-447F-8511-8DCFD9AFDEDA}"/>
    <cellStyle name="Normal 9 2 2 2" xfId="350" xr:uid="{FB45D700-E899-4091-9A37-223BA843F996}"/>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2 2 3" xfId="357" xr:uid="{FF671F06-9209-44F0-B3DE-A023B724BB5E}"/>
    <cellStyle name="Parasts 2 2 3" xfId="32" xr:uid="{00000000-0005-0000-0000-00007E000000}"/>
    <cellStyle name="Parasts 2 2 4" xfId="35" xr:uid="{00000000-0005-0000-0000-00007F000000}"/>
    <cellStyle name="Parasts 2 2 4 2" xfId="344"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0 5" xfId="332" xr:uid="{A06035B0-D00F-4E1C-B621-40568198CEA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4 2 6" xfId="341" xr:uid="{7669E774-1AE4-453B-976A-E864A4E3E4CE}"/>
    <cellStyle name="Parasts 3 5" xfId="163" xr:uid="{00000000-0005-0000-0000-00008D000000}"/>
    <cellStyle name="Parasts 3 6" xfId="331" xr:uid="{A4ED9927-E779-45D0-B085-45C116419499}"/>
    <cellStyle name="Parasts 30" xfId="329"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tyle 1" xfId="169" xr:uid="{00000000-0005-0000-0000-0000AA000000}"/>
    <cellStyle name="TableStyleLight1" xfId="285" xr:uid="{564DE8A6-361E-4F9C-9BA7-769CB6522B45}"/>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 name="Обычный_saulkrasti_tame" xfId="337" xr:uid="{25277645-674A-41C3-BDF5-EFCAFE6AE402}"/>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8"/>
      <tableStyleElement type="headerRow" dxfId="7"/>
      <tableStyleElement type="totalRow" dxfId="6"/>
      <tableStyleElement type="lastColumn" dxfId="5"/>
      <tableStyleElement type="lastTotalCell" dxfId="4"/>
    </tableStyle>
  </tableStyles>
  <colors>
    <mruColors>
      <color rgb="FFFFC1C1"/>
      <color rgb="FFFF8B8B"/>
      <color rgb="FF00FFFF"/>
      <color rgb="FF6CA644"/>
      <color rgb="FF0FA8C1"/>
      <color rgb="FFFFCC66"/>
      <color rgb="FFFFFFCC"/>
      <color rgb="FF99FFCC"/>
      <color rgb="FFFFFF99"/>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R313"/>
  <sheetViews>
    <sheetView tabSelected="1" zoomScale="106" zoomScaleNormal="106" zoomScaleSheetLayoutView="80" workbookViewId="0">
      <pane xSplit="4" ySplit="5" topLeftCell="E180" activePane="bottomRight" state="frozen"/>
      <selection activeCell="C1" sqref="C1"/>
      <selection pane="topRight" activeCell="E1" sqref="E1"/>
      <selection pane="bottomLeft" activeCell="C6" sqref="C6"/>
      <selection pane="bottomRight" activeCell="N184" sqref="N184"/>
    </sheetView>
  </sheetViews>
  <sheetFormatPr defaultRowHeight="15" outlineLevelRow="1" outlineLevelCol="2" x14ac:dyDescent="0.25"/>
  <cols>
    <col min="1" max="1" width="7.85546875" style="2" hidden="1" customWidth="1" outlineLevel="2"/>
    <col min="2" max="2" width="11.42578125" style="2" hidden="1" customWidth="1" outlineLevel="2"/>
    <col min="3" max="3" width="15" style="4" customWidth="1" collapsed="1"/>
    <col min="4" max="4" width="44" style="3" customWidth="1"/>
    <col min="5" max="5" width="14.85546875" style="89" customWidth="1"/>
    <col min="6" max="6" width="14.85546875" style="89" customWidth="1" collapsed="1"/>
    <col min="7" max="7" width="14.85546875" style="2" hidden="1" customWidth="1" outlineLevel="1"/>
    <col min="8" max="8" width="50.85546875" style="1" hidden="1" customWidth="1" outlineLevel="1" collapsed="1"/>
    <col min="9" max="9" width="14.85546875" style="89" customWidth="1" collapsed="1"/>
    <col min="10" max="10" width="14.85546875" style="2" hidden="1" customWidth="1" outlineLevel="1"/>
    <col min="11" max="11" width="106.5703125" style="1" hidden="1" customWidth="1" outlineLevel="1" collapsed="1"/>
    <col min="12" max="12" width="14.85546875" style="89" customWidth="1" collapsed="1"/>
    <col min="13" max="13" width="14.85546875" style="2" customWidth="1"/>
    <col min="14" max="14" width="63.42578125" style="1" customWidth="1" collapsed="1"/>
    <col min="15" max="15" width="14.85546875" style="16" hidden="1" customWidth="1" outlineLevel="1" collapsed="1"/>
    <col min="16" max="16" width="14.85546875" style="301" hidden="1" customWidth="1" outlineLevel="1" collapsed="1"/>
    <col min="17" max="17" width="6.42578125" style="16" hidden="1" customWidth="1" outlineLevel="1" collapsed="1"/>
    <col min="18" max="18" width="9" style="2" collapsed="1"/>
    <col min="19" max="159" width="9" style="2"/>
    <col min="160" max="161" width="0" style="2" hidden="1" customWidth="1"/>
    <col min="162" max="162" width="13.7109375" style="2" customWidth="1"/>
    <col min="163" max="163" width="52.85546875" style="2" customWidth="1"/>
    <col min="164" max="203" width="0" style="2" hidden="1" customWidth="1"/>
    <col min="204" max="205" width="14.85546875" style="2" customWidth="1"/>
    <col min="206" max="207" width="0" style="2" hidden="1" customWidth="1"/>
    <col min="208" max="208" width="14.85546875" style="2" customWidth="1"/>
    <col min="209" max="210" width="0" style="2" hidden="1" customWidth="1"/>
    <col min="211" max="211" width="14.85546875" style="2" customWidth="1"/>
    <col min="212" max="213" width="0" style="2" hidden="1" customWidth="1"/>
    <col min="214" max="214" width="14.85546875" style="2" customWidth="1"/>
    <col min="215" max="216" width="0" style="2" hidden="1" customWidth="1"/>
    <col min="217" max="217" width="14.85546875" style="2" customWidth="1"/>
    <col min="218" max="219" width="0" style="2" hidden="1" customWidth="1"/>
    <col min="220" max="221" width="14.85546875" style="2" customWidth="1"/>
    <col min="222" max="222" width="44.42578125" style="2" customWidth="1"/>
    <col min="223" max="227" width="14.85546875" style="2" customWidth="1"/>
    <col min="228" max="228" width="63.85546875" style="2" customWidth="1"/>
    <col min="229" max="229" width="13.28515625" style="2" customWidth="1"/>
    <col min="230" max="415" width="9" style="2"/>
    <col min="416" max="417" width="0" style="2" hidden="1" customWidth="1"/>
    <col min="418" max="418" width="13.7109375" style="2" customWidth="1"/>
    <col min="419" max="419" width="52.85546875" style="2" customWidth="1"/>
    <col min="420" max="459" width="0" style="2" hidden="1" customWidth="1"/>
    <col min="460" max="461" width="14.85546875" style="2" customWidth="1"/>
    <col min="462" max="463" width="0" style="2" hidden="1" customWidth="1"/>
    <col min="464" max="464" width="14.85546875" style="2" customWidth="1"/>
    <col min="465" max="466" width="0" style="2" hidden="1" customWidth="1"/>
    <col min="467" max="467" width="14.85546875" style="2" customWidth="1"/>
    <col min="468" max="469" width="0" style="2" hidden="1" customWidth="1"/>
    <col min="470" max="470" width="14.85546875" style="2" customWidth="1"/>
    <col min="471" max="472" width="0" style="2" hidden="1" customWidth="1"/>
    <col min="473" max="473" width="14.85546875" style="2" customWidth="1"/>
    <col min="474" max="475" width="0" style="2" hidden="1" customWidth="1"/>
    <col min="476" max="477" width="14.85546875" style="2" customWidth="1"/>
    <col min="478" max="478" width="44.42578125" style="2" customWidth="1"/>
    <col min="479" max="483" width="14.85546875" style="2" customWidth="1"/>
    <col min="484" max="484" width="63.85546875" style="2" customWidth="1"/>
    <col min="485" max="485" width="13.28515625" style="2" customWidth="1"/>
    <col min="486" max="671" width="9" style="2"/>
    <col min="672" max="673" width="0" style="2" hidden="1" customWidth="1"/>
    <col min="674" max="674" width="13.7109375" style="2" customWidth="1"/>
    <col min="675" max="675" width="52.85546875" style="2" customWidth="1"/>
    <col min="676" max="715" width="0" style="2" hidden="1" customWidth="1"/>
    <col min="716" max="717" width="14.85546875" style="2" customWidth="1"/>
    <col min="718" max="719" width="0" style="2" hidden="1" customWidth="1"/>
    <col min="720" max="720" width="14.85546875" style="2" customWidth="1"/>
    <col min="721" max="722" width="0" style="2" hidden="1" customWidth="1"/>
    <col min="723" max="723" width="14.85546875" style="2" customWidth="1"/>
    <col min="724" max="725" width="0" style="2" hidden="1" customWidth="1"/>
    <col min="726" max="726" width="14.85546875" style="2" customWidth="1"/>
    <col min="727" max="728" width="0" style="2" hidden="1" customWidth="1"/>
    <col min="729" max="729" width="14.85546875" style="2" customWidth="1"/>
    <col min="730" max="731" width="0" style="2" hidden="1" customWidth="1"/>
    <col min="732" max="733" width="14.85546875" style="2" customWidth="1"/>
    <col min="734" max="734" width="44.42578125" style="2" customWidth="1"/>
    <col min="735" max="739" width="14.85546875" style="2" customWidth="1"/>
    <col min="740" max="740" width="63.85546875" style="2" customWidth="1"/>
    <col min="741" max="741" width="13.28515625" style="2" customWidth="1"/>
    <col min="742" max="927" width="9" style="2"/>
    <col min="928" max="929" width="0" style="2" hidden="1" customWidth="1"/>
    <col min="930" max="930" width="13.7109375" style="2" customWidth="1"/>
    <col min="931" max="931" width="52.85546875" style="2" customWidth="1"/>
    <col min="932" max="971" width="0" style="2" hidden="1" customWidth="1"/>
    <col min="972" max="973" width="14.85546875" style="2" customWidth="1"/>
    <col min="974" max="975" width="0" style="2" hidden="1" customWidth="1"/>
    <col min="976" max="976" width="14.85546875" style="2" customWidth="1"/>
    <col min="977" max="978" width="0" style="2" hidden="1" customWidth="1"/>
    <col min="979" max="979" width="14.85546875" style="2" customWidth="1"/>
    <col min="980" max="981" width="0" style="2" hidden="1" customWidth="1"/>
    <col min="982" max="982" width="14.85546875" style="2" customWidth="1"/>
    <col min="983" max="984" width="0" style="2" hidden="1" customWidth="1"/>
    <col min="985" max="985" width="14.85546875" style="2" customWidth="1"/>
    <col min="986" max="987" width="0" style="2" hidden="1" customWidth="1"/>
    <col min="988" max="989" width="14.85546875" style="2" customWidth="1"/>
    <col min="990" max="990" width="44.42578125" style="2" customWidth="1"/>
    <col min="991" max="995" width="14.85546875" style="2" customWidth="1"/>
    <col min="996" max="996" width="63.85546875" style="2" customWidth="1"/>
    <col min="997" max="997" width="13.28515625" style="2" customWidth="1"/>
    <col min="998" max="1183" width="9" style="2"/>
    <col min="1184" max="1185" width="0" style="2" hidden="1" customWidth="1"/>
    <col min="1186" max="1186" width="13.7109375" style="2" customWidth="1"/>
    <col min="1187" max="1187" width="52.85546875" style="2" customWidth="1"/>
    <col min="1188" max="1227" width="0" style="2" hidden="1" customWidth="1"/>
    <col min="1228" max="1229" width="14.85546875" style="2" customWidth="1"/>
    <col min="1230" max="1231" width="0" style="2" hidden="1" customWidth="1"/>
    <col min="1232" max="1232" width="14.85546875" style="2" customWidth="1"/>
    <col min="1233" max="1234" width="0" style="2" hidden="1" customWidth="1"/>
    <col min="1235" max="1235" width="14.85546875" style="2" customWidth="1"/>
    <col min="1236" max="1237" width="0" style="2" hidden="1" customWidth="1"/>
    <col min="1238" max="1238" width="14.85546875" style="2" customWidth="1"/>
    <col min="1239" max="1240" width="0" style="2" hidden="1" customWidth="1"/>
    <col min="1241" max="1241" width="14.85546875" style="2" customWidth="1"/>
    <col min="1242" max="1243" width="0" style="2" hidden="1" customWidth="1"/>
    <col min="1244" max="1245" width="14.85546875" style="2" customWidth="1"/>
    <col min="1246" max="1246" width="44.42578125" style="2" customWidth="1"/>
    <col min="1247" max="1251" width="14.85546875" style="2" customWidth="1"/>
    <col min="1252" max="1252" width="63.85546875" style="2" customWidth="1"/>
    <col min="1253" max="1253" width="13.28515625" style="2" customWidth="1"/>
    <col min="1254" max="1439" width="9" style="2"/>
    <col min="1440" max="1441" width="0" style="2" hidden="1" customWidth="1"/>
    <col min="1442" max="1442" width="13.7109375" style="2" customWidth="1"/>
    <col min="1443" max="1443" width="52.85546875" style="2" customWidth="1"/>
    <col min="1444" max="1483" width="0" style="2" hidden="1" customWidth="1"/>
    <col min="1484" max="1485" width="14.85546875" style="2" customWidth="1"/>
    <col min="1486" max="1487" width="0" style="2" hidden="1" customWidth="1"/>
    <col min="1488" max="1488" width="14.85546875" style="2" customWidth="1"/>
    <col min="1489" max="1490" width="0" style="2" hidden="1" customWidth="1"/>
    <col min="1491" max="1491" width="14.85546875" style="2" customWidth="1"/>
    <col min="1492" max="1493" width="0" style="2" hidden="1" customWidth="1"/>
    <col min="1494" max="1494" width="14.85546875" style="2" customWidth="1"/>
    <col min="1495" max="1496" width="0" style="2" hidden="1" customWidth="1"/>
    <col min="1497" max="1497" width="14.85546875" style="2" customWidth="1"/>
    <col min="1498" max="1499" width="0" style="2" hidden="1" customWidth="1"/>
    <col min="1500" max="1501" width="14.85546875" style="2" customWidth="1"/>
    <col min="1502" max="1502" width="44.42578125" style="2" customWidth="1"/>
    <col min="1503" max="1507" width="14.85546875" style="2" customWidth="1"/>
    <col min="1508" max="1508" width="63.85546875" style="2" customWidth="1"/>
    <col min="1509" max="1509" width="13.28515625" style="2" customWidth="1"/>
    <col min="1510" max="1695" width="9" style="2"/>
    <col min="1696" max="1697" width="0" style="2" hidden="1" customWidth="1"/>
    <col min="1698" max="1698" width="13.7109375" style="2" customWidth="1"/>
    <col min="1699" max="1699" width="52.85546875" style="2" customWidth="1"/>
    <col min="1700" max="1739" width="0" style="2" hidden="1" customWidth="1"/>
    <col min="1740" max="1741" width="14.85546875" style="2" customWidth="1"/>
    <col min="1742" max="1743" width="0" style="2" hidden="1" customWidth="1"/>
    <col min="1744" max="1744" width="14.85546875" style="2" customWidth="1"/>
    <col min="1745" max="1746" width="0" style="2" hidden="1" customWidth="1"/>
    <col min="1747" max="1747" width="14.85546875" style="2" customWidth="1"/>
    <col min="1748" max="1749" width="0" style="2" hidden="1" customWidth="1"/>
    <col min="1750" max="1750" width="14.85546875" style="2" customWidth="1"/>
    <col min="1751" max="1752" width="0" style="2" hidden="1" customWidth="1"/>
    <col min="1753" max="1753" width="14.85546875" style="2" customWidth="1"/>
    <col min="1754" max="1755" width="0" style="2" hidden="1" customWidth="1"/>
    <col min="1756" max="1757" width="14.85546875" style="2" customWidth="1"/>
    <col min="1758" max="1758" width="44.42578125" style="2" customWidth="1"/>
    <col min="1759" max="1763" width="14.85546875" style="2" customWidth="1"/>
    <col min="1764" max="1764" width="63.85546875" style="2" customWidth="1"/>
    <col min="1765" max="1765" width="13.28515625" style="2" customWidth="1"/>
    <col min="1766" max="1951" width="9" style="2"/>
    <col min="1952" max="1953" width="0" style="2" hidden="1" customWidth="1"/>
    <col min="1954" max="1954" width="13.7109375" style="2" customWidth="1"/>
    <col min="1955" max="1955" width="52.85546875" style="2" customWidth="1"/>
    <col min="1956" max="1995" width="0" style="2" hidden="1" customWidth="1"/>
    <col min="1996" max="1997" width="14.85546875" style="2" customWidth="1"/>
    <col min="1998" max="1999" width="0" style="2" hidden="1" customWidth="1"/>
    <col min="2000" max="2000" width="14.85546875" style="2" customWidth="1"/>
    <col min="2001" max="2002" width="0" style="2" hidden="1" customWidth="1"/>
    <col min="2003" max="2003" width="14.85546875" style="2" customWidth="1"/>
    <col min="2004" max="2005" width="0" style="2" hidden="1" customWidth="1"/>
    <col min="2006" max="2006" width="14.85546875" style="2" customWidth="1"/>
    <col min="2007" max="2008" width="0" style="2" hidden="1" customWidth="1"/>
    <col min="2009" max="2009" width="14.85546875" style="2" customWidth="1"/>
    <col min="2010" max="2011" width="0" style="2" hidden="1" customWidth="1"/>
    <col min="2012" max="2013" width="14.85546875" style="2" customWidth="1"/>
    <col min="2014" max="2014" width="44.42578125" style="2" customWidth="1"/>
    <col min="2015" max="2019" width="14.85546875" style="2" customWidth="1"/>
    <col min="2020" max="2020" width="63.85546875" style="2" customWidth="1"/>
    <col min="2021" max="2021" width="13.28515625" style="2" customWidth="1"/>
    <col min="2022" max="2207" width="9" style="2"/>
    <col min="2208" max="2209" width="0" style="2" hidden="1" customWidth="1"/>
    <col min="2210" max="2210" width="13.7109375" style="2" customWidth="1"/>
    <col min="2211" max="2211" width="52.85546875" style="2" customWidth="1"/>
    <col min="2212" max="2251" width="0" style="2" hidden="1" customWidth="1"/>
    <col min="2252" max="2253" width="14.85546875" style="2" customWidth="1"/>
    <col min="2254" max="2255" width="0" style="2" hidden="1" customWidth="1"/>
    <col min="2256" max="2256" width="14.85546875" style="2" customWidth="1"/>
    <col min="2257" max="2258" width="0" style="2" hidden="1" customWidth="1"/>
    <col min="2259" max="2259" width="14.85546875" style="2" customWidth="1"/>
    <col min="2260" max="2261" width="0" style="2" hidden="1" customWidth="1"/>
    <col min="2262" max="2262" width="14.85546875" style="2" customWidth="1"/>
    <col min="2263" max="2264" width="0" style="2" hidden="1" customWidth="1"/>
    <col min="2265" max="2265" width="14.85546875" style="2" customWidth="1"/>
    <col min="2266" max="2267" width="0" style="2" hidden="1" customWidth="1"/>
    <col min="2268" max="2269" width="14.85546875" style="2" customWidth="1"/>
    <col min="2270" max="2270" width="44.42578125" style="2" customWidth="1"/>
    <col min="2271" max="2275" width="14.85546875" style="2" customWidth="1"/>
    <col min="2276" max="2276" width="63.85546875" style="2" customWidth="1"/>
    <col min="2277" max="2277" width="13.28515625" style="2" customWidth="1"/>
    <col min="2278" max="2463" width="9" style="2"/>
    <col min="2464" max="2465" width="0" style="2" hidden="1" customWidth="1"/>
    <col min="2466" max="2466" width="13.7109375" style="2" customWidth="1"/>
    <col min="2467" max="2467" width="52.85546875" style="2" customWidth="1"/>
    <col min="2468" max="2507" width="0" style="2" hidden="1" customWidth="1"/>
    <col min="2508" max="2509" width="14.85546875" style="2" customWidth="1"/>
    <col min="2510" max="2511" width="0" style="2" hidden="1" customWidth="1"/>
    <col min="2512" max="2512" width="14.85546875" style="2" customWidth="1"/>
    <col min="2513" max="2514" width="0" style="2" hidden="1" customWidth="1"/>
    <col min="2515" max="2515" width="14.85546875" style="2" customWidth="1"/>
    <col min="2516" max="2517" width="0" style="2" hidden="1" customWidth="1"/>
    <col min="2518" max="2518" width="14.85546875" style="2" customWidth="1"/>
    <col min="2519" max="2520" width="0" style="2" hidden="1" customWidth="1"/>
    <col min="2521" max="2521" width="14.85546875" style="2" customWidth="1"/>
    <col min="2522" max="2523" width="0" style="2" hidden="1" customWidth="1"/>
    <col min="2524" max="2525" width="14.85546875" style="2" customWidth="1"/>
    <col min="2526" max="2526" width="44.42578125" style="2" customWidth="1"/>
    <col min="2527" max="2531" width="14.85546875" style="2" customWidth="1"/>
    <col min="2532" max="2532" width="63.85546875" style="2" customWidth="1"/>
    <col min="2533" max="2533" width="13.28515625" style="2" customWidth="1"/>
    <col min="2534" max="2719" width="9" style="2"/>
    <col min="2720" max="2721" width="0" style="2" hidden="1" customWidth="1"/>
    <col min="2722" max="2722" width="13.7109375" style="2" customWidth="1"/>
    <col min="2723" max="2723" width="52.85546875" style="2" customWidth="1"/>
    <col min="2724" max="2763" width="0" style="2" hidden="1" customWidth="1"/>
    <col min="2764" max="2765" width="14.85546875" style="2" customWidth="1"/>
    <col min="2766" max="2767" width="0" style="2" hidden="1" customWidth="1"/>
    <col min="2768" max="2768" width="14.85546875" style="2" customWidth="1"/>
    <col min="2769" max="2770" width="0" style="2" hidden="1" customWidth="1"/>
    <col min="2771" max="2771" width="14.85546875" style="2" customWidth="1"/>
    <col min="2772" max="2773" width="0" style="2" hidden="1" customWidth="1"/>
    <col min="2774" max="2774" width="14.85546875" style="2" customWidth="1"/>
    <col min="2775" max="2776" width="0" style="2" hidden="1" customWidth="1"/>
    <col min="2777" max="2777" width="14.85546875" style="2" customWidth="1"/>
    <col min="2778" max="2779" width="0" style="2" hidden="1" customWidth="1"/>
    <col min="2780" max="2781" width="14.85546875" style="2" customWidth="1"/>
    <col min="2782" max="2782" width="44.42578125" style="2" customWidth="1"/>
    <col min="2783" max="2787" width="14.85546875" style="2" customWidth="1"/>
    <col min="2788" max="2788" width="63.85546875" style="2" customWidth="1"/>
    <col min="2789" max="2789" width="13.28515625" style="2" customWidth="1"/>
    <col min="2790" max="2975" width="9" style="2"/>
    <col min="2976" max="2977" width="0" style="2" hidden="1" customWidth="1"/>
    <col min="2978" max="2978" width="13.7109375" style="2" customWidth="1"/>
    <col min="2979" max="2979" width="52.85546875" style="2" customWidth="1"/>
    <col min="2980" max="3019" width="0" style="2" hidden="1" customWidth="1"/>
    <col min="3020" max="3021" width="14.85546875" style="2" customWidth="1"/>
    <col min="3022" max="3023" width="0" style="2" hidden="1" customWidth="1"/>
    <col min="3024" max="3024" width="14.85546875" style="2" customWidth="1"/>
    <col min="3025" max="3026" width="0" style="2" hidden="1" customWidth="1"/>
    <col min="3027" max="3027" width="14.85546875" style="2" customWidth="1"/>
    <col min="3028" max="3029" width="0" style="2" hidden="1" customWidth="1"/>
    <col min="3030" max="3030" width="14.85546875" style="2" customWidth="1"/>
    <col min="3031" max="3032" width="0" style="2" hidden="1" customWidth="1"/>
    <col min="3033" max="3033" width="14.85546875" style="2" customWidth="1"/>
    <col min="3034" max="3035" width="0" style="2" hidden="1" customWidth="1"/>
    <col min="3036" max="3037" width="14.85546875" style="2" customWidth="1"/>
    <col min="3038" max="3038" width="44.42578125" style="2" customWidth="1"/>
    <col min="3039" max="3043" width="14.85546875" style="2" customWidth="1"/>
    <col min="3044" max="3044" width="63.85546875" style="2" customWidth="1"/>
    <col min="3045" max="3045" width="13.28515625" style="2" customWidth="1"/>
    <col min="3046" max="3231" width="9" style="2"/>
    <col min="3232" max="3233" width="0" style="2" hidden="1" customWidth="1"/>
    <col min="3234" max="3234" width="13.7109375" style="2" customWidth="1"/>
    <col min="3235" max="3235" width="52.85546875" style="2" customWidth="1"/>
    <col min="3236" max="3275" width="0" style="2" hidden="1" customWidth="1"/>
    <col min="3276" max="3277" width="14.85546875" style="2" customWidth="1"/>
    <col min="3278" max="3279" width="0" style="2" hidden="1" customWidth="1"/>
    <col min="3280" max="3280" width="14.85546875" style="2" customWidth="1"/>
    <col min="3281" max="3282" width="0" style="2" hidden="1" customWidth="1"/>
    <col min="3283" max="3283" width="14.85546875" style="2" customWidth="1"/>
    <col min="3284" max="3285" width="0" style="2" hidden="1" customWidth="1"/>
    <col min="3286" max="3286" width="14.85546875" style="2" customWidth="1"/>
    <col min="3287" max="3288" width="0" style="2" hidden="1" customWidth="1"/>
    <col min="3289" max="3289" width="14.85546875" style="2" customWidth="1"/>
    <col min="3290" max="3291" width="0" style="2" hidden="1" customWidth="1"/>
    <col min="3292" max="3293" width="14.85546875" style="2" customWidth="1"/>
    <col min="3294" max="3294" width="44.42578125" style="2" customWidth="1"/>
    <col min="3295" max="3299" width="14.85546875" style="2" customWidth="1"/>
    <col min="3300" max="3300" width="63.85546875" style="2" customWidth="1"/>
    <col min="3301" max="3301" width="13.28515625" style="2" customWidth="1"/>
    <col min="3302" max="3487" width="9" style="2"/>
    <col min="3488" max="3489" width="0" style="2" hidden="1" customWidth="1"/>
    <col min="3490" max="3490" width="13.7109375" style="2" customWidth="1"/>
    <col min="3491" max="3491" width="52.85546875" style="2" customWidth="1"/>
    <col min="3492" max="3531" width="0" style="2" hidden="1" customWidth="1"/>
    <col min="3532" max="3533" width="14.85546875" style="2" customWidth="1"/>
    <col min="3534" max="3535" width="0" style="2" hidden="1" customWidth="1"/>
    <col min="3536" max="3536" width="14.85546875" style="2" customWidth="1"/>
    <col min="3537" max="3538" width="0" style="2" hidden="1" customWidth="1"/>
    <col min="3539" max="3539" width="14.85546875" style="2" customWidth="1"/>
    <col min="3540" max="3541" width="0" style="2" hidden="1" customWidth="1"/>
    <col min="3542" max="3542" width="14.85546875" style="2" customWidth="1"/>
    <col min="3543" max="3544" width="0" style="2" hidden="1" customWidth="1"/>
    <col min="3545" max="3545" width="14.85546875" style="2" customWidth="1"/>
    <col min="3546" max="3547" width="0" style="2" hidden="1" customWidth="1"/>
    <col min="3548" max="3549" width="14.85546875" style="2" customWidth="1"/>
    <col min="3550" max="3550" width="44.42578125" style="2" customWidth="1"/>
    <col min="3551" max="3555" width="14.85546875" style="2" customWidth="1"/>
    <col min="3556" max="3556" width="63.85546875" style="2" customWidth="1"/>
    <col min="3557" max="3557" width="13.28515625" style="2" customWidth="1"/>
    <col min="3558" max="3743" width="9" style="2"/>
    <col min="3744" max="3745" width="0" style="2" hidden="1" customWidth="1"/>
    <col min="3746" max="3746" width="13.7109375" style="2" customWidth="1"/>
    <col min="3747" max="3747" width="52.85546875" style="2" customWidth="1"/>
    <col min="3748" max="3787" width="0" style="2" hidden="1" customWidth="1"/>
    <col min="3788" max="3789" width="14.85546875" style="2" customWidth="1"/>
    <col min="3790" max="3791" width="0" style="2" hidden="1" customWidth="1"/>
    <col min="3792" max="3792" width="14.85546875" style="2" customWidth="1"/>
    <col min="3793" max="3794" width="0" style="2" hidden="1" customWidth="1"/>
    <col min="3795" max="3795" width="14.85546875" style="2" customWidth="1"/>
    <col min="3796" max="3797" width="0" style="2" hidden="1" customWidth="1"/>
    <col min="3798" max="3798" width="14.85546875" style="2" customWidth="1"/>
    <col min="3799" max="3800" width="0" style="2" hidden="1" customWidth="1"/>
    <col min="3801" max="3801" width="14.85546875" style="2" customWidth="1"/>
    <col min="3802" max="3803" width="0" style="2" hidden="1" customWidth="1"/>
    <col min="3804" max="3805" width="14.85546875" style="2" customWidth="1"/>
    <col min="3806" max="3806" width="44.42578125" style="2" customWidth="1"/>
    <col min="3807" max="3811" width="14.85546875" style="2" customWidth="1"/>
    <col min="3812" max="3812" width="63.85546875" style="2" customWidth="1"/>
    <col min="3813" max="3813" width="13.28515625" style="2" customWidth="1"/>
    <col min="3814" max="3999" width="9" style="2"/>
    <col min="4000" max="4001" width="0" style="2" hidden="1" customWidth="1"/>
    <col min="4002" max="4002" width="13.7109375" style="2" customWidth="1"/>
    <col min="4003" max="4003" width="52.85546875" style="2" customWidth="1"/>
    <col min="4004" max="4043" width="0" style="2" hidden="1" customWidth="1"/>
    <col min="4044" max="4045" width="14.85546875" style="2" customWidth="1"/>
    <col min="4046" max="4047" width="0" style="2" hidden="1" customWidth="1"/>
    <col min="4048" max="4048" width="14.85546875" style="2" customWidth="1"/>
    <col min="4049" max="4050" width="0" style="2" hidden="1" customWidth="1"/>
    <col min="4051" max="4051" width="14.85546875" style="2" customWidth="1"/>
    <col min="4052" max="4053" width="0" style="2" hidden="1" customWidth="1"/>
    <col min="4054" max="4054" width="14.85546875" style="2" customWidth="1"/>
    <col min="4055" max="4056" width="0" style="2" hidden="1" customWidth="1"/>
    <col min="4057" max="4057" width="14.85546875" style="2" customWidth="1"/>
    <col min="4058" max="4059" width="0" style="2" hidden="1" customWidth="1"/>
    <col min="4060" max="4061" width="14.85546875" style="2" customWidth="1"/>
    <col min="4062" max="4062" width="44.42578125" style="2" customWidth="1"/>
    <col min="4063" max="4067" width="14.85546875" style="2" customWidth="1"/>
    <col min="4068" max="4068" width="63.85546875" style="2" customWidth="1"/>
    <col min="4069" max="4069" width="13.28515625" style="2" customWidth="1"/>
    <col min="4070" max="4255" width="9" style="2"/>
    <col min="4256" max="4257" width="0" style="2" hidden="1" customWidth="1"/>
    <col min="4258" max="4258" width="13.7109375" style="2" customWidth="1"/>
    <col min="4259" max="4259" width="52.85546875" style="2" customWidth="1"/>
    <col min="4260" max="4299" width="0" style="2" hidden="1" customWidth="1"/>
    <col min="4300" max="4301" width="14.85546875" style="2" customWidth="1"/>
    <col min="4302" max="4303" width="0" style="2" hidden="1" customWidth="1"/>
    <col min="4304" max="4304" width="14.85546875" style="2" customWidth="1"/>
    <col min="4305" max="4306" width="0" style="2" hidden="1" customWidth="1"/>
    <col min="4307" max="4307" width="14.85546875" style="2" customWidth="1"/>
    <col min="4308" max="4309" width="0" style="2" hidden="1" customWidth="1"/>
    <col min="4310" max="4310" width="14.85546875" style="2" customWidth="1"/>
    <col min="4311" max="4312" width="0" style="2" hidden="1" customWidth="1"/>
    <col min="4313" max="4313" width="14.85546875" style="2" customWidth="1"/>
    <col min="4314" max="4315" width="0" style="2" hidden="1" customWidth="1"/>
    <col min="4316" max="4317" width="14.85546875" style="2" customWidth="1"/>
    <col min="4318" max="4318" width="44.42578125" style="2" customWidth="1"/>
    <col min="4319" max="4323" width="14.85546875" style="2" customWidth="1"/>
    <col min="4324" max="4324" width="63.85546875" style="2" customWidth="1"/>
    <col min="4325" max="4325" width="13.28515625" style="2" customWidth="1"/>
    <col min="4326" max="4511" width="9" style="2"/>
    <col min="4512" max="4513" width="0" style="2" hidden="1" customWidth="1"/>
    <col min="4514" max="4514" width="13.7109375" style="2" customWidth="1"/>
    <col min="4515" max="4515" width="52.85546875" style="2" customWidth="1"/>
    <col min="4516" max="4555" width="0" style="2" hidden="1" customWidth="1"/>
    <col min="4556" max="4557" width="14.85546875" style="2" customWidth="1"/>
    <col min="4558" max="4559" width="0" style="2" hidden="1" customWidth="1"/>
    <col min="4560" max="4560" width="14.85546875" style="2" customWidth="1"/>
    <col min="4561" max="4562" width="0" style="2" hidden="1" customWidth="1"/>
    <col min="4563" max="4563" width="14.85546875" style="2" customWidth="1"/>
    <col min="4564" max="4565" width="0" style="2" hidden="1" customWidth="1"/>
    <col min="4566" max="4566" width="14.85546875" style="2" customWidth="1"/>
    <col min="4567" max="4568" width="0" style="2" hidden="1" customWidth="1"/>
    <col min="4569" max="4569" width="14.85546875" style="2" customWidth="1"/>
    <col min="4570" max="4571" width="0" style="2" hidden="1" customWidth="1"/>
    <col min="4572" max="4573" width="14.85546875" style="2" customWidth="1"/>
    <col min="4574" max="4574" width="44.42578125" style="2" customWidth="1"/>
    <col min="4575" max="4579" width="14.85546875" style="2" customWidth="1"/>
    <col min="4580" max="4580" width="63.85546875" style="2" customWidth="1"/>
    <col min="4581" max="4581" width="13.28515625" style="2" customWidth="1"/>
    <col min="4582" max="4767" width="9" style="2"/>
    <col min="4768" max="4769" width="0" style="2" hidden="1" customWidth="1"/>
    <col min="4770" max="4770" width="13.7109375" style="2" customWidth="1"/>
    <col min="4771" max="4771" width="52.85546875" style="2" customWidth="1"/>
    <col min="4772" max="4811" width="0" style="2" hidden="1" customWidth="1"/>
    <col min="4812" max="4813" width="14.85546875" style="2" customWidth="1"/>
    <col min="4814" max="4815" width="0" style="2" hidden="1" customWidth="1"/>
    <col min="4816" max="4816" width="14.85546875" style="2" customWidth="1"/>
    <col min="4817" max="4818" width="0" style="2" hidden="1" customWidth="1"/>
    <col min="4819" max="4819" width="14.85546875" style="2" customWidth="1"/>
    <col min="4820" max="4821" width="0" style="2" hidden="1" customWidth="1"/>
    <col min="4822" max="4822" width="14.85546875" style="2" customWidth="1"/>
    <col min="4823" max="4824" width="0" style="2" hidden="1" customWidth="1"/>
    <col min="4825" max="4825" width="14.85546875" style="2" customWidth="1"/>
    <col min="4826" max="4827" width="0" style="2" hidden="1" customWidth="1"/>
    <col min="4828" max="4829" width="14.85546875" style="2" customWidth="1"/>
    <col min="4830" max="4830" width="44.42578125" style="2" customWidth="1"/>
    <col min="4831" max="4835" width="14.85546875" style="2" customWidth="1"/>
    <col min="4836" max="4836" width="63.85546875" style="2" customWidth="1"/>
    <col min="4837" max="4837" width="13.28515625" style="2" customWidth="1"/>
    <col min="4838" max="5023" width="9" style="2"/>
    <col min="5024" max="5025" width="0" style="2" hidden="1" customWidth="1"/>
    <col min="5026" max="5026" width="13.7109375" style="2" customWidth="1"/>
    <col min="5027" max="5027" width="52.85546875" style="2" customWidth="1"/>
    <col min="5028" max="5067" width="0" style="2" hidden="1" customWidth="1"/>
    <col min="5068" max="5069" width="14.85546875" style="2" customWidth="1"/>
    <col min="5070" max="5071" width="0" style="2" hidden="1" customWidth="1"/>
    <col min="5072" max="5072" width="14.85546875" style="2" customWidth="1"/>
    <col min="5073" max="5074" width="0" style="2" hidden="1" customWidth="1"/>
    <col min="5075" max="5075" width="14.85546875" style="2" customWidth="1"/>
    <col min="5076" max="5077" width="0" style="2" hidden="1" customWidth="1"/>
    <col min="5078" max="5078" width="14.85546875" style="2" customWidth="1"/>
    <col min="5079" max="5080" width="0" style="2" hidden="1" customWidth="1"/>
    <col min="5081" max="5081" width="14.85546875" style="2" customWidth="1"/>
    <col min="5082" max="5083" width="0" style="2" hidden="1" customWidth="1"/>
    <col min="5084" max="5085" width="14.85546875" style="2" customWidth="1"/>
    <col min="5086" max="5086" width="44.42578125" style="2" customWidth="1"/>
    <col min="5087" max="5091" width="14.85546875" style="2" customWidth="1"/>
    <col min="5092" max="5092" width="63.85546875" style="2" customWidth="1"/>
    <col min="5093" max="5093" width="13.28515625" style="2" customWidth="1"/>
    <col min="5094" max="5279" width="9" style="2"/>
    <col min="5280" max="5281" width="0" style="2" hidden="1" customWidth="1"/>
    <col min="5282" max="5282" width="13.7109375" style="2" customWidth="1"/>
    <col min="5283" max="5283" width="52.85546875" style="2" customWidth="1"/>
    <col min="5284" max="5323" width="0" style="2" hidden="1" customWidth="1"/>
    <col min="5324" max="5325" width="14.85546875" style="2" customWidth="1"/>
    <col min="5326" max="5327" width="0" style="2" hidden="1" customWidth="1"/>
    <col min="5328" max="5328" width="14.85546875" style="2" customWidth="1"/>
    <col min="5329" max="5330" width="0" style="2" hidden="1" customWidth="1"/>
    <col min="5331" max="5331" width="14.85546875" style="2" customWidth="1"/>
    <col min="5332" max="5333" width="0" style="2" hidden="1" customWidth="1"/>
    <col min="5334" max="5334" width="14.85546875" style="2" customWidth="1"/>
    <col min="5335" max="5336" width="0" style="2" hidden="1" customWidth="1"/>
    <col min="5337" max="5337" width="14.85546875" style="2" customWidth="1"/>
    <col min="5338" max="5339" width="0" style="2" hidden="1" customWidth="1"/>
    <col min="5340" max="5341" width="14.85546875" style="2" customWidth="1"/>
    <col min="5342" max="5342" width="44.42578125" style="2" customWidth="1"/>
    <col min="5343" max="5347" width="14.85546875" style="2" customWidth="1"/>
    <col min="5348" max="5348" width="63.85546875" style="2" customWidth="1"/>
    <col min="5349" max="5349" width="13.28515625" style="2" customWidth="1"/>
    <col min="5350" max="5535" width="9" style="2"/>
    <col min="5536" max="5537" width="0" style="2" hidden="1" customWidth="1"/>
    <col min="5538" max="5538" width="13.7109375" style="2" customWidth="1"/>
    <col min="5539" max="5539" width="52.85546875" style="2" customWidth="1"/>
    <col min="5540" max="5579" width="0" style="2" hidden="1" customWidth="1"/>
    <col min="5580" max="5581" width="14.85546875" style="2" customWidth="1"/>
    <col min="5582" max="5583" width="0" style="2" hidden="1" customWidth="1"/>
    <col min="5584" max="5584" width="14.85546875" style="2" customWidth="1"/>
    <col min="5585" max="5586" width="0" style="2" hidden="1" customWidth="1"/>
    <col min="5587" max="5587" width="14.85546875" style="2" customWidth="1"/>
    <col min="5588" max="5589" width="0" style="2" hidden="1" customWidth="1"/>
    <col min="5590" max="5590" width="14.85546875" style="2" customWidth="1"/>
    <col min="5591" max="5592" width="0" style="2" hidden="1" customWidth="1"/>
    <col min="5593" max="5593" width="14.85546875" style="2" customWidth="1"/>
    <col min="5594" max="5595" width="0" style="2" hidden="1" customWidth="1"/>
    <col min="5596" max="5597" width="14.85546875" style="2" customWidth="1"/>
    <col min="5598" max="5598" width="44.42578125" style="2" customWidth="1"/>
    <col min="5599" max="5603" width="14.85546875" style="2" customWidth="1"/>
    <col min="5604" max="5604" width="63.85546875" style="2" customWidth="1"/>
    <col min="5605" max="5605" width="13.28515625" style="2" customWidth="1"/>
    <col min="5606" max="5791" width="9" style="2"/>
    <col min="5792" max="5793" width="0" style="2" hidden="1" customWidth="1"/>
    <col min="5794" max="5794" width="13.7109375" style="2" customWidth="1"/>
    <col min="5795" max="5795" width="52.85546875" style="2" customWidth="1"/>
    <col min="5796" max="5835" width="0" style="2" hidden="1" customWidth="1"/>
    <col min="5836" max="5837" width="14.85546875" style="2" customWidth="1"/>
    <col min="5838" max="5839" width="0" style="2" hidden="1" customWidth="1"/>
    <col min="5840" max="5840" width="14.85546875" style="2" customWidth="1"/>
    <col min="5841" max="5842" width="0" style="2" hidden="1" customWidth="1"/>
    <col min="5843" max="5843" width="14.85546875" style="2" customWidth="1"/>
    <col min="5844" max="5845" width="0" style="2" hidden="1" customWidth="1"/>
    <col min="5846" max="5846" width="14.85546875" style="2" customWidth="1"/>
    <col min="5847" max="5848" width="0" style="2" hidden="1" customWidth="1"/>
    <col min="5849" max="5849" width="14.85546875" style="2" customWidth="1"/>
    <col min="5850" max="5851" width="0" style="2" hidden="1" customWidth="1"/>
    <col min="5852" max="5853" width="14.85546875" style="2" customWidth="1"/>
    <col min="5854" max="5854" width="44.42578125" style="2" customWidth="1"/>
    <col min="5855" max="5859" width="14.85546875" style="2" customWidth="1"/>
    <col min="5860" max="5860" width="63.85546875" style="2" customWidth="1"/>
    <col min="5861" max="5861" width="13.28515625" style="2" customWidth="1"/>
    <col min="5862" max="6047" width="9" style="2"/>
    <col min="6048" max="6049" width="0" style="2" hidden="1" customWidth="1"/>
    <col min="6050" max="6050" width="13.7109375" style="2" customWidth="1"/>
    <col min="6051" max="6051" width="52.85546875" style="2" customWidth="1"/>
    <col min="6052" max="6091" width="0" style="2" hidden="1" customWidth="1"/>
    <col min="6092" max="6093" width="14.85546875" style="2" customWidth="1"/>
    <col min="6094" max="6095" width="0" style="2" hidden="1" customWidth="1"/>
    <col min="6096" max="6096" width="14.85546875" style="2" customWidth="1"/>
    <col min="6097" max="6098" width="0" style="2" hidden="1" customWidth="1"/>
    <col min="6099" max="6099" width="14.85546875" style="2" customWidth="1"/>
    <col min="6100" max="6101" width="0" style="2" hidden="1" customWidth="1"/>
    <col min="6102" max="6102" width="14.85546875" style="2" customWidth="1"/>
    <col min="6103" max="6104" width="0" style="2" hidden="1" customWidth="1"/>
    <col min="6105" max="6105" width="14.85546875" style="2" customWidth="1"/>
    <col min="6106" max="6107" width="0" style="2" hidden="1" customWidth="1"/>
    <col min="6108" max="6109" width="14.85546875" style="2" customWidth="1"/>
    <col min="6110" max="6110" width="44.42578125" style="2" customWidth="1"/>
    <col min="6111" max="6115" width="14.85546875" style="2" customWidth="1"/>
    <col min="6116" max="6116" width="63.85546875" style="2" customWidth="1"/>
    <col min="6117" max="6117" width="13.28515625" style="2" customWidth="1"/>
    <col min="6118" max="6303" width="9" style="2"/>
    <col min="6304" max="6305" width="0" style="2" hidden="1" customWidth="1"/>
    <col min="6306" max="6306" width="13.7109375" style="2" customWidth="1"/>
    <col min="6307" max="6307" width="52.85546875" style="2" customWidth="1"/>
    <col min="6308" max="6347" width="0" style="2" hidden="1" customWidth="1"/>
    <col min="6348" max="6349" width="14.85546875" style="2" customWidth="1"/>
    <col min="6350" max="6351" width="0" style="2" hidden="1" customWidth="1"/>
    <col min="6352" max="6352" width="14.85546875" style="2" customWidth="1"/>
    <col min="6353" max="6354" width="0" style="2" hidden="1" customWidth="1"/>
    <col min="6355" max="6355" width="14.85546875" style="2" customWidth="1"/>
    <col min="6356" max="6357" width="0" style="2" hidden="1" customWidth="1"/>
    <col min="6358" max="6358" width="14.85546875" style="2" customWidth="1"/>
    <col min="6359" max="6360" width="0" style="2" hidden="1" customWidth="1"/>
    <col min="6361" max="6361" width="14.85546875" style="2" customWidth="1"/>
    <col min="6362" max="6363" width="0" style="2" hidden="1" customWidth="1"/>
    <col min="6364" max="6365" width="14.85546875" style="2" customWidth="1"/>
    <col min="6366" max="6366" width="44.42578125" style="2" customWidth="1"/>
    <col min="6367" max="6371" width="14.85546875" style="2" customWidth="1"/>
    <col min="6372" max="6372" width="63.85546875" style="2" customWidth="1"/>
    <col min="6373" max="6373" width="13.28515625" style="2" customWidth="1"/>
    <col min="6374" max="6559" width="9" style="2"/>
    <col min="6560" max="6561" width="0" style="2" hidden="1" customWidth="1"/>
    <col min="6562" max="6562" width="13.7109375" style="2" customWidth="1"/>
    <col min="6563" max="6563" width="52.85546875" style="2" customWidth="1"/>
    <col min="6564" max="6603" width="0" style="2" hidden="1" customWidth="1"/>
    <col min="6604" max="6605" width="14.85546875" style="2" customWidth="1"/>
    <col min="6606" max="6607" width="0" style="2" hidden="1" customWidth="1"/>
    <col min="6608" max="6608" width="14.85546875" style="2" customWidth="1"/>
    <col min="6609" max="6610" width="0" style="2" hidden="1" customWidth="1"/>
    <col min="6611" max="6611" width="14.85546875" style="2" customWidth="1"/>
    <col min="6612" max="6613" width="0" style="2" hidden="1" customWidth="1"/>
    <col min="6614" max="6614" width="14.85546875" style="2" customWidth="1"/>
    <col min="6615" max="6616" width="0" style="2" hidden="1" customWidth="1"/>
    <col min="6617" max="6617" width="14.85546875" style="2" customWidth="1"/>
    <col min="6618" max="6619" width="0" style="2" hidden="1" customWidth="1"/>
    <col min="6620" max="6621" width="14.85546875" style="2" customWidth="1"/>
    <col min="6622" max="6622" width="44.42578125" style="2" customWidth="1"/>
    <col min="6623" max="6627" width="14.85546875" style="2" customWidth="1"/>
    <col min="6628" max="6628" width="63.85546875" style="2" customWidth="1"/>
    <col min="6629" max="6629" width="13.28515625" style="2" customWidth="1"/>
    <col min="6630" max="6815" width="9" style="2"/>
    <col min="6816" max="6817" width="0" style="2" hidden="1" customWidth="1"/>
    <col min="6818" max="6818" width="13.7109375" style="2" customWidth="1"/>
    <col min="6819" max="6819" width="52.85546875" style="2" customWidth="1"/>
    <col min="6820" max="6859" width="0" style="2" hidden="1" customWidth="1"/>
    <col min="6860" max="6861" width="14.85546875" style="2" customWidth="1"/>
    <col min="6862" max="6863" width="0" style="2" hidden="1" customWidth="1"/>
    <col min="6864" max="6864" width="14.85546875" style="2" customWidth="1"/>
    <col min="6865" max="6866" width="0" style="2" hidden="1" customWidth="1"/>
    <col min="6867" max="6867" width="14.85546875" style="2" customWidth="1"/>
    <col min="6868" max="6869" width="0" style="2" hidden="1" customWidth="1"/>
    <col min="6870" max="6870" width="14.85546875" style="2" customWidth="1"/>
    <col min="6871" max="6872" width="0" style="2" hidden="1" customWidth="1"/>
    <col min="6873" max="6873" width="14.85546875" style="2" customWidth="1"/>
    <col min="6874" max="6875" width="0" style="2" hidden="1" customWidth="1"/>
    <col min="6876" max="6877" width="14.85546875" style="2" customWidth="1"/>
    <col min="6878" max="6878" width="44.42578125" style="2" customWidth="1"/>
    <col min="6879" max="6883" width="14.85546875" style="2" customWidth="1"/>
    <col min="6884" max="6884" width="63.85546875" style="2" customWidth="1"/>
    <col min="6885" max="6885" width="13.28515625" style="2" customWidth="1"/>
    <col min="6886" max="7071" width="9" style="2"/>
    <col min="7072" max="7073" width="0" style="2" hidden="1" customWidth="1"/>
    <col min="7074" max="7074" width="13.7109375" style="2" customWidth="1"/>
    <col min="7075" max="7075" width="52.85546875" style="2" customWidth="1"/>
    <col min="7076" max="7115" width="0" style="2" hidden="1" customWidth="1"/>
    <col min="7116" max="7117" width="14.85546875" style="2" customWidth="1"/>
    <col min="7118" max="7119" width="0" style="2" hidden="1" customWidth="1"/>
    <col min="7120" max="7120" width="14.85546875" style="2" customWidth="1"/>
    <col min="7121" max="7122" width="0" style="2" hidden="1" customWidth="1"/>
    <col min="7123" max="7123" width="14.85546875" style="2" customWidth="1"/>
    <col min="7124" max="7125" width="0" style="2" hidden="1" customWidth="1"/>
    <col min="7126" max="7126" width="14.85546875" style="2" customWidth="1"/>
    <col min="7127" max="7128" width="0" style="2" hidden="1" customWidth="1"/>
    <col min="7129" max="7129" width="14.85546875" style="2" customWidth="1"/>
    <col min="7130" max="7131" width="0" style="2" hidden="1" customWidth="1"/>
    <col min="7132" max="7133" width="14.85546875" style="2" customWidth="1"/>
    <col min="7134" max="7134" width="44.42578125" style="2" customWidth="1"/>
    <col min="7135" max="7139" width="14.85546875" style="2" customWidth="1"/>
    <col min="7140" max="7140" width="63.85546875" style="2" customWidth="1"/>
    <col min="7141" max="7141" width="13.28515625" style="2" customWidth="1"/>
    <col min="7142" max="7327" width="9" style="2"/>
    <col min="7328" max="7329" width="0" style="2" hidden="1" customWidth="1"/>
    <col min="7330" max="7330" width="13.7109375" style="2" customWidth="1"/>
    <col min="7331" max="7331" width="52.85546875" style="2" customWidth="1"/>
    <col min="7332" max="7371" width="0" style="2" hidden="1" customWidth="1"/>
    <col min="7372" max="7373" width="14.85546875" style="2" customWidth="1"/>
    <col min="7374" max="7375" width="0" style="2" hidden="1" customWidth="1"/>
    <col min="7376" max="7376" width="14.85546875" style="2" customWidth="1"/>
    <col min="7377" max="7378" width="0" style="2" hidden="1" customWidth="1"/>
    <col min="7379" max="7379" width="14.85546875" style="2" customWidth="1"/>
    <col min="7380" max="7381" width="0" style="2" hidden="1" customWidth="1"/>
    <col min="7382" max="7382" width="14.85546875" style="2" customWidth="1"/>
    <col min="7383" max="7384" width="0" style="2" hidden="1" customWidth="1"/>
    <col min="7385" max="7385" width="14.85546875" style="2" customWidth="1"/>
    <col min="7386" max="7387" width="0" style="2" hidden="1" customWidth="1"/>
    <col min="7388" max="7389" width="14.85546875" style="2" customWidth="1"/>
    <col min="7390" max="7390" width="44.42578125" style="2" customWidth="1"/>
    <col min="7391" max="7395" width="14.85546875" style="2" customWidth="1"/>
    <col min="7396" max="7396" width="63.85546875" style="2" customWidth="1"/>
    <col min="7397" max="7397" width="13.28515625" style="2" customWidth="1"/>
    <col min="7398" max="7583" width="9" style="2"/>
    <col min="7584" max="7585" width="0" style="2" hidden="1" customWidth="1"/>
    <col min="7586" max="7586" width="13.7109375" style="2" customWidth="1"/>
    <col min="7587" max="7587" width="52.85546875" style="2" customWidth="1"/>
    <col min="7588" max="7627" width="0" style="2" hidden="1" customWidth="1"/>
    <col min="7628" max="7629" width="14.85546875" style="2" customWidth="1"/>
    <col min="7630" max="7631" width="0" style="2" hidden="1" customWidth="1"/>
    <col min="7632" max="7632" width="14.85546875" style="2" customWidth="1"/>
    <col min="7633" max="7634" width="0" style="2" hidden="1" customWidth="1"/>
    <col min="7635" max="7635" width="14.85546875" style="2" customWidth="1"/>
    <col min="7636" max="7637" width="0" style="2" hidden="1" customWidth="1"/>
    <col min="7638" max="7638" width="14.85546875" style="2" customWidth="1"/>
    <col min="7639" max="7640" width="0" style="2" hidden="1" customWidth="1"/>
    <col min="7641" max="7641" width="14.85546875" style="2" customWidth="1"/>
    <col min="7642" max="7643" width="0" style="2" hidden="1" customWidth="1"/>
    <col min="7644" max="7645" width="14.85546875" style="2" customWidth="1"/>
    <col min="7646" max="7646" width="44.42578125" style="2" customWidth="1"/>
    <col min="7647" max="7651" width="14.85546875" style="2" customWidth="1"/>
    <col min="7652" max="7652" width="63.85546875" style="2" customWidth="1"/>
    <col min="7653" max="7653" width="13.28515625" style="2" customWidth="1"/>
    <col min="7654" max="7839" width="9" style="2"/>
    <col min="7840" max="7841" width="0" style="2" hidden="1" customWidth="1"/>
    <col min="7842" max="7842" width="13.7109375" style="2" customWidth="1"/>
    <col min="7843" max="7843" width="52.85546875" style="2" customWidth="1"/>
    <col min="7844" max="7883" width="0" style="2" hidden="1" customWidth="1"/>
    <col min="7884" max="7885" width="14.85546875" style="2" customWidth="1"/>
    <col min="7886" max="7887" width="0" style="2" hidden="1" customWidth="1"/>
    <col min="7888" max="7888" width="14.85546875" style="2" customWidth="1"/>
    <col min="7889" max="7890" width="0" style="2" hidden="1" customWidth="1"/>
    <col min="7891" max="7891" width="14.85546875" style="2" customWidth="1"/>
    <col min="7892" max="7893" width="0" style="2" hidden="1" customWidth="1"/>
    <col min="7894" max="7894" width="14.85546875" style="2" customWidth="1"/>
    <col min="7895" max="7896" width="0" style="2" hidden="1" customWidth="1"/>
    <col min="7897" max="7897" width="14.85546875" style="2" customWidth="1"/>
    <col min="7898" max="7899" width="0" style="2" hidden="1" customWidth="1"/>
    <col min="7900" max="7901" width="14.85546875" style="2" customWidth="1"/>
    <col min="7902" max="7902" width="44.42578125" style="2" customWidth="1"/>
    <col min="7903" max="7907" width="14.85546875" style="2" customWidth="1"/>
    <col min="7908" max="7908" width="63.85546875" style="2" customWidth="1"/>
    <col min="7909" max="7909" width="13.28515625" style="2" customWidth="1"/>
    <col min="7910" max="8095" width="9" style="2"/>
    <col min="8096" max="8097" width="0" style="2" hidden="1" customWidth="1"/>
    <col min="8098" max="8098" width="13.7109375" style="2" customWidth="1"/>
    <col min="8099" max="8099" width="52.85546875" style="2" customWidth="1"/>
    <col min="8100" max="8139" width="0" style="2" hidden="1" customWidth="1"/>
    <col min="8140" max="8141" width="14.85546875" style="2" customWidth="1"/>
    <col min="8142" max="8143" width="0" style="2" hidden="1" customWidth="1"/>
    <col min="8144" max="8144" width="14.85546875" style="2" customWidth="1"/>
    <col min="8145" max="8146" width="0" style="2" hidden="1" customWidth="1"/>
    <col min="8147" max="8147" width="14.85546875" style="2" customWidth="1"/>
    <col min="8148" max="8149" width="0" style="2" hidden="1" customWidth="1"/>
    <col min="8150" max="8150" width="14.85546875" style="2" customWidth="1"/>
    <col min="8151" max="8152" width="0" style="2" hidden="1" customWidth="1"/>
    <col min="8153" max="8153" width="14.85546875" style="2" customWidth="1"/>
    <col min="8154" max="8155" width="0" style="2" hidden="1" customWidth="1"/>
    <col min="8156" max="8157" width="14.85546875" style="2" customWidth="1"/>
    <col min="8158" max="8158" width="44.42578125" style="2" customWidth="1"/>
    <col min="8159" max="8163" width="14.85546875" style="2" customWidth="1"/>
    <col min="8164" max="8164" width="63.85546875" style="2" customWidth="1"/>
    <col min="8165" max="8165" width="13.28515625" style="2" customWidth="1"/>
    <col min="8166" max="8351" width="9" style="2"/>
    <col min="8352" max="8353" width="0" style="2" hidden="1" customWidth="1"/>
    <col min="8354" max="8354" width="13.7109375" style="2" customWidth="1"/>
    <col min="8355" max="8355" width="52.85546875" style="2" customWidth="1"/>
    <col min="8356" max="8395" width="0" style="2" hidden="1" customWidth="1"/>
    <col min="8396" max="8397" width="14.85546875" style="2" customWidth="1"/>
    <col min="8398" max="8399" width="0" style="2" hidden="1" customWidth="1"/>
    <col min="8400" max="8400" width="14.85546875" style="2" customWidth="1"/>
    <col min="8401" max="8402" width="0" style="2" hidden="1" customWidth="1"/>
    <col min="8403" max="8403" width="14.85546875" style="2" customWidth="1"/>
    <col min="8404" max="8405" width="0" style="2" hidden="1" customWidth="1"/>
    <col min="8406" max="8406" width="14.85546875" style="2" customWidth="1"/>
    <col min="8407" max="8408" width="0" style="2" hidden="1" customWidth="1"/>
    <col min="8409" max="8409" width="14.85546875" style="2" customWidth="1"/>
    <col min="8410" max="8411" width="0" style="2" hidden="1" customWidth="1"/>
    <col min="8412" max="8413" width="14.85546875" style="2" customWidth="1"/>
    <col min="8414" max="8414" width="44.42578125" style="2" customWidth="1"/>
    <col min="8415" max="8419" width="14.85546875" style="2" customWidth="1"/>
    <col min="8420" max="8420" width="63.85546875" style="2" customWidth="1"/>
    <col min="8421" max="8421" width="13.28515625" style="2" customWidth="1"/>
    <col min="8422" max="8607" width="9" style="2"/>
    <col min="8608" max="8609" width="0" style="2" hidden="1" customWidth="1"/>
    <col min="8610" max="8610" width="13.7109375" style="2" customWidth="1"/>
    <col min="8611" max="8611" width="52.85546875" style="2" customWidth="1"/>
    <col min="8612" max="8651" width="0" style="2" hidden="1" customWidth="1"/>
    <col min="8652" max="8653" width="14.85546875" style="2" customWidth="1"/>
    <col min="8654" max="8655" width="0" style="2" hidden="1" customWidth="1"/>
    <col min="8656" max="8656" width="14.85546875" style="2" customWidth="1"/>
    <col min="8657" max="8658" width="0" style="2" hidden="1" customWidth="1"/>
    <col min="8659" max="8659" width="14.85546875" style="2" customWidth="1"/>
    <col min="8660" max="8661" width="0" style="2" hidden="1" customWidth="1"/>
    <col min="8662" max="8662" width="14.85546875" style="2" customWidth="1"/>
    <col min="8663" max="8664" width="0" style="2" hidden="1" customWidth="1"/>
    <col min="8665" max="8665" width="14.85546875" style="2" customWidth="1"/>
    <col min="8666" max="8667" width="0" style="2" hidden="1" customWidth="1"/>
    <col min="8668" max="8669" width="14.85546875" style="2" customWidth="1"/>
    <col min="8670" max="8670" width="44.42578125" style="2" customWidth="1"/>
    <col min="8671" max="8675" width="14.85546875" style="2" customWidth="1"/>
    <col min="8676" max="8676" width="63.85546875" style="2" customWidth="1"/>
    <col min="8677" max="8677" width="13.28515625" style="2" customWidth="1"/>
    <col min="8678" max="8863" width="9" style="2"/>
    <col min="8864" max="8865" width="0" style="2" hidden="1" customWidth="1"/>
    <col min="8866" max="8866" width="13.7109375" style="2" customWidth="1"/>
    <col min="8867" max="8867" width="52.85546875" style="2" customWidth="1"/>
    <col min="8868" max="8907" width="0" style="2" hidden="1" customWidth="1"/>
    <col min="8908" max="8909" width="14.85546875" style="2" customWidth="1"/>
    <col min="8910" max="8911" width="0" style="2" hidden="1" customWidth="1"/>
    <col min="8912" max="8912" width="14.85546875" style="2" customWidth="1"/>
    <col min="8913" max="8914" width="0" style="2" hidden="1" customWidth="1"/>
    <col min="8915" max="8915" width="14.85546875" style="2" customWidth="1"/>
    <col min="8916" max="8917" width="0" style="2" hidden="1" customWidth="1"/>
    <col min="8918" max="8918" width="14.85546875" style="2" customWidth="1"/>
    <col min="8919" max="8920" width="0" style="2" hidden="1" customWidth="1"/>
    <col min="8921" max="8921" width="14.85546875" style="2" customWidth="1"/>
    <col min="8922" max="8923" width="0" style="2" hidden="1" customWidth="1"/>
    <col min="8924" max="8925" width="14.85546875" style="2" customWidth="1"/>
    <col min="8926" max="8926" width="44.42578125" style="2" customWidth="1"/>
    <col min="8927" max="8931" width="14.85546875" style="2" customWidth="1"/>
    <col min="8932" max="8932" width="63.85546875" style="2" customWidth="1"/>
    <col min="8933" max="8933" width="13.28515625" style="2" customWidth="1"/>
    <col min="8934" max="9119" width="9" style="2"/>
    <col min="9120" max="9121" width="0" style="2" hidden="1" customWidth="1"/>
    <col min="9122" max="9122" width="13.7109375" style="2" customWidth="1"/>
    <col min="9123" max="9123" width="52.85546875" style="2" customWidth="1"/>
    <col min="9124" max="9163" width="0" style="2" hidden="1" customWidth="1"/>
    <col min="9164" max="9165" width="14.85546875" style="2" customWidth="1"/>
    <col min="9166" max="9167" width="0" style="2" hidden="1" customWidth="1"/>
    <col min="9168" max="9168" width="14.85546875" style="2" customWidth="1"/>
    <col min="9169" max="9170" width="0" style="2" hidden="1" customWidth="1"/>
    <col min="9171" max="9171" width="14.85546875" style="2" customWidth="1"/>
    <col min="9172" max="9173" width="0" style="2" hidden="1" customWidth="1"/>
    <col min="9174" max="9174" width="14.85546875" style="2" customWidth="1"/>
    <col min="9175" max="9176" width="0" style="2" hidden="1" customWidth="1"/>
    <col min="9177" max="9177" width="14.85546875" style="2" customWidth="1"/>
    <col min="9178" max="9179" width="0" style="2" hidden="1" customWidth="1"/>
    <col min="9180" max="9181" width="14.85546875" style="2" customWidth="1"/>
    <col min="9182" max="9182" width="44.42578125" style="2" customWidth="1"/>
    <col min="9183" max="9187" width="14.85546875" style="2" customWidth="1"/>
    <col min="9188" max="9188" width="63.85546875" style="2" customWidth="1"/>
    <col min="9189" max="9189" width="13.28515625" style="2" customWidth="1"/>
    <col min="9190" max="9375" width="9" style="2"/>
    <col min="9376" max="9377" width="0" style="2" hidden="1" customWidth="1"/>
    <col min="9378" max="9378" width="13.7109375" style="2" customWidth="1"/>
    <col min="9379" max="9379" width="52.85546875" style="2" customWidth="1"/>
    <col min="9380" max="9419" width="0" style="2" hidden="1" customWidth="1"/>
    <col min="9420" max="9421" width="14.85546875" style="2" customWidth="1"/>
    <col min="9422" max="9423" width="0" style="2" hidden="1" customWidth="1"/>
    <col min="9424" max="9424" width="14.85546875" style="2" customWidth="1"/>
    <col min="9425" max="9426" width="0" style="2" hidden="1" customWidth="1"/>
    <col min="9427" max="9427" width="14.85546875" style="2" customWidth="1"/>
    <col min="9428" max="9429" width="0" style="2" hidden="1" customWidth="1"/>
    <col min="9430" max="9430" width="14.85546875" style="2" customWidth="1"/>
    <col min="9431" max="9432" width="0" style="2" hidden="1" customWidth="1"/>
    <col min="9433" max="9433" width="14.85546875" style="2" customWidth="1"/>
    <col min="9434" max="9435" width="0" style="2" hidden="1" customWidth="1"/>
    <col min="9436" max="9437" width="14.85546875" style="2" customWidth="1"/>
    <col min="9438" max="9438" width="44.42578125" style="2" customWidth="1"/>
    <col min="9439" max="9443" width="14.85546875" style="2" customWidth="1"/>
    <col min="9444" max="9444" width="63.85546875" style="2" customWidth="1"/>
    <col min="9445" max="9445" width="13.28515625" style="2" customWidth="1"/>
    <col min="9446" max="9631" width="9" style="2"/>
    <col min="9632" max="9633" width="0" style="2" hidden="1" customWidth="1"/>
    <col min="9634" max="9634" width="13.7109375" style="2" customWidth="1"/>
    <col min="9635" max="9635" width="52.85546875" style="2" customWidth="1"/>
    <col min="9636" max="9675" width="0" style="2" hidden="1" customWidth="1"/>
    <col min="9676" max="9677" width="14.85546875" style="2" customWidth="1"/>
    <col min="9678" max="9679" width="0" style="2" hidden="1" customWidth="1"/>
    <col min="9680" max="9680" width="14.85546875" style="2" customWidth="1"/>
    <col min="9681" max="9682" width="0" style="2" hidden="1" customWidth="1"/>
    <col min="9683" max="9683" width="14.85546875" style="2" customWidth="1"/>
    <col min="9684" max="9685" width="0" style="2" hidden="1" customWidth="1"/>
    <col min="9686" max="9686" width="14.85546875" style="2" customWidth="1"/>
    <col min="9687" max="9688" width="0" style="2" hidden="1" customWidth="1"/>
    <col min="9689" max="9689" width="14.85546875" style="2" customWidth="1"/>
    <col min="9690" max="9691" width="0" style="2" hidden="1" customWidth="1"/>
    <col min="9692" max="9693" width="14.85546875" style="2" customWidth="1"/>
    <col min="9694" max="9694" width="44.42578125" style="2" customWidth="1"/>
    <col min="9695" max="9699" width="14.85546875" style="2" customWidth="1"/>
    <col min="9700" max="9700" width="63.85546875" style="2" customWidth="1"/>
    <col min="9701" max="9701" width="13.28515625" style="2" customWidth="1"/>
    <col min="9702" max="9887" width="9" style="2"/>
    <col min="9888" max="9889" width="0" style="2" hidden="1" customWidth="1"/>
    <col min="9890" max="9890" width="13.7109375" style="2" customWidth="1"/>
    <col min="9891" max="9891" width="52.85546875" style="2" customWidth="1"/>
    <col min="9892" max="9931" width="0" style="2" hidden="1" customWidth="1"/>
    <col min="9932" max="9933" width="14.85546875" style="2" customWidth="1"/>
    <col min="9934" max="9935" width="0" style="2" hidden="1" customWidth="1"/>
    <col min="9936" max="9936" width="14.85546875" style="2" customWidth="1"/>
    <col min="9937" max="9938" width="0" style="2" hidden="1" customWidth="1"/>
    <col min="9939" max="9939" width="14.85546875" style="2" customWidth="1"/>
    <col min="9940" max="9941" width="0" style="2" hidden="1" customWidth="1"/>
    <col min="9942" max="9942" width="14.85546875" style="2" customWidth="1"/>
    <col min="9943" max="9944" width="0" style="2" hidden="1" customWidth="1"/>
    <col min="9945" max="9945" width="14.85546875" style="2" customWidth="1"/>
    <col min="9946" max="9947" width="0" style="2" hidden="1" customWidth="1"/>
    <col min="9948" max="9949" width="14.85546875" style="2" customWidth="1"/>
    <col min="9950" max="9950" width="44.42578125" style="2" customWidth="1"/>
    <col min="9951" max="9955" width="14.85546875" style="2" customWidth="1"/>
    <col min="9956" max="9956" width="63.85546875" style="2" customWidth="1"/>
    <col min="9957" max="9957" width="13.28515625" style="2" customWidth="1"/>
    <col min="9958" max="10143" width="9" style="2"/>
    <col min="10144" max="10145" width="0" style="2" hidden="1" customWidth="1"/>
    <col min="10146" max="10146" width="13.7109375" style="2" customWidth="1"/>
    <col min="10147" max="10147" width="52.85546875" style="2" customWidth="1"/>
    <col min="10148" max="10187" width="0" style="2" hidden="1" customWidth="1"/>
    <col min="10188" max="10189" width="14.85546875" style="2" customWidth="1"/>
    <col min="10190" max="10191" width="0" style="2" hidden="1" customWidth="1"/>
    <col min="10192" max="10192" width="14.85546875" style="2" customWidth="1"/>
    <col min="10193" max="10194" width="0" style="2" hidden="1" customWidth="1"/>
    <col min="10195" max="10195" width="14.85546875" style="2" customWidth="1"/>
    <col min="10196" max="10197" width="0" style="2" hidden="1" customWidth="1"/>
    <col min="10198" max="10198" width="14.85546875" style="2" customWidth="1"/>
    <col min="10199" max="10200" width="0" style="2" hidden="1" customWidth="1"/>
    <col min="10201" max="10201" width="14.85546875" style="2" customWidth="1"/>
    <col min="10202" max="10203" width="0" style="2" hidden="1" customWidth="1"/>
    <col min="10204" max="10205" width="14.85546875" style="2" customWidth="1"/>
    <col min="10206" max="10206" width="44.42578125" style="2" customWidth="1"/>
    <col min="10207" max="10211" width="14.85546875" style="2" customWidth="1"/>
    <col min="10212" max="10212" width="63.85546875" style="2" customWidth="1"/>
    <col min="10213" max="10213" width="13.28515625" style="2" customWidth="1"/>
    <col min="10214" max="10399" width="9" style="2"/>
    <col min="10400" max="10401" width="0" style="2" hidden="1" customWidth="1"/>
    <col min="10402" max="10402" width="13.7109375" style="2" customWidth="1"/>
    <col min="10403" max="10403" width="52.85546875" style="2" customWidth="1"/>
    <col min="10404" max="10443" width="0" style="2" hidden="1" customWidth="1"/>
    <col min="10444" max="10445" width="14.85546875" style="2" customWidth="1"/>
    <col min="10446" max="10447" width="0" style="2" hidden="1" customWidth="1"/>
    <col min="10448" max="10448" width="14.85546875" style="2" customWidth="1"/>
    <col min="10449" max="10450" width="0" style="2" hidden="1" customWidth="1"/>
    <col min="10451" max="10451" width="14.85546875" style="2" customWidth="1"/>
    <col min="10452" max="10453" width="0" style="2" hidden="1" customWidth="1"/>
    <col min="10454" max="10454" width="14.85546875" style="2" customWidth="1"/>
    <col min="10455" max="10456" width="0" style="2" hidden="1" customWidth="1"/>
    <col min="10457" max="10457" width="14.85546875" style="2" customWidth="1"/>
    <col min="10458" max="10459" width="0" style="2" hidden="1" customWidth="1"/>
    <col min="10460" max="10461" width="14.85546875" style="2" customWidth="1"/>
    <col min="10462" max="10462" width="44.42578125" style="2" customWidth="1"/>
    <col min="10463" max="10467" width="14.85546875" style="2" customWidth="1"/>
    <col min="10468" max="10468" width="63.85546875" style="2" customWidth="1"/>
    <col min="10469" max="10469" width="13.28515625" style="2" customWidth="1"/>
    <col min="10470" max="10655" width="9" style="2"/>
    <col min="10656" max="10657" width="0" style="2" hidden="1" customWidth="1"/>
    <col min="10658" max="10658" width="13.7109375" style="2" customWidth="1"/>
    <col min="10659" max="10659" width="52.85546875" style="2" customWidth="1"/>
    <col min="10660" max="10699" width="0" style="2" hidden="1" customWidth="1"/>
    <col min="10700" max="10701" width="14.85546875" style="2" customWidth="1"/>
    <col min="10702" max="10703" width="0" style="2" hidden="1" customWidth="1"/>
    <col min="10704" max="10704" width="14.85546875" style="2" customWidth="1"/>
    <col min="10705" max="10706" width="0" style="2" hidden="1" customWidth="1"/>
    <col min="10707" max="10707" width="14.85546875" style="2" customWidth="1"/>
    <col min="10708" max="10709" width="0" style="2" hidden="1" customWidth="1"/>
    <col min="10710" max="10710" width="14.85546875" style="2" customWidth="1"/>
    <col min="10711" max="10712" width="0" style="2" hidden="1" customWidth="1"/>
    <col min="10713" max="10713" width="14.85546875" style="2" customWidth="1"/>
    <col min="10714" max="10715" width="0" style="2" hidden="1" customWidth="1"/>
    <col min="10716" max="10717" width="14.85546875" style="2" customWidth="1"/>
    <col min="10718" max="10718" width="44.42578125" style="2" customWidth="1"/>
    <col min="10719" max="10723" width="14.85546875" style="2" customWidth="1"/>
    <col min="10724" max="10724" width="63.85546875" style="2" customWidth="1"/>
    <col min="10725" max="10725" width="13.28515625" style="2" customWidth="1"/>
    <col min="10726" max="10911" width="9" style="2"/>
    <col min="10912" max="10913" width="0" style="2" hidden="1" customWidth="1"/>
    <col min="10914" max="10914" width="13.7109375" style="2" customWidth="1"/>
    <col min="10915" max="10915" width="52.85546875" style="2" customWidth="1"/>
    <col min="10916" max="10955" width="0" style="2" hidden="1" customWidth="1"/>
    <col min="10956" max="10957" width="14.85546875" style="2" customWidth="1"/>
    <col min="10958" max="10959" width="0" style="2" hidden="1" customWidth="1"/>
    <col min="10960" max="10960" width="14.85546875" style="2" customWidth="1"/>
    <col min="10961" max="10962" width="0" style="2" hidden="1" customWidth="1"/>
    <col min="10963" max="10963" width="14.85546875" style="2" customWidth="1"/>
    <col min="10964" max="10965" width="0" style="2" hidden="1" customWidth="1"/>
    <col min="10966" max="10966" width="14.85546875" style="2" customWidth="1"/>
    <col min="10967" max="10968" width="0" style="2" hidden="1" customWidth="1"/>
    <col min="10969" max="10969" width="14.85546875" style="2" customWidth="1"/>
    <col min="10970" max="10971" width="0" style="2" hidden="1" customWidth="1"/>
    <col min="10972" max="10973" width="14.85546875" style="2" customWidth="1"/>
    <col min="10974" max="10974" width="44.42578125" style="2" customWidth="1"/>
    <col min="10975" max="10979" width="14.85546875" style="2" customWidth="1"/>
    <col min="10980" max="10980" width="63.85546875" style="2" customWidth="1"/>
    <col min="10981" max="10981" width="13.28515625" style="2" customWidth="1"/>
    <col min="10982" max="11167" width="9" style="2"/>
    <col min="11168" max="11169" width="0" style="2" hidden="1" customWidth="1"/>
    <col min="11170" max="11170" width="13.7109375" style="2" customWidth="1"/>
    <col min="11171" max="11171" width="52.85546875" style="2" customWidth="1"/>
    <col min="11172" max="11211" width="0" style="2" hidden="1" customWidth="1"/>
    <col min="11212" max="11213" width="14.85546875" style="2" customWidth="1"/>
    <col min="11214" max="11215" width="0" style="2" hidden="1" customWidth="1"/>
    <col min="11216" max="11216" width="14.85546875" style="2" customWidth="1"/>
    <col min="11217" max="11218" width="0" style="2" hidden="1" customWidth="1"/>
    <col min="11219" max="11219" width="14.85546875" style="2" customWidth="1"/>
    <col min="11220" max="11221" width="0" style="2" hidden="1" customWidth="1"/>
    <col min="11222" max="11222" width="14.85546875" style="2" customWidth="1"/>
    <col min="11223" max="11224" width="0" style="2" hidden="1" customWidth="1"/>
    <col min="11225" max="11225" width="14.85546875" style="2" customWidth="1"/>
    <col min="11226" max="11227" width="0" style="2" hidden="1" customWidth="1"/>
    <col min="11228" max="11229" width="14.85546875" style="2" customWidth="1"/>
    <col min="11230" max="11230" width="44.42578125" style="2" customWidth="1"/>
    <col min="11231" max="11235" width="14.85546875" style="2" customWidth="1"/>
    <col min="11236" max="11236" width="63.85546875" style="2" customWidth="1"/>
    <col min="11237" max="11237" width="13.28515625" style="2" customWidth="1"/>
    <col min="11238" max="11423" width="9" style="2"/>
    <col min="11424" max="11425" width="0" style="2" hidden="1" customWidth="1"/>
    <col min="11426" max="11426" width="13.7109375" style="2" customWidth="1"/>
    <col min="11427" max="11427" width="52.85546875" style="2" customWidth="1"/>
    <col min="11428" max="11467" width="0" style="2" hidden="1" customWidth="1"/>
    <col min="11468" max="11469" width="14.85546875" style="2" customWidth="1"/>
    <col min="11470" max="11471" width="0" style="2" hidden="1" customWidth="1"/>
    <col min="11472" max="11472" width="14.85546875" style="2" customWidth="1"/>
    <col min="11473" max="11474" width="0" style="2" hidden="1" customWidth="1"/>
    <col min="11475" max="11475" width="14.85546875" style="2" customWidth="1"/>
    <col min="11476" max="11477" width="0" style="2" hidden="1" customWidth="1"/>
    <col min="11478" max="11478" width="14.85546875" style="2" customWidth="1"/>
    <col min="11479" max="11480" width="0" style="2" hidden="1" customWidth="1"/>
    <col min="11481" max="11481" width="14.85546875" style="2" customWidth="1"/>
    <col min="11482" max="11483" width="0" style="2" hidden="1" customWidth="1"/>
    <col min="11484" max="11485" width="14.85546875" style="2" customWidth="1"/>
    <col min="11486" max="11486" width="44.42578125" style="2" customWidth="1"/>
    <col min="11487" max="11491" width="14.85546875" style="2" customWidth="1"/>
    <col min="11492" max="11492" width="63.85546875" style="2" customWidth="1"/>
    <col min="11493" max="11493" width="13.28515625" style="2" customWidth="1"/>
    <col min="11494" max="11679" width="9" style="2"/>
    <col min="11680" max="11681" width="0" style="2" hidden="1" customWidth="1"/>
    <col min="11682" max="11682" width="13.7109375" style="2" customWidth="1"/>
    <col min="11683" max="11683" width="52.85546875" style="2" customWidth="1"/>
    <col min="11684" max="11723" width="0" style="2" hidden="1" customWidth="1"/>
    <col min="11724" max="11725" width="14.85546875" style="2" customWidth="1"/>
    <col min="11726" max="11727" width="0" style="2" hidden="1" customWidth="1"/>
    <col min="11728" max="11728" width="14.85546875" style="2" customWidth="1"/>
    <col min="11729" max="11730" width="0" style="2" hidden="1" customWidth="1"/>
    <col min="11731" max="11731" width="14.85546875" style="2" customWidth="1"/>
    <col min="11732" max="11733" width="0" style="2" hidden="1" customWidth="1"/>
    <col min="11734" max="11734" width="14.85546875" style="2" customWidth="1"/>
    <col min="11735" max="11736" width="0" style="2" hidden="1" customWidth="1"/>
    <col min="11737" max="11737" width="14.85546875" style="2" customWidth="1"/>
    <col min="11738" max="11739" width="0" style="2" hidden="1" customWidth="1"/>
    <col min="11740" max="11741" width="14.85546875" style="2" customWidth="1"/>
    <col min="11742" max="11742" width="44.42578125" style="2" customWidth="1"/>
    <col min="11743" max="11747" width="14.85546875" style="2" customWidth="1"/>
    <col min="11748" max="11748" width="63.85546875" style="2" customWidth="1"/>
    <col min="11749" max="11749" width="13.28515625" style="2" customWidth="1"/>
    <col min="11750" max="11935" width="9" style="2"/>
    <col min="11936" max="11937" width="0" style="2" hidden="1" customWidth="1"/>
    <col min="11938" max="11938" width="13.7109375" style="2" customWidth="1"/>
    <col min="11939" max="11939" width="52.85546875" style="2" customWidth="1"/>
    <col min="11940" max="11979" width="0" style="2" hidden="1" customWidth="1"/>
    <col min="11980" max="11981" width="14.85546875" style="2" customWidth="1"/>
    <col min="11982" max="11983" width="0" style="2" hidden="1" customWidth="1"/>
    <col min="11984" max="11984" width="14.85546875" style="2" customWidth="1"/>
    <col min="11985" max="11986" width="0" style="2" hidden="1" customWidth="1"/>
    <col min="11987" max="11987" width="14.85546875" style="2" customWidth="1"/>
    <col min="11988" max="11989" width="0" style="2" hidden="1" customWidth="1"/>
    <col min="11990" max="11990" width="14.85546875" style="2" customWidth="1"/>
    <col min="11991" max="11992" width="0" style="2" hidden="1" customWidth="1"/>
    <col min="11993" max="11993" width="14.85546875" style="2" customWidth="1"/>
    <col min="11994" max="11995" width="0" style="2" hidden="1" customWidth="1"/>
    <col min="11996" max="11997" width="14.85546875" style="2" customWidth="1"/>
    <col min="11998" max="11998" width="44.42578125" style="2" customWidth="1"/>
    <col min="11999" max="12003" width="14.85546875" style="2" customWidth="1"/>
    <col min="12004" max="12004" width="63.85546875" style="2" customWidth="1"/>
    <col min="12005" max="12005" width="13.28515625" style="2" customWidth="1"/>
    <col min="12006" max="12191" width="9" style="2"/>
    <col min="12192" max="12193" width="0" style="2" hidden="1" customWidth="1"/>
    <col min="12194" max="12194" width="13.7109375" style="2" customWidth="1"/>
    <col min="12195" max="12195" width="52.85546875" style="2" customWidth="1"/>
    <col min="12196" max="12235" width="0" style="2" hidden="1" customWidth="1"/>
    <col min="12236" max="12237" width="14.85546875" style="2" customWidth="1"/>
    <col min="12238" max="12239" width="0" style="2" hidden="1" customWidth="1"/>
    <col min="12240" max="12240" width="14.85546875" style="2" customWidth="1"/>
    <col min="12241" max="12242" width="0" style="2" hidden="1" customWidth="1"/>
    <col min="12243" max="12243" width="14.85546875" style="2" customWidth="1"/>
    <col min="12244" max="12245" width="0" style="2" hidden="1" customWidth="1"/>
    <col min="12246" max="12246" width="14.85546875" style="2" customWidth="1"/>
    <col min="12247" max="12248" width="0" style="2" hidden="1" customWidth="1"/>
    <col min="12249" max="12249" width="14.85546875" style="2" customWidth="1"/>
    <col min="12250" max="12251" width="0" style="2" hidden="1" customWidth="1"/>
    <col min="12252" max="12253" width="14.85546875" style="2" customWidth="1"/>
    <col min="12254" max="12254" width="44.42578125" style="2" customWidth="1"/>
    <col min="12255" max="12259" width="14.85546875" style="2" customWidth="1"/>
    <col min="12260" max="12260" width="63.85546875" style="2" customWidth="1"/>
    <col min="12261" max="12261" width="13.28515625" style="2" customWidth="1"/>
    <col min="12262" max="12447" width="9" style="2"/>
    <col min="12448" max="12449" width="0" style="2" hidden="1" customWidth="1"/>
    <col min="12450" max="12450" width="13.7109375" style="2" customWidth="1"/>
    <col min="12451" max="12451" width="52.85546875" style="2" customWidth="1"/>
    <col min="12452" max="12491" width="0" style="2" hidden="1" customWidth="1"/>
    <col min="12492" max="12493" width="14.85546875" style="2" customWidth="1"/>
    <col min="12494" max="12495" width="0" style="2" hidden="1" customWidth="1"/>
    <col min="12496" max="12496" width="14.85546875" style="2" customWidth="1"/>
    <col min="12497" max="12498" width="0" style="2" hidden="1" customWidth="1"/>
    <col min="12499" max="12499" width="14.85546875" style="2" customWidth="1"/>
    <col min="12500" max="12501" width="0" style="2" hidden="1" customWidth="1"/>
    <col min="12502" max="12502" width="14.85546875" style="2" customWidth="1"/>
    <col min="12503" max="12504" width="0" style="2" hidden="1" customWidth="1"/>
    <col min="12505" max="12505" width="14.85546875" style="2" customWidth="1"/>
    <col min="12506" max="12507" width="0" style="2" hidden="1" customWidth="1"/>
    <col min="12508" max="12509" width="14.85546875" style="2" customWidth="1"/>
    <col min="12510" max="12510" width="44.42578125" style="2" customWidth="1"/>
    <col min="12511" max="12515" width="14.85546875" style="2" customWidth="1"/>
    <col min="12516" max="12516" width="63.85546875" style="2" customWidth="1"/>
    <col min="12517" max="12517" width="13.28515625" style="2" customWidth="1"/>
    <col min="12518" max="12703" width="9" style="2"/>
    <col min="12704" max="12705" width="0" style="2" hidden="1" customWidth="1"/>
    <col min="12706" max="12706" width="13.7109375" style="2" customWidth="1"/>
    <col min="12707" max="12707" width="52.85546875" style="2" customWidth="1"/>
    <col min="12708" max="12747" width="0" style="2" hidden="1" customWidth="1"/>
    <col min="12748" max="12749" width="14.85546875" style="2" customWidth="1"/>
    <col min="12750" max="12751" width="0" style="2" hidden="1" customWidth="1"/>
    <col min="12752" max="12752" width="14.85546875" style="2" customWidth="1"/>
    <col min="12753" max="12754" width="0" style="2" hidden="1" customWidth="1"/>
    <col min="12755" max="12755" width="14.85546875" style="2" customWidth="1"/>
    <col min="12756" max="12757" width="0" style="2" hidden="1" customWidth="1"/>
    <col min="12758" max="12758" width="14.85546875" style="2" customWidth="1"/>
    <col min="12759" max="12760" width="0" style="2" hidden="1" customWidth="1"/>
    <col min="12761" max="12761" width="14.85546875" style="2" customWidth="1"/>
    <col min="12762" max="12763" width="0" style="2" hidden="1" customWidth="1"/>
    <col min="12764" max="12765" width="14.85546875" style="2" customWidth="1"/>
    <col min="12766" max="12766" width="44.42578125" style="2" customWidth="1"/>
    <col min="12767" max="12771" width="14.85546875" style="2" customWidth="1"/>
    <col min="12772" max="12772" width="63.85546875" style="2" customWidth="1"/>
    <col min="12773" max="12773" width="13.28515625" style="2" customWidth="1"/>
    <col min="12774" max="12959" width="9" style="2"/>
    <col min="12960" max="12961" width="0" style="2" hidden="1" customWidth="1"/>
    <col min="12962" max="12962" width="13.7109375" style="2" customWidth="1"/>
    <col min="12963" max="12963" width="52.85546875" style="2" customWidth="1"/>
    <col min="12964" max="13003" width="0" style="2" hidden="1" customWidth="1"/>
    <col min="13004" max="13005" width="14.85546875" style="2" customWidth="1"/>
    <col min="13006" max="13007" width="0" style="2" hidden="1" customWidth="1"/>
    <col min="13008" max="13008" width="14.85546875" style="2" customWidth="1"/>
    <col min="13009" max="13010" width="0" style="2" hidden="1" customWidth="1"/>
    <col min="13011" max="13011" width="14.85546875" style="2" customWidth="1"/>
    <col min="13012" max="13013" width="0" style="2" hidden="1" customWidth="1"/>
    <col min="13014" max="13014" width="14.85546875" style="2" customWidth="1"/>
    <col min="13015" max="13016" width="0" style="2" hidden="1" customWidth="1"/>
    <col min="13017" max="13017" width="14.85546875" style="2" customWidth="1"/>
    <col min="13018" max="13019" width="0" style="2" hidden="1" customWidth="1"/>
    <col min="13020" max="13021" width="14.85546875" style="2" customWidth="1"/>
    <col min="13022" max="13022" width="44.42578125" style="2" customWidth="1"/>
    <col min="13023" max="13027" width="14.85546875" style="2" customWidth="1"/>
    <col min="13028" max="13028" width="63.85546875" style="2" customWidth="1"/>
    <col min="13029" max="13029" width="13.28515625" style="2" customWidth="1"/>
    <col min="13030" max="13215" width="9" style="2"/>
    <col min="13216" max="13217" width="0" style="2" hidden="1" customWidth="1"/>
    <col min="13218" max="13218" width="13.7109375" style="2" customWidth="1"/>
    <col min="13219" max="13219" width="52.85546875" style="2" customWidth="1"/>
    <col min="13220" max="13259" width="0" style="2" hidden="1" customWidth="1"/>
    <col min="13260" max="13261" width="14.85546875" style="2" customWidth="1"/>
    <col min="13262" max="13263" width="0" style="2" hidden="1" customWidth="1"/>
    <col min="13264" max="13264" width="14.85546875" style="2" customWidth="1"/>
    <col min="13265" max="13266" width="0" style="2" hidden="1" customWidth="1"/>
    <col min="13267" max="13267" width="14.85546875" style="2" customWidth="1"/>
    <col min="13268" max="13269" width="0" style="2" hidden="1" customWidth="1"/>
    <col min="13270" max="13270" width="14.85546875" style="2" customWidth="1"/>
    <col min="13271" max="13272" width="0" style="2" hidden="1" customWidth="1"/>
    <col min="13273" max="13273" width="14.85546875" style="2" customWidth="1"/>
    <col min="13274" max="13275" width="0" style="2" hidden="1" customWidth="1"/>
    <col min="13276" max="13277" width="14.85546875" style="2" customWidth="1"/>
    <col min="13278" max="13278" width="44.42578125" style="2" customWidth="1"/>
    <col min="13279" max="13283" width="14.85546875" style="2" customWidth="1"/>
    <col min="13284" max="13284" width="63.85546875" style="2" customWidth="1"/>
    <col min="13285" max="13285" width="13.28515625" style="2" customWidth="1"/>
    <col min="13286" max="13471" width="9" style="2"/>
    <col min="13472" max="13473" width="0" style="2" hidden="1" customWidth="1"/>
    <col min="13474" max="13474" width="13.7109375" style="2" customWidth="1"/>
    <col min="13475" max="13475" width="52.85546875" style="2" customWidth="1"/>
    <col min="13476" max="13515" width="0" style="2" hidden="1" customWidth="1"/>
    <col min="13516" max="13517" width="14.85546875" style="2" customWidth="1"/>
    <col min="13518" max="13519" width="0" style="2" hidden="1" customWidth="1"/>
    <col min="13520" max="13520" width="14.85546875" style="2" customWidth="1"/>
    <col min="13521" max="13522" width="0" style="2" hidden="1" customWidth="1"/>
    <col min="13523" max="13523" width="14.85546875" style="2" customWidth="1"/>
    <col min="13524" max="13525" width="0" style="2" hidden="1" customWidth="1"/>
    <col min="13526" max="13526" width="14.85546875" style="2" customWidth="1"/>
    <col min="13527" max="13528" width="0" style="2" hidden="1" customWidth="1"/>
    <col min="13529" max="13529" width="14.85546875" style="2" customWidth="1"/>
    <col min="13530" max="13531" width="0" style="2" hidden="1" customWidth="1"/>
    <col min="13532" max="13533" width="14.85546875" style="2" customWidth="1"/>
    <col min="13534" max="13534" width="44.42578125" style="2" customWidth="1"/>
    <col min="13535" max="13539" width="14.85546875" style="2" customWidth="1"/>
    <col min="13540" max="13540" width="63.85546875" style="2" customWidth="1"/>
    <col min="13541" max="13541" width="13.28515625" style="2" customWidth="1"/>
    <col min="13542" max="13727" width="9" style="2"/>
    <col min="13728" max="13729" width="0" style="2" hidden="1" customWidth="1"/>
    <col min="13730" max="13730" width="13.7109375" style="2" customWidth="1"/>
    <col min="13731" max="13731" width="52.85546875" style="2" customWidth="1"/>
    <col min="13732" max="13771" width="0" style="2" hidden="1" customWidth="1"/>
    <col min="13772" max="13773" width="14.85546875" style="2" customWidth="1"/>
    <col min="13774" max="13775" width="0" style="2" hidden="1" customWidth="1"/>
    <col min="13776" max="13776" width="14.85546875" style="2" customWidth="1"/>
    <col min="13777" max="13778" width="0" style="2" hidden="1" customWidth="1"/>
    <col min="13779" max="13779" width="14.85546875" style="2" customWidth="1"/>
    <col min="13780" max="13781" width="0" style="2" hidden="1" customWidth="1"/>
    <col min="13782" max="13782" width="14.85546875" style="2" customWidth="1"/>
    <col min="13783" max="13784" width="0" style="2" hidden="1" customWidth="1"/>
    <col min="13785" max="13785" width="14.85546875" style="2" customWidth="1"/>
    <col min="13786" max="13787" width="0" style="2" hidden="1" customWidth="1"/>
    <col min="13788" max="13789" width="14.85546875" style="2" customWidth="1"/>
    <col min="13790" max="13790" width="44.42578125" style="2" customWidth="1"/>
    <col min="13791" max="13795" width="14.85546875" style="2" customWidth="1"/>
    <col min="13796" max="13796" width="63.85546875" style="2" customWidth="1"/>
    <col min="13797" max="13797" width="13.28515625" style="2" customWidth="1"/>
    <col min="13798" max="13983" width="9" style="2"/>
    <col min="13984" max="13985" width="0" style="2" hidden="1" customWidth="1"/>
    <col min="13986" max="13986" width="13.7109375" style="2" customWidth="1"/>
    <col min="13987" max="13987" width="52.85546875" style="2" customWidth="1"/>
    <col min="13988" max="14027" width="0" style="2" hidden="1" customWidth="1"/>
    <col min="14028" max="14029" width="14.85546875" style="2" customWidth="1"/>
    <col min="14030" max="14031" width="0" style="2" hidden="1" customWidth="1"/>
    <col min="14032" max="14032" width="14.85546875" style="2" customWidth="1"/>
    <col min="14033" max="14034" width="0" style="2" hidden="1" customWidth="1"/>
    <col min="14035" max="14035" width="14.85546875" style="2" customWidth="1"/>
    <col min="14036" max="14037" width="0" style="2" hidden="1" customWidth="1"/>
    <col min="14038" max="14038" width="14.85546875" style="2" customWidth="1"/>
    <col min="14039" max="14040" width="0" style="2" hidden="1" customWidth="1"/>
    <col min="14041" max="14041" width="14.85546875" style="2" customWidth="1"/>
    <col min="14042" max="14043" width="0" style="2" hidden="1" customWidth="1"/>
    <col min="14044" max="14045" width="14.85546875" style="2" customWidth="1"/>
    <col min="14046" max="14046" width="44.42578125" style="2" customWidth="1"/>
    <col min="14047" max="14051" width="14.85546875" style="2" customWidth="1"/>
    <col min="14052" max="14052" width="63.85546875" style="2" customWidth="1"/>
    <col min="14053" max="14053" width="13.28515625" style="2" customWidth="1"/>
    <col min="14054" max="14239" width="9" style="2"/>
    <col min="14240" max="14241" width="0" style="2" hidden="1" customWidth="1"/>
    <col min="14242" max="14242" width="13.7109375" style="2" customWidth="1"/>
    <col min="14243" max="14243" width="52.85546875" style="2" customWidth="1"/>
    <col min="14244" max="14283" width="0" style="2" hidden="1" customWidth="1"/>
    <col min="14284" max="14285" width="14.85546875" style="2" customWidth="1"/>
    <col min="14286" max="14287" width="0" style="2" hidden="1" customWidth="1"/>
    <col min="14288" max="14288" width="14.85546875" style="2" customWidth="1"/>
    <col min="14289" max="14290" width="0" style="2" hidden="1" customWidth="1"/>
    <col min="14291" max="14291" width="14.85546875" style="2" customWidth="1"/>
    <col min="14292" max="14293" width="0" style="2" hidden="1" customWidth="1"/>
    <col min="14294" max="14294" width="14.85546875" style="2" customWidth="1"/>
    <col min="14295" max="14296" width="0" style="2" hidden="1" customWidth="1"/>
    <col min="14297" max="14297" width="14.85546875" style="2" customWidth="1"/>
    <col min="14298" max="14299" width="0" style="2" hidden="1" customWidth="1"/>
    <col min="14300" max="14301" width="14.85546875" style="2" customWidth="1"/>
    <col min="14302" max="14302" width="44.42578125" style="2" customWidth="1"/>
    <col min="14303" max="14307" width="14.85546875" style="2" customWidth="1"/>
    <col min="14308" max="14308" width="63.85546875" style="2" customWidth="1"/>
    <col min="14309" max="14309" width="13.28515625" style="2" customWidth="1"/>
    <col min="14310" max="14495" width="9" style="2"/>
    <col min="14496" max="14497" width="0" style="2" hidden="1" customWidth="1"/>
    <col min="14498" max="14498" width="13.7109375" style="2" customWidth="1"/>
    <col min="14499" max="14499" width="52.85546875" style="2" customWidth="1"/>
    <col min="14500" max="14539" width="0" style="2" hidden="1" customWidth="1"/>
    <col min="14540" max="14541" width="14.85546875" style="2" customWidth="1"/>
    <col min="14542" max="14543" width="0" style="2" hidden="1" customWidth="1"/>
    <col min="14544" max="14544" width="14.85546875" style="2" customWidth="1"/>
    <col min="14545" max="14546" width="0" style="2" hidden="1" customWidth="1"/>
    <col min="14547" max="14547" width="14.85546875" style="2" customWidth="1"/>
    <col min="14548" max="14549" width="0" style="2" hidden="1" customWidth="1"/>
    <col min="14550" max="14550" width="14.85546875" style="2" customWidth="1"/>
    <col min="14551" max="14552" width="0" style="2" hidden="1" customWidth="1"/>
    <col min="14553" max="14553" width="14.85546875" style="2" customWidth="1"/>
    <col min="14554" max="14555" width="0" style="2" hidden="1" customWidth="1"/>
    <col min="14556" max="14557" width="14.85546875" style="2" customWidth="1"/>
    <col min="14558" max="14558" width="44.42578125" style="2" customWidth="1"/>
    <col min="14559" max="14563" width="14.85546875" style="2" customWidth="1"/>
    <col min="14564" max="14564" width="63.85546875" style="2" customWidth="1"/>
    <col min="14565" max="14565" width="13.28515625" style="2" customWidth="1"/>
    <col min="14566" max="14751" width="9" style="2"/>
    <col min="14752" max="14753" width="0" style="2" hidden="1" customWidth="1"/>
    <col min="14754" max="14754" width="13.7109375" style="2" customWidth="1"/>
    <col min="14755" max="14755" width="52.85546875" style="2" customWidth="1"/>
    <col min="14756" max="14795" width="0" style="2" hidden="1" customWidth="1"/>
    <col min="14796" max="14797" width="14.85546875" style="2" customWidth="1"/>
    <col min="14798" max="14799" width="0" style="2" hidden="1" customWidth="1"/>
    <col min="14800" max="14800" width="14.85546875" style="2" customWidth="1"/>
    <col min="14801" max="14802" width="0" style="2" hidden="1" customWidth="1"/>
    <col min="14803" max="14803" width="14.85546875" style="2" customWidth="1"/>
    <col min="14804" max="14805" width="0" style="2" hidden="1" customWidth="1"/>
    <col min="14806" max="14806" width="14.85546875" style="2" customWidth="1"/>
    <col min="14807" max="14808" width="0" style="2" hidden="1" customWidth="1"/>
    <col min="14809" max="14809" width="14.85546875" style="2" customWidth="1"/>
    <col min="14810" max="14811" width="0" style="2" hidden="1" customWidth="1"/>
    <col min="14812" max="14813" width="14.85546875" style="2" customWidth="1"/>
    <col min="14814" max="14814" width="44.42578125" style="2" customWidth="1"/>
    <col min="14815" max="14819" width="14.85546875" style="2" customWidth="1"/>
    <col min="14820" max="14820" width="63.85546875" style="2" customWidth="1"/>
    <col min="14821" max="14821" width="13.28515625" style="2" customWidth="1"/>
    <col min="14822" max="15007" width="9" style="2"/>
    <col min="15008" max="15009" width="0" style="2" hidden="1" customWidth="1"/>
    <col min="15010" max="15010" width="13.7109375" style="2" customWidth="1"/>
    <col min="15011" max="15011" width="52.85546875" style="2" customWidth="1"/>
    <col min="15012" max="15051" width="0" style="2" hidden="1" customWidth="1"/>
    <col min="15052" max="15053" width="14.85546875" style="2" customWidth="1"/>
    <col min="15054" max="15055" width="0" style="2" hidden="1" customWidth="1"/>
    <col min="15056" max="15056" width="14.85546875" style="2" customWidth="1"/>
    <col min="15057" max="15058" width="0" style="2" hidden="1" customWidth="1"/>
    <col min="15059" max="15059" width="14.85546875" style="2" customWidth="1"/>
    <col min="15060" max="15061" width="0" style="2" hidden="1" customWidth="1"/>
    <col min="15062" max="15062" width="14.85546875" style="2" customWidth="1"/>
    <col min="15063" max="15064" width="0" style="2" hidden="1" customWidth="1"/>
    <col min="15065" max="15065" width="14.85546875" style="2" customWidth="1"/>
    <col min="15066" max="15067" width="0" style="2" hidden="1" customWidth="1"/>
    <col min="15068" max="15069" width="14.85546875" style="2" customWidth="1"/>
    <col min="15070" max="15070" width="44.42578125" style="2" customWidth="1"/>
    <col min="15071" max="15075" width="14.85546875" style="2" customWidth="1"/>
    <col min="15076" max="15076" width="63.85546875" style="2" customWidth="1"/>
    <col min="15077" max="15077" width="13.28515625" style="2" customWidth="1"/>
    <col min="15078" max="15263" width="9" style="2"/>
    <col min="15264" max="15265" width="0" style="2" hidden="1" customWidth="1"/>
    <col min="15266" max="15266" width="13.7109375" style="2" customWidth="1"/>
    <col min="15267" max="15267" width="52.85546875" style="2" customWidth="1"/>
    <col min="15268" max="15307" width="0" style="2" hidden="1" customWidth="1"/>
    <col min="15308" max="15309" width="14.85546875" style="2" customWidth="1"/>
    <col min="15310" max="15311" width="0" style="2" hidden="1" customWidth="1"/>
    <col min="15312" max="15312" width="14.85546875" style="2" customWidth="1"/>
    <col min="15313" max="15314" width="0" style="2" hidden="1" customWidth="1"/>
    <col min="15315" max="15315" width="14.85546875" style="2" customWidth="1"/>
    <col min="15316" max="15317" width="0" style="2" hidden="1" customWidth="1"/>
    <col min="15318" max="15318" width="14.85546875" style="2" customWidth="1"/>
    <col min="15319" max="15320" width="0" style="2" hidden="1" customWidth="1"/>
    <col min="15321" max="15321" width="14.85546875" style="2" customWidth="1"/>
    <col min="15322" max="15323" width="0" style="2" hidden="1" customWidth="1"/>
    <col min="15324" max="15325" width="14.85546875" style="2" customWidth="1"/>
    <col min="15326" max="15326" width="44.42578125" style="2" customWidth="1"/>
    <col min="15327" max="15331" width="14.85546875" style="2" customWidth="1"/>
    <col min="15332" max="15332" width="63.85546875" style="2" customWidth="1"/>
    <col min="15333" max="15333" width="13.28515625" style="2" customWidth="1"/>
    <col min="15334" max="15519" width="9" style="2"/>
    <col min="15520" max="15521" width="0" style="2" hidden="1" customWidth="1"/>
    <col min="15522" max="15522" width="13.7109375" style="2" customWidth="1"/>
    <col min="15523" max="15523" width="52.85546875" style="2" customWidth="1"/>
    <col min="15524" max="15563" width="0" style="2" hidden="1" customWidth="1"/>
    <col min="15564" max="15565" width="14.85546875" style="2" customWidth="1"/>
    <col min="15566" max="15567" width="0" style="2" hidden="1" customWidth="1"/>
    <col min="15568" max="15568" width="14.85546875" style="2" customWidth="1"/>
    <col min="15569" max="15570" width="0" style="2" hidden="1" customWidth="1"/>
    <col min="15571" max="15571" width="14.85546875" style="2" customWidth="1"/>
    <col min="15572" max="15573" width="0" style="2" hidden="1" customWidth="1"/>
    <col min="15574" max="15574" width="14.85546875" style="2" customWidth="1"/>
    <col min="15575" max="15576" width="0" style="2" hidden="1" customWidth="1"/>
    <col min="15577" max="15577" width="14.85546875" style="2" customWidth="1"/>
    <col min="15578" max="15579" width="0" style="2" hidden="1" customWidth="1"/>
    <col min="15580" max="15581" width="14.85546875" style="2" customWidth="1"/>
    <col min="15582" max="15582" width="44.42578125" style="2" customWidth="1"/>
    <col min="15583" max="15587" width="14.85546875" style="2" customWidth="1"/>
    <col min="15588" max="15588" width="63.85546875" style="2" customWidth="1"/>
    <col min="15589" max="15589" width="13.28515625" style="2" customWidth="1"/>
    <col min="15590" max="15775" width="9" style="2"/>
    <col min="15776" max="15777" width="0" style="2" hidden="1" customWidth="1"/>
    <col min="15778" max="15778" width="13.7109375" style="2" customWidth="1"/>
    <col min="15779" max="15779" width="52.85546875" style="2" customWidth="1"/>
    <col min="15780" max="15819" width="0" style="2" hidden="1" customWidth="1"/>
    <col min="15820" max="15821" width="14.85546875" style="2" customWidth="1"/>
    <col min="15822" max="15823" width="0" style="2" hidden="1" customWidth="1"/>
    <col min="15824" max="15824" width="14.85546875" style="2" customWidth="1"/>
    <col min="15825" max="15826" width="0" style="2" hidden="1" customWidth="1"/>
    <col min="15827" max="15827" width="14.85546875" style="2" customWidth="1"/>
    <col min="15828" max="15829" width="0" style="2" hidden="1" customWidth="1"/>
    <col min="15830" max="15830" width="14.85546875" style="2" customWidth="1"/>
    <col min="15831" max="15832" width="0" style="2" hidden="1" customWidth="1"/>
    <col min="15833" max="15833" width="14.85546875" style="2" customWidth="1"/>
    <col min="15834" max="15835" width="0" style="2" hidden="1" customWidth="1"/>
    <col min="15836" max="15837" width="14.85546875" style="2" customWidth="1"/>
    <col min="15838" max="15838" width="44.42578125" style="2" customWidth="1"/>
    <col min="15839" max="15843" width="14.85546875" style="2" customWidth="1"/>
    <col min="15844" max="15844" width="63.85546875" style="2" customWidth="1"/>
    <col min="15845" max="15845" width="13.28515625" style="2" customWidth="1"/>
    <col min="15846" max="16031" width="9" style="2"/>
    <col min="16032" max="16033" width="0" style="2" hidden="1" customWidth="1"/>
    <col min="16034" max="16034" width="13.7109375" style="2" customWidth="1"/>
    <col min="16035" max="16035" width="52.85546875" style="2" customWidth="1"/>
    <col min="16036" max="16075" width="0" style="2" hidden="1" customWidth="1"/>
    <col min="16076" max="16077" width="14.85546875" style="2" customWidth="1"/>
    <col min="16078" max="16079" width="0" style="2" hidden="1" customWidth="1"/>
    <col min="16080" max="16080" width="14.85546875" style="2" customWidth="1"/>
    <col min="16081" max="16082" width="0" style="2" hidden="1" customWidth="1"/>
    <col min="16083" max="16083" width="14.85546875" style="2" customWidth="1"/>
    <col min="16084" max="16085" width="0" style="2" hidden="1" customWidth="1"/>
    <col min="16086" max="16086" width="14.85546875" style="2" customWidth="1"/>
    <col min="16087" max="16088" width="0" style="2" hidden="1" customWidth="1"/>
    <col min="16089" max="16089" width="14.85546875" style="2" customWidth="1"/>
    <col min="16090" max="16091" width="0" style="2" hidden="1" customWidth="1"/>
    <col min="16092" max="16093" width="14.85546875" style="2" customWidth="1"/>
    <col min="16094" max="16094" width="44.42578125" style="2" customWidth="1"/>
    <col min="16095" max="16099" width="14.85546875" style="2" customWidth="1"/>
    <col min="16100" max="16100" width="63.85546875" style="2" customWidth="1"/>
    <col min="16101" max="16101" width="13.28515625" style="2" customWidth="1"/>
    <col min="16102" max="16300" width="9" style="2"/>
    <col min="16301" max="16333" width="9.140625" style="2" customWidth="1"/>
    <col min="16334" max="16341" width="9.140625" style="2"/>
    <col min="16342" max="16342" width="9.140625" style="2" customWidth="1"/>
    <col min="16343" max="16348" width="9.140625" style="2"/>
    <col min="16349" max="16351" width="9.140625" style="2" customWidth="1"/>
    <col min="16352" max="16384" width="9.140625" style="2"/>
  </cols>
  <sheetData>
    <row r="1" spans="1:17" ht="25.5" outlineLevel="1" x14ac:dyDescent="0.35">
      <c r="C1" s="52" t="s">
        <v>308</v>
      </c>
      <c r="D1" s="158"/>
      <c r="E1" s="108"/>
      <c r="F1" s="108"/>
      <c r="G1" s="3"/>
      <c r="H1" s="191"/>
      <c r="I1" s="108"/>
      <c r="J1" s="3"/>
      <c r="K1" s="191"/>
      <c r="L1" s="108"/>
      <c r="M1" s="3"/>
      <c r="N1" s="191"/>
      <c r="O1" s="179"/>
      <c r="P1" s="298"/>
      <c r="Q1" s="351"/>
    </row>
    <row r="2" spans="1:17" ht="25.5" outlineLevel="1" x14ac:dyDescent="0.35">
      <c r="C2" s="600" t="s">
        <v>710</v>
      </c>
      <c r="D2" s="600"/>
      <c r="G2" s="37"/>
      <c r="H2" s="192"/>
      <c r="J2" s="37"/>
      <c r="K2" s="192"/>
      <c r="M2" s="37"/>
      <c r="N2" s="192"/>
      <c r="O2" s="87"/>
      <c r="P2" s="299"/>
      <c r="Q2" s="319"/>
    </row>
    <row r="3" spans="1:17" ht="20.25" outlineLevel="1" x14ac:dyDescent="0.3">
      <c r="C3" s="598" t="s">
        <v>0</v>
      </c>
      <c r="D3" s="598"/>
      <c r="E3" s="102">
        <v>38975952</v>
      </c>
      <c r="F3" s="102">
        <v>39937037</v>
      </c>
      <c r="G3" s="41"/>
      <c r="I3" s="102">
        <f>I113-I141-I43-I67</f>
        <v>40016099</v>
      </c>
      <c r="J3" s="41"/>
      <c r="L3" s="102">
        <f>L113-L141-L43-L67</f>
        <v>40538006</v>
      </c>
      <c r="M3" s="41"/>
      <c r="O3" s="41">
        <v>28408221.190000001</v>
      </c>
      <c r="P3" s="300" t="s">
        <v>531</v>
      </c>
      <c r="Q3" s="352"/>
    </row>
    <row r="4" spans="1:17" ht="15.75" outlineLevel="1" thickBot="1" x14ac:dyDescent="0.3">
      <c r="C4" s="88"/>
      <c r="E4" s="102" t="s">
        <v>638</v>
      </c>
      <c r="F4" s="102"/>
      <c r="G4" s="1"/>
      <c r="I4" s="102"/>
      <c r="J4" s="1"/>
      <c r="L4" s="102"/>
      <c r="M4" s="1"/>
      <c r="O4" s="102">
        <f>O3-O113</f>
        <v>-5796895.8499999978</v>
      </c>
      <c r="P4" s="89">
        <v>1490</v>
      </c>
      <c r="Q4" s="424">
        <f>O4-P4</f>
        <v>-5798385.8499999978</v>
      </c>
    </row>
    <row r="5" spans="1:17" ht="55.15" customHeight="1" thickBot="1" x14ac:dyDescent="0.3">
      <c r="C5" s="6" t="s">
        <v>1</v>
      </c>
      <c r="D5" s="7" t="s">
        <v>2</v>
      </c>
      <c r="E5" s="375" t="s">
        <v>680</v>
      </c>
      <c r="F5" s="375" t="s">
        <v>701</v>
      </c>
      <c r="G5" s="42" t="s">
        <v>702</v>
      </c>
      <c r="H5" s="193" t="s">
        <v>256</v>
      </c>
      <c r="I5" s="375" t="s">
        <v>723</v>
      </c>
      <c r="J5" s="42" t="s">
        <v>724</v>
      </c>
      <c r="K5" s="193" t="s">
        <v>256</v>
      </c>
      <c r="L5" s="375" t="s">
        <v>752</v>
      </c>
      <c r="M5" s="42" t="s">
        <v>753</v>
      </c>
      <c r="N5" s="193" t="s">
        <v>256</v>
      </c>
      <c r="O5" s="42" t="s">
        <v>764</v>
      </c>
      <c r="P5" s="257" t="s">
        <v>765</v>
      </c>
      <c r="Q5" s="425" t="s">
        <v>4</v>
      </c>
    </row>
    <row r="6" spans="1:17" x14ac:dyDescent="0.25">
      <c r="C6" s="57" t="s">
        <v>5</v>
      </c>
      <c r="D6" s="58" t="s">
        <v>6</v>
      </c>
      <c r="E6" s="49">
        <v>44951568</v>
      </c>
      <c r="F6" s="49">
        <v>44951568</v>
      </c>
      <c r="G6" s="8">
        <f>F6-E6</f>
        <v>0</v>
      </c>
      <c r="H6" s="194"/>
      <c r="I6" s="49">
        <f>ROUND((I7+I10+I13+I16+I19),0)</f>
        <v>44951568</v>
      </c>
      <c r="J6" s="8">
        <f t="shared" ref="J6:J11" si="0">I6-F6</f>
        <v>0</v>
      </c>
      <c r="K6" s="194"/>
      <c r="L6" s="49">
        <f>ROUND((L7+L10+L13+L16+L19),0)</f>
        <v>44951568</v>
      </c>
      <c r="M6" s="8">
        <f>L6-I6</f>
        <v>0</v>
      </c>
      <c r="N6" s="194"/>
      <c r="O6" s="258">
        <f>ROUND((O7+O10+O13+O16+O19),0)</f>
        <v>21452818</v>
      </c>
      <c r="P6" s="277">
        <f>O6/I6</f>
        <v>0.47724292954586145</v>
      </c>
      <c r="Q6" s="426"/>
    </row>
    <row r="7" spans="1:17" x14ac:dyDescent="0.25">
      <c r="B7" s="2" t="s">
        <v>7</v>
      </c>
      <c r="C7" s="59" t="s">
        <v>8</v>
      </c>
      <c r="D7" s="60" t="s">
        <v>9</v>
      </c>
      <c r="E7" s="376">
        <v>41652563</v>
      </c>
      <c r="F7" s="376">
        <v>41652563</v>
      </c>
      <c r="G7" s="9">
        <f t="shared" ref="G7:G71" si="1">F7-E7</f>
        <v>0</v>
      </c>
      <c r="H7" s="195"/>
      <c r="I7" s="376">
        <f>SUM(I8:I8)</f>
        <v>41652563</v>
      </c>
      <c r="J7" s="9">
        <f t="shared" si="0"/>
        <v>0</v>
      </c>
      <c r="K7" s="195"/>
      <c r="L7" s="376">
        <f>SUM(L8:L8)</f>
        <v>41652563</v>
      </c>
      <c r="M7" s="9">
        <f t="shared" ref="M7:M69" si="2">L7-I7</f>
        <v>0</v>
      </c>
      <c r="N7" s="195"/>
      <c r="O7" s="263">
        <f>SUM(O8:O8)</f>
        <v>18743653.5</v>
      </c>
      <c r="P7" s="279">
        <f t="shared" ref="P7:P70" si="3">O7/I7</f>
        <v>0.45000000360121895</v>
      </c>
      <c r="Q7" s="427"/>
    </row>
    <row r="8" spans="1:17" ht="33" customHeight="1" x14ac:dyDescent="0.25">
      <c r="A8" s="2" t="s">
        <v>10</v>
      </c>
      <c r="B8" s="10" t="s">
        <v>12</v>
      </c>
      <c r="C8" s="61" t="s">
        <v>11</v>
      </c>
      <c r="D8" s="62" t="s">
        <v>14</v>
      </c>
      <c r="E8" s="145">
        <v>41652563</v>
      </c>
      <c r="F8" s="145">
        <v>41652563</v>
      </c>
      <c r="G8" s="11">
        <f t="shared" si="1"/>
        <v>0</v>
      </c>
      <c r="H8" s="185"/>
      <c r="I8" s="145">
        <f>ROUND(F8,0)</f>
        <v>41652563</v>
      </c>
      <c r="J8" s="11">
        <f t="shared" si="0"/>
        <v>0</v>
      </c>
      <c r="K8" s="185"/>
      <c r="L8" s="145">
        <f>ROUND(I8,0)</f>
        <v>41652563</v>
      </c>
      <c r="M8" s="11">
        <f t="shared" si="2"/>
        <v>0</v>
      </c>
      <c r="N8" s="185"/>
      <c r="O8" s="332">
        <v>18743653.5</v>
      </c>
      <c r="P8" s="260">
        <f t="shared" si="3"/>
        <v>0.45000000360121895</v>
      </c>
      <c r="Q8" s="153" t="s">
        <v>536</v>
      </c>
    </row>
    <row r="9" spans="1:17" ht="32.450000000000003" customHeight="1" x14ac:dyDescent="0.25">
      <c r="C9" s="57" t="s">
        <v>358</v>
      </c>
      <c r="D9" s="58" t="s">
        <v>359</v>
      </c>
      <c r="E9" s="49">
        <v>3224005</v>
      </c>
      <c r="F9" s="49">
        <v>3224005</v>
      </c>
      <c r="G9" s="8">
        <f t="shared" si="1"/>
        <v>0</v>
      </c>
      <c r="H9" s="194"/>
      <c r="I9" s="49">
        <f>I10+I13+I16</f>
        <v>3224005</v>
      </c>
      <c r="J9" s="8">
        <f t="shared" si="0"/>
        <v>0</v>
      </c>
      <c r="K9" s="194"/>
      <c r="L9" s="49">
        <f>L10+L13+L16</f>
        <v>3224005</v>
      </c>
      <c r="M9" s="8">
        <f t="shared" si="2"/>
        <v>0</v>
      </c>
      <c r="N9" s="194"/>
      <c r="O9" s="258">
        <f>O10+O13+O16</f>
        <v>2608086.1399999997</v>
      </c>
      <c r="P9" s="277">
        <f t="shared" si="3"/>
        <v>0.80895846625548029</v>
      </c>
      <c r="Q9" s="278" t="s">
        <v>469</v>
      </c>
    </row>
    <row r="10" spans="1:17" x14ac:dyDescent="0.25">
      <c r="B10" s="2" t="s">
        <v>15</v>
      </c>
      <c r="C10" s="63" t="s">
        <v>16</v>
      </c>
      <c r="D10" s="64" t="s">
        <v>17</v>
      </c>
      <c r="E10" s="169">
        <v>2046793</v>
      </c>
      <c r="F10" s="169">
        <v>2046793</v>
      </c>
      <c r="G10" s="12">
        <f t="shared" si="1"/>
        <v>0</v>
      </c>
      <c r="H10" s="196"/>
      <c r="I10" s="169">
        <f>SUM(I11:I12)</f>
        <v>2046793</v>
      </c>
      <c r="J10" s="12">
        <f t="shared" si="0"/>
        <v>0</v>
      </c>
      <c r="K10" s="196"/>
      <c r="L10" s="169">
        <f>SUM(L11:L12)</f>
        <v>2046793</v>
      </c>
      <c r="M10" s="12">
        <f t="shared" si="2"/>
        <v>0</v>
      </c>
      <c r="N10" s="196"/>
      <c r="O10" s="156">
        <f>SUM(O11:O12)</f>
        <v>1586954.88</v>
      </c>
      <c r="P10" s="280">
        <f t="shared" si="3"/>
        <v>0.77533726175534112</v>
      </c>
      <c r="Q10" s="428"/>
    </row>
    <row r="11" spans="1:17" x14ac:dyDescent="0.25">
      <c r="A11" s="2" t="s">
        <v>10</v>
      </c>
      <c r="B11" s="10" t="s">
        <v>18</v>
      </c>
      <c r="C11" s="61" t="s">
        <v>19</v>
      </c>
      <c r="D11" s="62" t="s">
        <v>14</v>
      </c>
      <c r="E11" s="145">
        <v>1945591</v>
      </c>
      <c r="F11" s="145">
        <v>1945591</v>
      </c>
      <c r="G11" s="11">
        <f t="shared" si="1"/>
        <v>0</v>
      </c>
      <c r="H11" s="197"/>
      <c r="I11" s="145">
        <f>ROUND(F11,0)</f>
        <v>1945591</v>
      </c>
      <c r="J11" s="11">
        <f t="shared" si="0"/>
        <v>0</v>
      </c>
      <c r="K11" s="197"/>
      <c r="L11" s="145">
        <f>ROUND(I11,0)</f>
        <v>1945591</v>
      </c>
      <c r="M11" s="11">
        <f t="shared" si="2"/>
        <v>0</v>
      </c>
      <c r="N11" s="197"/>
      <c r="O11" s="332">
        <v>1536228.74</v>
      </c>
      <c r="P11" s="260">
        <f t="shared" si="3"/>
        <v>0.78959490458169268</v>
      </c>
      <c r="Q11" s="366"/>
    </row>
    <row r="12" spans="1:17" x14ac:dyDescent="0.25">
      <c r="A12" s="2" t="s">
        <v>10</v>
      </c>
      <c r="B12" s="10" t="s">
        <v>20</v>
      </c>
      <c r="C12" s="61" t="s">
        <v>21</v>
      </c>
      <c r="D12" s="62" t="s">
        <v>22</v>
      </c>
      <c r="E12" s="145">
        <v>101202</v>
      </c>
      <c r="F12" s="145">
        <v>101202</v>
      </c>
      <c r="G12" s="11">
        <f t="shared" si="1"/>
        <v>0</v>
      </c>
      <c r="H12" s="185"/>
      <c r="I12" s="145">
        <f>ROUND(F12,0)</f>
        <v>101202</v>
      </c>
      <c r="J12" s="11">
        <f t="shared" ref="J12:J75" si="4">I12-F12</f>
        <v>0</v>
      </c>
      <c r="K12" s="185"/>
      <c r="L12" s="145">
        <f>ROUND(I12,0)</f>
        <v>101202</v>
      </c>
      <c r="M12" s="11">
        <f t="shared" si="2"/>
        <v>0</v>
      </c>
      <c r="N12" s="185"/>
      <c r="O12" s="332">
        <v>50726.14</v>
      </c>
      <c r="P12" s="260">
        <f t="shared" si="3"/>
        <v>0.50123653682733538</v>
      </c>
      <c r="Q12" s="366"/>
    </row>
    <row r="13" spans="1:17" x14ac:dyDescent="0.25">
      <c r="B13" s="2" t="s">
        <v>23</v>
      </c>
      <c r="C13" s="63" t="s">
        <v>24</v>
      </c>
      <c r="D13" s="64" t="s">
        <v>25</v>
      </c>
      <c r="E13" s="169">
        <v>446928</v>
      </c>
      <c r="F13" s="169">
        <v>446928</v>
      </c>
      <c r="G13" s="12">
        <f t="shared" si="1"/>
        <v>0</v>
      </c>
      <c r="H13" s="196"/>
      <c r="I13" s="169">
        <f>SUM(I14:I15)</f>
        <v>446928</v>
      </c>
      <c r="J13" s="12">
        <f t="shared" si="4"/>
        <v>0</v>
      </c>
      <c r="K13" s="196"/>
      <c r="L13" s="169">
        <f>SUM(L14:L15)</f>
        <v>446928</v>
      </c>
      <c r="M13" s="12">
        <f t="shared" si="2"/>
        <v>0</v>
      </c>
      <c r="N13" s="196"/>
      <c r="O13" s="156">
        <f>SUM(O14:O15)</f>
        <v>425030.18</v>
      </c>
      <c r="P13" s="280">
        <f t="shared" si="3"/>
        <v>0.95100369634482507</v>
      </c>
      <c r="Q13" s="428"/>
    </row>
    <row r="14" spans="1:17" x14ac:dyDescent="0.25">
      <c r="A14" s="2" t="s">
        <v>10</v>
      </c>
      <c r="B14" s="10" t="s">
        <v>26</v>
      </c>
      <c r="C14" s="61" t="s">
        <v>27</v>
      </c>
      <c r="D14" s="62" t="s">
        <v>28</v>
      </c>
      <c r="E14" s="145">
        <v>392304</v>
      </c>
      <c r="F14" s="145">
        <v>392304</v>
      </c>
      <c r="G14" s="11">
        <f t="shared" si="1"/>
        <v>0</v>
      </c>
      <c r="H14" s="198"/>
      <c r="I14" s="145">
        <f>ROUND(F14,0)</f>
        <v>392304</v>
      </c>
      <c r="J14" s="11">
        <f t="shared" si="4"/>
        <v>0</v>
      </c>
      <c r="K14" s="198"/>
      <c r="L14" s="145">
        <f>ROUND(I14,0)</f>
        <v>392304</v>
      </c>
      <c r="M14" s="11">
        <f t="shared" si="2"/>
        <v>0</v>
      </c>
      <c r="N14" s="198"/>
      <c r="O14" s="332">
        <v>389084.68</v>
      </c>
      <c r="P14" s="260">
        <f t="shared" si="3"/>
        <v>0.99179381296137692</v>
      </c>
      <c r="Q14" s="366"/>
    </row>
    <row r="15" spans="1:17" x14ac:dyDescent="0.25">
      <c r="A15" s="2" t="s">
        <v>10</v>
      </c>
      <c r="B15" s="10" t="s">
        <v>29</v>
      </c>
      <c r="C15" s="61" t="s">
        <v>30</v>
      </c>
      <c r="D15" s="62" t="s">
        <v>22</v>
      </c>
      <c r="E15" s="145">
        <v>54624</v>
      </c>
      <c r="F15" s="145">
        <v>54624</v>
      </c>
      <c r="G15" s="11">
        <f t="shared" si="1"/>
        <v>0</v>
      </c>
      <c r="H15" s="185"/>
      <c r="I15" s="145">
        <f>ROUND(F15,0)</f>
        <v>54624</v>
      </c>
      <c r="J15" s="11">
        <f t="shared" si="4"/>
        <v>0</v>
      </c>
      <c r="K15" s="185"/>
      <c r="L15" s="145">
        <f>ROUND(I15,0)</f>
        <v>54624</v>
      </c>
      <c r="M15" s="11">
        <f t="shared" si="2"/>
        <v>0</v>
      </c>
      <c r="N15" s="185"/>
      <c r="O15" s="332">
        <v>35945.5</v>
      </c>
      <c r="P15" s="260">
        <f t="shared" si="3"/>
        <v>0.65805323667252491</v>
      </c>
      <c r="Q15" s="366"/>
    </row>
    <row r="16" spans="1:17" ht="29.25" x14ac:dyDescent="0.25">
      <c r="B16" s="2" t="s">
        <v>31</v>
      </c>
      <c r="C16" s="63" t="s">
        <v>32</v>
      </c>
      <c r="D16" s="64" t="s">
        <v>33</v>
      </c>
      <c r="E16" s="169">
        <v>730284</v>
      </c>
      <c r="F16" s="169">
        <v>730284</v>
      </c>
      <c r="G16" s="12">
        <f t="shared" si="1"/>
        <v>0</v>
      </c>
      <c r="H16" s="196"/>
      <c r="I16" s="169">
        <f>SUM(I17:I18)</f>
        <v>730284</v>
      </c>
      <c r="J16" s="12">
        <f t="shared" si="4"/>
        <v>0</v>
      </c>
      <c r="K16" s="196"/>
      <c r="L16" s="169">
        <f>SUM(L17:L18)</f>
        <v>730284</v>
      </c>
      <c r="M16" s="12">
        <f t="shared" si="2"/>
        <v>0</v>
      </c>
      <c r="N16" s="196"/>
      <c r="O16" s="156">
        <f>SUM(O17:O18)</f>
        <v>596101.08000000007</v>
      </c>
      <c r="P16" s="280">
        <f t="shared" si="3"/>
        <v>0.81625926351939804</v>
      </c>
      <c r="Q16" s="428"/>
    </row>
    <row r="17" spans="1:17" ht="18.75" customHeight="1" x14ac:dyDescent="0.25">
      <c r="A17" s="2" t="s">
        <v>10</v>
      </c>
      <c r="B17" s="10" t="s">
        <v>34</v>
      </c>
      <c r="C17" s="61" t="s">
        <v>35</v>
      </c>
      <c r="D17" s="62" t="s">
        <v>28</v>
      </c>
      <c r="E17" s="145">
        <v>670099</v>
      </c>
      <c r="F17" s="145">
        <v>670099</v>
      </c>
      <c r="G17" s="11">
        <f t="shared" si="1"/>
        <v>0</v>
      </c>
      <c r="H17" s="198"/>
      <c r="I17" s="145">
        <f>ROUND(F17,0)</f>
        <v>670099</v>
      </c>
      <c r="J17" s="11">
        <f t="shared" si="4"/>
        <v>0</v>
      </c>
      <c r="K17" s="198"/>
      <c r="L17" s="145">
        <f>ROUND(I17,0)</f>
        <v>670099</v>
      </c>
      <c r="M17" s="11">
        <f t="shared" si="2"/>
        <v>0</v>
      </c>
      <c r="N17" s="198"/>
      <c r="O17" s="332">
        <v>569860.16</v>
      </c>
      <c r="P17" s="260">
        <f t="shared" si="3"/>
        <v>0.85041189436187792</v>
      </c>
      <c r="Q17" s="366"/>
    </row>
    <row r="18" spans="1:17" x14ac:dyDescent="0.25">
      <c r="A18" s="2" t="s">
        <v>10</v>
      </c>
      <c r="B18" s="10" t="s">
        <v>36</v>
      </c>
      <c r="C18" s="61" t="s">
        <v>37</v>
      </c>
      <c r="D18" s="62" t="s">
        <v>22</v>
      </c>
      <c r="E18" s="145">
        <v>60185</v>
      </c>
      <c r="F18" s="145">
        <v>60185</v>
      </c>
      <c r="G18" s="11">
        <f t="shared" si="1"/>
        <v>0</v>
      </c>
      <c r="H18" s="197"/>
      <c r="I18" s="145">
        <f>ROUND(F18,0)</f>
        <v>60185</v>
      </c>
      <c r="J18" s="11">
        <f t="shared" si="4"/>
        <v>0</v>
      </c>
      <c r="K18" s="197"/>
      <c r="L18" s="145">
        <f>ROUND(I18,0)</f>
        <v>60185</v>
      </c>
      <c r="M18" s="11">
        <f t="shared" si="2"/>
        <v>0</v>
      </c>
      <c r="N18" s="197"/>
      <c r="O18" s="332">
        <v>26240.92</v>
      </c>
      <c r="P18" s="260">
        <f t="shared" si="3"/>
        <v>0.43600432001329231</v>
      </c>
      <c r="Q18" s="366"/>
    </row>
    <row r="19" spans="1:17" ht="29.25" x14ac:dyDescent="0.25">
      <c r="B19" s="50"/>
      <c r="C19" s="63" t="s">
        <v>38</v>
      </c>
      <c r="D19" s="64" t="s">
        <v>342</v>
      </c>
      <c r="E19" s="169">
        <v>75000</v>
      </c>
      <c r="F19" s="169">
        <v>75000</v>
      </c>
      <c r="G19" s="12">
        <f t="shared" si="1"/>
        <v>0</v>
      </c>
      <c r="H19" s="196"/>
      <c r="I19" s="169">
        <f>SUM(I20:I21)</f>
        <v>75000</v>
      </c>
      <c r="J19" s="12">
        <f t="shared" si="4"/>
        <v>0</v>
      </c>
      <c r="K19" s="196"/>
      <c r="L19" s="169">
        <f>SUM(L20:L21)</f>
        <v>75000</v>
      </c>
      <c r="M19" s="12">
        <f t="shared" si="2"/>
        <v>0</v>
      </c>
      <c r="N19" s="196"/>
      <c r="O19" s="156">
        <f>SUM(O20:O21)</f>
        <v>101077.95</v>
      </c>
      <c r="P19" s="280">
        <f t="shared" si="3"/>
        <v>1.3477060000000001</v>
      </c>
      <c r="Q19" s="428"/>
    </row>
    <row r="20" spans="1:17" ht="14.45" customHeight="1" outlineLevel="1" x14ac:dyDescent="0.25">
      <c r="B20" s="10" t="s">
        <v>362</v>
      </c>
      <c r="C20" s="61" t="s">
        <v>161</v>
      </c>
      <c r="D20" s="62" t="s">
        <v>39</v>
      </c>
      <c r="E20" s="145">
        <v>5000</v>
      </c>
      <c r="F20" s="145">
        <v>5000</v>
      </c>
      <c r="G20" s="11">
        <f t="shared" si="1"/>
        <v>0</v>
      </c>
      <c r="H20" s="198"/>
      <c r="I20" s="145">
        <f>ROUND(F20,0)</f>
        <v>5000</v>
      </c>
      <c r="J20" s="11">
        <f t="shared" si="4"/>
        <v>0</v>
      </c>
      <c r="K20" s="198"/>
      <c r="L20" s="145">
        <f>ROUND(I20,0)</f>
        <v>5000</v>
      </c>
      <c r="M20" s="11">
        <f t="shared" si="2"/>
        <v>0</v>
      </c>
      <c r="N20" s="198"/>
      <c r="O20" s="332">
        <v>3978.7</v>
      </c>
      <c r="P20" s="260">
        <f t="shared" si="3"/>
        <v>0.79574</v>
      </c>
      <c r="Q20" s="366"/>
    </row>
    <row r="21" spans="1:17" ht="15.6" customHeight="1" x14ac:dyDescent="0.25">
      <c r="B21" s="10" t="s">
        <v>361</v>
      </c>
      <c r="C21" s="61" t="s">
        <v>163</v>
      </c>
      <c r="D21" s="62" t="s">
        <v>360</v>
      </c>
      <c r="E21" s="145">
        <v>70000</v>
      </c>
      <c r="F21" s="145">
        <v>70000</v>
      </c>
      <c r="G21" s="11">
        <f t="shared" si="1"/>
        <v>0</v>
      </c>
      <c r="H21" s="199"/>
      <c r="I21" s="145">
        <f>ROUND(F21,0)</f>
        <v>70000</v>
      </c>
      <c r="J21" s="11">
        <f t="shared" si="4"/>
        <v>0</v>
      </c>
      <c r="K21" s="199"/>
      <c r="L21" s="145">
        <f>ROUND(I21,0)</f>
        <v>70000</v>
      </c>
      <c r="M21" s="11">
        <f t="shared" si="2"/>
        <v>0</v>
      </c>
      <c r="N21" s="199"/>
      <c r="O21" s="332">
        <v>97099.25</v>
      </c>
      <c r="P21" s="260">
        <f t="shared" si="3"/>
        <v>1.3871321428571428</v>
      </c>
      <c r="Q21" s="366"/>
    </row>
    <row r="22" spans="1:17" ht="15.75" customHeight="1" x14ac:dyDescent="0.25">
      <c r="B22" s="2" t="s">
        <v>40</v>
      </c>
      <c r="C22" s="63" t="s">
        <v>41</v>
      </c>
      <c r="D22" s="64" t="s">
        <v>42</v>
      </c>
      <c r="E22" s="169">
        <v>144300</v>
      </c>
      <c r="F22" s="169">
        <v>144300</v>
      </c>
      <c r="G22" s="12">
        <f t="shared" si="1"/>
        <v>0</v>
      </c>
      <c r="H22" s="196"/>
      <c r="I22" s="169">
        <f>I23+I27</f>
        <v>144300</v>
      </c>
      <c r="J22" s="12">
        <f t="shared" si="4"/>
        <v>0</v>
      </c>
      <c r="K22" s="196"/>
      <c r="L22" s="169">
        <f>L23+L27</f>
        <v>144300</v>
      </c>
      <c r="M22" s="12">
        <f t="shared" si="2"/>
        <v>0</v>
      </c>
      <c r="N22" s="196"/>
      <c r="O22" s="156">
        <f>O23+O27</f>
        <v>76396.59</v>
      </c>
      <c r="P22" s="280">
        <f t="shared" si="3"/>
        <v>0.52942889812889815</v>
      </c>
      <c r="Q22" s="429"/>
    </row>
    <row r="23" spans="1:17" x14ac:dyDescent="0.25">
      <c r="A23" s="2" t="s">
        <v>10</v>
      </c>
      <c r="B23" s="2" t="s">
        <v>43</v>
      </c>
      <c r="C23" s="61" t="s">
        <v>44</v>
      </c>
      <c r="D23" s="62" t="s">
        <v>45</v>
      </c>
      <c r="E23" s="145">
        <v>6100</v>
      </c>
      <c r="F23" s="145">
        <v>6100</v>
      </c>
      <c r="G23" s="11">
        <f t="shared" si="1"/>
        <v>0</v>
      </c>
      <c r="H23" s="197"/>
      <c r="I23" s="145">
        <f>I24+I25+I26</f>
        <v>6100</v>
      </c>
      <c r="J23" s="11">
        <f t="shared" si="4"/>
        <v>0</v>
      </c>
      <c r="K23" s="197"/>
      <c r="L23" s="145">
        <f>L24+L25+L26</f>
        <v>6100</v>
      </c>
      <c r="M23" s="11">
        <f t="shared" si="2"/>
        <v>0</v>
      </c>
      <c r="N23" s="197"/>
      <c r="O23" s="153">
        <f>O24+O25+O26</f>
        <v>2363.71</v>
      </c>
      <c r="P23" s="281">
        <f t="shared" si="3"/>
        <v>0.38749344262295082</v>
      </c>
      <c r="Q23" s="366"/>
    </row>
    <row r="24" spans="1:17" ht="26.25" x14ac:dyDescent="0.25">
      <c r="B24" s="10" t="s">
        <v>46</v>
      </c>
      <c r="C24" s="65" t="s">
        <v>47</v>
      </c>
      <c r="D24" s="66" t="s">
        <v>48</v>
      </c>
      <c r="E24" s="145">
        <v>1100</v>
      </c>
      <c r="F24" s="145">
        <v>1100</v>
      </c>
      <c r="G24" s="11">
        <f t="shared" si="1"/>
        <v>0</v>
      </c>
      <c r="H24" s="197"/>
      <c r="I24" s="145">
        <f>ROUND(F24,0)</f>
        <v>1100</v>
      </c>
      <c r="J24" s="11">
        <f t="shared" si="4"/>
        <v>0</v>
      </c>
      <c r="K24" s="197"/>
      <c r="L24" s="145">
        <f>ROUND(I24,0)</f>
        <v>1100</v>
      </c>
      <c r="M24" s="11">
        <f t="shared" si="2"/>
        <v>0</v>
      </c>
      <c r="N24" s="197"/>
      <c r="O24" s="332">
        <v>307.20999999999998</v>
      </c>
      <c r="P24" s="260">
        <f t="shared" si="3"/>
        <v>0.27928181818181819</v>
      </c>
      <c r="Q24" s="366"/>
    </row>
    <row r="25" spans="1:17" ht="26.25" x14ac:dyDescent="0.25">
      <c r="B25" s="10" t="s">
        <v>49</v>
      </c>
      <c r="C25" s="65" t="s">
        <v>50</v>
      </c>
      <c r="D25" s="66" t="s">
        <v>272</v>
      </c>
      <c r="E25" s="145">
        <v>4500</v>
      </c>
      <c r="F25" s="145">
        <v>4500</v>
      </c>
      <c r="G25" s="11">
        <f t="shared" si="1"/>
        <v>0</v>
      </c>
      <c r="H25" s="197"/>
      <c r="I25" s="145">
        <f>ROUND(F25,0)</f>
        <v>4500</v>
      </c>
      <c r="J25" s="11">
        <f t="shared" si="4"/>
        <v>0</v>
      </c>
      <c r="K25" s="197"/>
      <c r="L25" s="145">
        <f>ROUND(I25,0)</f>
        <v>4500</v>
      </c>
      <c r="M25" s="11">
        <f t="shared" si="2"/>
        <v>0</v>
      </c>
      <c r="N25" s="197"/>
      <c r="O25" s="332">
        <v>1871.5</v>
      </c>
      <c r="P25" s="260">
        <f t="shared" si="3"/>
        <v>0.41588888888888886</v>
      </c>
      <c r="Q25" s="366"/>
    </row>
    <row r="26" spans="1:17" ht="26.25" x14ac:dyDescent="0.25">
      <c r="B26" s="10" t="s">
        <v>51</v>
      </c>
      <c r="C26" s="65" t="s">
        <v>52</v>
      </c>
      <c r="D26" s="66" t="s">
        <v>273</v>
      </c>
      <c r="E26" s="145">
        <v>500</v>
      </c>
      <c r="F26" s="145">
        <v>500</v>
      </c>
      <c r="G26" s="11">
        <f t="shared" si="1"/>
        <v>0</v>
      </c>
      <c r="H26" s="197"/>
      <c r="I26" s="145">
        <f>ROUND(F26,0)</f>
        <v>500</v>
      </c>
      <c r="J26" s="11">
        <f t="shared" si="4"/>
        <v>0</v>
      </c>
      <c r="K26" s="197"/>
      <c r="L26" s="145">
        <f>ROUND(I26,0)</f>
        <v>500</v>
      </c>
      <c r="M26" s="11">
        <f t="shared" si="2"/>
        <v>0</v>
      </c>
      <c r="N26" s="197"/>
      <c r="O26" s="332">
        <f>28+157</f>
        <v>185</v>
      </c>
      <c r="P26" s="260">
        <f t="shared" si="3"/>
        <v>0.37</v>
      </c>
      <c r="Q26" s="366"/>
    </row>
    <row r="27" spans="1:17" x14ac:dyDescent="0.25">
      <c r="A27" s="2" t="s">
        <v>10</v>
      </c>
      <c r="B27" s="2" t="s">
        <v>53</v>
      </c>
      <c r="C27" s="61" t="s">
        <v>54</v>
      </c>
      <c r="D27" s="62" t="s">
        <v>55</v>
      </c>
      <c r="E27" s="145">
        <v>138200</v>
      </c>
      <c r="F27" s="145">
        <v>138200</v>
      </c>
      <c r="G27" s="11">
        <f t="shared" si="1"/>
        <v>0</v>
      </c>
      <c r="H27" s="197"/>
      <c r="I27" s="145">
        <f>SUM(I28:I33)</f>
        <v>138200</v>
      </c>
      <c r="J27" s="11">
        <f t="shared" si="4"/>
        <v>0</v>
      </c>
      <c r="K27" s="197"/>
      <c r="L27" s="145">
        <f>SUM(L28:L33)</f>
        <v>138200</v>
      </c>
      <c r="M27" s="11">
        <f t="shared" si="2"/>
        <v>0</v>
      </c>
      <c r="N27" s="197"/>
      <c r="O27" s="153">
        <f>SUM(O28:O33)</f>
        <v>74032.87999999999</v>
      </c>
      <c r="P27" s="281">
        <f t="shared" si="3"/>
        <v>0.53569377713458743</v>
      </c>
      <c r="Q27" s="366"/>
    </row>
    <row r="28" spans="1:17" ht="26.25" x14ac:dyDescent="0.25">
      <c r="B28" s="10" t="s">
        <v>56</v>
      </c>
      <c r="C28" s="65" t="s">
        <v>57</v>
      </c>
      <c r="D28" s="66" t="s">
        <v>274</v>
      </c>
      <c r="E28" s="145">
        <v>100</v>
      </c>
      <c r="F28" s="145">
        <v>100</v>
      </c>
      <c r="G28" s="11">
        <f t="shared" si="1"/>
        <v>0</v>
      </c>
      <c r="H28" s="197"/>
      <c r="I28" s="145">
        <f t="shared" ref="I28:I33" si="5">ROUND(F28,0)</f>
        <v>100</v>
      </c>
      <c r="J28" s="11">
        <f t="shared" si="4"/>
        <v>0</v>
      </c>
      <c r="K28" s="197"/>
      <c r="L28" s="145">
        <f t="shared" ref="L28:L33" si="6">ROUND(I28,0)</f>
        <v>100</v>
      </c>
      <c r="M28" s="11">
        <f t="shared" si="2"/>
        <v>0</v>
      </c>
      <c r="N28" s="197"/>
      <c r="O28" s="332">
        <v>109.14</v>
      </c>
      <c r="P28" s="260">
        <f t="shared" si="3"/>
        <v>1.0913999999999999</v>
      </c>
      <c r="Q28" s="366"/>
    </row>
    <row r="29" spans="1:17" ht="26.25" x14ac:dyDescent="0.25">
      <c r="B29" s="55" t="s">
        <v>444</v>
      </c>
      <c r="C29" s="65" t="s">
        <v>59</v>
      </c>
      <c r="D29" s="66" t="s">
        <v>281</v>
      </c>
      <c r="E29" s="145">
        <v>4300</v>
      </c>
      <c r="F29" s="145">
        <v>4300</v>
      </c>
      <c r="G29" s="48">
        <f t="shared" si="1"/>
        <v>0</v>
      </c>
      <c r="H29" s="200"/>
      <c r="I29" s="145">
        <f t="shared" si="5"/>
        <v>4300</v>
      </c>
      <c r="J29" s="11">
        <f t="shared" si="4"/>
        <v>0</v>
      </c>
      <c r="K29" s="200"/>
      <c r="L29" s="145">
        <f t="shared" si="6"/>
        <v>4300</v>
      </c>
      <c r="M29" s="11">
        <f t="shared" si="2"/>
        <v>0</v>
      </c>
      <c r="N29" s="200"/>
      <c r="O29" s="332">
        <v>990</v>
      </c>
      <c r="P29" s="262">
        <f t="shared" si="3"/>
        <v>0.23023255813953489</v>
      </c>
      <c r="Q29" s="366"/>
    </row>
    <row r="30" spans="1:17" ht="25.9" customHeight="1" x14ac:dyDescent="0.25">
      <c r="B30" s="10" t="s">
        <v>58</v>
      </c>
      <c r="C30" s="65" t="s">
        <v>60</v>
      </c>
      <c r="D30" s="66" t="s">
        <v>275</v>
      </c>
      <c r="E30" s="145">
        <v>37000</v>
      </c>
      <c r="F30" s="145">
        <v>37000</v>
      </c>
      <c r="G30" s="11">
        <f t="shared" si="1"/>
        <v>0</v>
      </c>
      <c r="H30" s="197"/>
      <c r="I30" s="145">
        <f t="shared" si="5"/>
        <v>37000</v>
      </c>
      <c r="J30" s="11">
        <f t="shared" si="4"/>
        <v>0</v>
      </c>
      <c r="K30" s="197"/>
      <c r="L30" s="145">
        <f t="shared" si="6"/>
        <v>37000</v>
      </c>
      <c r="M30" s="11">
        <f t="shared" si="2"/>
        <v>0</v>
      </c>
      <c r="N30" s="197"/>
      <c r="O30" s="332">
        <v>12017.9</v>
      </c>
      <c r="P30" s="260">
        <f t="shared" si="3"/>
        <v>0.32480810810810812</v>
      </c>
      <c r="Q30" s="366"/>
    </row>
    <row r="31" spans="1:17" ht="26.25" x14ac:dyDescent="0.25">
      <c r="B31" s="10" t="s">
        <v>61</v>
      </c>
      <c r="C31" s="65" t="s">
        <v>62</v>
      </c>
      <c r="D31" s="66" t="s">
        <v>276</v>
      </c>
      <c r="E31" s="145">
        <v>22000</v>
      </c>
      <c r="F31" s="145">
        <v>22000</v>
      </c>
      <c r="G31" s="11">
        <f t="shared" si="1"/>
        <v>0</v>
      </c>
      <c r="H31" s="197"/>
      <c r="I31" s="145">
        <f t="shared" si="5"/>
        <v>22000</v>
      </c>
      <c r="J31" s="11">
        <f t="shared" si="4"/>
        <v>0</v>
      </c>
      <c r="K31" s="197"/>
      <c r="L31" s="145">
        <f t="shared" si="6"/>
        <v>22000</v>
      </c>
      <c r="M31" s="11">
        <f t="shared" si="2"/>
        <v>0</v>
      </c>
      <c r="N31" s="197"/>
      <c r="O31" s="332">
        <f>16283.16+220</f>
        <v>16503.16</v>
      </c>
      <c r="P31" s="260">
        <f t="shared" si="3"/>
        <v>0.75014363636363635</v>
      </c>
      <c r="Q31" s="366"/>
    </row>
    <row r="32" spans="1:17" x14ac:dyDescent="0.25">
      <c r="B32" s="10" t="s">
        <v>63</v>
      </c>
      <c r="C32" s="65" t="s">
        <v>64</v>
      </c>
      <c r="D32" s="66" t="s">
        <v>277</v>
      </c>
      <c r="E32" s="145">
        <v>70000</v>
      </c>
      <c r="F32" s="145">
        <v>70000</v>
      </c>
      <c r="G32" s="11">
        <f t="shared" si="1"/>
        <v>0</v>
      </c>
      <c r="H32" s="197"/>
      <c r="I32" s="145">
        <f t="shared" si="5"/>
        <v>70000</v>
      </c>
      <c r="J32" s="11">
        <f t="shared" si="4"/>
        <v>0</v>
      </c>
      <c r="K32" s="197"/>
      <c r="L32" s="145">
        <f t="shared" si="6"/>
        <v>70000</v>
      </c>
      <c r="M32" s="11">
        <f t="shared" si="2"/>
        <v>0</v>
      </c>
      <c r="N32" s="197"/>
      <c r="O32" s="332">
        <f>42089</f>
        <v>42089</v>
      </c>
      <c r="P32" s="260">
        <f t="shared" si="3"/>
        <v>0.60127142857142857</v>
      </c>
      <c r="Q32" s="366"/>
    </row>
    <row r="33" spans="1:18" x14ac:dyDescent="0.25">
      <c r="B33" s="10" t="s">
        <v>65</v>
      </c>
      <c r="C33" s="65" t="s">
        <v>66</v>
      </c>
      <c r="D33" s="66" t="s">
        <v>278</v>
      </c>
      <c r="E33" s="145">
        <v>4800</v>
      </c>
      <c r="F33" s="145">
        <v>4800</v>
      </c>
      <c r="G33" s="11">
        <f t="shared" si="1"/>
        <v>0</v>
      </c>
      <c r="H33" s="197"/>
      <c r="I33" s="145">
        <f t="shared" si="5"/>
        <v>4800</v>
      </c>
      <c r="J33" s="11">
        <f t="shared" si="4"/>
        <v>0</v>
      </c>
      <c r="K33" s="197"/>
      <c r="L33" s="145">
        <f t="shared" si="6"/>
        <v>4800</v>
      </c>
      <c r="M33" s="11">
        <f t="shared" si="2"/>
        <v>0</v>
      </c>
      <c r="N33" s="197"/>
      <c r="O33" s="332">
        <v>2323.6799999999998</v>
      </c>
      <c r="P33" s="260">
        <f t="shared" si="3"/>
        <v>0.48409999999999997</v>
      </c>
      <c r="Q33" s="366"/>
    </row>
    <row r="34" spans="1:18" ht="18" customHeight="1" x14ac:dyDescent="0.25">
      <c r="B34" s="2" t="s">
        <v>67</v>
      </c>
      <c r="C34" s="63" t="s">
        <v>68</v>
      </c>
      <c r="D34" s="64" t="s">
        <v>69</v>
      </c>
      <c r="E34" s="169">
        <v>130000</v>
      </c>
      <c r="F34" s="169">
        <v>130000</v>
      </c>
      <c r="G34" s="12">
        <f t="shared" si="1"/>
        <v>0</v>
      </c>
      <c r="H34" s="201"/>
      <c r="I34" s="169">
        <f>I35+I36</f>
        <v>130000</v>
      </c>
      <c r="J34" s="12">
        <f t="shared" si="4"/>
        <v>0</v>
      </c>
      <c r="K34" s="201"/>
      <c r="L34" s="169">
        <f>L35+L36</f>
        <v>130000</v>
      </c>
      <c r="M34" s="12">
        <f t="shared" si="2"/>
        <v>0</v>
      </c>
      <c r="N34" s="201"/>
      <c r="O34" s="156">
        <f>O35+O36</f>
        <v>119885.37</v>
      </c>
      <c r="P34" s="280">
        <f t="shared" si="3"/>
        <v>0.9221951538461538</v>
      </c>
      <c r="Q34" s="429"/>
    </row>
    <row r="35" spans="1:18" ht="16.5" customHeight="1" x14ac:dyDescent="0.25">
      <c r="B35" s="50" t="s">
        <v>70</v>
      </c>
      <c r="C35" s="61" t="s">
        <v>71</v>
      </c>
      <c r="D35" s="62" t="s">
        <v>69</v>
      </c>
      <c r="E35" s="145">
        <v>90000</v>
      </c>
      <c r="F35" s="145">
        <v>90000</v>
      </c>
      <c r="G35" s="11">
        <f t="shared" si="1"/>
        <v>0</v>
      </c>
      <c r="H35" s="185"/>
      <c r="I35" s="145">
        <f>ROUND(F35,0)</f>
        <v>90000</v>
      </c>
      <c r="J35" s="11">
        <f t="shared" si="4"/>
        <v>0</v>
      </c>
      <c r="K35" s="185"/>
      <c r="L35" s="145">
        <f>ROUND(I35,0)</f>
        <v>90000</v>
      </c>
      <c r="M35" s="11">
        <f t="shared" si="2"/>
        <v>0</v>
      </c>
      <c r="N35" s="185"/>
      <c r="O35" s="332">
        <f>41082.83+826+322</f>
        <v>42230.83</v>
      </c>
      <c r="P35" s="260">
        <f t="shared" si="3"/>
        <v>0.46923144444444448</v>
      </c>
      <c r="Q35" s="366"/>
    </row>
    <row r="36" spans="1:18" ht="30" x14ac:dyDescent="0.25">
      <c r="B36" s="50" t="s">
        <v>72</v>
      </c>
      <c r="C36" s="61" t="s">
        <v>73</v>
      </c>
      <c r="D36" s="62" t="s">
        <v>74</v>
      </c>
      <c r="E36" s="145">
        <v>40000</v>
      </c>
      <c r="F36" s="145">
        <v>40000</v>
      </c>
      <c r="G36" s="11">
        <f t="shared" si="1"/>
        <v>0</v>
      </c>
      <c r="H36" s="185"/>
      <c r="I36" s="145">
        <f>ROUND(F36,0)</f>
        <v>40000</v>
      </c>
      <c r="J36" s="11">
        <f t="shared" si="4"/>
        <v>0</v>
      </c>
      <c r="K36" s="185"/>
      <c r="L36" s="145">
        <f>ROUND(I36,0)</f>
        <v>40000</v>
      </c>
      <c r="M36" s="11">
        <f t="shared" si="2"/>
        <v>0</v>
      </c>
      <c r="N36" s="185"/>
      <c r="O36" s="332">
        <v>77654.539999999994</v>
      </c>
      <c r="P36" s="260">
        <f t="shared" si="3"/>
        <v>1.9413634999999998</v>
      </c>
      <c r="Q36" s="366"/>
    </row>
    <row r="37" spans="1:18" ht="15" customHeight="1" x14ac:dyDescent="0.25">
      <c r="B37" s="2" t="s">
        <v>75</v>
      </c>
      <c r="C37" s="63" t="s">
        <v>76</v>
      </c>
      <c r="D37" s="64" t="s">
        <v>77</v>
      </c>
      <c r="E37" s="169">
        <v>38728</v>
      </c>
      <c r="F37" s="169">
        <v>38728</v>
      </c>
      <c r="G37" s="12">
        <f t="shared" si="1"/>
        <v>0</v>
      </c>
      <c r="H37" s="196"/>
      <c r="I37" s="169">
        <f>I38+I39+I40</f>
        <v>38728</v>
      </c>
      <c r="J37" s="12">
        <f t="shared" si="4"/>
        <v>0</v>
      </c>
      <c r="K37" s="196"/>
      <c r="L37" s="169">
        <f>L38+L39+L40</f>
        <v>38728</v>
      </c>
      <c r="M37" s="12">
        <f t="shared" si="2"/>
        <v>0</v>
      </c>
      <c r="N37" s="196"/>
      <c r="O37" s="156">
        <f>O38+O39+O40</f>
        <v>41198.68</v>
      </c>
      <c r="P37" s="280">
        <f t="shared" si="3"/>
        <v>1.0637957033670729</v>
      </c>
      <c r="Q37" s="428"/>
      <c r="R37" s="37"/>
    </row>
    <row r="38" spans="1:18" ht="15.6" customHeight="1" x14ac:dyDescent="0.25">
      <c r="A38" s="2" t="s">
        <v>10</v>
      </c>
      <c r="B38" s="3" t="s">
        <v>538</v>
      </c>
      <c r="C38" s="61" t="s">
        <v>78</v>
      </c>
      <c r="D38" s="109" t="s">
        <v>79</v>
      </c>
      <c r="E38" s="145">
        <v>28728</v>
      </c>
      <c r="F38" s="145">
        <v>28728</v>
      </c>
      <c r="G38" s="11">
        <f t="shared" si="1"/>
        <v>0</v>
      </c>
      <c r="H38" s="183"/>
      <c r="I38" s="145">
        <f>ROUND(F38,0)</f>
        <v>28728</v>
      </c>
      <c r="J38" s="11">
        <f t="shared" si="4"/>
        <v>0</v>
      </c>
      <c r="K38" s="183"/>
      <c r="L38" s="145">
        <f>ROUND(I38,0)</f>
        <v>28728</v>
      </c>
      <c r="M38" s="11">
        <f t="shared" si="2"/>
        <v>0</v>
      </c>
      <c r="N38" s="183"/>
      <c r="O38" s="332">
        <f>14261.92+440+6103+1+7809</f>
        <v>28614.92</v>
      </c>
      <c r="P38" s="260">
        <f t="shared" si="3"/>
        <v>0.99606377053745465</v>
      </c>
      <c r="Q38" s="430" t="s">
        <v>720</v>
      </c>
    </row>
    <row r="39" spans="1:18" ht="27.75" customHeight="1" x14ac:dyDescent="0.25">
      <c r="B39" s="2" t="s">
        <v>244</v>
      </c>
      <c r="C39" s="61" t="s">
        <v>80</v>
      </c>
      <c r="D39" s="62" t="s">
        <v>243</v>
      </c>
      <c r="E39" s="145">
        <v>0</v>
      </c>
      <c r="F39" s="145">
        <v>0</v>
      </c>
      <c r="G39" s="11">
        <f t="shared" si="1"/>
        <v>0</v>
      </c>
      <c r="H39" s="183"/>
      <c r="I39" s="145">
        <f>ROUND(F39,0)</f>
        <v>0</v>
      </c>
      <c r="J39" s="11">
        <f t="shared" si="4"/>
        <v>0</v>
      </c>
      <c r="K39" s="183"/>
      <c r="L39" s="145">
        <f>ROUND(I39,0)</f>
        <v>0</v>
      </c>
      <c r="M39" s="11">
        <f t="shared" si="2"/>
        <v>0</v>
      </c>
      <c r="N39" s="183"/>
      <c r="O39" s="332">
        <f>3687-3240</f>
        <v>447</v>
      </c>
      <c r="P39" s="260" t="e">
        <f t="shared" si="3"/>
        <v>#DIV/0!</v>
      </c>
      <c r="Q39" s="430"/>
    </row>
    <row r="40" spans="1:18" x14ac:dyDescent="0.25">
      <c r="B40" s="2" t="s">
        <v>503</v>
      </c>
      <c r="C40" s="61" t="s">
        <v>81</v>
      </c>
      <c r="D40" s="62" t="s">
        <v>303</v>
      </c>
      <c r="E40" s="145">
        <v>10000</v>
      </c>
      <c r="F40" s="145">
        <v>10000</v>
      </c>
      <c r="G40" s="48">
        <f t="shared" si="1"/>
        <v>0</v>
      </c>
      <c r="H40" s="202"/>
      <c r="I40" s="145">
        <f>ROUND(F40,0)</f>
        <v>10000</v>
      </c>
      <c r="J40" s="11">
        <f t="shared" si="4"/>
        <v>0</v>
      </c>
      <c r="K40" s="202"/>
      <c r="L40" s="145">
        <f>ROUND(I40,0)</f>
        <v>10000</v>
      </c>
      <c r="M40" s="11">
        <f t="shared" si="2"/>
        <v>0</v>
      </c>
      <c r="N40" s="202"/>
      <c r="O40" s="332">
        <v>12136.76</v>
      </c>
      <c r="P40" s="262">
        <f t="shared" si="3"/>
        <v>1.213676</v>
      </c>
      <c r="Q40" s="366"/>
      <c r="R40" s="37"/>
    </row>
    <row r="41" spans="1:18" ht="27" customHeight="1" x14ac:dyDescent="0.25">
      <c r="B41" s="2" t="s">
        <v>239</v>
      </c>
      <c r="C41" s="67" t="s">
        <v>82</v>
      </c>
      <c r="D41" s="64" t="s">
        <v>83</v>
      </c>
      <c r="E41" s="169">
        <v>0</v>
      </c>
      <c r="F41" s="169">
        <v>0</v>
      </c>
      <c r="G41" s="12">
        <f t="shared" si="1"/>
        <v>0</v>
      </c>
      <c r="H41" s="201"/>
      <c r="I41" s="169">
        <f>ROUND(F41,0)</f>
        <v>0</v>
      </c>
      <c r="J41" s="12">
        <f t="shared" si="4"/>
        <v>0</v>
      </c>
      <c r="K41" s="201"/>
      <c r="L41" s="169">
        <f>ROUND(I41,0)+160095+307500</f>
        <v>467595</v>
      </c>
      <c r="M41" s="12">
        <f t="shared" si="2"/>
        <v>467595</v>
      </c>
      <c r="N41" s="201" t="s">
        <v>762</v>
      </c>
      <c r="O41" s="460">
        <v>168180.21</v>
      </c>
      <c r="P41" s="280" t="e">
        <f t="shared" si="3"/>
        <v>#DIV/0!</v>
      </c>
      <c r="Q41" s="429"/>
    </row>
    <row r="42" spans="1:18" ht="31.5" customHeight="1" x14ac:dyDescent="0.25">
      <c r="C42" s="67" t="s">
        <v>86</v>
      </c>
      <c r="D42" s="64" t="s">
        <v>248</v>
      </c>
      <c r="E42" s="169">
        <v>21107234</v>
      </c>
      <c r="F42" s="169">
        <v>21152808</v>
      </c>
      <c r="G42" s="12">
        <f t="shared" si="1"/>
        <v>45574</v>
      </c>
      <c r="H42" s="12"/>
      <c r="I42" s="169">
        <f>I43+I67+I94</f>
        <v>21337925</v>
      </c>
      <c r="J42" s="12">
        <f t="shared" si="4"/>
        <v>185117</v>
      </c>
      <c r="K42" s="12"/>
      <c r="L42" s="169">
        <f>L43+L67+L94</f>
        <v>21361387</v>
      </c>
      <c r="M42" s="12">
        <f t="shared" si="2"/>
        <v>23462</v>
      </c>
      <c r="N42" s="12"/>
      <c r="O42" s="317">
        <f>O43+O67+O94</f>
        <v>11606008.289999999</v>
      </c>
      <c r="P42" s="280">
        <f t="shared" si="3"/>
        <v>0.54391456948133421</v>
      </c>
      <c r="Q42" s="428"/>
    </row>
    <row r="43" spans="1:18" ht="17.45" customHeight="1" x14ac:dyDescent="0.25">
      <c r="B43" s="10"/>
      <c r="C43" s="68" t="s">
        <v>90</v>
      </c>
      <c r="D43" s="111" t="s">
        <v>87</v>
      </c>
      <c r="E43" s="377">
        <v>10832171</v>
      </c>
      <c r="F43" s="377">
        <v>10832211</v>
      </c>
      <c r="G43" s="47">
        <f t="shared" si="1"/>
        <v>40</v>
      </c>
      <c r="H43" s="47"/>
      <c r="I43" s="377">
        <f>SUM(I44:I47)+I50+SUM(I54:I66)</f>
        <v>10943346</v>
      </c>
      <c r="J43" s="47">
        <f t="shared" si="4"/>
        <v>111135</v>
      </c>
      <c r="K43" s="47"/>
      <c r="L43" s="377">
        <f>SUM(L44:L47)+L50+SUM(L54:L66)</f>
        <v>10943346</v>
      </c>
      <c r="M43" s="47">
        <f t="shared" si="2"/>
        <v>0</v>
      </c>
      <c r="N43" s="47"/>
      <c r="O43" s="160">
        <f>SUM(O44:O47)+O50+SUM(O54:O66)</f>
        <v>7005162.1499999994</v>
      </c>
      <c r="P43" s="284">
        <f t="shared" si="3"/>
        <v>0.64012982409584773</v>
      </c>
      <c r="Q43" s="371"/>
    </row>
    <row r="44" spans="1:18" ht="16.899999999999999" customHeight="1" x14ac:dyDescent="0.25">
      <c r="A44" s="2" t="s">
        <v>88</v>
      </c>
      <c r="B44" s="2" t="s">
        <v>89</v>
      </c>
      <c r="C44" s="65" t="s">
        <v>363</v>
      </c>
      <c r="D44" s="62" t="s">
        <v>91</v>
      </c>
      <c r="E44" s="145">
        <v>849067</v>
      </c>
      <c r="F44" s="145">
        <v>849067</v>
      </c>
      <c r="G44" s="11">
        <f t="shared" si="1"/>
        <v>0</v>
      </c>
      <c r="H44" s="183"/>
      <c r="I44" s="145">
        <f>ROUND(F44,0)</f>
        <v>849067</v>
      </c>
      <c r="J44" s="11">
        <f t="shared" si="4"/>
        <v>0</v>
      </c>
      <c r="K44" s="183"/>
      <c r="L44" s="145">
        <f>ROUND(I44,0)</f>
        <v>849067</v>
      </c>
      <c r="M44" s="11">
        <f t="shared" si="2"/>
        <v>0</v>
      </c>
      <c r="N44" s="183"/>
      <c r="O44" s="332">
        <v>566044.66</v>
      </c>
      <c r="P44" s="260">
        <f t="shared" si="3"/>
        <v>0.66666665881491094</v>
      </c>
      <c r="Q44" s="366"/>
    </row>
    <row r="45" spans="1:18" ht="13.9" customHeight="1" x14ac:dyDescent="0.25">
      <c r="A45" s="2" t="s">
        <v>88</v>
      </c>
      <c r="B45" s="50" t="s">
        <v>92</v>
      </c>
      <c r="C45" s="65" t="s">
        <v>364</v>
      </c>
      <c r="D45" s="62" t="s">
        <v>94</v>
      </c>
      <c r="E45" s="145">
        <v>339462</v>
      </c>
      <c r="F45" s="145">
        <v>339462</v>
      </c>
      <c r="G45" s="11">
        <f t="shared" si="1"/>
        <v>0</v>
      </c>
      <c r="H45" s="185"/>
      <c r="I45" s="145">
        <f>ROUND(F45,0)</f>
        <v>339462</v>
      </c>
      <c r="J45" s="11">
        <f t="shared" si="4"/>
        <v>0</v>
      </c>
      <c r="K45" s="185"/>
      <c r="L45" s="145">
        <f>ROUND(I45,0)</f>
        <v>339462</v>
      </c>
      <c r="M45" s="11">
        <f t="shared" si="2"/>
        <v>0</v>
      </c>
      <c r="N45" s="185"/>
      <c r="O45" s="332">
        <v>169728</v>
      </c>
      <c r="P45" s="260">
        <f t="shared" si="3"/>
        <v>0.49999116248652281</v>
      </c>
      <c r="Q45" s="366"/>
    </row>
    <row r="46" spans="1:18" x14ac:dyDescent="0.25">
      <c r="B46" s="46" t="s">
        <v>264</v>
      </c>
      <c r="C46" s="65" t="s">
        <v>365</v>
      </c>
      <c r="D46" s="62" t="s">
        <v>95</v>
      </c>
      <c r="E46" s="145">
        <v>388794</v>
      </c>
      <c r="F46" s="145">
        <v>388794</v>
      </c>
      <c r="G46" s="11">
        <f t="shared" si="1"/>
        <v>0</v>
      </c>
      <c r="H46" s="183"/>
      <c r="I46" s="145">
        <f>ROUND(F46,0)</f>
        <v>388794</v>
      </c>
      <c r="J46" s="11">
        <f t="shared" si="4"/>
        <v>0</v>
      </c>
      <c r="K46" s="183"/>
      <c r="L46" s="145">
        <f>ROUND(I46,0)</f>
        <v>388794</v>
      </c>
      <c r="M46" s="11">
        <f t="shared" si="2"/>
        <v>0</v>
      </c>
      <c r="N46" s="183"/>
      <c r="O46" s="332">
        <f>189174+25233</f>
        <v>214407</v>
      </c>
      <c r="P46" s="260">
        <f t="shared" si="3"/>
        <v>0.55146684362413001</v>
      </c>
      <c r="Q46" s="366"/>
    </row>
    <row r="47" spans="1:18" ht="14.25" customHeight="1" x14ac:dyDescent="0.25">
      <c r="A47" s="2" t="s">
        <v>88</v>
      </c>
      <c r="B47" s="50" t="s">
        <v>96</v>
      </c>
      <c r="C47" s="65" t="s">
        <v>366</v>
      </c>
      <c r="D47" s="62" t="s">
        <v>409</v>
      </c>
      <c r="E47" s="11">
        <v>0</v>
      </c>
      <c r="F47" s="145">
        <v>0</v>
      </c>
      <c r="G47" s="11">
        <f t="shared" si="1"/>
        <v>0</v>
      </c>
      <c r="H47" s="11"/>
      <c r="I47" s="145">
        <f>I48+I49</f>
        <v>114044</v>
      </c>
      <c r="J47" s="11">
        <f t="shared" si="4"/>
        <v>114044</v>
      </c>
      <c r="K47" s="11" t="s">
        <v>731</v>
      </c>
      <c r="L47" s="145">
        <f>L48+L49</f>
        <v>114044</v>
      </c>
      <c r="M47" s="11">
        <f t="shared" si="2"/>
        <v>0</v>
      </c>
      <c r="N47" s="11"/>
      <c r="O47" s="381">
        <f>O48+O49</f>
        <v>113186.11</v>
      </c>
      <c r="P47" s="260">
        <f t="shared" si="3"/>
        <v>0.99247755252358738</v>
      </c>
      <c r="Q47" s="366"/>
    </row>
    <row r="48" spans="1:18" ht="14.25" customHeight="1" x14ac:dyDescent="0.25">
      <c r="B48" s="50"/>
      <c r="C48" s="65" t="s">
        <v>406</v>
      </c>
      <c r="D48" s="66" t="s">
        <v>408</v>
      </c>
      <c r="E48" s="145">
        <v>0</v>
      </c>
      <c r="F48" s="170">
        <v>0</v>
      </c>
      <c r="G48" s="85">
        <f t="shared" si="1"/>
        <v>0</v>
      </c>
      <c r="H48" s="188"/>
      <c r="I48" s="170">
        <f>ROUND(F48,0)+10823+58265</f>
        <v>69088</v>
      </c>
      <c r="J48" s="85">
        <f t="shared" si="4"/>
        <v>69088</v>
      </c>
      <c r="K48" s="188"/>
      <c r="L48" s="170">
        <f>ROUND(I48,0)</f>
        <v>69088</v>
      </c>
      <c r="M48" s="85">
        <f t="shared" si="2"/>
        <v>0</v>
      </c>
      <c r="N48" s="188"/>
      <c r="O48" s="332">
        <v>113186.11</v>
      </c>
      <c r="P48" s="260">
        <f t="shared" si="3"/>
        <v>1.6382889937471052</v>
      </c>
      <c r="Q48" s="366"/>
    </row>
    <row r="49" spans="1:17" ht="29.45" customHeight="1" x14ac:dyDescent="0.25">
      <c r="B49" s="50"/>
      <c r="C49" s="65" t="s">
        <v>407</v>
      </c>
      <c r="D49" s="66" t="s">
        <v>410</v>
      </c>
      <c r="E49" s="145">
        <v>0</v>
      </c>
      <c r="F49" s="170">
        <v>0</v>
      </c>
      <c r="G49" s="85">
        <f t="shared" si="1"/>
        <v>0</v>
      </c>
      <c r="H49" s="188"/>
      <c r="I49" s="170">
        <f>ROUND(F49,0)+16471+567+12810+(4107+124)+(2812+60)+(4194+88)+(3647+76)</f>
        <v>44956</v>
      </c>
      <c r="J49" s="85">
        <f t="shared" si="4"/>
        <v>44956</v>
      </c>
      <c r="K49" s="188"/>
      <c r="L49" s="170">
        <f>ROUND(I49,0)</f>
        <v>44956</v>
      </c>
      <c r="M49" s="85">
        <f t="shared" si="2"/>
        <v>0</v>
      </c>
      <c r="N49" s="188"/>
      <c r="O49" s="332">
        <v>0</v>
      </c>
      <c r="P49" s="260">
        <f t="shared" si="3"/>
        <v>0</v>
      </c>
      <c r="Q49" s="366"/>
    </row>
    <row r="50" spans="1:17" ht="13.9" customHeight="1" x14ac:dyDescent="0.25">
      <c r="B50" s="2" t="s">
        <v>97</v>
      </c>
      <c r="C50" s="65" t="s">
        <v>367</v>
      </c>
      <c r="D50" s="62" t="s">
        <v>98</v>
      </c>
      <c r="E50" s="378">
        <v>7742323</v>
      </c>
      <c r="F50" s="378">
        <v>7742323</v>
      </c>
      <c r="G50" s="43">
        <f t="shared" si="1"/>
        <v>0</v>
      </c>
      <c r="H50" s="203"/>
      <c r="I50" s="378">
        <f>I51+I52+I53</f>
        <v>7742323</v>
      </c>
      <c r="J50" s="43">
        <f t="shared" si="4"/>
        <v>0</v>
      </c>
      <c r="K50" s="203"/>
      <c r="L50" s="378">
        <f>L51+L52+L53</f>
        <v>7742323</v>
      </c>
      <c r="M50" s="43">
        <f t="shared" si="2"/>
        <v>0</v>
      </c>
      <c r="N50" s="203"/>
      <c r="O50" s="461">
        <f>O51+O52+O53</f>
        <v>5162034</v>
      </c>
      <c r="P50" s="285">
        <f t="shared" si="3"/>
        <v>0.66672935241787257</v>
      </c>
      <c r="Q50" s="431"/>
    </row>
    <row r="51" spans="1:17" s="15" customFormat="1" x14ac:dyDescent="0.25">
      <c r="A51" s="2" t="s">
        <v>88</v>
      </c>
      <c r="B51" s="50" t="s">
        <v>99</v>
      </c>
      <c r="C51" s="65" t="s">
        <v>368</v>
      </c>
      <c r="D51" s="66" t="s">
        <v>100</v>
      </c>
      <c r="E51" s="379">
        <v>997247</v>
      </c>
      <c r="F51" s="379">
        <v>997247</v>
      </c>
      <c r="G51" s="14">
        <f t="shared" si="1"/>
        <v>0</v>
      </c>
      <c r="H51" s="204"/>
      <c r="I51" s="379">
        <f t="shared" ref="I51:I65" si="7">ROUND(F51,0)</f>
        <v>997247</v>
      </c>
      <c r="J51" s="14">
        <f t="shared" si="4"/>
        <v>0</v>
      </c>
      <c r="K51" s="204"/>
      <c r="L51" s="379">
        <f t="shared" ref="L51:L65" si="8">ROUND(I51,0)</f>
        <v>997247</v>
      </c>
      <c r="M51" s="14">
        <f t="shared" si="2"/>
        <v>0</v>
      </c>
      <c r="N51" s="204"/>
      <c r="O51" s="462">
        <v>670282</v>
      </c>
      <c r="P51" s="286">
        <f t="shared" si="3"/>
        <v>0.67213238044336054</v>
      </c>
      <c r="Q51" s="432"/>
    </row>
    <row r="52" spans="1:17" s="15" customFormat="1" x14ac:dyDescent="0.25">
      <c r="A52" s="2" t="s">
        <v>88</v>
      </c>
      <c r="B52" s="50" t="s">
        <v>101</v>
      </c>
      <c r="C52" s="65" t="s">
        <v>369</v>
      </c>
      <c r="D52" s="66" t="s">
        <v>279</v>
      </c>
      <c r="E52" s="379">
        <v>6172209</v>
      </c>
      <c r="F52" s="379">
        <v>6172209</v>
      </c>
      <c r="G52" s="14">
        <f t="shared" si="1"/>
        <v>0</v>
      </c>
      <c r="H52" s="204"/>
      <c r="I52" s="379">
        <f t="shared" si="7"/>
        <v>6172209</v>
      </c>
      <c r="J52" s="14">
        <f t="shared" si="4"/>
        <v>0</v>
      </c>
      <c r="K52" s="204"/>
      <c r="L52" s="379">
        <f t="shared" si="8"/>
        <v>6172209</v>
      </c>
      <c r="M52" s="14">
        <f t="shared" si="2"/>
        <v>0</v>
      </c>
      <c r="N52" s="204"/>
      <c r="O52" s="603">
        <f>4471542+20210</f>
        <v>4491752</v>
      </c>
      <c r="P52" s="609">
        <f t="shared" si="3"/>
        <v>0.72773815663079455</v>
      </c>
      <c r="Q52" s="432"/>
    </row>
    <row r="53" spans="1:17" s="15" customFormat="1" ht="18" customHeight="1" x14ac:dyDescent="0.25">
      <c r="A53" s="2" t="s">
        <v>88</v>
      </c>
      <c r="B53" s="2"/>
      <c r="C53" s="65" t="s">
        <v>370</v>
      </c>
      <c r="D53" s="66" t="s">
        <v>280</v>
      </c>
      <c r="E53" s="379">
        <v>572867</v>
      </c>
      <c r="F53" s="379">
        <v>572867</v>
      </c>
      <c r="G53" s="14">
        <f t="shared" si="1"/>
        <v>0</v>
      </c>
      <c r="H53" s="204"/>
      <c r="I53" s="379">
        <f t="shared" si="7"/>
        <v>572867</v>
      </c>
      <c r="J53" s="14">
        <f t="shared" si="4"/>
        <v>0</v>
      </c>
      <c r="K53" s="204"/>
      <c r="L53" s="379">
        <f t="shared" si="8"/>
        <v>572867</v>
      </c>
      <c r="M53" s="14">
        <f t="shared" si="2"/>
        <v>0</v>
      </c>
      <c r="N53" s="204"/>
      <c r="O53" s="604"/>
      <c r="P53" s="610">
        <f t="shared" si="3"/>
        <v>0</v>
      </c>
      <c r="Q53" s="432"/>
    </row>
    <row r="54" spans="1:17" ht="31.5" customHeight="1" x14ac:dyDescent="0.25">
      <c r="A54" s="2" t="s">
        <v>88</v>
      </c>
      <c r="B54" s="2" t="s">
        <v>102</v>
      </c>
      <c r="C54" s="65" t="s">
        <v>371</v>
      </c>
      <c r="D54" s="62" t="s">
        <v>258</v>
      </c>
      <c r="E54" s="145">
        <v>26226</v>
      </c>
      <c r="F54" s="145">
        <v>26226</v>
      </c>
      <c r="G54" s="11">
        <f t="shared" si="1"/>
        <v>0</v>
      </c>
      <c r="H54" s="197"/>
      <c r="I54" s="145">
        <f t="shared" si="7"/>
        <v>26226</v>
      </c>
      <c r="J54" s="11">
        <f t="shared" si="4"/>
        <v>0</v>
      </c>
      <c r="K54" s="197"/>
      <c r="L54" s="145">
        <f t="shared" si="8"/>
        <v>26226</v>
      </c>
      <c r="M54" s="11">
        <f t="shared" si="2"/>
        <v>0</v>
      </c>
      <c r="N54" s="197"/>
      <c r="O54" s="332"/>
      <c r="P54" s="260">
        <f t="shared" si="3"/>
        <v>0</v>
      </c>
      <c r="Q54" s="366"/>
    </row>
    <row r="55" spans="1:17" ht="19.149999999999999" customHeight="1" x14ac:dyDescent="0.25">
      <c r="A55" s="2" t="s">
        <v>88</v>
      </c>
      <c r="B55" s="168" t="s">
        <v>504</v>
      </c>
      <c r="C55" s="65" t="s">
        <v>372</v>
      </c>
      <c r="D55" s="62" t="s">
        <v>295</v>
      </c>
      <c r="E55" s="145">
        <v>42000</v>
      </c>
      <c r="F55" s="145">
        <v>42080</v>
      </c>
      <c r="G55" s="11">
        <f t="shared" si="1"/>
        <v>80</v>
      </c>
      <c r="H55" s="185" t="s">
        <v>460</v>
      </c>
      <c r="I55" s="145">
        <f t="shared" si="7"/>
        <v>42080</v>
      </c>
      <c r="J55" s="11">
        <f t="shared" si="4"/>
        <v>0</v>
      </c>
      <c r="K55" s="185"/>
      <c r="L55" s="145">
        <f t="shared" si="8"/>
        <v>42080</v>
      </c>
      <c r="M55" s="11">
        <f t="shared" si="2"/>
        <v>0</v>
      </c>
      <c r="N55" s="185"/>
      <c r="O55" s="605">
        <v>27112</v>
      </c>
      <c r="P55" s="611">
        <f t="shared" si="3"/>
        <v>0.64429657794676809</v>
      </c>
      <c r="Q55" s="433"/>
    </row>
    <row r="56" spans="1:17" ht="19.149999999999999" customHeight="1" x14ac:dyDescent="0.25">
      <c r="B56" s="168" t="s">
        <v>504</v>
      </c>
      <c r="C56" s="65" t="s">
        <v>373</v>
      </c>
      <c r="D56" s="62" t="s">
        <v>331</v>
      </c>
      <c r="E56" s="145">
        <v>15980</v>
      </c>
      <c r="F56" s="145">
        <v>15940</v>
      </c>
      <c r="G56" s="85">
        <f t="shared" si="1"/>
        <v>-40</v>
      </c>
      <c r="H56" s="185" t="s">
        <v>460</v>
      </c>
      <c r="I56" s="145">
        <f t="shared" si="7"/>
        <v>15940</v>
      </c>
      <c r="J56" s="85">
        <f t="shared" si="4"/>
        <v>0</v>
      </c>
      <c r="K56" s="185"/>
      <c r="L56" s="145">
        <f t="shared" si="8"/>
        <v>15940</v>
      </c>
      <c r="M56" s="85">
        <f t="shared" si="2"/>
        <v>0</v>
      </c>
      <c r="N56" s="185"/>
      <c r="O56" s="606"/>
      <c r="P56" s="612">
        <f t="shared" si="3"/>
        <v>0</v>
      </c>
      <c r="Q56" s="433"/>
    </row>
    <row r="57" spans="1:17" ht="30.6" customHeight="1" x14ac:dyDescent="0.25">
      <c r="B57" s="2" t="s">
        <v>103</v>
      </c>
      <c r="C57" s="65" t="s">
        <v>374</v>
      </c>
      <c r="D57" s="62" t="s">
        <v>104</v>
      </c>
      <c r="E57" s="145">
        <v>642000</v>
      </c>
      <c r="F57" s="145">
        <v>642000</v>
      </c>
      <c r="G57" s="11">
        <f t="shared" si="1"/>
        <v>0</v>
      </c>
      <c r="H57" s="183"/>
      <c r="I57" s="145">
        <f t="shared" si="7"/>
        <v>642000</v>
      </c>
      <c r="J57" s="11">
        <f t="shared" si="4"/>
        <v>0</v>
      </c>
      <c r="K57" s="183"/>
      <c r="L57" s="145">
        <f t="shared" si="8"/>
        <v>642000</v>
      </c>
      <c r="M57" s="11">
        <f t="shared" si="2"/>
        <v>0</v>
      </c>
      <c r="N57" s="183"/>
      <c r="O57" s="332">
        <v>325008.53000000003</v>
      </c>
      <c r="P57" s="260">
        <f t="shared" si="3"/>
        <v>0.50624381619937697</v>
      </c>
      <c r="Q57" s="366"/>
    </row>
    <row r="58" spans="1:17" ht="31.5" customHeight="1" x14ac:dyDescent="0.25">
      <c r="C58" s="65" t="s">
        <v>375</v>
      </c>
      <c r="D58" s="62" t="s">
        <v>253</v>
      </c>
      <c r="E58" s="145">
        <v>0</v>
      </c>
      <c r="F58" s="145">
        <v>0</v>
      </c>
      <c r="G58" s="11">
        <f t="shared" si="1"/>
        <v>0</v>
      </c>
      <c r="H58" s="205"/>
      <c r="I58" s="145">
        <f t="shared" si="7"/>
        <v>0</v>
      </c>
      <c r="J58" s="11">
        <f t="shared" si="4"/>
        <v>0</v>
      </c>
      <c r="K58" s="205"/>
      <c r="L58" s="145">
        <f t="shared" si="8"/>
        <v>0</v>
      </c>
      <c r="M58" s="11">
        <f t="shared" si="2"/>
        <v>0</v>
      </c>
      <c r="N58" s="205"/>
      <c r="O58" s="153"/>
      <c r="P58" s="260" t="e">
        <f t="shared" si="3"/>
        <v>#DIV/0!</v>
      </c>
      <c r="Q58" s="366"/>
    </row>
    <row r="59" spans="1:17" ht="31.5" customHeight="1" x14ac:dyDescent="0.25">
      <c r="C59" s="105"/>
      <c r="D59" s="91" t="s">
        <v>490</v>
      </c>
      <c r="E59" s="145">
        <v>0</v>
      </c>
      <c r="F59" s="175">
        <v>0</v>
      </c>
      <c r="G59" s="11">
        <f t="shared" si="1"/>
        <v>0</v>
      </c>
      <c r="H59" s="206"/>
      <c r="I59" s="175">
        <f t="shared" si="7"/>
        <v>0</v>
      </c>
      <c r="J59" s="11">
        <f t="shared" si="4"/>
        <v>0</v>
      </c>
      <c r="K59" s="206"/>
      <c r="L59" s="175">
        <f t="shared" si="8"/>
        <v>0</v>
      </c>
      <c r="M59" s="11">
        <f t="shared" si="2"/>
        <v>0</v>
      </c>
      <c r="N59" s="206"/>
      <c r="O59" s="309"/>
      <c r="P59" s="287" t="e">
        <f t="shared" si="3"/>
        <v>#DIV/0!</v>
      </c>
      <c r="Q59" s="366"/>
    </row>
    <row r="60" spans="1:17" ht="18.600000000000001" customHeight="1" x14ac:dyDescent="0.25">
      <c r="B60" s="53" t="s">
        <v>393</v>
      </c>
      <c r="C60" s="65" t="s">
        <v>376</v>
      </c>
      <c r="D60" s="115" t="s">
        <v>267</v>
      </c>
      <c r="E60" s="145">
        <v>401002</v>
      </c>
      <c r="F60" s="171">
        <v>401002</v>
      </c>
      <c r="G60" s="11">
        <f t="shared" si="1"/>
        <v>0</v>
      </c>
      <c r="H60" s="207"/>
      <c r="I60" s="171">
        <f t="shared" si="7"/>
        <v>401002</v>
      </c>
      <c r="J60" s="11">
        <f t="shared" si="4"/>
        <v>0</v>
      </c>
      <c r="K60" s="207"/>
      <c r="L60" s="171">
        <f t="shared" si="8"/>
        <v>401002</v>
      </c>
      <c r="M60" s="11">
        <f t="shared" si="2"/>
        <v>0</v>
      </c>
      <c r="N60" s="207"/>
      <c r="O60" s="332">
        <v>206074.88</v>
      </c>
      <c r="P60" s="282">
        <f t="shared" si="3"/>
        <v>0.5138998807985995</v>
      </c>
      <c r="Q60" s="153" t="s">
        <v>461</v>
      </c>
    </row>
    <row r="61" spans="1:17" ht="58.9" customHeight="1" x14ac:dyDescent="0.25">
      <c r="B61" s="53" t="s">
        <v>652</v>
      </c>
      <c r="C61" s="65"/>
      <c r="D61" s="131" t="s">
        <v>486</v>
      </c>
      <c r="E61" s="145">
        <v>0</v>
      </c>
      <c r="F61" s="170">
        <v>0</v>
      </c>
      <c r="G61" s="85">
        <f t="shared" si="1"/>
        <v>0</v>
      </c>
      <c r="H61" s="188"/>
      <c r="I61" s="170">
        <f t="shared" si="7"/>
        <v>0</v>
      </c>
      <c r="J61" s="85">
        <f t="shared" si="4"/>
        <v>0</v>
      </c>
      <c r="K61" s="188"/>
      <c r="L61" s="170">
        <f t="shared" si="8"/>
        <v>0</v>
      </c>
      <c r="M61" s="85">
        <f t="shared" si="2"/>
        <v>0</v>
      </c>
      <c r="N61" s="188"/>
      <c r="O61" s="332"/>
      <c r="P61" s="283" t="e">
        <f t="shared" si="3"/>
        <v>#DIV/0!</v>
      </c>
      <c r="Q61" s="433"/>
    </row>
    <row r="62" spans="1:17" ht="33.75" customHeight="1" x14ac:dyDescent="0.25">
      <c r="B62" s="2" t="s">
        <v>505</v>
      </c>
      <c r="C62" s="65" t="s">
        <v>457</v>
      </c>
      <c r="D62" s="117" t="s">
        <v>405</v>
      </c>
      <c r="E62" s="145">
        <v>52500</v>
      </c>
      <c r="F62" s="170">
        <v>52500</v>
      </c>
      <c r="G62" s="85">
        <f t="shared" si="1"/>
        <v>0</v>
      </c>
      <c r="H62" s="188"/>
      <c r="I62" s="170">
        <f t="shared" si="7"/>
        <v>52500</v>
      </c>
      <c r="J62" s="85">
        <f t="shared" si="4"/>
        <v>0</v>
      </c>
      <c r="K62" s="188"/>
      <c r="L62" s="170">
        <f t="shared" si="8"/>
        <v>52500</v>
      </c>
      <c r="M62" s="85">
        <f t="shared" si="2"/>
        <v>0</v>
      </c>
      <c r="N62" s="188"/>
      <c r="O62" s="332">
        <v>14459.31</v>
      </c>
      <c r="P62" s="283">
        <f t="shared" si="3"/>
        <v>0.27541542857142859</v>
      </c>
      <c r="Q62" s="157" t="s">
        <v>470</v>
      </c>
    </row>
    <row r="63" spans="1:17" ht="17.45" customHeight="1" x14ac:dyDescent="0.25">
      <c r="B63" s="2" t="s">
        <v>97</v>
      </c>
      <c r="C63" s="90" t="s">
        <v>458</v>
      </c>
      <c r="D63" s="91" t="s">
        <v>417</v>
      </c>
      <c r="E63" s="145">
        <v>0</v>
      </c>
      <c r="F63" s="170">
        <v>0</v>
      </c>
      <c r="G63" s="85">
        <f t="shared" si="1"/>
        <v>0</v>
      </c>
      <c r="H63" s="188"/>
      <c r="I63" s="170">
        <f t="shared" si="7"/>
        <v>0</v>
      </c>
      <c r="J63" s="85">
        <f t="shared" si="4"/>
        <v>0</v>
      </c>
      <c r="K63" s="188"/>
      <c r="L63" s="170">
        <f t="shared" si="8"/>
        <v>0</v>
      </c>
      <c r="M63" s="85">
        <f t="shared" si="2"/>
        <v>0</v>
      </c>
      <c r="N63" s="188"/>
      <c r="O63" s="332"/>
      <c r="P63" s="283" t="e">
        <f t="shared" si="3"/>
        <v>#DIV/0!</v>
      </c>
      <c r="Q63" s="433"/>
    </row>
    <row r="64" spans="1:17" x14ac:dyDescent="0.25">
      <c r="A64" s="2" t="s">
        <v>88</v>
      </c>
      <c r="B64" s="45" t="s">
        <v>259</v>
      </c>
      <c r="C64" s="65" t="s">
        <v>459</v>
      </c>
      <c r="D64" s="124" t="s">
        <v>429</v>
      </c>
      <c r="E64" s="145">
        <v>5000</v>
      </c>
      <c r="F64" s="145">
        <v>5000</v>
      </c>
      <c r="G64" s="11">
        <f t="shared" si="1"/>
        <v>0</v>
      </c>
      <c r="H64" s="208"/>
      <c r="I64" s="145">
        <f t="shared" si="7"/>
        <v>5000</v>
      </c>
      <c r="J64" s="11">
        <f t="shared" si="4"/>
        <v>0</v>
      </c>
      <c r="K64" s="208"/>
      <c r="L64" s="145">
        <f t="shared" si="8"/>
        <v>5000</v>
      </c>
      <c r="M64" s="11">
        <f t="shared" si="2"/>
        <v>0</v>
      </c>
      <c r="N64" s="208"/>
      <c r="O64" s="332"/>
      <c r="P64" s="260">
        <f t="shared" si="3"/>
        <v>0</v>
      </c>
      <c r="Q64" s="366"/>
    </row>
    <row r="65" spans="1:18" x14ac:dyDescent="0.25">
      <c r="B65" s="45"/>
      <c r="C65" s="65" t="s">
        <v>493</v>
      </c>
      <c r="D65" s="124" t="s">
        <v>637</v>
      </c>
      <c r="E65" s="380"/>
      <c r="F65" s="380"/>
      <c r="G65" s="321"/>
      <c r="H65" s="323"/>
      <c r="I65" s="380">
        <f t="shared" si="7"/>
        <v>0</v>
      </c>
      <c r="J65" s="321">
        <f t="shared" si="4"/>
        <v>0</v>
      </c>
      <c r="K65" s="323"/>
      <c r="L65" s="380">
        <f t="shared" si="8"/>
        <v>0</v>
      </c>
      <c r="M65" s="321">
        <f t="shared" si="2"/>
        <v>0</v>
      </c>
      <c r="N65" s="323"/>
      <c r="O65" s="332"/>
      <c r="P65" s="322" t="e">
        <f t="shared" si="3"/>
        <v>#DIV/0!</v>
      </c>
      <c r="Q65" s="359"/>
    </row>
    <row r="66" spans="1:18" ht="16.5" customHeight="1" x14ac:dyDescent="0.25">
      <c r="A66" s="452" t="s">
        <v>721</v>
      </c>
      <c r="B66" s="2" t="s">
        <v>635</v>
      </c>
      <c r="C66" s="65" t="s">
        <v>656</v>
      </c>
      <c r="D66" s="62" t="s">
        <v>105</v>
      </c>
      <c r="E66" s="145">
        <v>327817</v>
      </c>
      <c r="F66" s="145">
        <v>327817</v>
      </c>
      <c r="G66" s="11">
        <f t="shared" si="1"/>
        <v>0</v>
      </c>
      <c r="H66" s="208"/>
      <c r="I66" s="145">
        <f>ROUND(F66,0)-13411+6615+3887</f>
        <v>324908</v>
      </c>
      <c r="J66" s="11">
        <f t="shared" si="4"/>
        <v>-2909</v>
      </c>
      <c r="K66" s="208" t="s">
        <v>737</v>
      </c>
      <c r="L66" s="145">
        <f>ROUND(I66,0)</f>
        <v>324908</v>
      </c>
      <c r="M66" s="11">
        <f t="shared" si="2"/>
        <v>0</v>
      </c>
      <c r="N66" s="208"/>
      <c r="O66" s="332">
        <f>401370.54-O54-O60+11812</f>
        <v>207107.65999999997</v>
      </c>
      <c r="P66" s="260">
        <f t="shared" si="3"/>
        <v>0.63743478153815847</v>
      </c>
      <c r="Q66" s="259" t="s">
        <v>722</v>
      </c>
    </row>
    <row r="67" spans="1:18" ht="33" customHeight="1" x14ac:dyDescent="0.25">
      <c r="C67" s="68" t="s">
        <v>93</v>
      </c>
      <c r="D67" s="111" t="s">
        <v>247</v>
      </c>
      <c r="E67" s="35">
        <v>9327908</v>
      </c>
      <c r="F67" s="35">
        <v>9373442</v>
      </c>
      <c r="G67" s="35">
        <f t="shared" si="1"/>
        <v>45534</v>
      </c>
      <c r="H67" s="35"/>
      <c r="I67" s="35">
        <f>SUM(I68:I93)</f>
        <v>9447424</v>
      </c>
      <c r="J67" s="35">
        <f t="shared" si="4"/>
        <v>73982</v>
      </c>
      <c r="K67" s="35"/>
      <c r="L67" s="35">
        <f>SUM(L68:L93)</f>
        <v>9470886</v>
      </c>
      <c r="M67" s="35">
        <f t="shared" si="2"/>
        <v>23462</v>
      </c>
      <c r="N67" s="35"/>
      <c r="O67" s="155">
        <f>SUM(O68:O87)</f>
        <v>4127268.54</v>
      </c>
      <c r="P67" s="272">
        <f t="shared" si="3"/>
        <v>0.43686708038085303</v>
      </c>
      <c r="Q67" s="368" t="s">
        <v>644</v>
      </c>
      <c r="R67" s="276"/>
    </row>
    <row r="68" spans="1:18" x14ac:dyDescent="0.25">
      <c r="A68" s="2" t="s">
        <v>390</v>
      </c>
      <c r="B68" s="2" t="s">
        <v>106</v>
      </c>
      <c r="C68" s="65" t="s">
        <v>377</v>
      </c>
      <c r="D68" s="124" t="s">
        <v>428</v>
      </c>
      <c r="E68" s="145">
        <v>0</v>
      </c>
      <c r="F68" s="145">
        <v>0</v>
      </c>
      <c r="G68" s="11">
        <f t="shared" si="1"/>
        <v>0</v>
      </c>
      <c r="H68" s="198"/>
      <c r="I68" s="145">
        <f t="shared" ref="I68:I94" si="9">ROUND(F68,0)</f>
        <v>0</v>
      </c>
      <c r="J68" s="11">
        <f t="shared" si="4"/>
        <v>0</v>
      </c>
      <c r="K68" s="198"/>
      <c r="L68" s="145">
        <f t="shared" ref="L68:L72" si="10">ROUND(I68,0)</f>
        <v>0</v>
      </c>
      <c r="M68" s="11">
        <f t="shared" si="2"/>
        <v>0</v>
      </c>
      <c r="N68" s="198"/>
      <c r="O68" s="332">
        <v>0</v>
      </c>
      <c r="P68" s="260" t="e">
        <f t="shared" si="3"/>
        <v>#DIV/0!</v>
      </c>
      <c r="Q68" s="366"/>
    </row>
    <row r="69" spans="1:18" ht="28.5" customHeight="1" x14ac:dyDescent="0.25">
      <c r="B69" s="53" t="s">
        <v>422</v>
      </c>
      <c r="C69" s="65" t="s">
        <v>378</v>
      </c>
      <c r="D69" s="124" t="s">
        <v>420</v>
      </c>
      <c r="E69" s="145">
        <v>0</v>
      </c>
      <c r="F69" s="145">
        <v>0</v>
      </c>
      <c r="G69" s="11">
        <f t="shared" si="1"/>
        <v>0</v>
      </c>
      <c r="H69" s="183"/>
      <c r="I69" s="145">
        <f t="shared" si="9"/>
        <v>0</v>
      </c>
      <c r="J69" s="11">
        <f t="shared" si="4"/>
        <v>0</v>
      </c>
      <c r="K69" s="183"/>
      <c r="L69" s="145">
        <f t="shared" si="10"/>
        <v>0</v>
      </c>
      <c r="M69" s="11">
        <f t="shared" si="2"/>
        <v>0</v>
      </c>
      <c r="N69" s="183"/>
      <c r="O69" s="332">
        <v>0</v>
      </c>
      <c r="P69" s="260" t="e">
        <f t="shared" si="3"/>
        <v>#DIV/0!</v>
      </c>
      <c r="Q69" s="366"/>
    </row>
    <row r="70" spans="1:18" ht="30" customHeight="1" x14ac:dyDescent="0.25">
      <c r="B70" s="2" t="s">
        <v>619</v>
      </c>
      <c r="C70" s="65" t="s">
        <v>379</v>
      </c>
      <c r="D70" s="336" t="s">
        <v>620</v>
      </c>
      <c r="E70" s="145">
        <v>918723</v>
      </c>
      <c r="F70" s="145">
        <v>918723</v>
      </c>
      <c r="G70" s="11">
        <f t="shared" si="1"/>
        <v>0</v>
      </c>
      <c r="H70" s="210"/>
      <c r="I70" s="145">
        <f t="shared" si="9"/>
        <v>918723</v>
      </c>
      <c r="J70" s="11">
        <f t="shared" si="4"/>
        <v>0</v>
      </c>
      <c r="K70" s="210"/>
      <c r="L70" s="145">
        <f t="shared" si="10"/>
        <v>918723</v>
      </c>
      <c r="M70" s="11">
        <f t="shared" ref="M70:M127" si="11">L70-I70</f>
        <v>0</v>
      </c>
      <c r="N70" s="210"/>
      <c r="O70" s="332">
        <f>378651.58+71864</f>
        <v>450515.58</v>
      </c>
      <c r="P70" s="260">
        <f t="shared" si="3"/>
        <v>0.490371504795243</v>
      </c>
      <c r="Q70" s="366"/>
    </row>
    <row r="71" spans="1:18" ht="30" x14ac:dyDescent="0.25">
      <c r="B71" s="2" t="s">
        <v>533</v>
      </c>
      <c r="C71" s="65" t="s">
        <v>717</v>
      </c>
      <c r="D71" s="125" t="s">
        <v>484</v>
      </c>
      <c r="E71" s="145">
        <v>357424</v>
      </c>
      <c r="F71" s="145">
        <v>357424</v>
      </c>
      <c r="G71" s="11">
        <f t="shared" si="1"/>
        <v>0</v>
      </c>
      <c r="H71" s="211"/>
      <c r="I71" s="145">
        <f t="shared" si="9"/>
        <v>357424</v>
      </c>
      <c r="J71" s="11">
        <f t="shared" si="4"/>
        <v>0</v>
      </c>
      <c r="K71" s="211"/>
      <c r="L71" s="145">
        <f t="shared" si="10"/>
        <v>357424</v>
      </c>
      <c r="M71" s="11">
        <f t="shared" si="11"/>
        <v>0</v>
      </c>
      <c r="N71" s="211"/>
      <c r="O71" s="332">
        <v>129434.79</v>
      </c>
      <c r="P71" s="287">
        <f t="shared" ref="P71:P127" si="12">O71/I71</f>
        <v>0.3621323414208335</v>
      </c>
      <c r="Q71" s="366"/>
    </row>
    <row r="72" spans="1:18" ht="45" x14ac:dyDescent="0.25">
      <c r="B72" s="16"/>
      <c r="C72" s="65" t="s">
        <v>380</v>
      </c>
      <c r="D72" s="125" t="s">
        <v>657</v>
      </c>
      <c r="E72" s="145">
        <v>7315</v>
      </c>
      <c r="F72" s="145">
        <v>7315</v>
      </c>
      <c r="G72" s="11">
        <f t="shared" ref="G72:G127" si="13">F72-E72</f>
        <v>0</v>
      </c>
      <c r="H72" s="211"/>
      <c r="I72" s="145">
        <f t="shared" si="9"/>
        <v>7315</v>
      </c>
      <c r="J72" s="11">
        <f t="shared" si="4"/>
        <v>0</v>
      </c>
      <c r="K72" s="211"/>
      <c r="L72" s="145">
        <f t="shared" si="10"/>
        <v>7315</v>
      </c>
      <c r="M72" s="11">
        <f t="shared" si="11"/>
        <v>0</v>
      </c>
      <c r="N72" s="211"/>
      <c r="O72" s="332"/>
      <c r="P72" s="287">
        <f t="shared" si="12"/>
        <v>0</v>
      </c>
      <c r="Q72" s="366"/>
    </row>
    <row r="73" spans="1:18" ht="55.9" customHeight="1" x14ac:dyDescent="0.25">
      <c r="B73" s="2">
        <v>1018</v>
      </c>
      <c r="C73" s="65" t="s">
        <v>381</v>
      </c>
      <c r="D73" s="125" t="s">
        <v>534</v>
      </c>
      <c r="E73" s="145">
        <v>0</v>
      </c>
      <c r="F73" s="145">
        <v>0</v>
      </c>
      <c r="G73" s="11">
        <f t="shared" si="13"/>
        <v>0</v>
      </c>
      <c r="H73" s="211"/>
      <c r="I73" s="145">
        <f>ROUND(F73,0)+40772+33210</f>
        <v>73982</v>
      </c>
      <c r="J73" s="11">
        <f t="shared" si="4"/>
        <v>73982</v>
      </c>
      <c r="K73" s="453" t="s">
        <v>730</v>
      </c>
      <c r="L73" s="145">
        <f>ROUND(I73,0)+4143+19319</f>
        <v>97444</v>
      </c>
      <c r="M73" s="11">
        <f t="shared" si="11"/>
        <v>23462</v>
      </c>
      <c r="N73" s="420" t="s">
        <v>1149</v>
      </c>
      <c r="O73" s="332">
        <v>40772.019999999997</v>
      </c>
      <c r="P73" s="287">
        <f t="shared" si="12"/>
        <v>0.55110729636938716</v>
      </c>
      <c r="Q73" s="366"/>
    </row>
    <row r="74" spans="1:18" ht="45" x14ac:dyDescent="0.25">
      <c r="B74" s="16"/>
      <c r="C74" s="65" t="s">
        <v>496</v>
      </c>
      <c r="D74" s="125" t="s">
        <v>487</v>
      </c>
      <c r="E74" s="145">
        <v>0</v>
      </c>
      <c r="F74" s="145">
        <v>0</v>
      </c>
      <c r="G74" s="11">
        <f t="shared" si="13"/>
        <v>0</v>
      </c>
      <c r="H74" s="211"/>
      <c r="I74" s="145">
        <f t="shared" si="9"/>
        <v>0</v>
      </c>
      <c r="J74" s="11">
        <f t="shared" si="4"/>
        <v>0</v>
      </c>
      <c r="K74" s="211"/>
      <c r="L74" s="145">
        <f t="shared" ref="L74:L94" si="14">ROUND(I74,0)</f>
        <v>0</v>
      </c>
      <c r="M74" s="11">
        <f t="shared" si="11"/>
        <v>0</v>
      </c>
      <c r="N74" s="211"/>
      <c r="O74" s="332"/>
      <c r="P74" s="287" t="e">
        <f t="shared" si="12"/>
        <v>#DIV/0!</v>
      </c>
      <c r="Q74" s="366"/>
    </row>
    <row r="75" spans="1:18" x14ac:dyDescent="0.25">
      <c r="A75" s="53" t="s">
        <v>479</v>
      </c>
      <c r="B75" s="16"/>
      <c r="C75" s="65" t="s">
        <v>381</v>
      </c>
      <c r="D75" s="125" t="s">
        <v>480</v>
      </c>
      <c r="E75" s="145">
        <v>0</v>
      </c>
      <c r="F75" s="145">
        <v>0</v>
      </c>
      <c r="G75" s="11">
        <f t="shared" si="13"/>
        <v>0</v>
      </c>
      <c r="H75" s="211"/>
      <c r="I75" s="145">
        <f t="shared" si="9"/>
        <v>0</v>
      </c>
      <c r="J75" s="11">
        <f t="shared" si="4"/>
        <v>0</v>
      </c>
      <c r="K75" s="211"/>
      <c r="L75" s="145">
        <f t="shared" si="14"/>
        <v>0</v>
      </c>
      <c r="M75" s="11">
        <f t="shared" si="11"/>
        <v>0</v>
      </c>
      <c r="N75" s="211"/>
      <c r="O75" s="332">
        <v>0</v>
      </c>
      <c r="P75" s="287" t="e">
        <f t="shared" si="12"/>
        <v>#DIV/0!</v>
      </c>
      <c r="Q75" s="366"/>
    </row>
    <row r="76" spans="1:18" ht="43.15" customHeight="1" x14ac:dyDescent="0.25">
      <c r="A76" s="53" t="s">
        <v>651</v>
      </c>
      <c r="B76" s="16"/>
      <c r="C76" s="65" t="s">
        <v>496</v>
      </c>
      <c r="D76" s="125" t="s">
        <v>694</v>
      </c>
      <c r="E76" s="145">
        <v>60717</v>
      </c>
      <c r="F76" s="145">
        <v>106251</v>
      </c>
      <c r="G76" s="11">
        <f t="shared" si="13"/>
        <v>45534</v>
      </c>
      <c r="H76" s="420" t="s">
        <v>711</v>
      </c>
      <c r="I76" s="145">
        <f t="shared" si="9"/>
        <v>106251</v>
      </c>
      <c r="J76" s="11">
        <f t="shared" ref="J76:J127" si="15">I76-F76</f>
        <v>0</v>
      </c>
      <c r="K76" s="420"/>
      <c r="L76" s="145">
        <f t="shared" si="14"/>
        <v>106251</v>
      </c>
      <c r="M76" s="11">
        <f t="shared" si="11"/>
        <v>0</v>
      </c>
      <c r="N76" s="420"/>
      <c r="O76" s="332">
        <v>101363.54</v>
      </c>
      <c r="P76" s="287">
        <f t="shared" si="12"/>
        <v>0.95400080940414678</v>
      </c>
      <c r="Q76" s="366"/>
    </row>
    <row r="77" spans="1:18" ht="45" x14ac:dyDescent="0.25">
      <c r="B77" s="2" t="s">
        <v>254</v>
      </c>
      <c r="C77" s="65" t="s">
        <v>382</v>
      </c>
      <c r="D77" s="124" t="s">
        <v>240</v>
      </c>
      <c r="E77" s="145">
        <v>9799</v>
      </c>
      <c r="F77" s="145">
        <v>9799</v>
      </c>
      <c r="G77" s="11">
        <f t="shared" si="13"/>
        <v>0</v>
      </c>
      <c r="H77" s="212"/>
      <c r="I77" s="145">
        <f t="shared" si="9"/>
        <v>9799</v>
      </c>
      <c r="J77" s="11">
        <f t="shared" si="15"/>
        <v>0</v>
      </c>
      <c r="K77" s="212"/>
      <c r="L77" s="145">
        <f t="shared" si="14"/>
        <v>9799</v>
      </c>
      <c r="M77" s="11">
        <f t="shared" si="11"/>
        <v>0</v>
      </c>
      <c r="N77" s="212"/>
      <c r="O77" s="332">
        <v>9557.9599999999991</v>
      </c>
      <c r="P77" s="260">
        <f t="shared" si="12"/>
        <v>0.97540157158893759</v>
      </c>
      <c r="Q77" s="366"/>
    </row>
    <row r="78" spans="1:18" ht="45" x14ac:dyDescent="0.25">
      <c r="B78" s="50" t="s">
        <v>522</v>
      </c>
      <c r="C78" s="65" t="s">
        <v>430</v>
      </c>
      <c r="D78" s="124" t="s">
        <v>523</v>
      </c>
      <c r="E78" s="145">
        <v>0</v>
      </c>
      <c r="F78" s="145">
        <v>0</v>
      </c>
      <c r="G78" s="11">
        <f t="shared" si="13"/>
        <v>0</v>
      </c>
      <c r="H78" s="213"/>
      <c r="I78" s="145">
        <f t="shared" si="9"/>
        <v>0</v>
      </c>
      <c r="J78" s="11">
        <f t="shared" si="15"/>
        <v>0</v>
      </c>
      <c r="K78" s="213"/>
      <c r="L78" s="145">
        <f t="shared" si="14"/>
        <v>0</v>
      </c>
      <c r="M78" s="11">
        <f t="shared" si="11"/>
        <v>0</v>
      </c>
      <c r="N78" s="213"/>
      <c r="O78" s="332">
        <v>0</v>
      </c>
      <c r="P78" s="260" t="e">
        <f t="shared" si="12"/>
        <v>#DIV/0!</v>
      </c>
      <c r="Q78" s="366"/>
    </row>
    <row r="79" spans="1:18" x14ac:dyDescent="0.25">
      <c r="B79" s="50" t="s">
        <v>521</v>
      </c>
      <c r="C79" s="65" t="s">
        <v>383</v>
      </c>
      <c r="D79" s="124" t="s">
        <v>481</v>
      </c>
      <c r="E79" s="145">
        <v>971940</v>
      </c>
      <c r="F79" s="145">
        <v>971940</v>
      </c>
      <c r="G79" s="11">
        <f t="shared" si="13"/>
        <v>0</v>
      </c>
      <c r="H79" s="214"/>
      <c r="I79" s="145">
        <f t="shared" si="9"/>
        <v>971940</v>
      </c>
      <c r="J79" s="11">
        <f t="shared" si="15"/>
        <v>0</v>
      </c>
      <c r="K79" s="214"/>
      <c r="L79" s="145">
        <f t="shared" si="14"/>
        <v>971940</v>
      </c>
      <c r="M79" s="11">
        <f t="shared" si="11"/>
        <v>0</v>
      </c>
      <c r="N79" s="214"/>
      <c r="O79" s="332">
        <v>85545.94</v>
      </c>
      <c r="P79" s="260">
        <f t="shared" si="12"/>
        <v>8.8015659402843796E-2</v>
      </c>
      <c r="Q79" s="366"/>
    </row>
    <row r="80" spans="1:18" x14ac:dyDescent="0.25">
      <c r="B80" s="50"/>
      <c r="C80" s="65" t="s">
        <v>384</v>
      </c>
      <c r="D80" s="124" t="s">
        <v>637</v>
      </c>
      <c r="E80" s="145">
        <v>0</v>
      </c>
      <c r="F80" s="145">
        <v>0</v>
      </c>
      <c r="G80" s="40">
        <f t="shared" si="13"/>
        <v>0</v>
      </c>
      <c r="H80" s="215"/>
      <c r="I80" s="145">
        <f t="shared" si="9"/>
        <v>0</v>
      </c>
      <c r="J80" s="40">
        <f t="shared" si="15"/>
        <v>0</v>
      </c>
      <c r="K80" s="215"/>
      <c r="L80" s="145">
        <f t="shared" si="14"/>
        <v>0</v>
      </c>
      <c r="M80" s="40">
        <f t="shared" si="11"/>
        <v>0</v>
      </c>
      <c r="N80" s="215"/>
      <c r="O80" s="332"/>
      <c r="P80" s="260" t="e">
        <f t="shared" si="12"/>
        <v>#DIV/0!</v>
      </c>
      <c r="Q80" s="366"/>
    </row>
    <row r="81" spans="2:17" ht="30" x14ac:dyDescent="0.25">
      <c r="B81" s="50" t="s">
        <v>502</v>
      </c>
      <c r="C81" s="65" t="s">
        <v>431</v>
      </c>
      <c r="D81" s="124" t="s">
        <v>501</v>
      </c>
      <c r="E81" s="145">
        <v>1403714</v>
      </c>
      <c r="F81" s="172">
        <v>1403714</v>
      </c>
      <c r="G81" s="48">
        <f t="shared" si="13"/>
        <v>0</v>
      </c>
      <c r="H81" s="215"/>
      <c r="I81" s="172">
        <f t="shared" si="9"/>
        <v>1403714</v>
      </c>
      <c r="J81" s="48">
        <f t="shared" si="15"/>
        <v>0</v>
      </c>
      <c r="K81" s="215"/>
      <c r="L81" s="172">
        <f t="shared" si="14"/>
        <v>1403714</v>
      </c>
      <c r="M81" s="48">
        <f t="shared" si="11"/>
        <v>0</v>
      </c>
      <c r="N81" s="215"/>
      <c r="O81" s="332">
        <v>1736892.93</v>
      </c>
      <c r="P81" s="262">
        <f t="shared" si="12"/>
        <v>1.237355280349131</v>
      </c>
      <c r="Q81" s="366"/>
    </row>
    <row r="82" spans="2:17" ht="44.45" customHeight="1" x14ac:dyDescent="0.25">
      <c r="B82" s="341" t="s">
        <v>688</v>
      </c>
      <c r="C82" s="65" t="s">
        <v>401</v>
      </c>
      <c r="D82" s="124" t="s">
        <v>689</v>
      </c>
      <c r="E82" s="145">
        <v>529141</v>
      </c>
      <c r="F82" s="172">
        <v>529141</v>
      </c>
      <c r="G82" s="48">
        <f>F82-E82</f>
        <v>0</v>
      </c>
      <c r="H82" s="255"/>
      <c r="I82" s="172">
        <f t="shared" si="9"/>
        <v>529141</v>
      </c>
      <c r="J82" s="48">
        <f t="shared" si="15"/>
        <v>0</v>
      </c>
      <c r="K82" s="255"/>
      <c r="L82" s="172">
        <f t="shared" si="14"/>
        <v>529141</v>
      </c>
      <c r="M82" s="48">
        <f t="shared" si="11"/>
        <v>0</v>
      </c>
      <c r="N82" s="255"/>
      <c r="O82" s="332"/>
      <c r="P82" s="262">
        <f t="shared" si="12"/>
        <v>0</v>
      </c>
      <c r="Q82" s="430"/>
    </row>
    <row r="83" spans="2:17" ht="30.75" customHeight="1" x14ac:dyDescent="0.25">
      <c r="B83" s="256" t="s">
        <v>324</v>
      </c>
      <c r="C83" s="65" t="s">
        <v>430</v>
      </c>
      <c r="D83" s="124" t="s">
        <v>641</v>
      </c>
      <c r="E83" s="145">
        <v>714</v>
      </c>
      <c r="F83" s="172">
        <v>714</v>
      </c>
      <c r="G83" s="48">
        <f t="shared" si="13"/>
        <v>0</v>
      </c>
      <c r="H83" s="255"/>
      <c r="I83" s="172">
        <f t="shared" si="9"/>
        <v>714</v>
      </c>
      <c r="J83" s="48">
        <f t="shared" si="15"/>
        <v>0</v>
      </c>
      <c r="K83" s="255"/>
      <c r="L83" s="172">
        <f t="shared" si="14"/>
        <v>714</v>
      </c>
      <c r="M83" s="48">
        <f t="shared" si="11"/>
        <v>0</v>
      </c>
      <c r="N83" s="255"/>
      <c r="O83" s="332">
        <v>7185.62</v>
      </c>
      <c r="P83" s="262">
        <f t="shared" si="12"/>
        <v>10.063893557422968</v>
      </c>
      <c r="Q83" s="430"/>
    </row>
    <row r="84" spans="2:17" ht="48.6" customHeight="1" x14ac:dyDescent="0.25">
      <c r="B84" s="50" t="s">
        <v>415</v>
      </c>
      <c r="C84" s="65" t="s">
        <v>402</v>
      </c>
      <c r="D84" s="124" t="s">
        <v>416</v>
      </c>
      <c r="E84" s="145">
        <v>345549</v>
      </c>
      <c r="F84" s="172">
        <v>345549</v>
      </c>
      <c r="G84" s="48">
        <f t="shared" si="13"/>
        <v>0</v>
      </c>
      <c r="H84" s="216"/>
      <c r="I84" s="172">
        <f t="shared" si="9"/>
        <v>345549</v>
      </c>
      <c r="J84" s="48">
        <f t="shared" si="15"/>
        <v>0</v>
      </c>
      <c r="K84" s="216"/>
      <c r="L84" s="172">
        <f t="shared" si="14"/>
        <v>345549</v>
      </c>
      <c r="M84" s="48">
        <f t="shared" si="11"/>
        <v>0</v>
      </c>
      <c r="N84" s="216"/>
      <c r="O84" s="332">
        <v>327172.68</v>
      </c>
      <c r="P84" s="274">
        <f t="shared" si="12"/>
        <v>0.94681993002439591</v>
      </c>
      <c r="Q84" s="430"/>
    </row>
    <row r="85" spans="2:17" x14ac:dyDescent="0.25">
      <c r="B85" s="161" t="s">
        <v>355</v>
      </c>
      <c r="C85" s="65" t="s">
        <v>718</v>
      </c>
      <c r="D85" s="124" t="s">
        <v>340</v>
      </c>
      <c r="E85" s="145">
        <v>3050102</v>
      </c>
      <c r="F85" s="172">
        <v>3050102</v>
      </c>
      <c r="G85" s="48">
        <f t="shared" si="13"/>
        <v>0</v>
      </c>
      <c r="H85" s="216"/>
      <c r="I85" s="172">
        <f t="shared" si="9"/>
        <v>3050102</v>
      </c>
      <c r="J85" s="48">
        <f t="shared" si="15"/>
        <v>0</v>
      </c>
      <c r="K85" s="216"/>
      <c r="L85" s="172">
        <f t="shared" si="14"/>
        <v>3050102</v>
      </c>
      <c r="M85" s="48">
        <f t="shared" si="11"/>
        <v>0</v>
      </c>
      <c r="N85" s="216"/>
      <c r="O85" s="332">
        <v>1227338.78</v>
      </c>
      <c r="P85" s="274">
        <f t="shared" si="12"/>
        <v>0.4023927003096946</v>
      </c>
      <c r="Q85" s="430"/>
    </row>
    <row r="86" spans="2:17" ht="30" x14ac:dyDescent="0.25">
      <c r="B86" s="53" t="s">
        <v>639</v>
      </c>
      <c r="C86" s="65" t="s">
        <v>411</v>
      </c>
      <c r="D86" s="124" t="s">
        <v>626</v>
      </c>
      <c r="E86" s="145">
        <v>0</v>
      </c>
      <c r="F86" s="172">
        <v>0</v>
      </c>
      <c r="G86" s="48">
        <f t="shared" si="13"/>
        <v>0</v>
      </c>
      <c r="H86" s="217"/>
      <c r="I86" s="172">
        <f t="shared" si="9"/>
        <v>0</v>
      </c>
      <c r="J86" s="48">
        <f t="shared" si="15"/>
        <v>0</v>
      </c>
      <c r="K86" s="217"/>
      <c r="L86" s="172">
        <f t="shared" si="14"/>
        <v>0</v>
      </c>
      <c r="M86" s="48">
        <f t="shared" si="11"/>
        <v>0</v>
      </c>
      <c r="N86" s="217"/>
      <c r="O86" s="332">
        <v>0</v>
      </c>
      <c r="P86" s="274" t="e">
        <f t="shared" si="12"/>
        <v>#DIV/0!</v>
      </c>
      <c r="Q86" s="430"/>
    </row>
    <row r="87" spans="2:17" ht="18.75" customHeight="1" x14ac:dyDescent="0.25">
      <c r="B87" s="53"/>
      <c r="C87" s="65" t="s">
        <v>411</v>
      </c>
      <c r="D87" s="320" t="s">
        <v>655</v>
      </c>
      <c r="E87" s="380">
        <v>49416</v>
      </c>
      <c r="F87" s="172">
        <v>49416</v>
      </c>
      <c r="G87" s="48">
        <f t="shared" ref="G87:G93" si="16">F87-E87</f>
        <v>0</v>
      </c>
      <c r="H87" s="217"/>
      <c r="I87" s="172">
        <f t="shared" si="9"/>
        <v>49416</v>
      </c>
      <c r="J87" s="48">
        <f t="shared" si="15"/>
        <v>0</v>
      </c>
      <c r="K87" s="217"/>
      <c r="L87" s="172">
        <f t="shared" si="14"/>
        <v>49416</v>
      </c>
      <c r="M87" s="48">
        <f t="shared" si="11"/>
        <v>0</v>
      </c>
      <c r="N87" s="217"/>
      <c r="O87" s="332">
        <f>8115.7+3373</f>
        <v>11488.7</v>
      </c>
      <c r="P87" s="322">
        <f t="shared" si="12"/>
        <v>0.23248947709243972</v>
      </c>
      <c r="Q87" s="434"/>
    </row>
    <row r="88" spans="2:17" ht="46.5" customHeight="1" x14ac:dyDescent="0.25">
      <c r="B88" s="53" t="s">
        <v>514</v>
      </c>
      <c r="C88" s="65" t="s">
        <v>432</v>
      </c>
      <c r="D88" s="320" t="s">
        <v>532</v>
      </c>
      <c r="E88" s="381">
        <v>36495</v>
      </c>
      <c r="F88" s="172">
        <v>36495</v>
      </c>
      <c r="G88" s="48">
        <f t="shared" si="16"/>
        <v>0</v>
      </c>
      <c r="H88" s="335"/>
      <c r="I88" s="172">
        <f t="shared" si="9"/>
        <v>36495</v>
      </c>
      <c r="J88" s="48">
        <f t="shared" si="15"/>
        <v>0</v>
      </c>
      <c r="K88" s="335"/>
      <c r="L88" s="172">
        <f t="shared" si="14"/>
        <v>36495</v>
      </c>
      <c r="M88" s="48">
        <f t="shared" si="11"/>
        <v>0</v>
      </c>
      <c r="N88" s="335"/>
      <c r="O88" s="332"/>
      <c r="P88" s="333">
        <f t="shared" si="12"/>
        <v>0</v>
      </c>
      <c r="Q88" s="435"/>
    </row>
    <row r="89" spans="2:17" ht="63" customHeight="1" x14ac:dyDescent="0.25">
      <c r="B89" s="53"/>
      <c r="C89" s="65" t="s">
        <v>433</v>
      </c>
      <c r="D89" s="334" t="s">
        <v>674</v>
      </c>
      <c r="E89" s="381">
        <v>768795</v>
      </c>
      <c r="F89" s="172">
        <v>768795</v>
      </c>
      <c r="G89" s="48">
        <f t="shared" si="16"/>
        <v>0</v>
      </c>
      <c r="H89" s="335"/>
      <c r="I89" s="172">
        <f t="shared" si="9"/>
        <v>768795</v>
      </c>
      <c r="J89" s="48">
        <f t="shared" si="15"/>
        <v>0</v>
      </c>
      <c r="K89" s="335"/>
      <c r="L89" s="172">
        <f t="shared" si="14"/>
        <v>768795</v>
      </c>
      <c r="M89" s="48">
        <f t="shared" si="11"/>
        <v>0</v>
      </c>
      <c r="N89" s="335"/>
      <c r="O89" s="332"/>
      <c r="P89" s="333">
        <f t="shared" si="12"/>
        <v>0</v>
      </c>
      <c r="Q89" s="435"/>
    </row>
    <row r="90" spans="2:17" ht="33.75" customHeight="1" x14ac:dyDescent="0.25">
      <c r="B90" s="53"/>
      <c r="C90" s="65" t="s">
        <v>719</v>
      </c>
      <c r="D90" s="334" t="s">
        <v>687</v>
      </c>
      <c r="E90" s="381">
        <v>309907</v>
      </c>
      <c r="F90" s="172">
        <v>309907</v>
      </c>
      <c r="G90" s="48">
        <f t="shared" si="16"/>
        <v>0</v>
      </c>
      <c r="H90" s="335"/>
      <c r="I90" s="172">
        <f t="shared" si="9"/>
        <v>309907</v>
      </c>
      <c r="J90" s="48">
        <f t="shared" si="15"/>
        <v>0</v>
      </c>
      <c r="K90" s="335"/>
      <c r="L90" s="172">
        <f t="shared" si="14"/>
        <v>309907</v>
      </c>
      <c r="M90" s="48">
        <f t="shared" si="11"/>
        <v>0</v>
      </c>
      <c r="N90" s="335"/>
      <c r="O90" s="332"/>
      <c r="P90" s="333">
        <f t="shared" si="12"/>
        <v>0</v>
      </c>
      <c r="Q90" s="435"/>
    </row>
    <row r="91" spans="2:17" ht="36" customHeight="1" x14ac:dyDescent="0.25">
      <c r="B91" s="53"/>
      <c r="C91" s="65" t="s">
        <v>450</v>
      </c>
      <c r="D91" s="334" t="s">
        <v>677</v>
      </c>
      <c r="E91" s="381">
        <v>97353</v>
      </c>
      <c r="F91" s="172">
        <v>97353</v>
      </c>
      <c r="G91" s="48">
        <f t="shared" si="16"/>
        <v>0</v>
      </c>
      <c r="H91" s="335"/>
      <c r="I91" s="172">
        <f t="shared" si="9"/>
        <v>97353</v>
      </c>
      <c r="J91" s="48">
        <f t="shared" si="15"/>
        <v>0</v>
      </c>
      <c r="K91" s="335"/>
      <c r="L91" s="172">
        <f t="shared" si="14"/>
        <v>97353</v>
      </c>
      <c r="M91" s="48">
        <f t="shared" si="11"/>
        <v>0</v>
      </c>
      <c r="N91" s="335"/>
      <c r="O91" s="332"/>
      <c r="P91" s="333">
        <f t="shared" si="12"/>
        <v>0</v>
      </c>
      <c r="Q91" s="435"/>
    </row>
    <row r="92" spans="2:17" ht="36" customHeight="1" x14ac:dyDescent="0.25">
      <c r="B92" s="53"/>
      <c r="C92" s="65" t="s">
        <v>654</v>
      </c>
      <c r="D92" s="342" t="s">
        <v>691</v>
      </c>
      <c r="E92" s="381">
        <v>140804</v>
      </c>
      <c r="F92" s="172">
        <v>140804</v>
      </c>
      <c r="G92" s="48">
        <f t="shared" si="16"/>
        <v>0</v>
      </c>
      <c r="H92" s="335"/>
      <c r="I92" s="172">
        <f t="shared" si="9"/>
        <v>140804</v>
      </c>
      <c r="J92" s="48">
        <f t="shared" si="15"/>
        <v>0</v>
      </c>
      <c r="K92" s="335"/>
      <c r="L92" s="172">
        <f t="shared" si="14"/>
        <v>140804</v>
      </c>
      <c r="M92" s="48">
        <f t="shared" si="11"/>
        <v>0</v>
      </c>
      <c r="N92" s="335"/>
      <c r="O92" s="332">
        <v>42241</v>
      </c>
      <c r="P92" s="333">
        <f t="shared" si="12"/>
        <v>0.29999857958580722</v>
      </c>
      <c r="Q92" s="435"/>
    </row>
    <row r="93" spans="2:17" ht="18.75" customHeight="1" x14ac:dyDescent="0.25">
      <c r="B93" s="53"/>
      <c r="C93" s="65" t="s">
        <v>683</v>
      </c>
      <c r="D93" s="342" t="s">
        <v>692</v>
      </c>
      <c r="E93" s="381">
        <v>270000</v>
      </c>
      <c r="F93" s="172">
        <v>270000</v>
      </c>
      <c r="G93" s="48">
        <f t="shared" si="16"/>
        <v>0</v>
      </c>
      <c r="H93" s="335"/>
      <c r="I93" s="172">
        <f t="shared" si="9"/>
        <v>270000</v>
      </c>
      <c r="J93" s="48">
        <f t="shared" si="15"/>
        <v>0</v>
      </c>
      <c r="K93" s="335"/>
      <c r="L93" s="172">
        <f t="shared" si="14"/>
        <v>270000</v>
      </c>
      <c r="M93" s="48">
        <f t="shared" si="11"/>
        <v>0</v>
      </c>
      <c r="N93" s="335"/>
      <c r="O93" s="332"/>
      <c r="P93" s="333">
        <f t="shared" si="12"/>
        <v>0</v>
      </c>
      <c r="Q93" s="435"/>
    </row>
    <row r="94" spans="2:17" ht="22.5" customHeight="1" x14ac:dyDescent="0.25">
      <c r="B94" s="10" t="s">
        <v>385</v>
      </c>
      <c r="C94" s="68" t="s">
        <v>387</v>
      </c>
      <c r="D94" s="111" t="s">
        <v>386</v>
      </c>
      <c r="E94" s="35">
        <v>947155</v>
      </c>
      <c r="F94" s="35">
        <v>947155</v>
      </c>
      <c r="G94" s="17">
        <f t="shared" si="13"/>
        <v>0</v>
      </c>
      <c r="H94" s="209"/>
      <c r="I94" s="35">
        <f t="shared" si="9"/>
        <v>947155</v>
      </c>
      <c r="J94" s="17">
        <f t="shared" si="15"/>
        <v>0</v>
      </c>
      <c r="K94" s="209"/>
      <c r="L94" s="35">
        <f t="shared" si="14"/>
        <v>947155</v>
      </c>
      <c r="M94" s="17">
        <f t="shared" si="11"/>
        <v>0</v>
      </c>
      <c r="N94" s="209"/>
      <c r="O94" s="463">
        <v>473577.6</v>
      </c>
      <c r="P94" s="272">
        <f t="shared" si="12"/>
        <v>0.50000010557934016</v>
      </c>
      <c r="Q94" s="368"/>
    </row>
    <row r="95" spans="2:17" x14ac:dyDescent="0.25">
      <c r="C95" s="67" t="s">
        <v>107</v>
      </c>
      <c r="D95" s="64" t="s">
        <v>108</v>
      </c>
      <c r="E95" s="169">
        <v>355000</v>
      </c>
      <c r="F95" s="169">
        <v>355000</v>
      </c>
      <c r="G95" s="12">
        <f t="shared" si="13"/>
        <v>0</v>
      </c>
      <c r="H95" s="196"/>
      <c r="I95" s="169">
        <f>I96+I97</f>
        <v>355000</v>
      </c>
      <c r="J95" s="12">
        <f t="shared" si="15"/>
        <v>0</v>
      </c>
      <c r="K95" s="196"/>
      <c r="L95" s="169">
        <f>L96+L97</f>
        <v>355000</v>
      </c>
      <c r="M95" s="12">
        <f t="shared" si="11"/>
        <v>0</v>
      </c>
      <c r="N95" s="196"/>
      <c r="O95" s="156">
        <f>O96+O97</f>
        <v>227530.2</v>
      </c>
      <c r="P95" s="280">
        <f t="shared" si="12"/>
        <v>0.6409301408450705</v>
      </c>
      <c r="Q95" s="428"/>
    </row>
    <row r="96" spans="2:17" ht="32.25" customHeight="1" x14ac:dyDescent="0.25">
      <c r="B96" s="2" t="s">
        <v>109</v>
      </c>
      <c r="C96" s="61" t="s">
        <v>110</v>
      </c>
      <c r="D96" s="62" t="s">
        <v>111</v>
      </c>
      <c r="E96" s="145">
        <v>355000</v>
      </c>
      <c r="F96" s="145">
        <v>355000</v>
      </c>
      <c r="G96" s="11">
        <f t="shared" si="13"/>
        <v>0</v>
      </c>
      <c r="H96" s="183"/>
      <c r="I96" s="145">
        <f>ROUND(F96,0)</f>
        <v>355000</v>
      </c>
      <c r="J96" s="11">
        <f t="shared" si="15"/>
        <v>0</v>
      </c>
      <c r="K96" s="183"/>
      <c r="L96" s="145">
        <f>ROUND(I96,0)</f>
        <v>355000</v>
      </c>
      <c r="M96" s="11">
        <f t="shared" si="11"/>
        <v>0</v>
      </c>
      <c r="N96" s="183"/>
      <c r="O96" s="332">
        <v>227530.2</v>
      </c>
      <c r="P96" s="260">
        <f t="shared" si="12"/>
        <v>0.6409301408450705</v>
      </c>
      <c r="Q96" s="366" t="s">
        <v>653</v>
      </c>
    </row>
    <row r="97" spans="1:17" ht="16.149999999999999" customHeight="1" x14ac:dyDescent="0.25">
      <c r="B97" s="2" t="s">
        <v>245</v>
      </c>
      <c r="C97" s="61" t="s">
        <v>112</v>
      </c>
      <c r="D97" s="62" t="s">
        <v>246</v>
      </c>
      <c r="E97" s="145">
        <v>0</v>
      </c>
      <c r="F97" s="145">
        <v>0</v>
      </c>
      <c r="G97" s="11">
        <f t="shared" si="13"/>
        <v>0</v>
      </c>
      <c r="H97" s="185"/>
      <c r="I97" s="145">
        <f>ROUND(F97,0)</f>
        <v>0</v>
      </c>
      <c r="J97" s="11">
        <f t="shared" si="15"/>
        <v>0</v>
      </c>
      <c r="K97" s="185"/>
      <c r="L97" s="145">
        <f>ROUND(I97,0)</f>
        <v>0</v>
      </c>
      <c r="M97" s="11">
        <f t="shared" si="11"/>
        <v>0</v>
      </c>
      <c r="N97" s="185"/>
      <c r="O97" s="332">
        <v>0</v>
      </c>
      <c r="P97" s="260" t="e">
        <f t="shared" si="12"/>
        <v>#DIV/0!</v>
      </c>
      <c r="Q97" s="366"/>
    </row>
    <row r="98" spans="1:17" ht="18" customHeight="1" x14ac:dyDescent="0.25">
      <c r="C98" s="67" t="s">
        <v>113</v>
      </c>
      <c r="D98" s="64" t="s">
        <v>114</v>
      </c>
      <c r="E98" s="169">
        <v>733037</v>
      </c>
      <c r="F98" s="169">
        <v>746967</v>
      </c>
      <c r="G98" s="12">
        <f t="shared" si="13"/>
        <v>13930</v>
      </c>
      <c r="H98" s="261"/>
      <c r="I98" s="169">
        <f>I99+I102+I105+I109+I112</f>
        <v>826029</v>
      </c>
      <c r="J98" s="12">
        <f t="shared" si="15"/>
        <v>79062</v>
      </c>
      <c r="K98" s="261"/>
      <c r="L98" s="169">
        <f>L99+L102+L105+L109+L112</f>
        <v>880341</v>
      </c>
      <c r="M98" s="12">
        <f t="shared" si="11"/>
        <v>54312</v>
      </c>
      <c r="N98" s="261"/>
      <c r="O98" s="156">
        <f>O99+O102+O105+O109+O112</f>
        <v>513100.11</v>
      </c>
      <c r="P98" s="280">
        <f t="shared" si="12"/>
        <v>0.62116476540169896</v>
      </c>
      <c r="Q98" s="436"/>
    </row>
    <row r="99" spans="1:17" x14ac:dyDescent="0.25">
      <c r="A99" s="2" t="s">
        <v>10</v>
      </c>
      <c r="B99" s="2" t="s">
        <v>115</v>
      </c>
      <c r="C99" s="61" t="s">
        <v>116</v>
      </c>
      <c r="D99" s="62" t="s">
        <v>442</v>
      </c>
      <c r="E99" s="145">
        <v>175118</v>
      </c>
      <c r="F99" s="145">
        <v>175118</v>
      </c>
      <c r="G99" s="11">
        <f t="shared" si="13"/>
        <v>0</v>
      </c>
      <c r="H99" s="185"/>
      <c r="I99" s="145">
        <f>SUM(I100:I101)</f>
        <v>175118</v>
      </c>
      <c r="J99" s="11">
        <f t="shared" si="15"/>
        <v>0</v>
      </c>
      <c r="K99" s="185"/>
      <c r="L99" s="145">
        <f>SUM(L100:L101)</f>
        <v>175118</v>
      </c>
      <c r="M99" s="11">
        <f t="shared" si="11"/>
        <v>0</v>
      </c>
      <c r="N99" s="185"/>
      <c r="O99" s="381">
        <f>SUM(O100:O101)</f>
        <v>124477.06</v>
      </c>
      <c r="P99" s="260">
        <f t="shared" si="12"/>
        <v>0.71081819116253042</v>
      </c>
      <c r="Q99" s="366"/>
    </row>
    <row r="100" spans="1:17" ht="14.25" customHeight="1" x14ac:dyDescent="0.25">
      <c r="B100" s="2" t="s">
        <v>118</v>
      </c>
      <c r="C100" s="69" t="s">
        <v>117</v>
      </c>
      <c r="D100" s="70" t="s">
        <v>438</v>
      </c>
      <c r="E100" s="145">
        <v>12318</v>
      </c>
      <c r="F100" s="145">
        <v>12318</v>
      </c>
      <c r="G100" s="11">
        <f t="shared" si="13"/>
        <v>0</v>
      </c>
      <c r="H100" s="197"/>
      <c r="I100" s="145">
        <f>ROUND(F100,0)</f>
        <v>12318</v>
      </c>
      <c r="J100" s="11">
        <f t="shared" si="15"/>
        <v>0</v>
      </c>
      <c r="K100" s="197"/>
      <c r="L100" s="145">
        <f>ROUND(I100,0)</f>
        <v>12318</v>
      </c>
      <c r="M100" s="11">
        <f t="shared" si="11"/>
        <v>0</v>
      </c>
      <c r="N100" s="197"/>
      <c r="O100" s="332">
        <v>9305.59</v>
      </c>
      <c r="P100" s="260">
        <f t="shared" si="12"/>
        <v>0.75544650105536615</v>
      </c>
      <c r="Q100" s="366"/>
    </row>
    <row r="101" spans="1:17" ht="30" customHeight="1" x14ac:dyDescent="0.25">
      <c r="B101" s="2" t="s">
        <v>120</v>
      </c>
      <c r="C101" s="69" t="s">
        <v>119</v>
      </c>
      <c r="D101" s="100" t="s">
        <v>439</v>
      </c>
      <c r="E101" s="145">
        <v>162800</v>
      </c>
      <c r="F101" s="145">
        <v>162800</v>
      </c>
      <c r="G101" s="11">
        <f t="shared" si="13"/>
        <v>0</v>
      </c>
      <c r="H101" s="197"/>
      <c r="I101" s="145">
        <f>ROUND(F101,0)</f>
        <v>162800</v>
      </c>
      <c r="J101" s="11">
        <f t="shared" si="15"/>
        <v>0</v>
      </c>
      <c r="K101" s="197"/>
      <c r="L101" s="145">
        <f>ROUND(I101,0)</f>
        <v>162800</v>
      </c>
      <c r="M101" s="11">
        <f t="shared" si="11"/>
        <v>0</v>
      </c>
      <c r="N101" s="197"/>
      <c r="O101" s="332">
        <v>115171.47</v>
      </c>
      <c r="P101" s="260">
        <f t="shared" si="12"/>
        <v>0.70744146191646196</v>
      </c>
      <c r="Q101" s="366"/>
    </row>
    <row r="102" spans="1:17" ht="13.9" customHeight="1" x14ac:dyDescent="0.25">
      <c r="C102" s="61" t="s">
        <v>122</v>
      </c>
      <c r="D102" s="62" t="s">
        <v>539</v>
      </c>
      <c r="E102" s="172">
        <v>17472</v>
      </c>
      <c r="F102" s="172">
        <v>17472</v>
      </c>
      <c r="G102" s="48">
        <f t="shared" si="13"/>
        <v>0</v>
      </c>
      <c r="H102" s="218"/>
      <c r="I102" s="172">
        <f>I103+I104</f>
        <v>84534</v>
      </c>
      <c r="J102" s="48">
        <f t="shared" si="15"/>
        <v>67062</v>
      </c>
      <c r="K102" s="218"/>
      <c r="L102" s="172">
        <f>L103+L104</f>
        <v>121846</v>
      </c>
      <c r="M102" s="48">
        <f t="shared" si="11"/>
        <v>37312</v>
      </c>
      <c r="N102" s="218"/>
      <c r="O102" s="332">
        <f>O103+O104</f>
        <v>104374.39999999999</v>
      </c>
      <c r="P102" s="262">
        <f t="shared" si="12"/>
        <v>1.2347031963470319</v>
      </c>
      <c r="Q102" s="366"/>
    </row>
    <row r="103" spans="1:17" x14ac:dyDescent="0.25">
      <c r="B103" s="2" t="s">
        <v>537</v>
      </c>
      <c r="C103" s="69" t="s">
        <v>125</v>
      </c>
      <c r="D103" s="70" t="s">
        <v>311</v>
      </c>
      <c r="E103" s="145">
        <v>17472</v>
      </c>
      <c r="F103" s="145">
        <v>17472</v>
      </c>
      <c r="G103" s="48">
        <f>F103-E103</f>
        <v>0</v>
      </c>
      <c r="H103" s="208"/>
      <c r="I103" s="145">
        <f>ROUND(F103,0)+67062</f>
        <v>84534</v>
      </c>
      <c r="J103" s="48">
        <f t="shared" si="15"/>
        <v>67062</v>
      </c>
      <c r="K103" s="208" t="s">
        <v>727</v>
      </c>
      <c r="L103" s="145">
        <f>ROUND(I103,0)+37312</f>
        <v>121846</v>
      </c>
      <c r="M103" s="48">
        <f t="shared" si="11"/>
        <v>37312</v>
      </c>
      <c r="N103" s="208" t="s">
        <v>763</v>
      </c>
      <c r="O103" s="332">
        <v>104374.39999999999</v>
      </c>
      <c r="P103" s="262">
        <f t="shared" si="12"/>
        <v>1.2347031963470319</v>
      </c>
      <c r="Q103" s="366"/>
    </row>
    <row r="104" spans="1:17" ht="15.75" customHeight="1" x14ac:dyDescent="0.25">
      <c r="B104" s="163" t="s">
        <v>403</v>
      </c>
      <c r="C104" s="69" t="s">
        <v>127</v>
      </c>
      <c r="D104" s="124" t="s">
        <v>618</v>
      </c>
      <c r="E104" s="145">
        <v>0</v>
      </c>
      <c r="F104" s="145">
        <v>0</v>
      </c>
      <c r="G104" s="48">
        <f t="shared" si="13"/>
        <v>0</v>
      </c>
      <c r="H104" s="200"/>
      <c r="I104" s="145">
        <f>ROUND(F104,0)</f>
        <v>0</v>
      </c>
      <c r="J104" s="48">
        <f t="shared" si="15"/>
        <v>0</v>
      </c>
      <c r="K104" s="200"/>
      <c r="L104" s="145">
        <f>ROUND(I104,0)</f>
        <v>0</v>
      </c>
      <c r="M104" s="48">
        <f t="shared" si="11"/>
        <v>0</v>
      </c>
      <c r="N104" s="200"/>
      <c r="O104" s="332"/>
      <c r="P104" s="262" t="e">
        <f t="shared" si="12"/>
        <v>#DIV/0!</v>
      </c>
      <c r="Q104" s="366"/>
    </row>
    <row r="105" spans="1:17" x14ac:dyDescent="0.25">
      <c r="A105" s="2" t="s">
        <v>10</v>
      </c>
      <c r="B105" s="2" t="s">
        <v>121</v>
      </c>
      <c r="C105" s="61" t="s">
        <v>129</v>
      </c>
      <c r="D105" s="62" t="s">
        <v>123</v>
      </c>
      <c r="E105" s="145">
        <v>339912</v>
      </c>
      <c r="F105" s="145">
        <v>339912</v>
      </c>
      <c r="G105" s="11">
        <f t="shared" si="13"/>
        <v>0</v>
      </c>
      <c r="H105" s="185"/>
      <c r="I105" s="145">
        <f>SUM(I106:I108)</f>
        <v>339912</v>
      </c>
      <c r="J105" s="11">
        <f t="shared" si="15"/>
        <v>0</v>
      </c>
      <c r="K105" s="185"/>
      <c r="L105" s="145">
        <f>SUM(L106:L108)</f>
        <v>356912</v>
      </c>
      <c r="M105" s="11">
        <f t="shared" si="11"/>
        <v>17000</v>
      </c>
      <c r="N105" s="185"/>
      <c r="O105" s="332">
        <f>SUM(O106:O108)</f>
        <v>188305.99</v>
      </c>
      <c r="P105" s="260">
        <f t="shared" si="12"/>
        <v>0.55398453129045166</v>
      </c>
      <c r="Q105" s="366"/>
    </row>
    <row r="106" spans="1:17" ht="16.5" customHeight="1" x14ac:dyDescent="0.25">
      <c r="B106" s="2" t="s">
        <v>124</v>
      </c>
      <c r="C106" s="69" t="s">
        <v>297</v>
      </c>
      <c r="D106" s="70" t="s">
        <v>299</v>
      </c>
      <c r="E106" s="145">
        <v>236912</v>
      </c>
      <c r="F106" s="145">
        <v>236912</v>
      </c>
      <c r="G106" s="11">
        <f t="shared" si="13"/>
        <v>0</v>
      </c>
      <c r="H106" s="183"/>
      <c r="I106" s="145">
        <f>ROUND(F106,0)</f>
        <v>236912</v>
      </c>
      <c r="J106" s="11">
        <f t="shared" si="15"/>
        <v>0</v>
      </c>
      <c r="K106" s="183"/>
      <c r="L106" s="145">
        <f>ROUND(I106,0)</f>
        <v>236912</v>
      </c>
      <c r="M106" s="11">
        <f t="shared" si="11"/>
        <v>0</v>
      </c>
      <c r="N106" s="183"/>
      <c r="O106" s="332">
        <f>146983.4+124</f>
        <v>147107.4</v>
      </c>
      <c r="P106" s="260">
        <f t="shared" si="12"/>
        <v>0.62093688795839808</v>
      </c>
      <c r="Q106" s="366"/>
    </row>
    <row r="107" spans="1:17" ht="75" x14ac:dyDescent="0.25">
      <c r="B107" s="2" t="s">
        <v>126</v>
      </c>
      <c r="C107" s="69" t="s">
        <v>298</v>
      </c>
      <c r="D107" s="70" t="s">
        <v>300</v>
      </c>
      <c r="E107" s="145">
        <v>103000</v>
      </c>
      <c r="F107" s="145">
        <v>103000</v>
      </c>
      <c r="G107" s="11">
        <f t="shared" si="13"/>
        <v>0</v>
      </c>
      <c r="H107" s="185"/>
      <c r="I107" s="145">
        <f>ROUND(F107,0)</f>
        <v>103000</v>
      </c>
      <c r="J107" s="11">
        <f t="shared" si="15"/>
        <v>0</v>
      </c>
      <c r="K107" s="185"/>
      <c r="L107" s="145">
        <f>ROUND(I107,0)+17000</f>
        <v>120000</v>
      </c>
      <c r="M107" s="11">
        <f t="shared" si="11"/>
        <v>17000</v>
      </c>
      <c r="N107" s="183" t="s">
        <v>760</v>
      </c>
      <c r="O107" s="332">
        <v>36790.69</v>
      </c>
      <c r="P107" s="260">
        <f t="shared" si="12"/>
        <v>0.3571911650485437</v>
      </c>
      <c r="Q107" s="366"/>
    </row>
    <row r="108" spans="1:17" x14ac:dyDescent="0.25">
      <c r="B108" s="2" t="s">
        <v>412</v>
      </c>
      <c r="C108" s="69" t="s">
        <v>301</v>
      </c>
      <c r="D108" s="124" t="s">
        <v>302</v>
      </c>
      <c r="E108" s="145">
        <v>0</v>
      </c>
      <c r="F108" s="145">
        <v>0</v>
      </c>
      <c r="G108" s="48">
        <f t="shared" si="13"/>
        <v>0</v>
      </c>
      <c r="H108" s="202"/>
      <c r="I108" s="145">
        <f>ROUND(F108,0)</f>
        <v>0</v>
      </c>
      <c r="J108" s="48">
        <f t="shared" si="15"/>
        <v>0</v>
      </c>
      <c r="K108" s="202"/>
      <c r="L108" s="145">
        <f>ROUND(I108,0)</f>
        <v>0</v>
      </c>
      <c r="M108" s="48">
        <f t="shared" si="11"/>
        <v>0</v>
      </c>
      <c r="N108" s="202"/>
      <c r="O108" s="332">
        <f>272.9+4135</f>
        <v>4407.8999999999996</v>
      </c>
      <c r="P108" s="262" t="e">
        <f t="shared" si="12"/>
        <v>#DIV/0!</v>
      </c>
      <c r="Q108" s="366"/>
    </row>
    <row r="109" spans="1:17" ht="16.899999999999999" customHeight="1" x14ac:dyDescent="0.25">
      <c r="A109" s="2" t="s">
        <v>10</v>
      </c>
      <c r="B109" s="2" t="s">
        <v>128</v>
      </c>
      <c r="C109" s="61" t="s">
        <v>131</v>
      </c>
      <c r="D109" s="62" t="s">
        <v>130</v>
      </c>
      <c r="E109" s="145">
        <v>110535</v>
      </c>
      <c r="F109" s="145">
        <v>110535</v>
      </c>
      <c r="G109" s="11">
        <f t="shared" si="13"/>
        <v>0</v>
      </c>
      <c r="H109" s="219"/>
      <c r="I109" s="145">
        <f>SUM(I110:I111)</f>
        <v>122535</v>
      </c>
      <c r="J109" s="11">
        <f t="shared" si="15"/>
        <v>12000</v>
      </c>
      <c r="K109" s="219"/>
      <c r="L109" s="145">
        <f>SUM(L110:L111)</f>
        <v>122535</v>
      </c>
      <c r="M109" s="11">
        <f t="shared" si="11"/>
        <v>0</v>
      </c>
      <c r="N109" s="219"/>
      <c r="O109" s="332">
        <f>SUM(O110:O111)</f>
        <v>30548.46</v>
      </c>
      <c r="P109" s="260">
        <f t="shared" si="12"/>
        <v>0.24930395397233443</v>
      </c>
      <c r="Q109" s="366"/>
    </row>
    <row r="110" spans="1:17" ht="16.899999999999999" customHeight="1" x14ac:dyDescent="0.25">
      <c r="A110" s="53" t="s">
        <v>217</v>
      </c>
      <c r="C110" s="69" t="s">
        <v>282</v>
      </c>
      <c r="D110" s="70" t="s">
        <v>130</v>
      </c>
      <c r="E110" s="145">
        <v>108535</v>
      </c>
      <c r="F110" s="145">
        <v>108535</v>
      </c>
      <c r="G110" s="48">
        <f t="shared" si="13"/>
        <v>0</v>
      </c>
      <c r="H110" s="202"/>
      <c r="I110" s="145">
        <f>ROUND(F110,0)</f>
        <v>108535</v>
      </c>
      <c r="J110" s="48">
        <f t="shared" si="15"/>
        <v>0</v>
      </c>
      <c r="K110" s="202"/>
      <c r="L110" s="145">
        <f>ROUND(I110,0)</f>
        <v>108535</v>
      </c>
      <c r="M110" s="48">
        <f t="shared" si="11"/>
        <v>0</v>
      </c>
      <c r="N110" s="202"/>
      <c r="O110" s="332">
        <f>27871.46+1901+491</f>
        <v>30263.46</v>
      </c>
      <c r="P110" s="262">
        <f t="shared" si="12"/>
        <v>0.27883595153637075</v>
      </c>
      <c r="Q110" s="366"/>
    </row>
    <row r="111" spans="1:17" ht="16.5" customHeight="1" x14ac:dyDescent="0.25">
      <c r="B111" s="2" t="s">
        <v>440</v>
      </c>
      <c r="C111" s="69" t="s">
        <v>283</v>
      </c>
      <c r="D111" s="70" t="s">
        <v>441</v>
      </c>
      <c r="E111" s="145">
        <v>2000</v>
      </c>
      <c r="F111" s="145">
        <v>2000</v>
      </c>
      <c r="G111" s="48">
        <f t="shared" si="13"/>
        <v>0</v>
      </c>
      <c r="H111" s="202"/>
      <c r="I111" s="145">
        <f>ROUND(F111,0)+12000</f>
        <v>14000</v>
      </c>
      <c r="J111" s="48">
        <f t="shared" si="15"/>
        <v>12000</v>
      </c>
      <c r="K111" s="219" t="s">
        <v>740</v>
      </c>
      <c r="L111" s="145">
        <f>ROUND(I111,0)</f>
        <v>14000</v>
      </c>
      <c r="M111" s="48">
        <f t="shared" si="11"/>
        <v>0</v>
      </c>
      <c r="N111" s="219"/>
      <c r="O111" s="332">
        <v>285</v>
      </c>
      <c r="P111" s="262">
        <f t="shared" si="12"/>
        <v>2.0357142857142858E-2</v>
      </c>
      <c r="Q111" s="366"/>
    </row>
    <row r="112" spans="1:17" ht="17.45" customHeight="1" thickBot="1" x14ac:dyDescent="0.3">
      <c r="A112" s="2" t="s">
        <v>10</v>
      </c>
      <c r="B112" s="168" t="s">
        <v>489</v>
      </c>
      <c r="C112" s="61" t="s">
        <v>284</v>
      </c>
      <c r="D112" s="62" t="s">
        <v>443</v>
      </c>
      <c r="E112" s="145">
        <v>90000</v>
      </c>
      <c r="F112" s="145">
        <v>103930</v>
      </c>
      <c r="G112" s="11">
        <f t="shared" si="13"/>
        <v>13930</v>
      </c>
      <c r="H112" s="183" t="s">
        <v>705</v>
      </c>
      <c r="I112" s="145">
        <f>ROUND(F112,0)</f>
        <v>103930</v>
      </c>
      <c r="J112" s="11">
        <f t="shared" si="15"/>
        <v>0</v>
      </c>
      <c r="K112" s="183"/>
      <c r="L112" s="145">
        <f>ROUND(I112,0)</f>
        <v>103930</v>
      </c>
      <c r="M112" s="11">
        <f t="shared" si="11"/>
        <v>0</v>
      </c>
      <c r="N112" s="183"/>
      <c r="O112" s="332">
        <f>49732.2+3887-1+11776</f>
        <v>65394.2</v>
      </c>
      <c r="P112" s="260">
        <f t="shared" si="12"/>
        <v>0.62921389396709326</v>
      </c>
      <c r="Q112" s="430"/>
    </row>
    <row r="113" spans="1:18" ht="15" customHeight="1" thickBot="1" x14ac:dyDescent="0.3">
      <c r="C113" s="19"/>
      <c r="D113" s="20" t="s">
        <v>132</v>
      </c>
      <c r="E113" s="382">
        <v>67459867</v>
      </c>
      <c r="F113" s="382">
        <v>67519371</v>
      </c>
      <c r="G113" s="38">
        <f t="shared" si="13"/>
        <v>59504</v>
      </c>
      <c r="H113" s="220"/>
      <c r="I113" s="382">
        <f>I7+I10+I13+I16+I19+I22+I34+I37+I41+I42+I95+I98</f>
        <v>67783550</v>
      </c>
      <c r="J113" s="38">
        <f t="shared" si="15"/>
        <v>264179</v>
      </c>
      <c r="K113" s="220"/>
      <c r="L113" s="382">
        <f>L7+L10+L13+L16+L19+L22+L34+L37+L41+L42+L95+L98</f>
        <v>68328919</v>
      </c>
      <c r="M113" s="38">
        <f t="shared" si="11"/>
        <v>545369</v>
      </c>
      <c r="N113" s="220"/>
      <c r="O113" s="38">
        <f>O7+O10+O13+O16+O19+O22+O34+O37+O41+O42+O95+O98</f>
        <v>34205117.039999999</v>
      </c>
      <c r="P113" s="288">
        <f t="shared" si="12"/>
        <v>0.50462268559259582</v>
      </c>
      <c r="Q113" s="437"/>
    </row>
    <row r="114" spans="1:18" ht="15.75" thickBot="1" x14ac:dyDescent="0.3">
      <c r="C114" s="71" t="s">
        <v>133</v>
      </c>
      <c r="D114" s="146" t="s">
        <v>134</v>
      </c>
      <c r="E114" s="383">
        <v>8710284.1999999993</v>
      </c>
      <c r="F114" s="383">
        <v>8711325</v>
      </c>
      <c r="G114" s="39">
        <f t="shared" si="13"/>
        <v>1040.8000000007451</v>
      </c>
      <c r="H114" s="221"/>
      <c r="I114" s="383">
        <f>SUM(I115:I116)</f>
        <v>8711325</v>
      </c>
      <c r="J114" s="39">
        <f t="shared" si="15"/>
        <v>0</v>
      </c>
      <c r="K114" s="221"/>
      <c r="L114" s="383">
        <f>SUM(L115:L116)</f>
        <v>8711325</v>
      </c>
      <c r="M114" s="39">
        <f t="shared" si="11"/>
        <v>0</v>
      </c>
      <c r="N114" s="221"/>
      <c r="O114" s="39">
        <f>SUM(O115:O116)</f>
        <v>8711325</v>
      </c>
      <c r="P114" s="264">
        <f t="shared" si="12"/>
        <v>1</v>
      </c>
      <c r="Q114" s="361"/>
    </row>
    <row r="115" spans="1:18" ht="14.45" customHeight="1" x14ac:dyDescent="0.25">
      <c r="B115" s="343" t="e">
        <f>#REF!-#REF!</f>
        <v>#REF!</v>
      </c>
      <c r="C115" s="61" t="s">
        <v>135</v>
      </c>
      <c r="D115" s="62" t="s">
        <v>136</v>
      </c>
      <c r="E115" s="145">
        <v>2007294</v>
      </c>
      <c r="F115" s="145">
        <v>2007294</v>
      </c>
      <c r="G115" s="11">
        <f t="shared" si="13"/>
        <v>0</v>
      </c>
      <c r="H115" s="181"/>
      <c r="I115" s="145">
        <f>ROUND(F115,0)-21948</f>
        <v>1985346</v>
      </c>
      <c r="J115" s="11">
        <f t="shared" si="15"/>
        <v>-21948</v>
      </c>
      <c r="K115" s="613" t="s">
        <v>733</v>
      </c>
      <c r="L115" s="145">
        <f>ROUND(I115,0)</f>
        <v>1985346</v>
      </c>
      <c r="M115" s="11">
        <f t="shared" si="11"/>
        <v>0</v>
      </c>
      <c r="N115" s="613"/>
      <c r="O115" s="153">
        <v>2007294</v>
      </c>
      <c r="P115" s="260">
        <f t="shared" si="12"/>
        <v>1.0110549999848892</v>
      </c>
      <c r="Q115" s="366"/>
    </row>
    <row r="116" spans="1:18" x14ac:dyDescent="0.25">
      <c r="C116" s="61" t="s">
        <v>137</v>
      </c>
      <c r="D116" s="62" t="s">
        <v>138</v>
      </c>
      <c r="E116" s="145">
        <v>6702990</v>
      </c>
      <c r="F116" s="145">
        <v>6704031</v>
      </c>
      <c r="G116" s="11">
        <f t="shared" si="13"/>
        <v>1041</v>
      </c>
      <c r="H116" s="185" t="s">
        <v>703</v>
      </c>
      <c r="I116" s="145">
        <f>ROUND(F116,0)+21948</f>
        <v>6725979</v>
      </c>
      <c r="J116" s="11">
        <f t="shared" si="15"/>
        <v>21948</v>
      </c>
      <c r="K116" s="614"/>
      <c r="L116" s="145">
        <f>ROUND(I116,0)</f>
        <v>6725979</v>
      </c>
      <c r="M116" s="11">
        <f t="shared" si="11"/>
        <v>0</v>
      </c>
      <c r="N116" s="614"/>
      <c r="O116" s="153">
        <v>6704031</v>
      </c>
      <c r="P116" s="260">
        <f t="shared" si="12"/>
        <v>0.99673683191695961</v>
      </c>
      <c r="Q116" s="366"/>
    </row>
    <row r="117" spans="1:18" x14ac:dyDescent="0.25">
      <c r="C117" s="67" t="s">
        <v>139</v>
      </c>
      <c r="D117" s="138" t="s">
        <v>140</v>
      </c>
      <c r="E117" s="384">
        <v>10307001</v>
      </c>
      <c r="F117" s="384">
        <v>10307001</v>
      </c>
      <c r="G117" s="12">
        <f t="shared" si="13"/>
        <v>0</v>
      </c>
      <c r="H117" s="196"/>
      <c r="I117" s="384">
        <f>SUM(I118:I126)</f>
        <v>10307001</v>
      </c>
      <c r="J117" s="12">
        <f t="shared" si="15"/>
        <v>0</v>
      </c>
      <c r="K117" s="196"/>
      <c r="L117" s="384">
        <f>SUM(L118:L126)</f>
        <v>10307001</v>
      </c>
      <c r="M117" s="12">
        <f t="shared" si="11"/>
        <v>0</v>
      </c>
      <c r="N117" s="196"/>
      <c r="O117" s="265">
        <f>SUM(O118:O126)</f>
        <v>2179603.67</v>
      </c>
      <c r="P117" s="266">
        <f t="shared" si="12"/>
        <v>0.21146826996524012</v>
      </c>
      <c r="Q117" s="438" t="s">
        <v>471</v>
      </c>
    </row>
    <row r="118" spans="1:18" outlineLevel="1" x14ac:dyDescent="0.25">
      <c r="A118" s="53"/>
      <c r="B118" s="53"/>
      <c r="C118" s="98" t="s">
        <v>423</v>
      </c>
      <c r="D118" s="127" t="s">
        <v>645</v>
      </c>
      <c r="E118" s="385">
        <v>0</v>
      </c>
      <c r="F118" s="414">
        <v>0</v>
      </c>
      <c r="G118" s="404">
        <f t="shared" si="13"/>
        <v>0</v>
      </c>
      <c r="H118" s="222"/>
      <c r="I118" s="414">
        <f t="shared" ref="I118:I126" si="17">ROUND(F118,0)</f>
        <v>0</v>
      </c>
      <c r="J118" s="404">
        <f t="shared" si="15"/>
        <v>0</v>
      </c>
      <c r="K118" s="222"/>
      <c r="L118" s="414">
        <f t="shared" ref="L118:L126" si="18">ROUND(I118,0)</f>
        <v>0</v>
      </c>
      <c r="M118" s="404">
        <f t="shared" si="11"/>
        <v>0</v>
      </c>
      <c r="N118" s="222"/>
      <c r="O118" s="85">
        <f>ROUND(H118,0)</f>
        <v>0</v>
      </c>
      <c r="P118" s="267" t="e">
        <f t="shared" si="12"/>
        <v>#DIV/0!</v>
      </c>
      <c r="Q118" s="439"/>
    </row>
    <row r="119" spans="1:18" ht="30" customHeight="1" x14ac:dyDescent="0.25">
      <c r="A119" s="53" t="s">
        <v>502</v>
      </c>
      <c r="B119" s="53"/>
      <c r="C119" s="98" t="s">
        <v>424</v>
      </c>
      <c r="D119" s="127" t="s">
        <v>501</v>
      </c>
      <c r="E119" s="385">
        <v>7506469</v>
      </c>
      <c r="F119" s="414">
        <v>7506469</v>
      </c>
      <c r="G119" s="404">
        <f t="shared" si="13"/>
        <v>0</v>
      </c>
      <c r="H119" s="222"/>
      <c r="I119" s="414">
        <f t="shared" si="17"/>
        <v>7506469</v>
      </c>
      <c r="J119" s="404">
        <f t="shared" si="15"/>
        <v>0</v>
      </c>
      <c r="K119" s="222"/>
      <c r="L119" s="414">
        <f t="shared" si="18"/>
        <v>7506469</v>
      </c>
      <c r="M119" s="404">
        <f t="shared" si="11"/>
        <v>0</v>
      </c>
      <c r="N119" s="222"/>
      <c r="O119" s="332">
        <v>1648249.67</v>
      </c>
      <c r="P119" s="267">
        <f t="shared" si="12"/>
        <v>0.21957722998656223</v>
      </c>
      <c r="Q119" s="439"/>
    </row>
    <row r="120" spans="1:18" ht="17.45" customHeight="1" x14ac:dyDescent="0.25">
      <c r="A120" s="53"/>
      <c r="B120" s="53"/>
      <c r="C120" s="98" t="s">
        <v>425</v>
      </c>
      <c r="D120" s="167" t="s">
        <v>530</v>
      </c>
      <c r="E120" s="385">
        <v>49699</v>
      </c>
      <c r="F120" s="414">
        <v>49699</v>
      </c>
      <c r="G120" s="404">
        <f t="shared" si="13"/>
        <v>0</v>
      </c>
      <c r="H120" s="223"/>
      <c r="I120" s="414">
        <f t="shared" si="17"/>
        <v>49699</v>
      </c>
      <c r="J120" s="404">
        <f t="shared" si="15"/>
        <v>0</v>
      </c>
      <c r="K120" s="223"/>
      <c r="L120" s="414">
        <f t="shared" si="18"/>
        <v>49699</v>
      </c>
      <c r="M120" s="404">
        <f t="shared" si="11"/>
        <v>0</v>
      </c>
      <c r="N120" s="223"/>
      <c r="O120" s="332">
        <v>53277</v>
      </c>
      <c r="P120" s="268">
        <f t="shared" si="12"/>
        <v>1.0719934002696232</v>
      </c>
      <c r="Q120" s="440"/>
    </row>
    <row r="121" spans="1:18" ht="59.45" customHeight="1" x14ac:dyDescent="0.25">
      <c r="A121" s="53"/>
      <c r="B121" s="53"/>
      <c r="C121" s="98" t="s">
        <v>426</v>
      </c>
      <c r="D121" s="128" t="s">
        <v>478</v>
      </c>
      <c r="E121" s="386">
        <v>0</v>
      </c>
      <c r="F121" s="415">
        <v>0</v>
      </c>
      <c r="G121" s="405">
        <f t="shared" si="13"/>
        <v>0</v>
      </c>
      <c r="H121" s="211"/>
      <c r="I121" s="415">
        <f t="shared" si="17"/>
        <v>0</v>
      </c>
      <c r="J121" s="405">
        <f t="shared" si="15"/>
        <v>0</v>
      </c>
      <c r="K121" s="211"/>
      <c r="L121" s="415">
        <f t="shared" si="18"/>
        <v>0</v>
      </c>
      <c r="M121" s="405">
        <f t="shared" si="11"/>
        <v>0</v>
      </c>
      <c r="N121" s="211"/>
      <c r="O121" s="153"/>
      <c r="P121" s="268" t="e">
        <f t="shared" si="12"/>
        <v>#DIV/0!</v>
      </c>
      <c r="Q121" s="362"/>
    </row>
    <row r="122" spans="1:18" ht="16.899999999999999" customHeight="1" x14ac:dyDescent="0.25">
      <c r="B122" s="53"/>
      <c r="C122" s="98" t="s">
        <v>427</v>
      </c>
      <c r="D122" s="167" t="s">
        <v>634</v>
      </c>
      <c r="E122" s="385">
        <v>479480</v>
      </c>
      <c r="F122" s="416">
        <v>479480</v>
      </c>
      <c r="G122" s="406">
        <f t="shared" si="13"/>
        <v>0</v>
      </c>
      <c r="H122" s="211"/>
      <c r="I122" s="416">
        <f t="shared" si="17"/>
        <v>479480</v>
      </c>
      <c r="J122" s="406">
        <f t="shared" si="15"/>
        <v>0</v>
      </c>
      <c r="K122" s="211"/>
      <c r="L122" s="416">
        <f t="shared" si="18"/>
        <v>479480</v>
      </c>
      <c r="M122" s="406">
        <f t="shared" si="11"/>
        <v>0</v>
      </c>
      <c r="N122" s="211"/>
      <c r="O122" s="332">
        <v>266748</v>
      </c>
      <c r="P122" s="268">
        <f t="shared" si="12"/>
        <v>0.55632768832902313</v>
      </c>
      <c r="Q122" s="440"/>
      <c r="R122" s="276"/>
    </row>
    <row r="123" spans="1:18" ht="29.25" customHeight="1" x14ac:dyDescent="0.25">
      <c r="B123" s="53" t="s">
        <v>619</v>
      </c>
      <c r="C123" s="98" t="s">
        <v>648</v>
      </c>
      <c r="D123" s="128" t="s">
        <v>620</v>
      </c>
      <c r="E123" s="386">
        <v>240428</v>
      </c>
      <c r="F123" s="415">
        <v>240428</v>
      </c>
      <c r="G123" s="106">
        <f t="shared" si="13"/>
        <v>0</v>
      </c>
      <c r="H123" s="224"/>
      <c r="I123" s="415">
        <f t="shared" si="17"/>
        <v>240428</v>
      </c>
      <c r="J123" s="106">
        <f t="shared" si="15"/>
        <v>0</v>
      </c>
      <c r="K123" s="224"/>
      <c r="L123" s="415">
        <f t="shared" si="18"/>
        <v>240428</v>
      </c>
      <c r="M123" s="106">
        <f t="shared" si="11"/>
        <v>0</v>
      </c>
      <c r="N123" s="224"/>
      <c r="O123" s="153">
        <v>0</v>
      </c>
      <c r="P123" s="268">
        <f t="shared" si="12"/>
        <v>0</v>
      </c>
      <c r="Q123" s="362"/>
    </row>
    <row r="124" spans="1:18" ht="18.600000000000001" customHeight="1" outlineLevel="1" x14ac:dyDescent="0.25">
      <c r="B124" s="53" t="s">
        <v>521</v>
      </c>
      <c r="C124" s="103" t="s">
        <v>649</v>
      </c>
      <c r="D124" s="128" t="s">
        <v>481</v>
      </c>
      <c r="E124" s="386">
        <v>1153191</v>
      </c>
      <c r="F124" s="417">
        <v>1153191</v>
      </c>
      <c r="G124" s="407">
        <f t="shared" si="13"/>
        <v>0</v>
      </c>
      <c r="H124" s="211"/>
      <c r="I124" s="417">
        <f t="shared" si="17"/>
        <v>1153191</v>
      </c>
      <c r="J124" s="407">
        <f t="shared" si="15"/>
        <v>0</v>
      </c>
      <c r="K124" s="211"/>
      <c r="L124" s="417">
        <f t="shared" si="18"/>
        <v>1153191</v>
      </c>
      <c r="M124" s="407">
        <f t="shared" si="11"/>
        <v>0</v>
      </c>
      <c r="N124" s="211"/>
      <c r="O124" s="11">
        <f>ROUND(H124,0)</f>
        <v>0</v>
      </c>
      <c r="P124" s="268">
        <f t="shared" si="12"/>
        <v>0</v>
      </c>
      <c r="Q124" s="440"/>
    </row>
    <row r="125" spans="1:18" ht="41.45" customHeight="1" outlineLevel="1" x14ac:dyDescent="0.25">
      <c r="B125" s="53" t="s">
        <v>415</v>
      </c>
      <c r="C125" s="107" t="s">
        <v>650</v>
      </c>
      <c r="D125" s="128" t="s">
        <v>416</v>
      </c>
      <c r="E125" s="386">
        <v>8588</v>
      </c>
      <c r="F125" s="417">
        <v>8588</v>
      </c>
      <c r="G125" s="406">
        <f t="shared" si="13"/>
        <v>0</v>
      </c>
      <c r="H125" s="211"/>
      <c r="I125" s="417">
        <f t="shared" si="17"/>
        <v>8588</v>
      </c>
      <c r="J125" s="406">
        <f t="shared" si="15"/>
        <v>0</v>
      </c>
      <c r="K125" s="211"/>
      <c r="L125" s="417">
        <f t="shared" si="18"/>
        <v>8588</v>
      </c>
      <c r="M125" s="406">
        <f t="shared" si="11"/>
        <v>0</v>
      </c>
      <c r="N125" s="211"/>
      <c r="O125" s="332">
        <v>8588</v>
      </c>
      <c r="P125" s="268">
        <f t="shared" si="12"/>
        <v>1</v>
      </c>
      <c r="Q125" s="440"/>
    </row>
    <row r="126" spans="1:18" ht="26.45" customHeight="1" outlineLevel="1" x14ac:dyDescent="0.25">
      <c r="B126" s="53" t="s">
        <v>355</v>
      </c>
      <c r="C126" s="107" t="s">
        <v>451</v>
      </c>
      <c r="D126" s="159" t="s">
        <v>340</v>
      </c>
      <c r="E126" s="386">
        <v>869146</v>
      </c>
      <c r="F126" s="417">
        <v>869146</v>
      </c>
      <c r="G126" s="153">
        <f t="shared" si="13"/>
        <v>0</v>
      </c>
      <c r="H126" s="224"/>
      <c r="I126" s="417">
        <f t="shared" si="17"/>
        <v>869146</v>
      </c>
      <c r="J126" s="153">
        <f t="shared" si="15"/>
        <v>0</v>
      </c>
      <c r="K126" s="224"/>
      <c r="L126" s="417">
        <f t="shared" si="18"/>
        <v>869146</v>
      </c>
      <c r="M126" s="153">
        <f t="shared" si="11"/>
        <v>0</v>
      </c>
      <c r="N126" s="224"/>
      <c r="O126" s="332">
        <v>202741</v>
      </c>
      <c r="P126" s="268">
        <f t="shared" si="12"/>
        <v>0.23326460686697056</v>
      </c>
      <c r="Q126" s="440"/>
    </row>
    <row r="127" spans="1:18" ht="15.75" thickBot="1" x14ac:dyDescent="0.3">
      <c r="C127" s="51"/>
      <c r="D127" s="144" t="s">
        <v>141</v>
      </c>
      <c r="E127" s="383">
        <v>86477152.200000003</v>
      </c>
      <c r="F127" s="383">
        <v>86537697</v>
      </c>
      <c r="G127" s="39">
        <f t="shared" si="13"/>
        <v>60544.79999999702</v>
      </c>
      <c r="H127" s="225"/>
      <c r="I127" s="383">
        <f>I113+I114+I117</f>
        <v>86801876</v>
      </c>
      <c r="J127" s="39">
        <f t="shared" si="15"/>
        <v>264179</v>
      </c>
      <c r="K127" s="225"/>
      <c r="L127" s="383">
        <f>L113+L114+L117</f>
        <v>87347245</v>
      </c>
      <c r="M127" s="39">
        <f t="shared" si="11"/>
        <v>545369</v>
      </c>
      <c r="N127" s="225"/>
      <c r="O127" s="39">
        <f>O113+O114+O117</f>
        <v>45096045.710000001</v>
      </c>
      <c r="P127" s="269">
        <f t="shared" si="12"/>
        <v>0.51952846860130075</v>
      </c>
      <c r="Q127" s="361"/>
    </row>
    <row r="128" spans="1:18" x14ac:dyDescent="0.25">
      <c r="O128" s="313"/>
    </row>
    <row r="129" spans="2:17" x14ac:dyDescent="0.25">
      <c r="G129" s="89"/>
      <c r="J129" s="89"/>
      <c r="M129" s="89"/>
      <c r="O129" s="314"/>
      <c r="Q129" s="319"/>
    </row>
    <row r="130" spans="2:17" ht="20.25" x14ac:dyDescent="0.3">
      <c r="C130" s="598" t="s">
        <v>142</v>
      </c>
      <c r="D130" s="598"/>
      <c r="G130" s="37"/>
      <c r="J130" s="37"/>
      <c r="M130" s="37"/>
      <c r="O130" s="314"/>
    </row>
    <row r="131" spans="2:17" ht="15.75" thickBot="1" x14ac:dyDescent="0.3">
      <c r="C131" s="599"/>
      <c r="D131" s="599"/>
      <c r="G131" s="44"/>
      <c r="J131" s="44"/>
      <c r="M131" s="44"/>
      <c r="O131" s="315"/>
      <c r="Q131" s="363"/>
    </row>
    <row r="132" spans="2:17" ht="57" customHeight="1" thickBot="1" x14ac:dyDescent="0.3">
      <c r="C132" s="6" t="s">
        <v>1</v>
      </c>
      <c r="D132" s="7" t="s">
        <v>2</v>
      </c>
      <c r="E132" s="375" t="s">
        <v>680</v>
      </c>
      <c r="F132" s="375" t="s">
        <v>701</v>
      </c>
      <c r="G132" s="375" t="str">
        <f>G5</f>
        <v>Izmaiņa 26.03.2026. - 29.01.2026.</v>
      </c>
      <c r="H132" s="193" t="s">
        <v>3</v>
      </c>
      <c r="I132" s="375" t="str">
        <f>I5</f>
        <v>28.05.2026. grozījumi</v>
      </c>
      <c r="J132" s="375" t="str">
        <f>J5</f>
        <v>Izmaiņa 28.05.2026. -26.03.2026.</v>
      </c>
      <c r="K132" s="193" t="s">
        <v>3</v>
      </c>
      <c r="L132" s="375" t="str">
        <f>L5</f>
        <v>30.07.2026. grozījumi</v>
      </c>
      <c r="M132" s="375" t="str">
        <f>M5</f>
        <v>Izmaiņa 30.07.2026. - 28.05.2026.</v>
      </c>
      <c r="N132" s="193" t="s">
        <v>3</v>
      </c>
      <c r="O132" s="42" t="str">
        <f>O5</f>
        <v>30.06.2026. fakts</v>
      </c>
      <c r="P132" s="257" t="str">
        <f>P5</f>
        <v>30.06.2026. fakts (%) pret 2026. plānu</v>
      </c>
      <c r="Q132" s="425" t="s">
        <v>4</v>
      </c>
    </row>
    <row r="133" spans="2:17" x14ac:dyDescent="0.25">
      <c r="C133" s="72" t="s">
        <v>8</v>
      </c>
      <c r="D133" s="136" t="s">
        <v>143</v>
      </c>
      <c r="E133" s="387">
        <v>12115776</v>
      </c>
      <c r="F133" s="387">
        <v>12133954</v>
      </c>
      <c r="G133" s="22">
        <f t="shared" ref="G133:G205" si="19">F133-E133</f>
        <v>18178</v>
      </c>
      <c r="H133" s="226"/>
      <c r="I133" s="387">
        <f>SUM(I134:I142)</f>
        <v>12112543</v>
      </c>
      <c r="J133" s="22">
        <f>I133-F133</f>
        <v>-21411</v>
      </c>
      <c r="K133" s="226"/>
      <c r="L133" s="387">
        <f>SUM(L134:L142)</f>
        <v>12112543</v>
      </c>
      <c r="M133" s="22">
        <f>L133-I133</f>
        <v>0</v>
      </c>
      <c r="N133" s="226"/>
      <c r="O133" s="22">
        <f>SUM(O134:O142)</f>
        <v>5253384.59</v>
      </c>
      <c r="P133" s="289">
        <f t="shared" ref="P133:P196" si="20">O133/I133</f>
        <v>0.4337144223141251</v>
      </c>
      <c r="Q133" s="364"/>
    </row>
    <row r="134" spans="2:17" ht="15.75" customHeight="1" x14ac:dyDescent="0.25">
      <c r="B134" s="53" t="s">
        <v>207</v>
      </c>
      <c r="C134" s="73" t="s">
        <v>11</v>
      </c>
      <c r="D134" s="114" t="s">
        <v>144</v>
      </c>
      <c r="E134" s="35">
        <v>2251986</v>
      </c>
      <c r="F134" s="35">
        <v>2270164</v>
      </c>
      <c r="G134" s="17">
        <f t="shared" si="19"/>
        <v>18178</v>
      </c>
      <c r="H134" s="209" t="s">
        <v>715</v>
      </c>
      <c r="I134" s="35">
        <f>ROUND(F134,0)-8000</f>
        <v>2262164</v>
      </c>
      <c r="J134" s="17">
        <f>I134-F134</f>
        <v>-8000</v>
      </c>
      <c r="K134" s="209" t="s">
        <v>747</v>
      </c>
      <c r="L134" s="35">
        <f>ROUND(I134,0)</f>
        <v>2262164</v>
      </c>
      <c r="M134" s="17">
        <f>L134-I134</f>
        <v>0</v>
      </c>
      <c r="N134" s="209"/>
      <c r="O134" s="463">
        <f>4870090.75-O140-O141</f>
        <v>918049.98999999976</v>
      </c>
      <c r="P134" s="272">
        <f t="shared" si="20"/>
        <v>0.40582822023513759</v>
      </c>
      <c r="Q134" s="355"/>
    </row>
    <row r="135" spans="2:17" x14ac:dyDescent="0.25">
      <c r="B135" s="53" t="s">
        <v>208</v>
      </c>
      <c r="C135" s="73" t="s">
        <v>13</v>
      </c>
      <c r="D135" s="114" t="s">
        <v>145</v>
      </c>
      <c r="E135" s="35">
        <v>339144</v>
      </c>
      <c r="F135" s="35">
        <v>339144</v>
      </c>
      <c r="G135" s="17">
        <f t="shared" si="19"/>
        <v>0</v>
      </c>
      <c r="H135" s="182"/>
      <c r="I135" s="35">
        <f t="shared" ref="I135:I142" si="21">ROUND(F135,0)</f>
        <v>339144</v>
      </c>
      <c r="J135" s="17">
        <f t="shared" ref="J135:J198" si="22">I135-F135</f>
        <v>0</v>
      </c>
      <c r="K135" s="182"/>
      <c r="L135" s="35">
        <f t="shared" ref="L135:L137" si="23">ROUND(I135,0)</f>
        <v>339144</v>
      </c>
      <c r="M135" s="17">
        <f t="shared" ref="M135:M198" si="24">L135-I135</f>
        <v>0</v>
      </c>
      <c r="N135" s="182"/>
      <c r="O135" s="463">
        <v>165566.47</v>
      </c>
      <c r="P135" s="272">
        <f t="shared" si="20"/>
        <v>0.48818929422310287</v>
      </c>
      <c r="Q135" s="355"/>
    </row>
    <row r="136" spans="2:17" ht="13.15" customHeight="1" x14ac:dyDescent="0.25">
      <c r="B136" s="53" t="s">
        <v>210</v>
      </c>
      <c r="C136" s="73" t="s">
        <v>146</v>
      </c>
      <c r="D136" s="114" t="s">
        <v>147</v>
      </c>
      <c r="E136" s="35">
        <v>43957</v>
      </c>
      <c r="F136" s="35">
        <v>43957</v>
      </c>
      <c r="G136" s="17">
        <f t="shared" si="19"/>
        <v>0</v>
      </c>
      <c r="H136" s="209"/>
      <c r="I136" s="35">
        <f t="shared" si="21"/>
        <v>43957</v>
      </c>
      <c r="J136" s="17">
        <f t="shared" si="22"/>
        <v>0</v>
      </c>
      <c r="K136" s="209"/>
      <c r="L136" s="35">
        <f t="shared" si="23"/>
        <v>43957</v>
      </c>
      <c r="M136" s="17">
        <f t="shared" si="24"/>
        <v>0</v>
      </c>
      <c r="N136" s="209"/>
      <c r="O136" s="463">
        <v>12198.29</v>
      </c>
      <c r="P136" s="272">
        <f t="shared" si="20"/>
        <v>0.27750506176490664</v>
      </c>
      <c r="Q136" s="355"/>
    </row>
    <row r="137" spans="2:17" ht="14.45" customHeight="1" x14ac:dyDescent="0.25">
      <c r="B137" s="53" t="s">
        <v>211</v>
      </c>
      <c r="C137" s="73" t="s">
        <v>148</v>
      </c>
      <c r="D137" s="114" t="s">
        <v>149</v>
      </c>
      <c r="E137" s="35">
        <v>45157</v>
      </c>
      <c r="F137" s="35">
        <v>45157</v>
      </c>
      <c r="G137" s="17">
        <f t="shared" si="19"/>
        <v>0</v>
      </c>
      <c r="H137" s="209"/>
      <c r="I137" s="35">
        <f t="shared" si="21"/>
        <v>45157</v>
      </c>
      <c r="J137" s="17">
        <f t="shared" si="22"/>
        <v>0</v>
      </c>
      <c r="K137" s="209"/>
      <c r="L137" s="35">
        <f t="shared" si="23"/>
        <v>45157</v>
      </c>
      <c r="M137" s="17">
        <f t="shared" si="24"/>
        <v>0</v>
      </c>
      <c r="N137" s="209"/>
      <c r="O137" s="463">
        <v>10833.73</v>
      </c>
      <c r="P137" s="272">
        <f t="shared" si="20"/>
        <v>0.23991252740438912</v>
      </c>
      <c r="Q137" s="355"/>
    </row>
    <row r="138" spans="2:17" ht="15.75" customHeight="1" x14ac:dyDescent="0.25">
      <c r="B138" s="53" t="s">
        <v>209</v>
      </c>
      <c r="C138" s="73" t="s">
        <v>150</v>
      </c>
      <c r="D138" s="114" t="s">
        <v>151</v>
      </c>
      <c r="E138" s="35">
        <v>99246</v>
      </c>
      <c r="F138" s="35">
        <v>99246</v>
      </c>
      <c r="G138" s="17">
        <f t="shared" si="19"/>
        <v>0</v>
      </c>
      <c r="H138" s="209"/>
      <c r="I138" s="35">
        <f>ROUND(F138,0)-13411</f>
        <v>85835</v>
      </c>
      <c r="J138" s="17">
        <f t="shared" si="22"/>
        <v>-13411</v>
      </c>
      <c r="K138" s="209" t="s">
        <v>725</v>
      </c>
      <c r="L138" s="35">
        <f>ROUND(I138,0)</f>
        <v>85835</v>
      </c>
      <c r="M138" s="17">
        <f t="shared" si="24"/>
        <v>0</v>
      </c>
      <c r="N138" s="209"/>
      <c r="O138" s="463">
        <v>1098.48</v>
      </c>
      <c r="P138" s="272">
        <f t="shared" si="20"/>
        <v>1.27975767460826E-2</v>
      </c>
      <c r="Q138" s="355"/>
    </row>
    <row r="139" spans="2:17" ht="14.45" customHeight="1" x14ac:dyDescent="0.25">
      <c r="B139" s="53" t="s">
        <v>212</v>
      </c>
      <c r="C139" s="73" t="s">
        <v>152</v>
      </c>
      <c r="D139" s="114" t="s">
        <v>235</v>
      </c>
      <c r="E139" s="35">
        <v>16344</v>
      </c>
      <c r="F139" s="35">
        <v>16344</v>
      </c>
      <c r="G139" s="17">
        <f t="shared" si="19"/>
        <v>0</v>
      </c>
      <c r="H139" s="182"/>
      <c r="I139" s="35">
        <f t="shared" si="21"/>
        <v>16344</v>
      </c>
      <c r="J139" s="17">
        <f t="shared" si="22"/>
        <v>0</v>
      </c>
      <c r="K139" s="182"/>
      <c r="L139" s="35">
        <f t="shared" ref="L139:L142" si="25">ROUND(I139,0)</f>
        <v>16344</v>
      </c>
      <c r="M139" s="17">
        <f t="shared" si="24"/>
        <v>0</v>
      </c>
      <c r="N139" s="182"/>
      <c r="O139" s="463">
        <v>5697.55</v>
      </c>
      <c r="P139" s="272">
        <f t="shared" si="20"/>
        <v>0.34860193343122858</v>
      </c>
      <c r="Q139" s="355"/>
    </row>
    <row r="140" spans="2:17" ht="16.5" customHeight="1" x14ac:dyDescent="0.25">
      <c r="B140" s="53" t="s">
        <v>207</v>
      </c>
      <c r="C140" s="73" t="s">
        <v>153</v>
      </c>
      <c r="D140" s="114" t="s">
        <v>155</v>
      </c>
      <c r="E140" s="35">
        <v>1402431</v>
      </c>
      <c r="F140" s="35">
        <v>1402431</v>
      </c>
      <c r="G140" s="17">
        <f t="shared" si="19"/>
        <v>0</v>
      </c>
      <c r="H140" s="227"/>
      <c r="I140" s="35">
        <f t="shared" si="21"/>
        <v>1402431</v>
      </c>
      <c r="J140" s="17">
        <f t="shared" si="22"/>
        <v>0</v>
      </c>
      <c r="K140" s="227"/>
      <c r="L140" s="35">
        <f t="shared" si="25"/>
        <v>1402431</v>
      </c>
      <c r="M140" s="17">
        <f t="shared" si="24"/>
        <v>0</v>
      </c>
      <c r="N140" s="227"/>
      <c r="O140" s="463">
        <v>632534.29</v>
      </c>
      <c r="P140" s="272">
        <f t="shared" si="20"/>
        <v>0.45102703091988128</v>
      </c>
      <c r="Q140" s="355"/>
    </row>
    <row r="141" spans="2:17" ht="13.9" customHeight="1" x14ac:dyDescent="0.25">
      <c r="B141" s="53" t="s">
        <v>207</v>
      </c>
      <c r="C141" s="73" t="s">
        <v>154</v>
      </c>
      <c r="D141" s="114" t="s">
        <v>156</v>
      </c>
      <c r="E141" s="35">
        <v>7376681</v>
      </c>
      <c r="F141" s="35">
        <v>7376681</v>
      </c>
      <c r="G141" s="17">
        <f t="shared" si="19"/>
        <v>0</v>
      </c>
      <c r="H141" s="182"/>
      <c r="I141" s="35">
        <f t="shared" si="21"/>
        <v>7376681</v>
      </c>
      <c r="J141" s="17">
        <f t="shared" si="22"/>
        <v>0</v>
      </c>
      <c r="K141" s="182"/>
      <c r="L141" s="35">
        <f t="shared" si="25"/>
        <v>7376681</v>
      </c>
      <c r="M141" s="17">
        <f t="shared" si="24"/>
        <v>0</v>
      </c>
      <c r="N141" s="182"/>
      <c r="O141" s="463">
        <v>3319506.47</v>
      </c>
      <c r="P141" s="272">
        <f t="shared" si="20"/>
        <v>0.45000000271124646</v>
      </c>
      <c r="Q141" s="355"/>
    </row>
    <row r="142" spans="2:17" ht="42" customHeight="1" x14ac:dyDescent="0.25">
      <c r="B142" s="53" t="s">
        <v>329</v>
      </c>
      <c r="C142" s="73" t="s">
        <v>285</v>
      </c>
      <c r="D142" s="114" t="s">
        <v>304</v>
      </c>
      <c r="E142" s="35">
        <v>540830</v>
      </c>
      <c r="F142" s="35">
        <v>540830</v>
      </c>
      <c r="G142" s="408">
        <f t="shared" si="19"/>
        <v>0</v>
      </c>
      <c r="H142" s="228"/>
      <c r="I142" s="35">
        <f t="shared" si="21"/>
        <v>540830</v>
      </c>
      <c r="J142" s="408">
        <f t="shared" si="22"/>
        <v>0</v>
      </c>
      <c r="K142" s="228"/>
      <c r="L142" s="35">
        <f t="shared" si="25"/>
        <v>540830</v>
      </c>
      <c r="M142" s="408">
        <f t="shared" si="24"/>
        <v>0</v>
      </c>
      <c r="N142" s="228"/>
      <c r="O142" s="463">
        <v>187899.32</v>
      </c>
      <c r="P142" s="272">
        <f t="shared" si="20"/>
        <v>0.34742769446961153</v>
      </c>
      <c r="Q142" s="355"/>
    </row>
    <row r="143" spans="2:17" ht="34.9" customHeight="1" collapsed="1" x14ac:dyDescent="0.25">
      <c r="B143" s="53" t="s">
        <v>214</v>
      </c>
      <c r="C143" s="74" t="s">
        <v>16</v>
      </c>
      <c r="D143" s="122" t="s">
        <v>158</v>
      </c>
      <c r="E143" s="169">
        <v>1223875</v>
      </c>
      <c r="F143" s="169">
        <v>1223875</v>
      </c>
      <c r="G143" s="12">
        <f t="shared" si="19"/>
        <v>0</v>
      </c>
      <c r="H143" s="201"/>
      <c r="I143" s="169">
        <f>ROUND(F143,0)+6615</f>
        <v>1230490</v>
      </c>
      <c r="J143" s="456">
        <f t="shared" si="22"/>
        <v>6615</v>
      </c>
      <c r="K143" s="457" t="s">
        <v>726</v>
      </c>
      <c r="L143" s="169">
        <f>ROUND(I143,0)</f>
        <v>1230490</v>
      </c>
      <c r="M143" s="12">
        <f t="shared" si="24"/>
        <v>0</v>
      </c>
      <c r="N143" s="457"/>
      <c r="O143" s="460">
        <v>462441.19</v>
      </c>
      <c r="P143" s="280">
        <f t="shared" si="20"/>
        <v>0.37581873074953881</v>
      </c>
      <c r="Q143" s="441"/>
    </row>
    <row r="144" spans="2:17" s="18" customFormat="1" ht="16.899999999999999" customHeight="1" x14ac:dyDescent="0.25">
      <c r="C144" s="74" t="s">
        <v>24</v>
      </c>
      <c r="D144" s="122" t="s">
        <v>343</v>
      </c>
      <c r="E144" s="169">
        <v>718532</v>
      </c>
      <c r="F144" s="169">
        <v>718532</v>
      </c>
      <c r="G144" s="12">
        <f t="shared" si="19"/>
        <v>0</v>
      </c>
      <c r="H144" s="201"/>
      <c r="I144" s="169">
        <f>I145+I148</f>
        <v>718532</v>
      </c>
      <c r="J144" s="12">
        <f t="shared" si="22"/>
        <v>0</v>
      </c>
      <c r="K144" s="201"/>
      <c r="L144" s="169">
        <f>L145+L148</f>
        <v>718532</v>
      </c>
      <c r="M144" s="12">
        <f t="shared" si="24"/>
        <v>0</v>
      </c>
      <c r="N144" s="201"/>
      <c r="O144" s="460">
        <f>O145+O148</f>
        <v>229667.5</v>
      </c>
      <c r="P144" s="280">
        <f t="shared" si="20"/>
        <v>0.31963433778871364</v>
      </c>
      <c r="Q144" s="353"/>
    </row>
    <row r="145" spans="2:17" x14ac:dyDescent="0.25">
      <c r="B145" s="53" t="s">
        <v>213</v>
      </c>
      <c r="C145" s="73" t="s">
        <v>27</v>
      </c>
      <c r="D145" s="114" t="s">
        <v>159</v>
      </c>
      <c r="E145" s="35">
        <v>236187</v>
      </c>
      <c r="F145" s="35">
        <v>236187</v>
      </c>
      <c r="G145" s="17">
        <f t="shared" si="19"/>
        <v>0</v>
      </c>
      <c r="H145" s="17"/>
      <c r="I145" s="35">
        <f>SUM(I146:I147)</f>
        <v>236187</v>
      </c>
      <c r="J145" s="17">
        <f t="shared" si="22"/>
        <v>0</v>
      </c>
      <c r="K145" s="17"/>
      <c r="L145" s="35">
        <f>SUM(L146:L147)</f>
        <v>236187</v>
      </c>
      <c r="M145" s="17">
        <f t="shared" si="24"/>
        <v>0</v>
      </c>
      <c r="N145" s="17"/>
      <c r="O145" s="463">
        <f>SUM(O146:O147)</f>
        <v>80508.149999999994</v>
      </c>
      <c r="P145" s="272">
        <f t="shared" si="20"/>
        <v>0.3408661357314331</v>
      </c>
      <c r="Q145" s="355"/>
    </row>
    <row r="146" spans="2:17" ht="15.75" customHeight="1" x14ac:dyDescent="0.25">
      <c r="B146" s="53" t="s">
        <v>213</v>
      </c>
      <c r="C146" s="75" t="s">
        <v>541</v>
      </c>
      <c r="D146" s="112" t="s">
        <v>349</v>
      </c>
      <c r="E146" s="145">
        <v>200420</v>
      </c>
      <c r="F146" s="145">
        <v>200420</v>
      </c>
      <c r="G146" s="48">
        <f t="shared" si="19"/>
        <v>0</v>
      </c>
      <c r="H146" s="202"/>
      <c r="I146" s="145">
        <f>ROUND(F146,0)-2000</f>
        <v>198420</v>
      </c>
      <c r="J146" s="48">
        <f t="shared" si="22"/>
        <v>-2000</v>
      </c>
      <c r="K146" s="615" t="s">
        <v>736</v>
      </c>
      <c r="L146" s="145">
        <f>ROUND(I146,0)</f>
        <v>198420</v>
      </c>
      <c r="M146" s="48">
        <f t="shared" si="24"/>
        <v>0</v>
      </c>
      <c r="N146" s="458"/>
      <c r="O146" s="332">
        <v>62644.75</v>
      </c>
      <c r="P146" s="260">
        <f t="shared" si="20"/>
        <v>0.31571792158048584</v>
      </c>
      <c r="Q146" s="350"/>
    </row>
    <row r="147" spans="2:17" ht="15.6" customHeight="1" x14ac:dyDescent="0.25">
      <c r="B147" s="53"/>
      <c r="C147" s="75" t="s">
        <v>542</v>
      </c>
      <c r="D147" s="137" t="s">
        <v>399</v>
      </c>
      <c r="E147" s="170">
        <v>35767</v>
      </c>
      <c r="F147" s="145">
        <v>35767</v>
      </c>
      <c r="G147" s="48">
        <f t="shared" si="19"/>
        <v>0</v>
      </c>
      <c r="H147" s="190"/>
      <c r="I147" s="145">
        <f>ROUND(F147,0)+2000</f>
        <v>37767</v>
      </c>
      <c r="J147" s="48">
        <f t="shared" si="22"/>
        <v>2000</v>
      </c>
      <c r="K147" s="616"/>
      <c r="L147" s="145">
        <f>ROUND(I147,0)</f>
        <v>37767</v>
      </c>
      <c r="M147" s="48">
        <f t="shared" si="24"/>
        <v>0</v>
      </c>
      <c r="N147" s="248"/>
      <c r="O147" s="332">
        <v>17863.400000000001</v>
      </c>
      <c r="P147" s="274">
        <f t="shared" si="20"/>
        <v>0.47298964704636326</v>
      </c>
      <c r="Q147" s="356"/>
    </row>
    <row r="148" spans="2:17" x14ac:dyDescent="0.25">
      <c r="B148" s="53" t="s">
        <v>353</v>
      </c>
      <c r="C148" s="73" t="s">
        <v>30</v>
      </c>
      <c r="D148" s="116" t="s">
        <v>286</v>
      </c>
      <c r="E148" s="35">
        <v>482345</v>
      </c>
      <c r="F148" s="35">
        <v>482345</v>
      </c>
      <c r="G148" s="86">
        <f t="shared" si="19"/>
        <v>0</v>
      </c>
      <c r="H148" s="229"/>
      <c r="I148" s="35">
        <f>ROUND(F148,0)</f>
        <v>482345</v>
      </c>
      <c r="J148" s="86">
        <f t="shared" si="22"/>
        <v>0</v>
      </c>
      <c r="K148" s="229"/>
      <c r="L148" s="35">
        <f>ROUND(I148,0)</f>
        <v>482345</v>
      </c>
      <c r="M148" s="86">
        <f t="shared" si="24"/>
        <v>0</v>
      </c>
      <c r="N148" s="229"/>
      <c r="O148" s="463">
        <v>149159.35</v>
      </c>
      <c r="P148" s="272">
        <f t="shared" si="20"/>
        <v>0.30923788989208972</v>
      </c>
      <c r="Q148" s="355" t="s">
        <v>462</v>
      </c>
    </row>
    <row r="149" spans="2:17" x14ac:dyDescent="0.25">
      <c r="C149" s="74" t="s">
        <v>32</v>
      </c>
      <c r="D149" s="122" t="s">
        <v>345</v>
      </c>
      <c r="E149" s="169">
        <v>35606</v>
      </c>
      <c r="F149" s="169">
        <v>35606</v>
      </c>
      <c r="G149" s="12">
        <f t="shared" si="19"/>
        <v>0</v>
      </c>
      <c r="H149" s="196"/>
      <c r="I149" s="169">
        <f>I150</f>
        <v>35606</v>
      </c>
      <c r="J149" s="12">
        <f t="shared" si="22"/>
        <v>0</v>
      </c>
      <c r="K149" s="196"/>
      <c r="L149" s="169">
        <f>L150</f>
        <v>35606</v>
      </c>
      <c r="M149" s="12">
        <f t="shared" si="24"/>
        <v>0</v>
      </c>
      <c r="N149" s="196"/>
      <c r="O149" s="460">
        <f>O150</f>
        <v>10399.129999999999</v>
      </c>
      <c r="P149" s="280">
        <f t="shared" si="20"/>
        <v>0.29206116946582034</v>
      </c>
      <c r="Q149" s="353"/>
    </row>
    <row r="150" spans="2:17" ht="16.149999999999999" customHeight="1" x14ac:dyDescent="0.25">
      <c r="B150" s="53" t="s">
        <v>352</v>
      </c>
      <c r="C150" s="73" t="s">
        <v>35</v>
      </c>
      <c r="D150" s="114" t="s">
        <v>344</v>
      </c>
      <c r="E150" s="35">
        <v>35606</v>
      </c>
      <c r="F150" s="35">
        <v>35606</v>
      </c>
      <c r="G150" s="17">
        <f t="shared" si="19"/>
        <v>0</v>
      </c>
      <c r="H150" s="209"/>
      <c r="I150" s="35">
        <f>ROUND(F150,0)</f>
        <v>35606</v>
      </c>
      <c r="J150" s="17">
        <f t="shared" si="22"/>
        <v>0</v>
      </c>
      <c r="K150" s="209"/>
      <c r="L150" s="35">
        <f>ROUND(I150,0)</f>
        <v>35606</v>
      </c>
      <c r="M150" s="17">
        <f t="shared" si="24"/>
        <v>0</v>
      </c>
      <c r="N150" s="209"/>
      <c r="O150" s="463">
        <v>10399.129999999999</v>
      </c>
      <c r="P150" s="272">
        <f t="shared" si="20"/>
        <v>0.29206116946582034</v>
      </c>
      <c r="Q150" s="355" t="s">
        <v>512</v>
      </c>
    </row>
    <row r="151" spans="2:17" ht="29.25" x14ac:dyDescent="0.25">
      <c r="C151" s="74" t="s">
        <v>38</v>
      </c>
      <c r="D151" s="122" t="s">
        <v>160</v>
      </c>
      <c r="E151" s="169">
        <v>24806240</v>
      </c>
      <c r="F151" s="169">
        <v>24823592</v>
      </c>
      <c r="G151" s="12">
        <f t="shared" si="19"/>
        <v>17352</v>
      </c>
      <c r="H151" s="12"/>
      <c r="I151" s="169">
        <f>I152+I153+I154+I155+I156+I174</f>
        <v>24557497</v>
      </c>
      <c r="J151" s="12">
        <f t="shared" si="22"/>
        <v>-266095</v>
      </c>
      <c r="K151" s="12"/>
      <c r="L151" s="169">
        <f>L152+L153+L154+L155+L156+L174</f>
        <v>24326611</v>
      </c>
      <c r="M151" s="12">
        <f t="shared" si="24"/>
        <v>-230886</v>
      </c>
      <c r="N151" s="12"/>
      <c r="O151" s="460">
        <f>O152+O153+O154+O155+O156+O174</f>
        <v>6000467.8300000001</v>
      </c>
      <c r="P151" s="280">
        <f t="shared" si="20"/>
        <v>0.24434362467803619</v>
      </c>
      <c r="Q151" s="353"/>
    </row>
    <row r="152" spans="2:17" ht="15.6" customHeight="1" x14ac:dyDescent="0.25">
      <c r="B152" s="53" t="s">
        <v>215</v>
      </c>
      <c r="C152" s="73" t="s">
        <v>161</v>
      </c>
      <c r="D152" s="126" t="s">
        <v>157</v>
      </c>
      <c r="E152" s="173">
        <v>70000</v>
      </c>
      <c r="F152" s="35">
        <v>70000</v>
      </c>
      <c r="G152" s="17">
        <f t="shared" si="19"/>
        <v>0</v>
      </c>
      <c r="H152" s="182"/>
      <c r="I152" s="35">
        <f t="shared" ref="I152:I189" si="26">ROUND(F152,0)</f>
        <v>70000</v>
      </c>
      <c r="J152" s="17">
        <f t="shared" si="22"/>
        <v>0</v>
      </c>
      <c r="K152" s="182"/>
      <c r="L152" s="35">
        <f t="shared" ref="L152:L155" si="27">ROUND(I152,0)</f>
        <v>70000</v>
      </c>
      <c r="M152" s="17">
        <f t="shared" si="24"/>
        <v>0</v>
      </c>
      <c r="N152" s="182"/>
      <c r="O152" s="463">
        <v>0</v>
      </c>
      <c r="P152" s="272">
        <f t="shared" si="20"/>
        <v>0</v>
      </c>
      <c r="Q152" s="442"/>
    </row>
    <row r="153" spans="2:17" ht="15.6" customHeight="1" x14ac:dyDescent="0.25">
      <c r="B153" s="53" t="s">
        <v>540</v>
      </c>
      <c r="C153" s="73" t="s">
        <v>163</v>
      </c>
      <c r="D153" s="162" t="s">
        <v>525</v>
      </c>
      <c r="E153" s="388">
        <v>81528</v>
      </c>
      <c r="F153" s="396">
        <v>81528</v>
      </c>
      <c r="G153" s="155">
        <f t="shared" si="19"/>
        <v>0</v>
      </c>
      <c r="H153" s="230"/>
      <c r="I153" s="396">
        <f t="shared" si="26"/>
        <v>81528</v>
      </c>
      <c r="J153" s="155">
        <f t="shared" si="22"/>
        <v>0</v>
      </c>
      <c r="K153" s="230" t="s">
        <v>734</v>
      </c>
      <c r="L153" s="396">
        <f t="shared" si="27"/>
        <v>81528</v>
      </c>
      <c r="M153" s="155">
        <f t="shared" si="24"/>
        <v>0</v>
      </c>
      <c r="N153" s="230"/>
      <c r="O153" s="463">
        <v>9208.33</v>
      </c>
      <c r="P153" s="290">
        <f t="shared" si="20"/>
        <v>0.11294684034932784</v>
      </c>
      <c r="Q153" s="443"/>
    </row>
    <row r="154" spans="2:17" ht="15" customHeight="1" x14ac:dyDescent="0.25">
      <c r="B154" s="53" t="s">
        <v>388</v>
      </c>
      <c r="C154" s="73" t="s">
        <v>165</v>
      </c>
      <c r="D154" s="126" t="s">
        <v>162</v>
      </c>
      <c r="E154" s="173">
        <v>356794</v>
      </c>
      <c r="F154" s="173">
        <v>356794</v>
      </c>
      <c r="G154" s="23">
        <f t="shared" si="19"/>
        <v>0</v>
      </c>
      <c r="H154" s="209"/>
      <c r="I154" s="173">
        <f t="shared" si="26"/>
        <v>356794</v>
      </c>
      <c r="J154" s="23">
        <f t="shared" si="22"/>
        <v>0</v>
      </c>
      <c r="K154" s="209"/>
      <c r="L154" s="173">
        <f t="shared" si="27"/>
        <v>356794</v>
      </c>
      <c r="M154" s="23">
        <f t="shared" si="24"/>
        <v>0</v>
      </c>
      <c r="N154" s="209"/>
      <c r="O154" s="464">
        <v>146935.78</v>
      </c>
      <c r="P154" s="291">
        <f t="shared" si="20"/>
        <v>0.41182245217128088</v>
      </c>
      <c r="Q154" s="442"/>
    </row>
    <row r="155" spans="2:17" ht="15" customHeight="1" x14ac:dyDescent="0.25">
      <c r="B155" s="53" t="s">
        <v>398</v>
      </c>
      <c r="C155" s="73" t="s">
        <v>167</v>
      </c>
      <c r="D155" s="126" t="s">
        <v>332</v>
      </c>
      <c r="E155" s="173">
        <v>291217</v>
      </c>
      <c r="F155" s="173">
        <v>291217</v>
      </c>
      <c r="G155" s="93">
        <f t="shared" si="19"/>
        <v>0</v>
      </c>
      <c r="H155" s="231"/>
      <c r="I155" s="173">
        <f t="shared" si="26"/>
        <v>291217</v>
      </c>
      <c r="J155" s="93">
        <f t="shared" si="22"/>
        <v>0</v>
      </c>
      <c r="K155" s="231"/>
      <c r="L155" s="173">
        <f t="shared" si="27"/>
        <v>291217</v>
      </c>
      <c r="M155" s="93">
        <f t="shared" si="24"/>
        <v>0</v>
      </c>
      <c r="N155" s="231"/>
      <c r="O155" s="464">
        <v>107208</v>
      </c>
      <c r="P155" s="291">
        <f t="shared" si="20"/>
        <v>0.36813784909534814</v>
      </c>
      <c r="Q155" s="442"/>
    </row>
    <row r="156" spans="2:17" x14ac:dyDescent="0.25">
      <c r="C156" s="73" t="s">
        <v>326</v>
      </c>
      <c r="D156" s="126" t="s">
        <v>333</v>
      </c>
      <c r="E156" s="173">
        <v>12178159</v>
      </c>
      <c r="F156" s="173">
        <v>12159685</v>
      </c>
      <c r="G156" s="23">
        <f t="shared" si="19"/>
        <v>-18474</v>
      </c>
      <c r="H156" s="23"/>
      <c r="I156" s="173">
        <f>SUM(I157:I173)</f>
        <v>12108605</v>
      </c>
      <c r="J156" s="23">
        <f t="shared" si="22"/>
        <v>-51080</v>
      </c>
      <c r="K156" s="23"/>
      <c r="L156" s="173">
        <f>SUM(L157:L173)</f>
        <v>11849942</v>
      </c>
      <c r="M156" s="23">
        <f t="shared" si="24"/>
        <v>-258663</v>
      </c>
      <c r="N156" s="23"/>
      <c r="O156" s="270">
        <f>SUM(O157:O173)</f>
        <v>2550041.2800000003</v>
      </c>
      <c r="P156" s="291">
        <f t="shared" si="20"/>
        <v>0.21059744537046177</v>
      </c>
      <c r="Q156" s="365"/>
    </row>
    <row r="157" spans="2:17" ht="17.25" customHeight="1" x14ac:dyDescent="0.25">
      <c r="B157" s="53" t="s">
        <v>695</v>
      </c>
      <c r="C157" s="75" t="s">
        <v>543</v>
      </c>
      <c r="D157" s="110" t="s">
        <v>164</v>
      </c>
      <c r="E157" s="145">
        <v>741080</v>
      </c>
      <c r="F157" s="145">
        <v>711716</v>
      </c>
      <c r="G157" s="11">
        <f t="shared" si="19"/>
        <v>-29364</v>
      </c>
      <c r="H157" s="419" t="s">
        <v>714</v>
      </c>
      <c r="I157" s="145">
        <f>ROUND(F157,0)-1080-50000</f>
        <v>660636</v>
      </c>
      <c r="J157" s="11">
        <f t="shared" si="22"/>
        <v>-51080</v>
      </c>
      <c r="K157" s="419" t="s">
        <v>748</v>
      </c>
      <c r="L157" s="145">
        <f>ROUND(I157,0)</f>
        <v>660636</v>
      </c>
      <c r="M157" s="11">
        <f t="shared" si="24"/>
        <v>0</v>
      </c>
      <c r="N157" s="419"/>
      <c r="O157" s="332">
        <f>183039.73-O166+2420</f>
        <v>185459.73</v>
      </c>
      <c r="P157" s="281">
        <f t="shared" si="20"/>
        <v>0.28072907016874649</v>
      </c>
      <c r="Q157" s="444"/>
    </row>
    <row r="158" spans="2:17" ht="71.45" customHeight="1" x14ac:dyDescent="0.25">
      <c r="B158" s="53" t="s">
        <v>404</v>
      </c>
      <c r="C158" s="75" t="s">
        <v>544</v>
      </c>
      <c r="D158" s="110" t="s">
        <v>288</v>
      </c>
      <c r="E158" s="172">
        <v>40150</v>
      </c>
      <c r="F158" s="172">
        <v>40150</v>
      </c>
      <c r="G158" s="48">
        <f t="shared" si="19"/>
        <v>0</v>
      </c>
      <c r="H158" s="232"/>
      <c r="I158" s="172">
        <f t="shared" si="26"/>
        <v>40150</v>
      </c>
      <c r="J158" s="48">
        <f t="shared" si="22"/>
        <v>0</v>
      </c>
      <c r="K158" s="232"/>
      <c r="L158" s="172">
        <f>ROUND(I158,0)-2000</f>
        <v>38150</v>
      </c>
      <c r="M158" s="48">
        <f t="shared" si="24"/>
        <v>-2000</v>
      </c>
      <c r="N158" s="617" t="s">
        <v>754</v>
      </c>
      <c r="O158" s="607">
        <v>21674.15</v>
      </c>
      <c r="P158" s="601">
        <f t="shared" si="20"/>
        <v>0.53982938978829398</v>
      </c>
      <c r="Q158" s="354"/>
    </row>
    <row r="159" spans="2:17" ht="54.75" customHeight="1" x14ac:dyDescent="0.25">
      <c r="B159" s="53" t="s">
        <v>404</v>
      </c>
      <c r="C159" s="75" t="s">
        <v>545</v>
      </c>
      <c r="D159" s="132" t="s">
        <v>400</v>
      </c>
      <c r="E159" s="170">
        <v>11400</v>
      </c>
      <c r="F159" s="172">
        <v>11400</v>
      </c>
      <c r="G159" s="48">
        <f t="shared" si="19"/>
        <v>0</v>
      </c>
      <c r="H159" s="180"/>
      <c r="I159" s="172">
        <f t="shared" si="26"/>
        <v>11400</v>
      </c>
      <c r="J159" s="48">
        <f t="shared" si="22"/>
        <v>0</v>
      </c>
      <c r="K159" s="180"/>
      <c r="L159" s="172">
        <f>ROUND(I159,0)+2000+673</f>
        <v>14073</v>
      </c>
      <c r="M159" s="48">
        <f t="shared" si="24"/>
        <v>2673</v>
      </c>
      <c r="N159" s="618"/>
      <c r="O159" s="608"/>
      <c r="P159" s="602">
        <f t="shared" si="20"/>
        <v>0</v>
      </c>
      <c r="Q159" s="356"/>
    </row>
    <row r="160" spans="2:17" ht="32.25" customHeight="1" x14ac:dyDescent="0.25">
      <c r="B160" s="53" t="s">
        <v>422</v>
      </c>
      <c r="C160" s="75" t="s">
        <v>546</v>
      </c>
      <c r="D160" s="345" t="s">
        <v>420</v>
      </c>
      <c r="E160" s="145">
        <v>30654</v>
      </c>
      <c r="F160" s="145">
        <v>30654</v>
      </c>
      <c r="G160" s="11">
        <f t="shared" si="19"/>
        <v>0</v>
      </c>
      <c r="H160" s="180"/>
      <c r="I160" s="145">
        <f t="shared" si="26"/>
        <v>30654</v>
      </c>
      <c r="J160" s="11">
        <f t="shared" si="22"/>
        <v>0</v>
      </c>
      <c r="K160" s="180"/>
      <c r="L160" s="145">
        <f t="shared" ref="L160:L163" si="28">ROUND(I160,0)</f>
        <v>30654</v>
      </c>
      <c r="M160" s="11">
        <f t="shared" si="24"/>
        <v>0</v>
      </c>
      <c r="N160" s="180"/>
      <c r="O160" s="332">
        <v>0</v>
      </c>
      <c r="P160" s="260">
        <f t="shared" si="20"/>
        <v>0</v>
      </c>
      <c r="Q160" s="350" t="s">
        <v>463</v>
      </c>
    </row>
    <row r="161" spans="2:17" ht="45.6" customHeight="1" x14ac:dyDescent="0.25">
      <c r="B161" s="53" t="s">
        <v>354</v>
      </c>
      <c r="C161" s="101" t="s">
        <v>547</v>
      </c>
      <c r="D161" s="346" t="s">
        <v>339</v>
      </c>
      <c r="E161" s="145">
        <v>354137</v>
      </c>
      <c r="F161" s="145">
        <v>354137</v>
      </c>
      <c r="G161" s="85">
        <f t="shared" si="19"/>
        <v>0</v>
      </c>
      <c r="H161" s="233"/>
      <c r="I161" s="145">
        <f t="shared" si="26"/>
        <v>354137</v>
      </c>
      <c r="J161" s="85">
        <f t="shared" si="22"/>
        <v>0</v>
      </c>
      <c r="K161" s="233"/>
      <c r="L161" s="145">
        <f t="shared" si="28"/>
        <v>354137</v>
      </c>
      <c r="M161" s="85">
        <f t="shared" si="24"/>
        <v>0</v>
      </c>
      <c r="N161" s="233"/>
      <c r="O161" s="332">
        <v>308305.71000000002</v>
      </c>
      <c r="P161" s="260">
        <f t="shared" si="20"/>
        <v>0.87058316414269055</v>
      </c>
      <c r="Q161" s="350" t="s">
        <v>463</v>
      </c>
    </row>
    <row r="162" spans="2:17" ht="28.9" customHeight="1" x14ac:dyDescent="0.25">
      <c r="B162" s="53" t="s">
        <v>355</v>
      </c>
      <c r="C162" s="75" t="s">
        <v>548</v>
      </c>
      <c r="D162" s="346" t="s">
        <v>340</v>
      </c>
      <c r="E162" s="145">
        <v>3925860</v>
      </c>
      <c r="F162" s="145">
        <v>3925860</v>
      </c>
      <c r="G162" s="85">
        <f t="shared" si="19"/>
        <v>0</v>
      </c>
      <c r="H162" s="233"/>
      <c r="I162" s="145">
        <f t="shared" si="26"/>
        <v>3925860</v>
      </c>
      <c r="J162" s="85">
        <f t="shared" si="22"/>
        <v>0</v>
      </c>
      <c r="K162" s="233"/>
      <c r="L162" s="145">
        <f t="shared" si="28"/>
        <v>3925860</v>
      </c>
      <c r="M162" s="85">
        <f t="shared" si="24"/>
        <v>0</v>
      </c>
      <c r="N162" s="233"/>
      <c r="O162" s="332">
        <v>1431691.91</v>
      </c>
      <c r="P162" s="260">
        <f t="shared" si="20"/>
        <v>0.36468236513782964</v>
      </c>
      <c r="Q162" s="350"/>
    </row>
    <row r="163" spans="2:17" ht="42.75" customHeight="1" x14ac:dyDescent="0.25">
      <c r="B163" s="53" t="s">
        <v>514</v>
      </c>
      <c r="C163" s="75" t="s">
        <v>549</v>
      </c>
      <c r="D163" s="345" t="s">
        <v>532</v>
      </c>
      <c r="E163" s="145">
        <v>42495</v>
      </c>
      <c r="F163" s="145">
        <v>42495</v>
      </c>
      <c r="G163" s="40">
        <f t="shared" si="19"/>
        <v>0</v>
      </c>
      <c r="H163" s="219"/>
      <c r="I163" s="145">
        <f t="shared" si="26"/>
        <v>42495</v>
      </c>
      <c r="J163" s="40">
        <f t="shared" si="22"/>
        <v>0</v>
      </c>
      <c r="K163" s="219"/>
      <c r="L163" s="145">
        <f t="shared" si="28"/>
        <v>42495</v>
      </c>
      <c r="M163" s="40">
        <f t="shared" si="24"/>
        <v>0</v>
      </c>
      <c r="N163" s="219"/>
      <c r="O163" s="332">
        <v>0</v>
      </c>
      <c r="P163" s="260">
        <f t="shared" si="20"/>
        <v>0</v>
      </c>
      <c r="Q163" s="350" t="s">
        <v>463</v>
      </c>
    </row>
    <row r="164" spans="2:17" ht="51" customHeight="1" x14ac:dyDescent="0.25">
      <c r="B164" s="53" t="s">
        <v>619</v>
      </c>
      <c r="C164" s="75" t="s">
        <v>550</v>
      </c>
      <c r="D164" s="347" t="s">
        <v>620</v>
      </c>
      <c r="E164" s="175">
        <v>1271381</v>
      </c>
      <c r="F164" s="145">
        <v>1271381</v>
      </c>
      <c r="G164" s="40">
        <f t="shared" si="19"/>
        <v>0</v>
      </c>
      <c r="H164" s="181"/>
      <c r="I164" s="145">
        <f>ROUND(F164,0)</f>
        <v>1271381</v>
      </c>
      <c r="J164" s="40">
        <f t="shared" si="22"/>
        <v>0</v>
      </c>
      <c r="K164" s="181"/>
      <c r="L164" s="145">
        <f>ROUND(I164,0)+33731</f>
        <v>1305112</v>
      </c>
      <c r="M164" s="40">
        <f t="shared" si="24"/>
        <v>33731</v>
      </c>
      <c r="N164" s="181" t="s">
        <v>755</v>
      </c>
      <c r="O164" s="332">
        <v>319136.53000000003</v>
      </c>
      <c r="P164" s="287">
        <f t="shared" si="20"/>
        <v>0.25101565148448812</v>
      </c>
      <c r="Q164" s="357"/>
    </row>
    <row r="165" spans="2:17" ht="27.75" customHeight="1" x14ac:dyDescent="0.25">
      <c r="B165" s="53" t="s">
        <v>533</v>
      </c>
      <c r="C165" s="75" t="s">
        <v>551</v>
      </c>
      <c r="D165" s="347" t="s">
        <v>484</v>
      </c>
      <c r="E165" s="175">
        <v>660558</v>
      </c>
      <c r="F165" s="145">
        <v>660558</v>
      </c>
      <c r="G165" s="40">
        <f t="shared" si="19"/>
        <v>0</v>
      </c>
      <c r="H165" s="181"/>
      <c r="I165" s="145">
        <f t="shared" si="26"/>
        <v>660558</v>
      </c>
      <c r="J165" s="40">
        <f t="shared" si="22"/>
        <v>0</v>
      </c>
      <c r="K165" s="181"/>
      <c r="L165" s="145">
        <f t="shared" ref="L165:L173" si="29">ROUND(I165,0)</f>
        <v>660558</v>
      </c>
      <c r="M165" s="40">
        <f t="shared" si="24"/>
        <v>0</v>
      </c>
      <c r="N165" s="181"/>
      <c r="O165" s="332">
        <v>129434.79</v>
      </c>
      <c r="P165" s="287">
        <f t="shared" si="20"/>
        <v>0.19594765334762426</v>
      </c>
      <c r="Q165" s="357"/>
    </row>
    <row r="166" spans="2:17" ht="62.25" customHeight="1" x14ac:dyDescent="0.25">
      <c r="B166" s="53" t="s">
        <v>216</v>
      </c>
      <c r="C166" s="75" t="s">
        <v>552</v>
      </c>
      <c r="D166" s="125" t="s">
        <v>488</v>
      </c>
      <c r="E166" s="175">
        <v>0</v>
      </c>
      <c r="F166" s="145">
        <v>0</v>
      </c>
      <c r="G166" s="40">
        <f t="shared" si="19"/>
        <v>0</v>
      </c>
      <c r="H166" s="181"/>
      <c r="I166" s="145">
        <f t="shared" si="26"/>
        <v>0</v>
      </c>
      <c r="J166" s="40">
        <f t="shared" si="22"/>
        <v>0</v>
      </c>
      <c r="K166" s="181"/>
      <c r="L166" s="145">
        <f t="shared" si="29"/>
        <v>0</v>
      </c>
      <c r="M166" s="40">
        <f t="shared" si="24"/>
        <v>0</v>
      </c>
      <c r="N166" s="181"/>
      <c r="O166" s="332">
        <v>0</v>
      </c>
      <c r="P166" s="287" t="e">
        <f t="shared" si="20"/>
        <v>#DIV/0!</v>
      </c>
      <c r="Q166" s="357"/>
    </row>
    <row r="167" spans="2:17" ht="17.45" customHeight="1" x14ac:dyDescent="0.25">
      <c r="B167" s="53" t="s">
        <v>479</v>
      </c>
      <c r="C167" s="75" t="s">
        <v>553</v>
      </c>
      <c r="D167" s="347" t="s">
        <v>480</v>
      </c>
      <c r="E167" s="175">
        <v>850912</v>
      </c>
      <c r="F167" s="145">
        <v>861802</v>
      </c>
      <c r="G167" s="40">
        <f t="shared" si="19"/>
        <v>10890</v>
      </c>
      <c r="H167" s="181" t="s">
        <v>713</v>
      </c>
      <c r="I167" s="145">
        <f t="shared" si="26"/>
        <v>861802</v>
      </c>
      <c r="J167" s="40">
        <f t="shared" si="22"/>
        <v>0</v>
      </c>
      <c r="K167" s="181"/>
      <c r="L167" s="145">
        <f t="shared" si="29"/>
        <v>861802</v>
      </c>
      <c r="M167" s="40">
        <f t="shared" si="24"/>
        <v>0</v>
      </c>
      <c r="N167" s="181"/>
      <c r="O167" s="332">
        <f>42399.06+2343.65</f>
        <v>44742.71</v>
      </c>
      <c r="P167" s="260">
        <f t="shared" si="20"/>
        <v>5.1917621449010326E-2</v>
      </c>
      <c r="Q167" s="357"/>
    </row>
    <row r="168" spans="2:17" ht="115.15" customHeight="1" x14ac:dyDescent="0.25">
      <c r="B168" s="53" t="s">
        <v>639</v>
      </c>
      <c r="C168" s="75" t="s">
        <v>554</v>
      </c>
      <c r="D168" s="347" t="s">
        <v>625</v>
      </c>
      <c r="E168" s="175">
        <v>404972</v>
      </c>
      <c r="F168" s="145">
        <v>404972</v>
      </c>
      <c r="G168" s="40">
        <f t="shared" si="19"/>
        <v>0</v>
      </c>
      <c r="H168" s="181"/>
      <c r="I168" s="145">
        <f t="shared" si="26"/>
        <v>404972</v>
      </c>
      <c r="J168" s="40">
        <f t="shared" si="22"/>
        <v>0</v>
      </c>
      <c r="K168" s="181"/>
      <c r="L168" s="145">
        <f>ROUND(I168,0)-293067</f>
        <v>111905</v>
      </c>
      <c r="M168" s="40">
        <f t="shared" si="24"/>
        <v>-293067</v>
      </c>
      <c r="N168" s="181" t="s">
        <v>758</v>
      </c>
      <c r="O168" s="332">
        <v>36905</v>
      </c>
      <c r="P168" s="287">
        <f t="shared" si="20"/>
        <v>9.1129757119010696E-2</v>
      </c>
      <c r="Q168" s="357"/>
    </row>
    <row r="169" spans="2:17" ht="16.5" customHeight="1" x14ac:dyDescent="0.25">
      <c r="B169" s="53" t="s">
        <v>521</v>
      </c>
      <c r="C169" s="75" t="s">
        <v>555</v>
      </c>
      <c r="D169" s="345" t="s">
        <v>481</v>
      </c>
      <c r="E169" s="172">
        <v>2415898</v>
      </c>
      <c r="F169" s="145">
        <v>2415898</v>
      </c>
      <c r="G169" s="48">
        <f t="shared" si="19"/>
        <v>0</v>
      </c>
      <c r="H169" s="232"/>
      <c r="I169" s="145">
        <f t="shared" si="26"/>
        <v>2415898</v>
      </c>
      <c r="J169" s="48">
        <f t="shared" si="22"/>
        <v>0</v>
      </c>
      <c r="K169" s="232"/>
      <c r="L169" s="145">
        <f t="shared" si="29"/>
        <v>2415898</v>
      </c>
      <c r="M169" s="48">
        <f t="shared" si="24"/>
        <v>0</v>
      </c>
      <c r="N169" s="232"/>
      <c r="O169" s="332">
        <v>72690.75</v>
      </c>
      <c r="P169" s="262">
        <f t="shared" si="20"/>
        <v>3.0088501252950248E-2</v>
      </c>
      <c r="Q169" s="354"/>
    </row>
    <row r="170" spans="2:17" ht="60.6" customHeight="1" x14ac:dyDescent="0.25">
      <c r="B170" s="53" t="s">
        <v>756</v>
      </c>
      <c r="C170" s="75" t="s">
        <v>684</v>
      </c>
      <c r="D170" s="348" t="s">
        <v>674</v>
      </c>
      <c r="E170" s="381">
        <v>987120</v>
      </c>
      <c r="F170" s="145">
        <v>987120</v>
      </c>
      <c r="G170" s="48">
        <f t="shared" si="19"/>
        <v>0</v>
      </c>
      <c r="H170" s="337"/>
      <c r="I170" s="145">
        <f t="shared" si="26"/>
        <v>987120</v>
      </c>
      <c r="J170" s="48">
        <f t="shared" si="22"/>
        <v>0</v>
      </c>
      <c r="K170" s="337"/>
      <c r="L170" s="145">
        <f t="shared" si="29"/>
        <v>987120</v>
      </c>
      <c r="M170" s="48">
        <f t="shared" si="24"/>
        <v>0</v>
      </c>
      <c r="N170" s="337"/>
      <c r="O170" s="332"/>
      <c r="P170" s="333">
        <f t="shared" si="20"/>
        <v>0</v>
      </c>
      <c r="Q170" s="360"/>
    </row>
    <row r="171" spans="2:17" ht="30" customHeight="1" x14ac:dyDescent="0.25">
      <c r="B171" s="53" t="s">
        <v>216</v>
      </c>
      <c r="C171" s="75" t="s">
        <v>685</v>
      </c>
      <c r="D171" s="348" t="s">
        <v>687</v>
      </c>
      <c r="E171" s="381">
        <v>326348</v>
      </c>
      <c r="F171" s="145">
        <v>326348</v>
      </c>
      <c r="G171" s="48">
        <f t="shared" si="19"/>
        <v>0</v>
      </c>
      <c r="H171" s="337"/>
      <c r="I171" s="145">
        <f t="shared" si="26"/>
        <v>326348</v>
      </c>
      <c r="J171" s="48">
        <f t="shared" si="22"/>
        <v>0</v>
      </c>
      <c r="K171" s="337"/>
      <c r="L171" s="145">
        <f t="shared" si="29"/>
        <v>326348</v>
      </c>
      <c r="M171" s="48">
        <f t="shared" si="24"/>
        <v>0</v>
      </c>
      <c r="N171" s="337"/>
      <c r="O171" s="332"/>
      <c r="P171" s="333">
        <f t="shared" si="20"/>
        <v>0</v>
      </c>
      <c r="Q171" s="360"/>
    </row>
    <row r="172" spans="2:17" ht="30" customHeight="1" x14ac:dyDescent="0.25">
      <c r="B172" s="53" t="s">
        <v>704</v>
      </c>
      <c r="C172" s="75" t="s">
        <v>686</v>
      </c>
      <c r="D172" s="348" t="s">
        <v>677</v>
      </c>
      <c r="E172" s="381">
        <v>115194</v>
      </c>
      <c r="F172" s="145">
        <v>115194</v>
      </c>
      <c r="G172" s="48">
        <f>F172-E172</f>
        <v>0</v>
      </c>
      <c r="H172" s="337"/>
      <c r="I172" s="145">
        <f t="shared" si="26"/>
        <v>115194</v>
      </c>
      <c r="J172" s="48">
        <f t="shared" si="22"/>
        <v>0</v>
      </c>
      <c r="K172" s="337"/>
      <c r="L172" s="145">
        <f t="shared" si="29"/>
        <v>115194</v>
      </c>
      <c r="M172" s="48">
        <f t="shared" si="24"/>
        <v>0</v>
      </c>
      <c r="N172" s="337"/>
      <c r="O172" s="332">
        <v>0</v>
      </c>
      <c r="P172" s="333">
        <f t="shared" si="20"/>
        <v>0</v>
      </c>
      <c r="Q172" s="360"/>
    </row>
    <row r="173" spans="2:17" ht="46.15" customHeight="1" x14ac:dyDescent="0.25">
      <c r="B173" s="53"/>
      <c r="C173" s="75" t="s">
        <v>686</v>
      </c>
      <c r="D173" s="334" t="s">
        <v>679</v>
      </c>
      <c r="E173" s="381">
        <v>0</v>
      </c>
      <c r="F173" s="145">
        <v>0</v>
      </c>
      <c r="G173" s="48">
        <f t="shared" si="19"/>
        <v>0</v>
      </c>
      <c r="H173" s="337"/>
      <c r="I173" s="145">
        <f t="shared" si="26"/>
        <v>0</v>
      </c>
      <c r="J173" s="48">
        <f t="shared" si="22"/>
        <v>0</v>
      </c>
      <c r="K173" s="337"/>
      <c r="L173" s="145">
        <f t="shared" si="29"/>
        <v>0</v>
      </c>
      <c r="M173" s="48">
        <f t="shared" si="24"/>
        <v>0</v>
      </c>
      <c r="N173" s="337"/>
      <c r="O173" s="332"/>
      <c r="P173" s="333" t="e">
        <f t="shared" si="20"/>
        <v>#DIV/0!</v>
      </c>
      <c r="Q173" s="360"/>
    </row>
    <row r="174" spans="2:17" ht="29.25" customHeight="1" x14ac:dyDescent="0.25">
      <c r="C174" s="73" t="s">
        <v>234</v>
      </c>
      <c r="D174" s="126" t="s">
        <v>166</v>
      </c>
      <c r="E174" s="173">
        <v>11828542</v>
      </c>
      <c r="F174" s="173">
        <v>11864368</v>
      </c>
      <c r="G174" s="23">
        <f t="shared" si="19"/>
        <v>35826</v>
      </c>
      <c r="H174" s="186"/>
      <c r="I174" s="173">
        <f>SUM(I175:I182,I186:I196)</f>
        <v>11649353</v>
      </c>
      <c r="J174" s="23">
        <f t="shared" si="22"/>
        <v>-215015</v>
      </c>
      <c r="K174" s="186"/>
      <c r="L174" s="173">
        <f>SUM(L175:L182,L186:L196)</f>
        <v>11677130</v>
      </c>
      <c r="M174" s="23">
        <f t="shared" si="24"/>
        <v>27777</v>
      </c>
      <c r="N174" s="186"/>
      <c r="O174" s="464">
        <f>SUM(O175:O182,O186:O196)</f>
        <v>3187074.44</v>
      </c>
      <c r="P174" s="291">
        <f t="shared" si="20"/>
        <v>0.27358381534150439</v>
      </c>
      <c r="Q174" s="365"/>
    </row>
    <row r="175" spans="2:17" ht="18" customHeight="1" x14ac:dyDescent="0.25">
      <c r="B175" s="53" t="s">
        <v>330</v>
      </c>
      <c r="C175" s="75" t="s">
        <v>556</v>
      </c>
      <c r="D175" s="123" t="s">
        <v>636</v>
      </c>
      <c r="E175" s="172">
        <v>209419</v>
      </c>
      <c r="F175" s="172">
        <v>215419</v>
      </c>
      <c r="G175" s="99">
        <f t="shared" si="19"/>
        <v>6000</v>
      </c>
      <c r="H175" s="234" t="s">
        <v>708</v>
      </c>
      <c r="I175" s="172">
        <f t="shared" si="26"/>
        <v>215419</v>
      </c>
      <c r="J175" s="99">
        <f t="shared" si="22"/>
        <v>0</v>
      </c>
      <c r="K175" s="234"/>
      <c r="L175" s="172">
        <f t="shared" ref="L175:L176" si="30">ROUND(I175,0)</f>
        <v>215419</v>
      </c>
      <c r="M175" s="99">
        <f t="shared" si="24"/>
        <v>0</v>
      </c>
      <c r="N175" s="234"/>
      <c r="O175" s="332">
        <v>79977.440000000002</v>
      </c>
      <c r="P175" s="262">
        <f t="shared" si="20"/>
        <v>0.37126455883650006</v>
      </c>
      <c r="Q175" s="445"/>
    </row>
    <row r="176" spans="2:17" ht="45" customHeight="1" x14ac:dyDescent="0.25">
      <c r="B176" s="53" t="s">
        <v>390</v>
      </c>
      <c r="C176" s="75" t="s">
        <v>557</v>
      </c>
      <c r="D176" s="345" t="s">
        <v>421</v>
      </c>
      <c r="E176" s="172">
        <v>191255</v>
      </c>
      <c r="F176" s="172">
        <v>191255</v>
      </c>
      <c r="G176" s="40">
        <f t="shared" si="19"/>
        <v>0</v>
      </c>
      <c r="H176" s="235"/>
      <c r="I176" s="172">
        <f t="shared" si="26"/>
        <v>191255</v>
      </c>
      <c r="J176" s="40">
        <f t="shared" si="22"/>
        <v>0</v>
      </c>
      <c r="K176" s="235"/>
      <c r="L176" s="172">
        <f t="shared" si="30"/>
        <v>191255</v>
      </c>
      <c r="M176" s="40">
        <f t="shared" si="24"/>
        <v>0</v>
      </c>
      <c r="N176" s="235"/>
      <c r="O176" s="332">
        <v>0</v>
      </c>
      <c r="P176" s="262">
        <f t="shared" si="20"/>
        <v>0</v>
      </c>
      <c r="Q176" s="350"/>
    </row>
    <row r="177" spans="2:17" ht="52.5" customHeight="1" x14ac:dyDescent="0.25">
      <c r="B177" s="53" t="s">
        <v>522</v>
      </c>
      <c r="C177" s="75" t="s">
        <v>558</v>
      </c>
      <c r="D177" s="349" t="s">
        <v>523</v>
      </c>
      <c r="E177" s="389">
        <v>193242</v>
      </c>
      <c r="F177" s="389">
        <v>193242</v>
      </c>
      <c r="G177" s="40">
        <f t="shared" si="19"/>
        <v>0</v>
      </c>
      <c r="H177" s="236"/>
      <c r="I177" s="389">
        <f>ROUND(F177,0)-193242</f>
        <v>0</v>
      </c>
      <c r="J177" s="358">
        <f t="shared" si="22"/>
        <v>-193242</v>
      </c>
      <c r="K177" s="454" t="s">
        <v>744</v>
      </c>
      <c r="L177" s="389">
        <f>ROUND(I177,0)</f>
        <v>0</v>
      </c>
      <c r="M177" s="40">
        <f t="shared" si="24"/>
        <v>0</v>
      </c>
      <c r="N177" s="454"/>
      <c r="O177" s="332">
        <v>0</v>
      </c>
      <c r="P177" s="275" t="e">
        <f t="shared" si="20"/>
        <v>#DIV/0!</v>
      </c>
      <c r="Q177" s="366"/>
    </row>
    <row r="178" spans="2:17" ht="28.9" customHeight="1" x14ac:dyDescent="0.25">
      <c r="B178" s="53"/>
      <c r="C178" s="338" t="s">
        <v>559</v>
      </c>
      <c r="D178" s="348" t="s">
        <v>678</v>
      </c>
      <c r="E178" s="381">
        <v>888703</v>
      </c>
      <c r="F178" s="389">
        <v>888703</v>
      </c>
      <c r="G178" s="40">
        <f>F178-E178</f>
        <v>0</v>
      </c>
      <c r="H178" s="337"/>
      <c r="I178" s="389">
        <f t="shared" si="26"/>
        <v>888703</v>
      </c>
      <c r="J178" s="40">
        <f t="shared" si="22"/>
        <v>0</v>
      </c>
      <c r="K178" s="337"/>
      <c r="L178" s="389">
        <f t="shared" ref="L178:L181" si="31">ROUND(I178,0)</f>
        <v>888703</v>
      </c>
      <c r="M178" s="40">
        <f t="shared" si="24"/>
        <v>0</v>
      </c>
      <c r="N178" s="337"/>
      <c r="O178" s="332">
        <v>294185.84000000003</v>
      </c>
      <c r="P178" s="333">
        <f t="shared" si="20"/>
        <v>0.33102829629246217</v>
      </c>
      <c r="Q178" s="360"/>
    </row>
    <row r="179" spans="2:17" ht="30" customHeight="1" x14ac:dyDescent="0.25">
      <c r="B179" s="53"/>
      <c r="C179" s="338"/>
      <c r="D179" s="339" t="s">
        <v>676</v>
      </c>
      <c r="E179" s="381">
        <v>575345</v>
      </c>
      <c r="F179" s="389">
        <v>575345</v>
      </c>
      <c r="G179" s="40">
        <f>F179-E179</f>
        <v>0</v>
      </c>
      <c r="H179" s="337"/>
      <c r="I179" s="389">
        <f t="shared" si="26"/>
        <v>575345</v>
      </c>
      <c r="J179" s="40">
        <f t="shared" si="22"/>
        <v>0</v>
      </c>
      <c r="K179" s="337"/>
      <c r="L179" s="389">
        <f t="shared" si="31"/>
        <v>575345</v>
      </c>
      <c r="M179" s="40">
        <f t="shared" si="24"/>
        <v>0</v>
      </c>
      <c r="N179" s="337"/>
      <c r="O179" s="465">
        <v>313827.87</v>
      </c>
      <c r="P179" s="333">
        <f t="shared" si="20"/>
        <v>0.54546032380571652</v>
      </c>
      <c r="Q179" s="360"/>
    </row>
    <row r="180" spans="2:17" ht="30" customHeight="1" x14ac:dyDescent="0.25">
      <c r="B180" s="53" t="s">
        <v>699</v>
      </c>
      <c r="C180" s="338"/>
      <c r="D180" s="348" t="s">
        <v>691</v>
      </c>
      <c r="E180" s="381">
        <v>268729</v>
      </c>
      <c r="F180" s="389">
        <v>268729</v>
      </c>
      <c r="G180" s="40">
        <f>F180-E180</f>
        <v>0</v>
      </c>
      <c r="H180" s="337"/>
      <c r="I180" s="389">
        <f t="shared" si="26"/>
        <v>268729</v>
      </c>
      <c r="J180" s="40">
        <f t="shared" si="22"/>
        <v>0</v>
      </c>
      <c r="K180" s="337"/>
      <c r="L180" s="389">
        <f t="shared" si="31"/>
        <v>268729</v>
      </c>
      <c r="M180" s="40">
        <f t="shared" si="24"/>
        <v>0</v>
      </c>
      <c r="N180" s="337"/>
      <c r="O180" s="332">
        <v>86324.469999999987</v>
      </c>
      <c r="P180" s="333">
        <f t="shared" si="20"/>
        <v>0.32123243118532047</v>
      </c>
      <c r="Q180" s="360"/>
    </row>
    <row r="181" spans="2:17" ht="17.25" customHeight="1" x14ac:dyDescent="0.25">
      <c r="B181" s="53" t="s">
        <v>700</v>
      </c>
      <c r="C181" s="338"/>
      <c r="D181" s="348" t="s">
        <v>692</v>
      </c>
      <c r="E181" s="381">
        <v>613434</v>
      </c>
      <c r="F181" s="389">
        <v>613434</v>
      </c>
      <c r="G181" s="40">
        <f>F181-E181</f>
        <v>0</v>
      </c>
      <c r="H181" s="337"/>
      <c r="I181" s="389">
        <f t="shared" si="26"/>
        <v>613434</v>
      </c>
      <c r="J181" s="40">
        <f t="shared" si="22"/>
        <v>0</v>
      </c>
      <c r="K181" s="337"/>
      <c r="L181" s="389">
        <f t="shared" si="31"/>
        <v>613434</v>
      </c>
      <c r="M181" s="40">
        <f t="shared" si="24"/>
        <v>0</v>
      </c>
      <c r="N181" s="337"/>
      <c r="O181" s="332">
        <v>50904.7</v>
      </c>
      <c r="P181" s="333">
        <f t="shared" si="20"/>
        <v>8.2983173413928801E-2</v>
      </c>
      <c r="Q181" s="360"/>
    </row>
    <row r="182" spans="2:17" ht="32.25" customHeight="1" x14ac:dyDescent="0.25">
      <c r="B182" s="53" t="s">
        <v>287</v>
      </c>
      <c r="C182" s="75" t="s">
        <v>559</v>
      </c>
      <c r="D182" s="123" t="s">
        <v>334</v>
      </c>
      <c r="E182" s="390">
        <v>6348646</v>
      </c>
      <c r="F182" s="390">
        <v>6378472</v>
      </c>
      <c r="G182" s="48">
        <f t="shared" si="19"/>
        <v>29826</v>
      </c>
      <c r="H182" s="180"/>
      <c r="I182" s="390">
        <f>SUM(I183:I185)</f>
        <v>6356699</v>
      </c>
      <c r="J182" s="48">
        <f t="shared" si="22"/>
        <v>-21773</v>
      </c>
      <c r="K182" s="180"/>
      <c r="L182" s="390">
        <f>SUM(L183:L185)</f>
        <v>6440076</v>
      </c>
      <c r="M182" s="48">
        <f t="shared" si="24"/>
        <v>83377</v>
      </c>
      <c r="N182" s="180"/>
      <c r="O182" s="466">
        <f>SUM(O183:O185)</f>
        <v>2210813.2600000002</v>
      </c>
      <c r="P182" s="271">
        <f t="shared" si="20"/>
        <v>0.34779266093927058</v>
      </c>
      <c r="Q182" s="446"/>
    </row>
    <row r="183" spans="2:17" s="135" customFormat="1" ht="117.6" customHeight="1" x14ac:dyDescent="0.25">
      <c r="B183" s="147"/>
      <c r="C183" s="104" t="s">
        <v>628</v>
      </c>
      <c r="D183" s="134" t="s">
        <v>454</v>
      </c>
      <c r="E183" s="391">
        <v>5630271</v>
      </c>
      <c r="F183" s="391">
        <v>5640207</v>
      </c>
      <c r="G183" s="409">
        <f t="shared" si="19"/>
        <v>9936</v>
      </c>
      <c r="H183" s="237" t="s">
        <v>707</v>
      </c>
      <c r="I183" s="391">
        <f>ROUND(F183,0)-22000-159+17873-17487</f>
        <v>5618434</v>
      </c>
      <c r="J183" s="410">
        <f t="shared" si="22"/>
        <v>-21773</v>
      </c>
      <c r="K183" s="237" t="s">
        <v>743</v>
      </c>
      <c r="L183" s="391">
        <f>ROUND(I183,0)+55600+6637+21140</f>
        <v>5701811</v>
      </c>
      <c r="M183" s="410">
        <f t="shared" si="24"/>
        <v>83377</v>
      </c>
      <c r="N183" s="597" t="s">
        <v>1152</v>
      </c>
      <c r="O183" s="467">
        <f>1945581.51+2227.61+14034.15+9935.51+9208.72+1459.26</f>
        <v>1982446.76</v>
      </c>
      <c r="P183" s="273">
        <f t="shared" si="20"/>
        <v>0.35284685376743768</v>
      </c>
      <c r="Q183" s="447" t="s">
        <v>462</v>
      </c>
    </row>
    <row r="184" spans="2:17" s="135" customFormat="1" ht="17.25" customHeight="1" x14ac:dyDescent="0.25">
      <c r="B184" s="147" t="s">
        <v>696</v>
      </c>
      <c r="C184" s="104" t="s">
        <v>629</v>
      </c>
      <c r="D184" s="134" t="s">
        <v>455</v>
      </c>
      <c r="E184" s="344">
        <v>484720</v>
      </c>
      <c r="F184" s="344">
        <v>484720</v>
      </c>
      <c r="G184" s="410">
        <f t="shared" si="19"/>
        <v>0</v>
      </c>
      <c r="H184" s="237"/>
      <c r="I184" s="344">
        <f t="shared" si="26"/>
        <v>484720</v>
      </c>
      <c r="J184" s="410">
        <f t="shared" si="22"/>
        <v>0</v>
      </c>
      <c r="K184" s="237"/>
      <c r="L184" s="344">
        <f t="shared" ref="L184:L189" si="32">ROUND(I184,0)</f>
        <v>484720</v>
      </c>
      <c r="M184" s="410">
        <f t="shared" si="24"/>
        <v>0</v>
      </c>
      <c r="N184" s="237"/>
      <c r="O184" s="467">
        <v>169387.34</v>
      </c>
      <c r="P184" s="273">
        <f t="shared" si="20"/>
        <v>0.34945399405842548</v>
      </c>
      <c r="Q184" s="447" t="s">
        <v>462</v>
      </c>
    </row>
    <row r="185" spans="2:17" s="135" customFormat="1" ht="18" customHeight="1" x14ac:dyDescent="0.25">
      <c r="B185" s="147" t="s">
        <v>697</v>
      </c>
      <c r="C185" s="104" t="s">
        <v>630</v>
      </c>
      <c r="D185" s="134" t="s">
        <v>456</v>
      </c>
      <c r="E185" s="344">
        <v>233655</v>
      </c>
      <c r="F185" s="344">
        <v>253545</v>
      </c>
      <c r="G185" s="410">
        <f t="shared" si="19"/>
        <v>19890</v>
      </c>
      <c r="H185" s="237" t="s">
        <v>706</v>
      </c>
      <c r="I185" s="344">
        <f t="shared" si="26"/>
        <v>253545</v>
      </c>
      <c r="J185" s="410">
        <f t="shared" si="22"/>
        <v>0</v>
      </c>
      <c r="K185" s="237"/>
      <c r="L185" s="344">
        <f t="shared" si="32"/>
        <v>253545</v>
      </c>
      <c r="M185" s="410">
        <f t="shared" si="24"/>
        <v>0</v>
      </c>
      <c r="N185" s="237"/>
      <c r="O185" s="467">
        <f>69756.25-10777.09</f>
        <v>58979.16</v>
      </c>
      <c r="P185" s="273">
        <f t="shared" si="20"/>
        <v>0.23261811512749217</v>
      </c>
      <c r="Q185" s="447" t="s">
        <v>462</v>
      </c>
    </row>
    <row r="186" spans="2:17" ht="27.6" customHeight="1" x14ac:dyDescent="0.25">
      <c r="B186" s="53" t="s">
        <v>287</v>
      </c>
      <c r="C186" s="95" t="s">
        <v>631</v>
      </c>
      <c r="D186" s="123" t="s">
        <v>627</v>
      </c>
      <c r="E186" s="172">
        <v>516833</v>
      </c>
      <c r="F186" s="172">
        <v>516833</v>
      </c>
      <c r="G186" s="48">
        <f t="shared" si="19"/>
        <v>0</v>
      </c>
      <c r="H186" s="232"/>
      <c r="I186" s="172">
        <f t="shared" si="26"/>
        <v>516833</v>
      </c>
      <c r="J186" s="48">
        <f t="shared" si="22"/>
        <v>0</v>
      </c>
      <c r="K186" s="232"/>
      <c r="L186" s="172">
        <f t="shared" si="32"/>
        <v>516833</v>
      </c>
      <c r="M186" s="48">
        <f t="shared" si="24"/>
        <v>0</v>
      </c>
      <c r="N186" s="232"/>
      <c r="O186" s="468">
        <v>2832.27</v>
      </c>
      <c r="P186" s="262">
        <f t="shared" si="20"/>
        <v>5.4800486811020198E-3</v>
      </c>
      <c r="Q186" s="356" t="s">
        <v>462</v>
      </c>
    </row>
    <row r="187" spans="2:17" ht="28.15" customHeight="1" x14ac:dyDescent="0.25">
      <c r="B187" s="53" t="s">
        <v>287</v>
      </c>
      <c r="C187" s="95" t="s">
        <v>560</v>
      </c>
      <c r="D187" s="123" t="s">
        <v>632</v>
      </c>
      <c r="E187" s="170">
        <v>0</v>
      </c>
      <c r="F187" s="172">
        <v>0</v>
      </c>
      <c r="G187" s="48">
        <f t="shared" si="19"/>
        <v>0</v>
      </c>
      <c r="H187" s="232"/>
      <c r="I187" s="172">
        <f t="shared" si="26"/>
        <v>0</v>
      </c>
      <c r="J187" s="48">
        <f t="shared" si="22"/>
        <v>0</v>
      </c>
      <c r="K187" s="232"/>
      <c r="L187" s="172">
        <f t="shared" si="32"/>
        <v>0</v>
      </c>
      <c r="M187" s="48">
        <f t="shared" si="24"/>
        <v>0</v>
      </c>
      <c r="N187" s="232"/>
      <c r="O187" s="332"/>
      <c r="P187" s="274" t="e">
        <f t="shared" si="20"/>
        <v>#DIV/0!</v>
      </c>
      <c r="Q187" s="356" t="s">
        <v>462</v>
      </c>
    </row>
    <row r="188" spans="2:17" ht="43.15" customHeight="1" x14ac:dyDescent="0.25">
      <c r="B188" s="53" t="s">
        <v>287</v>
      </c>
      <c r="C188" s="95" t="s">
        <v>561</v>
      </c>
      <c r="D188" s="123" t="s">
        <v>633</v>
      </c>
      <c r="E188" s="389">
        <v>1925648</v>
      </c>
      <c r="F188" s="389">
        <v>1925648</v>
      </c>
      <c r="G188" s="48">
        <f>F188-E188</f>
        <v>0</v>
      </c>
      <c r="H188" s="232"/>
      <c r="I188" s="389">
        <f t="shared" si="26"/>
        <v>1925648</v>
      </c>
      <c r="J188" s="48">
        <f t="shared" si="22"/>
        <v>0</v>
      </c>
      <c r="K188" s="232"/>
      <c r="L188" s="389">
        <f>ROUND(I188,0)-20800-34800</f>
        <v>1870048</v>
      </c>
      <c r="M188" s="48">
        <f t="shared" si="24"/>
        <v>-55600</v>
      </c>
      <c r="N188" s="232" t="s">
        <v>757</v>
      </c>
      <c r="O188" s="469">
        <f>19469.82+61606.76+35574</f>
        <v>116650.58</v>
      </c>
      <c r="P188" s="275">
        <f t="shared" si="20"/>
        <v>6.0577312156738929E-2</v>
      </c>
      <c r="Q188" s="356" t="s">
        <v>462</v>
      </c>
    </row>
    <row r="189" spans="2:17" ht="50.25" customHeight="1" x14ac:dyDescent="0.25">
      <c r="B189" s="53" t="s">
        <v>287</v>
      </c>
      <c r="C189" s="95" t="s">
        <v>690</v>
      </c>
      <c r="D189" s="123" t="s">
        <v>698</v>
      </c>
      <c r="E189" s="389">
        <v>97288</v>
      </c>
      <c r="F189" s="389">
        <v>97288</v>
      </c>
      <c r="G189" s="48">
        <f t="shared" si="19"/>
        <v>0</v>
      </c>
      <c r="H189" s="232"/>
      <c r="I189" s="389">
        <f t="shared" si="26"/>
        <v>97288</v>
      </c>
      <c r="J189" s="48">
        <f t="shared" si="22"/>
        <v>0</v>
      </c>
      <c r="K189" s="232"/>
      <c r="L189" s="389">
        <f t="shared" si="32"/>
        <v>97288</v>
      </c>
      <c r="M189" s="48">
        <f t="shared" si="24"/>
        <v>0</v>
      </c>
      <c r="N189" s="232"/>
      <c r="O189" s="422">
        <f>29554.25+2003.76</f>
        <v>31558.01</v>
      </c>
      <c r="P189" s="275">
        <f t="shared" si="20"/>
        <v>0.32437720993339364</v>
      </c>
      <c r="Q189" s="356" t="s">
        <v>462</v>
      </c>
    </row>
    <row r="190" spans="2:17" ht="18.600000000000001" hidden="1" customHeight="1" outlineLevel="1" x14ac:dyDescent="0.25">
      <c r="B190" s="53" t="s">
        <v>287</v>
      </c>
      <c r="C190" s="95" t="s">
        <v>562</v>
      </c>
      <c r="D190" s="129" t="s">
        <v>482</v>
      </c>
      <c r="E190" s="170"/>
      <c r="F190" s="172"/>
      <c r="G190" s="48">
        <f t="shared" si="19"/>
        <v>0</v>
      </c>
      <c r="H190" s="233"/>
      <c r="I190" s="172">
        <f t="shared" ref="I190:I196" si="33">ROUND(G190,0)</f>
        <v>0</v>
      </c>
      <c r="J190" s="48">
        <f t="shared" si="22"/>
        <v>0</v>
      </c>
      <c r="K190" s="233"/>
      <c r="L190" s="172">
        <f t="shared" ref="L190:L196" si="34">ROUND(J190,0)</f>
        <v>0</v>
      </c>
      <c r="M190" s="48">
        <f t="shared" si="24"/>
        <v>0</v>
      </c>
      <c r="N190" s="233"/>
      <c r="O190" s="316"/>
      <c r="P190" s="274" t="e">
        <f t="shared" si="20"/>
        <v>#DIV/0!</v>
      </c>
      <c r="Q190" s="356" t="s">
        <v>464</v>
      </c>
    </row>
    <row r="191" spans="2:17" ht="43.5" hidden="1" customHeight="1" outlineLevel="1" x14ac:dyDescent="0.25">
      <c r="B191" s="53" t="s">
        <v>287</v>
      </c>
      <c r="C191" s="95" t="s">
        <v>563</v>
      </c>
      <c r="D191" s="129" t="s">
        <v>453</v>
      </c>
      <c r="E191" s="170"/>
      <c r="F191" s="172"/>
      <c r="G191" s="48">
        <f t="shared" si="19"/>
        <v>0</v>
      </c>
      <c r="H191" s="233"/>
      <c r="I191" s="172">
        <f t="shared" si="33"/>
        <v>0</v>
      </c>
      <c r="J191" s="48">
        <f t="shared" si="22"/>
        <v>0</v>
      </c>
      <c r="K191" s="233"/>
      <c r="L191" s="172">
        <f t="shared" si="34"/>
        <v>0</v>
      </c>
      <c r="M191" s="48">
        <f t="shared" si="24"/>
        <v>0</v>
      </c>
      <c r="N191" s="233"/>
      <c r="O191" s="316"/>
      <c r="P191" s="274" t="e">
        <f t="shared" si="20"/>
        <v>#DIV/0!</v>
      </c>
      <c r="Q191" s="356" t="s">
        <v>464</v>
      </c>
    </row>
    <row r="192" spans="2:17" ht="25.9" hidden="1" customHeight="1" outlineLevel="1" x14ac:dyDescent="0.25">
      <c r="B192" s="53" t="s">
        <v>287</v>
      </c>
      <c r="C192" s="95" t="s">
        <v>564</v>
      </c>
      <c r="D192" s="129" t="s">
        <v>485</v>
      </c>
      <c r="E192" s="170"/>
      <c r="F192" s="172"/>
      <c r="G192" s="48">
        <f t="shared" si="19"/>
        <v>0</v>
      </c>
      <c r="H192" s="233"/>
      <c r="I192" s="172">
        <f t="shared" si="33"/>
        <v>0</v>
      </c>
      <c r="J192" s="48">
        <f t="shared" si="22"/>
        <v>0</v>
      </c>
      <c r="K192" s="233"/>
      <c r="L192" s="172">
        <f t="shared" si="34"/>
        <v>0</v>
      </c>
      <c r="M192" s="48">
        <f t="shared" si="24"/>
        <v>0</v>
      </c>
      <c r="N192" s="233"/>
      <c r="O192" s="316"/>
      <c r="P192" s="274" t="e">
        <f t="shared" si="20"/>
        <v>#DIV/0!</v>
      </c>
      <c r="Q192" s="356" t="s">
        <v>464</v>
      </c>
    </row>
    <row r="193" spans="2:18" ht="45.6" hidden="1" customHeight="1" outlineLevel="1" x14ac:dyDescent="0.25">
      <c r="B193" s="53" t="s">
        <v>287</v>
      </c>
      <c r="C193" s="95" t="s">
        <v>565</v>
      </c>
      <c r="D193" s="129" t="s">
        <v>495</v>
      </c>
      <c r="E193" s="170"/>
      <c r="F193" s="172"/>
      <c r="G193" s="48">
        <f t="shared" si="19"/>
        <v>0</v>
      </c>
      <c r="H193" s="233"/>
      <c r="I193" s="172">
        <f t="shared" si="33"/>
        <v>0</v>
      </c>
      <c r="J193" s="48">
        <f t="shared" si="22"/>
        <v>0</v>
      </c>
      <c r="K193" s="233"/>
      <c r="L193" s="172">
        <f t="shared" si="34"/>
        <v>0</v>
      </c>
      <c r="M193" s="48">
        <f t="shared" si="24"/>
        <v>0</v>
      </c>
      <c r="N193" s="233"/>
      <c r="O193" s="316"/>
      <c r="P193" s="274" t="e">
        <f t="shared" si="20"/>
        <v>#DIV/0!</v>
      </c>
      <c r="Q193" s="356" t="s">
        <v>464</v>
      </c>
    </row>
    <row r="194" spans="2:18" ht="18.600000000000001" hidden="1" customHeight="1" outlineLevel="1" x14ac:dyDescent="0.25">
      <c r="B194" s="53" t="s">
        <v>475</v>
      </c>
      <c r="C194" s="95" t="s">
        <v>566</v>
      </c>
      <c r="D194" s="129" t="s">
        <v>452</v>
      </c>
      <c r="E194" s="170"/>
      <c r="F194" s="172"/>
      <c r="G194" s="48">
        <f t="shared" si="19"/>
        <v>0</v>
      </c>
      <c r="H194" s="233"/>
      <c r="I194" s="172">
        <f t="shared" si="33"/>
        <v>0</v>
      </c>
      <c r="J194" s="48">
        <f t="shared" si="22"/>
        <v>0</v>
      </c>
      <c r="K194" s="233"/>
      <c r="L194" s="172">
        <f t="shared" si="34"/>
        <v>0</v>
      </c>
      <c r="M194" s="48">
        <f t="shared" si="24"/>
        <v>0</v>
      </c>
      <c r="N194" s="233"/>
      <c r="O194" s="316"/>
      <c r="P194" s="274" t="e">
        <f t="shared" si="20"/>
        <v>#DIV/0!</v>
      </c>
      <c r="Q194" s="356" t="s">
        <v>464</v>
      </c>
    </row>
    <row r="195" spans="2:18" ht="29.45" hidden="1" customHeight="1" outlineLevel="1" x14ac:dyDescent="0.25">
      <c r="B195" s="53"/>
      <c r="C195" s="95" t="s">
        <v>567</v>
      </c>
      <c r="D195" s="129" t="s">
        <v>516</v>
      </c>
      <c r="E195" s="170"/>
      <c r="F195" s="172"/>
      <c r="G195" s="48">
        <f t="shared" si="19"/>
        <v>0</v>
      </c>
      <c r="H195" s="233"/>
      <c r="I195" s="172">
        <f t="shared" si="33"/>
        <v>0</v>
      </c>
      <c r="J195" s="48">
        <f t="shared" si="22"/>
        <v>0</v>
      </c>
      <c r="K195" s="233"/>
      <c r="L195" s="172">
        <f t="shared" si="34"/>
        <v>0</v>
      </c>
      <c r="M195" s="48">
        <f t="shared" si="24"/>
        <v>0</v>
      </c>
      <c r="N195" s="233"/>
      <c r="O195" s="316"/>
      <c r="P195" s="274" t="e">
        <f t="shared" si="20"/>
        <v>#DIV/0!</v>
      </c>
      <c r="Q195" s="356" t="s">
        <v>463</v>
      </c>
    </row>
    <row r="196" spans="2:18" ht="29.45" hidden="1" customHeight="1" outlineLevel="1" x14ac:dyDescent="0.25">
      <c r="B196" s="53" t="s">
        <v>389</v>
      </c>
      <c r="C196" s="95" t="s">
        <v>568</v>
      </c>
      <c r="D196" s="129" t="s">
        <v>517</v>
      </c>
      <c r="E196" s="172"/>
      <c r="F196" s="172"/>
      <c r="G196" s="48">
        <f t="shared" si="19"/>
        <v>0</v>
      </c>
      <c r="H196" s="219"/>
      <c r="I196" s="172">
        <f t="shared" si="33"/>
        <v>0</v>
      </c>
      <c r="J196" s="48">
        <f t="shared" si="22"/>
        <v>0</v>
      </c>
      <c r="K196" s="219"/>
      <c r="L196" s="172">
        <f t="shared" si="34"/>
        <v>0</v>
      </c>
      <c r="M196" s="48">
        <f t="shared" si="24"/>
        <v>0</v>
      </c>
      <c r="N196" s="219"/>
      <c r="O196" s="316"/>
      <c r="P196" s="262" t="e">
        <f t="shared" si="20"/>
        <v>#DIV/0!</v>
      </c>
      <c r="Q196" s="448" t="s">
        <v>464</v>
      </c>
    </row>
    <row r="197" spans="2:18" collapsed="1" x14ac:dyDescent="0.25">
      <c r="C197" s="74" t="s">
        <v>41</v>
      </c>
      <c r="D197" s="122" t="s">
        <v>168</v>
      </c>
      <c r="E197" s="12">
        <v>2992843</v>
      </c>
      <c r="F197" s="169">
        <v>3010993</v>
      </c>
      <c r="G197" s="12">
        <f t="shared" si="19"/>
        <v>18150</v>
      </c>
      <c r="H197" s="12"/>
      <c r="I197" s="169">
        <f>SUM(I198,I203:I207)+I210+I211</f>
        <v>3010993</v>
      </c>
      <c r="J197" s="12">
        <f t="shared" si="22"/>
        <v>0</v>
      </c>
      <c r="K197" s="12"/>
      <c r="L197" s="169">
        <f>SUM(L198,L203:L207)+L210+L211</f>
        <v>3034320</v>
      </c>
      <c r="M197" s="12">
        <f t="shared" si="24"/>
        <v>23327</v>
      </c>
      <c r="N197" s="12"/>
      <c r="O197" s="156">
        <f>SUM(O198,O203:O207)+O210+O211</f>
        <v>1148403.47</v>
      </c>
      <c r="P197" s="280">
        <f t="shared" ref="P197:P260" si="35">O197/I197</f>
        <v>0.38140356686315774</v>
      </c>
      <c r="Q197" s="428"/>
    </row>
    <row r="198" spans="2:18" ht="23.25" customHeight="1" x14ac:dyDescent="0.25">
      <c r="C198" s="73" t="s">
        <v>44</v>
      </c>
      <c r="D198" s="114" t="s">
        <v>292</v>
      </c>
      <c r="E198" s="35">
        <v>1635359</v>
      </c>
      <c r="F198" s="35">
        <v>1635359</v>
      </c>
      <c r="G198" s="35">
        <f t="shared" si="19"/>
        <v>0</v>
      </c>
      <c r="H198" s="35">
        <f>SUM(H199:H202)</f>
        <v>0</v>
      </c>
      <c r="I198" s="35">
        <f>SUM(I199:I202)</f>
        <v>1635359</v>
      </c>
      <c r="J198" s="35">
        <f t="shared" si="22"/>
        <v>0</v>
      </c>
      <c r="K198" s="35">
        <f>SUM(K199:K202)</f>
        <v>0</v>
      </c>
      <c r="L198" s="35">
        <f>SUM(L199:L202)</f>
        <v>1651686</v>
      </c>
      <c r="M198" s="35">
        <f t="shared" si="24"/>
        <v>16327</v>
      </c>
      <c r="N198" s="35">
        <f>SUM(N199:N202)</f>
        <v>0</v>
      </c>
      <c r="O198" s="463">
        <f>SUM(O199:O202)</f>
        <v>611054.01</v>
      </c>
      <c r="P198" s="272">
        <f t="shared" si="35"/>
        <v>0.37365129613742304</v>
      </c>
      <c r="Q198" s="443"/>
    </row>
    <row r="199" spans="2:18" ht="95.25" customHeight="1" x14ac:dyDescent="0.25">
      <c r="B199" s="53" t="s">
        <v>356</v>
      </c>
      <c r="C199" s="75" t="s">
        <v>47</v>
      </c>
      <c r="D199" s="112" t="s">
        <v>335</v>
      </c>
      <c r="E199" s="172">
        <v>815272</v>
      </c>
      <c r="F199" s="172">
        <v>815272</v>
      </c>
      <c r="G199" s="48">
        <f t="shared" si="19"/>
        <v>0</v>
      </c>
      <c r="H199" s="232"/>
      <c r="I199" s="172">
        <f>ROUND(F199,0)</f>
        <v>815272</v>
      </c>
      <c r="J199" s="48">
        <f t="shared" ref="J199:J262" si="36">I199-F199</f>
        <v>0</v>
      </c>
      <c r="K199" s="232"/>
      <c r="L199" s="172">
        <f>ROUND(I199,0)-673+17000</f>
        <v>831599</v>
      </c>
      <c r="M199" s="48">
        <f t="shared" ref="M199:M262" si="37">L199-I199</f>
        <v>16327</v>
      </c>
      <c r="N199" s="232" t="s">
        <v>759</v>
      </c>
      <c r="O199" s="332">
        <v>384433.4</v>
      </c>
      <c r="P199" s="262">
        <f t="shared" si="35"/>
        <v>0.47154005043715475</v>
      </c>
      <c r="Q199" s="366" t="s">
        <v>465</v>
      </c>
    </row>
    <row r="200" spans="2:18" ht="14.25" customHeight="1" x14ac:dyDescent="0.25">
      <c r="B200" s="53" t="s">
        <v>350</v>
      </c>
      <c r="C200" s="75" t="s">
        <v>50</v>
      </c>
      <c r="D200" s="112" t="s">
        <v>305</v>
      </c>
      <c r="E200" s="172">
        <v>566368</v>
      </c>
      <c r="F200" s="172">
        <v>566368</v>
      </c>
      <c r="G200" s="48">
        <f t="shared" si="19"/>
        <v>0</v>
      </c>
      <c r="H200" s="232"/>
      <c r="I200" s="172">
        <f t="shared" ref="I200:I206" si="38">ROUND(F200,0)</f>
        <v>566368</v>
      </c>
      <c r="J200" s="48">
        <f t="shared" si="36"/>
        <v>0</v>
      </c>
      <c r="K200" s="232"/>
      <c r="L200" s="172">
        <f t="shared" ref="L200:L206" si="39">ROUND(I200,0)</f>
        <v>566368</v>
      </c>
      <c r="M200" s="48">
        <f t="shared" si="37"/>
        <v>0</v>
      </c>
      <c r="N200" s="232"/>
      <c r="O200" s="332">
        <v>135861.37</v>
      </c>
      <c r="P200" s="262">
        <f t="shared" si="35"/>
        <v>0.23988179063788914</v>
      </c>
      <c r="Q200" s="366" t="s">
        <v>466</v>
      </c>
    </row>
    <row r="201" spans="2:18" ht="25.9" customHeight="1" x14ac:dyDescent="0.25">
      <c r="B201" s="53" t="s">
        <v>681</v>
      </c>
      <c r="C201" s="75" t="s">
        <v>52</v>
      </c>
      <c r="D201" s="112" t="s">
        <v>447</v>
      </c>
      <c r="E201" s="172">
        <v>207547</v>
      </c>
      <c r="F201" s="172">
        <v>207547</v>
      </c>
      <c r="G201" s="48">
        <f t="shared" si="19"/>
        <v>0</v>
      </c>
      <c r="H201" s="219"/>
      <c r="I201" s="172">
        <f t="shared" si="38"/>
        <v>207547</v>
      </c>
      <c r="J201" s="48">
        <f t="shared" si="36"/>
        <v>0</v>
      </c>
      <c r="K201" s="219"/>
      <c r="L201" s="172">
        <f t="shared" si="39"/>
        <v>207547</v>
      </c>
      <c r="M201" s="48">
        <f t="shared" si="37"/>
        <v>0</v>
      </c>
      <c r="N201" s="219"/>
      <c r="O201" s="332">
        <f>71438.87+5286.9</f>
        <v>76725.76999999999</v>
      </c>
      <c r="P201" s="262">
        <f t="shared" si="35"/>
        <v>0.36967901246464652</v>
      </c>
      <c r="Q201" s="366"/>
    </row>
    <row r="202" spans="2:18" ht="13.9" customHeight="1" x14ac:dyDescent="0.25">
      <c r="B202" s="53" t="s">
        <v>468</v>
      </c>
      <c r="C202" s="75" t="s">
        <v>569</v>
      </c>
      <c r="D202" s="112" t="s">
        <v>476</v>
      </c>
      <c r="E202" s="392">
        <v>46172</v>
      </c>
      <c r="F202" s="392">
        <v>46172</v>
      </c>
      <c r="G202" s="11">
        <f t="shared" si="19"/>
        <v>0</v>
      </c>
      <c r="H202" s="238"/>
      <c r="I202" s="392">
        <f t="shared" si="38"/>
        <v>46172</v>
      </c>
      <c r="J202" s="11">
        <f t="shared" si="36"/>
        <v>0</v>
      </c>
      <c r="K202" s="238"/>
      <c r="L202" s="392">
        <f t="shared" si="39"/>
        <v>46172</v>
      </c>
      <c r="M202" s="11">
        <f t="shared" si="37"/>
        <v>0</v>
      </c>
      <c r="N202" s="238"/>
      <c r="O202" s="332">
        <v>14033.47</v>
      </c>
      <c r="P202" s="318">
        <f t="shared" si="35"/>
        <v>0.30393896733951309</v>
      </c>
      <c r="Q202" s="366"/>
    </row>
    <row r="203" spans="2:18" ht="29.45" hidden="1" customHeight="1" outlineLevel="1" x14ac:dyDescent="0.25">
      <c r="B203" s="53" t="s">
        <v>391</v>
      </c>
      <c r="C203" s="96" t="s">
        <v>54</v>
      </c>
      <c r="D203" s="164" t="s">
        <v>306</v>
      </c>
      <c r="E203" s="35"/>
      <c r="F203" s="35"/>
      <c r="G203" s="17">
        <f t="shared" si="19"/>
        <v>0</v>
      </c>
      <c r="H203" s="239" t="s">
        <v>500</v>
      </c>
      <c r="I203" s="35">
        <f t="shared" si="38"/>
        <v>0</v>
      </c>
      <c r="J203" s="17">
        <f t="shared" si="36"/>
        <v>0</v>
      </c>
      <c r="K203" s="209"/>
      <c r="L203" s="35">
        <f t="shared" si="39"/>
        <v>0</v>
      </c>
      <c r="M203" s="17">
        <f t="shared" si="37"/>
        <v>0</v>
      </c>
      <c r="N203" s="209"/>
      <c r="O203" s="312"/>
      <c r="P203" s="272" t="e">
        <f t="shared" si="35"/>
        <v>#DIV/0!</v>
      </c>
      <c r="Q203" s="368" t="s">
        <v>463</v>
      </c>
    </row>
    <row r="204" spans="2:18" ht="27" hidden="1" customHeight="1" outlineLevel="1" x14ac:dyDescent="0.25">
      <c r="B204" s="53" t="s">
        <v>392</v>
      </c>
      <c r="C204" s="96" t="s">
        <v>169</v>
      </c>
      <c r="D204" s="164" t="s">
        <v>307</v>
      </c>
      <c r="E204" s="35"/>
      <c r="F204" s="35"/>
      <c r="G204" s="17">
        <f t="shared" si="19"/>
        <v>0</v>
      </c>
      <c r="H204" s="209"/>
      <c r="I204" s="35">
        <f t="shared" si="38"/>
        <v>0</v>
      </c>
      <c r="J204" s="17">
        <f t="shared" si="36"/>
        <v>0</v>
      </c>
      <c r="K204" s="209"/>
      <c r="L204" s="35">
        <f t="shared" si="39"/>
        <v>0</v>
      </c>
      <c r="M204" s="17">
        <f t="shared" si="37"/>
        <v>0</v>
      </c>
      <c r="N204" s="209"/>
      <c r="O204" s="312"/>
      <c r="P204" s="272" t="e">
        <f t="shared" si="35"/>
        <v>#DIV/0!</v>
      </c>
      <c r="Q204" s="368"/>
    </row>
    <row r="205" spans="2:18" ht="15" customHeight="1" collapsed="1" x14ac:dyDescent="0.25">
      <c r="B205" s="53" t="s">
        <v>218</v>
      </c>
      <c r="C205" s="73" t="s">
        <v>54</v>
      </c>
      <c r="D205" s="114" t="s">
        <v>336</v>
      </c>
      <c r="E205" s="35">
        <v>162922</v>
      </c>
      <c r="F205" s="35">
        <v>162922</v>
      </c>
      <c r="G205" s="17">
        <f t="shared" si="19"/>
        <v>0</v>
      </c>
      <c r="H205" s="240"/>
      <c r="I205" s="35">
        <f t="shared" si="38"/>
        <v>162922</v>
      </c>
      <c r="J205" s="17">
        <f t="shared" si="36"/>
        <v>0</v>
      </c>
      <c r="K205" s="240"/>
      <c r="L205" s="35">
        <f t="shared" si="39"/>
        <v>162922</v>
      </c>
      <c r="M205" s="17">
        <f t="shared" si="37"/>
        <v>0</v>
      </c>
      <c r="N205" s="240"/>
      <c r="O205" s="463">
        <v>71024.86</v>
      </c>
      <c r="P205" s="272">
        <f t="shared" si="35"/>
        <v>0.43594394863799857</v>
      </c>
      <c r="Q205" s="368"/>
    </row>
    <row r="206" spans="2:18" ht="15.6" customHeight="1" x14ac:dyDescent="0.25">
      <c r="B206" s="53" t="s">
        <v>328</v>
      </c>
      <c r="C206" s="73" t="s">
        <v>169</v>
      </c>
      <c r="D206" s="114" t="s">
        <v>337</v>
      </c>
      <c r="E206" s="174">
        <v>77820</v>
      </c>
      <c r="F206" s="174">
        <v>77820</v>
      </c>
      <c r="G206" s="411">
        <f t="shared" ref="G206:G274" si="40">F206-E206</f>
        <v>0</v>
      </c>
      <c r="H206" s="241"/>
      <c r="I206" s="174">
        <f t="shared" si="38"/>
        <v>77820</v>
      </c>
      <c r="J206" s="411">
        <f t="shared" si="36"/>
        <v>0</v>
      </c>
      <c r="K206" s="241"/>
      <c r="L206" s="174">
        <f t="shared" si="39"/>
        <v>77820</v>
      </c>
      <c r="M206" s="411">
        <f t="shared" si="37"/>
        <v>0</v>
      </c>
      <c r="N206" s="241"/>
      <c r="O206" s="463">
        <v>33104.74</v>
      </c>
      <c r="P206" s="292">
        <f t="shared" si="35"/>
        <v>0.42540143921870982</v>
      </c>
      <c r="Q206" s="368"/>
    </row>
    <row r="207" spans="2:18" ht="15" customHeight="1" x14ac:dyDescent="0.25">
      <c r="B207" s="53" t="s">
        <v>217</v>
      </c>
      <c r="C207" s="73" t="s">
        <v>171</v>
      </c>
      <c r="D207" s="114" t="s">
        <v>170</v>
      </c>
      <c r="E207" s="35">
        <v>1091514</v>
      </c>
      <c r="F207" s="35">
        <v>1109664</v>
      </c>
      <c r="G207" s="17">
        <f t="shared" si="40"/>
        <v>18150</v>
      </c>
      <c r="H207" s="209"/>
      <c r="I207" s="35">
        <f>I208+I209</f>
        <v>1109664</v>
      </c>
      <c r="J207" s="17">
        <f t="shared" si="36"/>
        <v>0</v>
      </c>
      <c r="K207" s="209"/>
      <c r="L207" s="35">
        <f>L208+L209</f>
        <v>1116664</v>
      </c>
      <c r="M207" s="17">
        <f t="shared" si="37"/>
        <v>7000</v>
      </c>
      <c r="N207" s="209"/>
      <c r="O207" s="463">
        <f>SUM(O208:O209)</f>
        <v>426803.33</v>
      </c>
      <c r="P207" s="272">
        <f t="shared" si="35"/>
        <v>0.38462393120800531</v>
      </c>
      <c r="Q207" s="368"/>
      <c r="R207" s="308"/>
    </row>
    <row r="208" spans="2:18" ht="98.25" customHeight="1" x14ac:dyDescent="0.25">
      <c r="B208" s="53"/>
      <c r="C208" s="133" t="s">
        <v>646</v>
      </c>
      <c r="D208" s="148" t="s">
        <v>499</v>
      </c>
      <c r="E208" s="393">
        <v>757264</v>
      </c>
      <c r="F208" s="393">
        <v>775414</v>
      </c>
      <c r="G208" s="421">
        <f t="shared" si="40"/>
        <v>18150</v>
      </c>
      <c r="H208" s="423" t="s">
        <v>716</v>
      </c>
      <c r="I208" s="393">
        <f>ROUND(F208,0)</f>
        <v>775414</v>
      </c>
      <c r="J208" s="421">
        <f t="shared" si="36"/>
        <v>0</v>
      </c>
      <c r="K208" s="423"/>
      <c r="L208" s="393">
        <f>ROUND(I208,0)+5000+2000</f>
        <v>782414</v>
      </c>
      <c r="M208" s="421">
        <f t="shared" si="37"/>
        <v>7000</v>
      </c>
      <c r="N208" s="459" t="s">
        <v>1148</v>
      </c>
      <c r="O208" s="422">
        <v>312232.94</v>
      </c>
      <c r="P208" s="287">
        <f t="shared" si="35"/>
        <v>0.40266611126443425</v>
      </c>
      <c r="Q208" s="366" t="s">
        <v>515</v>
      </c>
    </row>
    <row r="209" spans="2:17" ht="16.5" customHeight="1" x14ac:dyDescent="0.25">
      <c r="B209" s="53"/>
      <c r="C209" s="133" t="s">
        <v>647</v>
      </c>
      <c r="D209" s="148" t="s">
        <v>497</v>
      </c>
      <c r="E209" s="393">
        <v>334250</v>
      </c>
      <c r="F209" s="393">
        <v>334250</v>
      </c>
      <c r="G209" s="412">
        <f t="shared" si="40"/>
        <v>0</v>
      </c>
      <c r="H209" s="248"/>
      <c r="I209" s="393">
        <f>ROUND(F209,0)</f>
        <v>334250</v>
      </c>
      <c r="J209" s="412">
        <f t="shared" si="36"/>
        <v>0</v>
      </c>
      <c r="K209" s="248"/>
      <c r="L209" s="393">
        <f>ROUND(I209,0)</f>
        <v>334250</v>
      </c>
      <c r="M209" s="412">
        <f t="shared" si="37"/>
        <v>0</v>
      </c>
      <c r="N209" s="248"/>
      <c r="O209" s="470">
        <v>114570.39000000001</v>
      </c>
      <c r="P209" s="287">
        <f t="shared" si="35"/>
        <v>0.34276855646970833</v>
      </c>
      <c r="Q209" s="366"/>
    </row>
    <row r="210" spans="2:17" ht="15.6" customHeight="1" x14ac:dyDescent="0.25">
      <c r="B210" s="53" t="s">
        <v>219</v>
      </c>
      <c r="C210" s="73" t="s">
        <v>173</v>
      </c>
      <c r="D210" s="114" t="s">
        <v>172</v>
      </c>
      <c r="E210" s="35">
        <v>6000</v>
      </c>
      <c r="F210" s="35">
        <v>6000</v>
      </c>
      <c r="G210" s="17">
        <f t="shared" si="40"/>
        <v>0</v>
      </c>
      <c r="H210" s="182"/>
      <c r="I210" s="35">
        <f>ROUND(F210,0)</f>
        <v>6000</v>
      </c>
      <c r="J210" s="17">
        <f t="shared" si="36"/>
        <v>0</v>
      </c>
      <c r="K210" s="182"/>
      <c r="L210" s="35">
        <f>ROUND(I210,0)</f>
        <v>6000</v>
      </c>
      <c r="M210" s="17">
        <f t="shared" si="37"/>
        <v>0</v>
      </c>
      <c r="N210" s="182"/>
      <c r="O210" s="463">
        <v>6000</v>
      </c>
      <c r="P210" s="272">
        <f t="shared" si="35"/>
        <v>1</v>
      </c>
      <c r="Q210" s="368"/>
    </row>
    <row r="211" spans="2:17" ht="15.6" customHeight="1" x14ac:dyDescent="0.25">
      <c r="B211" s="53" t="s">
        <v>448</v>
      </c>
      <c r="C211" s="73" t="s">
        <v>238</v>
      </c>
      <c r="D211" s="114" t="s">
        <v>241</v>
      </c>
      <c r="E211" s="35">
        <v>19228</v>
      </c>
      <c r="F211" s="35">
        <v>19228</v>
      </c>
      <c r="G211" s="17">
        <f t="shared" si="40"/>
        <v>0</v>
      </c>
      <c r="H211" s="182"/>
      <c r="I211" s="35">
        <f>ROUND(F211,0)</f>
        <v>19228</v>
      </c>
      <c r="J211" s="17">
        <f t="shared" si="36"/>
        <v>0</v>
      </c>
      <c r="K211" s="182"/>
      <c r="L211" s="35">
        <f>ROUND(I211,0)</f>
        <v>19228</v>
      </c>
      <c r="M211" s="17">
        <f t="shared" si="37"/>
        <v>0</v>
      </c>
      <c r="N211" s="182"/>
      <c r="O211" s="463">
        <v>416.53</v>
      </c>
      <c r="P211" s="272">
        <f t="shared" si="35"/>
        <v>2.1662679425837317E-2</v>
      </c>
      <c r="Q211" s="368"/>
    </row>
    <row r="212" spans="2:17" s="4" customFormat="1" ht="15.6" customHeight="1" x14ac:dyDescent="0.2">
      <c r="C212" s="74" t="s">
        <v>68</v>
      </c>
      <c r="D212" s="122" t="s">
        <v>174</v>
      </c>
      <c r="E212" s="12">
        <v>3909733</v>
      </c>
      <c r="F212" s="12">
        <v>3909733</v>
      </c>
      <c r="G212" s="12">
        <f t="shared" si="40"/>
        <v>0</v>
      </c>
      <c r="H212" s="12"/>
      <c r="I212" s="12">
        <f>I213+I219+I222+I227+I228+I229+I230+I231</f>
        <v>3990102</v>
      </c>
      <c r="J212" s="12">
        <f t="shared" si="36"/>
        <v>80369</v>
      </c>
      <c r="K212" s="12"/>
      <c r="L212" s="12">
        <f>L213+L219+L222+L227+L228+L229+L230+L231</f>
        <v>3990102</v>
      </c>
      <c r="M212" s="12">
        <f t="shared" si="37"/>
        <v>0</v>
      </c>
      <c r="N212" s="12"/>
      <c r="O212" s="156">
        <f>O213+O219+O222+O227+O228+O229+O230+O231</f>
        <v>1588056.25</v>
      </c>
      <c r="P212" s="280">
        <f t="shared" si="35"/>
        <v>0.39799891080478644</v>
      </c>
      <c r="Q212" s="428"/>
    </row>
    <row r="213" spans="2:17" s="4" customFormat="1" ht="15" customHeight="1" x14ac:dyDescent="0.25">
      <c r="C213" s="73" t="s">
        <v>71</v>
      </c>
      <c r="D213" s="114" t="s">
        <v>175</v>
      </c>
      <c r="E213" s="17">
        <v>3179724</v>
      </c>
      <c r="F213" s="17">
        <v>3179724</v>
      </c>
      <c r="G213" s="17">
        <f t="shared" si="40"/>
        <v>0</v>
      </c>
      <c r="H213" s="17"/>
      <c r="I213" s="17">
        <f>SUM(I214:I218)</f>
        <v>3179724</v>
      </c>
      <c r="J213" s="17">
        <f t="shared" si="36"/>
        <v>0</v>
      </c>
      <c r="K213" s="17"/>
      <c r="L213" s="17">
        <f>SUM(L214:L218)</f>
        <v>3179724</v>
      </c>
      <c r="M213" s="17">
        <f t="shared" si="37"/>
        <v>0</v>
      </c>
      <c r="N213" s="17"/>
      <c r="O213" s="155">
        <f>SUM(O214:O218)</f>
        <v>1358087.26</v>
      </c>
      <c r="P213" s="272">
        <f t="shared" si="35"/>
        <v>0.42710853520620029</v>
      </c>
      <c r="Q213" s="368"/>
    </row>
    <row r="214" spans="2:17" s="33" customFormat="1" ht="18" customHeight="1" outlineLevel="1" x14ac:dyDescent="0.25">
      <c r="B214" s="33" t="s">
        <v>642</v>
      </c>
      <c r="C214" s="133" t="s">
        <v>229</v>
      </c>
      <c r="D214" s="113" t="s">
        <v>338</v>
      </c>
      <c r="E214" s="36">
        <v>685615</v>
      </c>
      <c r="F214" s="36">
        <v>685615</v>
      </c>
      <c r="G214" s="34">
        <f t="shared" si="40"/>
        <v>0</v>
      </c>
      <c r="H214" s="208"/>
      <c r="I214" s="36">
        <f>ROUND(F214,0)</f>
        <v>685615</v>
      </c>
      <c r="J214" s="34">
        <f t="shared" si="36"/>
        <v>0</v>
      </c>
      <c r="K214" s="208"/>
      <c r="L214" s="36">
        <f>ROUND(I214,0)</f>
        <v>685615</v>
      </c>
      <c r="M214" s="34">
        <f t="shared" si="37"/>
        <v>0</v>
      </c>
      <c r="N214" s="208"/>
      <c r="O214" s="471">
        <f>1094027.43-O215-805</f>
        <v>683407.42999999993</v>
      </c>
      <c r="P214" s="293">
        <f t="shared" si="35"/>
        <v>0.99678016087746024</v>
      </c>
      <c r="Q214" s="367"/>
    </row>
    <row r="215" spans="2:17" s="33" customFormat="1" ht="15.6" customHeight="1" outlineLevel="1" x14ac:dyDescent="0.25">
      <c r="B215" s="178" t="s">
        <v>640</v>
      </c>
      <c r="C215" s="133" t="s">
        <v>231</v>
      </c>
      <c r="D215" s="113" t="s">
        <v>228</v>
      </c>
      <c r="E215" s="36">
        <v>1850342</v>
      </c>
      <c r="F215" s="36">
        <v>1850342</v>
      </c>
      <c r="G215" s="412">
        <f t="shared" si="40"/>
        <v>0</v>
      </c>
      <c r="H215" s="183"/>
      <c r="I215" s="36">
        <f>ROUND(F215,0)</f>
        <v>1850342</v>
      </c>
      <c r="J215" s="412">
        <f t="shared" si="36"/>
        <v>0</v>
      </c>
      <c r="K215" s="183"/>
      <c r="L215" s="36">
        <f>ROUND(I215,0)</f>
        <v>1850342</v>
      </c>
      <c r="M215" s="412">
        <f t="shared" si="37"/>
        <v>0</v>
      </c>
      <c r="N215" s="183"/>
      <c r="O215" s="471">
        <f>404624+4440+751</f>
        <v>409815</v>
      </c>
      <c r="P215" s="293">
        <f t="shared" si="35"/>
        <v>0.22148067762608209</v>
      </c>
      <c r="Q215" s="367"/>
    </row>
    <row r="216" spans="2:17" s="33" customFormat="1" ht="17.45" customHeight="1" outlineLevel="1" x14ac:dyDescent="0.25">
      <c r="B216" s="33">
        <v>1010</v>
      </c>
      <c r="C216" s="133" t="s">
        <v>294</v>
      </c>
      <c r="D216" s="120" t="s">
        <v>225</v>
      </c>
      <c r="E216" s="36">
        <v>0</v>
      </c>
      <c r="F216" s="36">
        <v>0</v>
      </c>
      <c r="G216" s="84">
        <f t="shared" si="40"/>
        <v>0</v>
      </c>
      <c r="H216" s="243"/>
      <c r="I216" s="36">
        <f>ROUND(F216,0)</f>
        <v>0</v>
      </c>
      <c r="J216" s="84">
        <f t="shared" si="36"/>
        <v>0</v>
      </c>
      <c r="K216" s="243"/>
      <c r="L216" s="36">
        <f>ROUND(I216,0)</f>
        <v>0</v>
      </c>
      <c r="M216" s="84">
        <f t="shared" si="37"/>
        <v>0</v>
      </c>
      <c r="N216" s="243"/>
      <c r="O216" s="332">
        <v>0</v>
      </c>
      <c r="P216" s="293" t="e">
        <f t="shared" si="35"/>
        <v>#DIV/0!</v>
      </c>
      <c r="Q216" s="367"/>
    </row>
    <row r="217" spans="2:17" s="33" customFormat="1" outlineLevel="1" x14ac:dyDescent="0.25">
      <c r="B217" s="33">
        <v>1012</v>
      </c>
      <c r="C217" s="133" t="s">
        <v>491</v>
      </c>
      <c r="D217" s="113" t="s">
        <v>230</v>
      </c>
      <c r="E217" s="36">
        <v>642000</v>
      </c>
      <c r="F217" s="36">
        <v>642000</v>
      </c>
      <c r="G217" s="34">
        <f t="shared" si="40"/>
        <v>0</v>
      </c>
      <c r="H217" s="242"/>
      <c r="I217" s="36">
        <f>ROUND(F217,0)</f>
        <v>642000</v>
      </c>
      <c r="J217" s="34">
        <f t="shared" si="36"/>
        <v>0</v>
      </c>
      <c r="K217" s="242"/>
      <c r="L217" s="36">
        <f>ROUND(I217,0)</f>
        <v>642000</v>
      </c>
      <c r="M217" s="34">
        <f t="shared" si="37"/>
        <v>0</v>
      </c>
      <c r="N217" s="242"/>
      <c r="O217" s="471">
        <v>264092.65000000002</v>
      </c>
      <c r="P217" s="293">
        <f t="shared" si="35"/>
        <v>0.41135926791277261</v>
      </c>
      <c r="Q217" s="367"/>
    </row>
    <row r="218" spans="2:17" s="33" customFormat="1" outlineLevel="1" x14ac:dyDescent="0.25">
      <c r="C218" s="133" t="s">
        <v>570</v>
      </c>
      <c r="D218" s="154" t="s">
        <v>519</v>
      </c>
      <c r="E218" s="394">
        <v>1767</v>
      </c>
      <c r="F218" s="394">
        <v>1767</v>
      </c>
      <c r="G218" s="34">
        <f t="shared" si="40"/>
        <v>0</v>
      </c>
      <c r="H218" s="244"/>
      <c r="I218" s="394">
        <f>ROUND(F218,0)</f>
        <v>1767</v>
      </c>
      <c r="J218" s="34">
        <f t="shared" si="36"/>
        <v>0</v>
      </c>
      <c r="K218" s="244"/>
      <c r="L218" s="394">
        <f>ROUND(I218,0)</f>
        <v>1767</v>
      </c>
      <c r="M218" s="34">
        <f t="shared" si="37"/>
        <v>0</v>
      </c>
      <c r="N218" s="244"/>
      <c r="O218" s="470">
        <v>772.18</v>
      </c>
      <c r="P218" s="293">
        <f t="shared" si="35"/>
        <v>0.43700056593095638</v>
      </c>
      <c r="Q218" s="367"/>
    </row>
    <row r="219" spans="2:17" s="4" customFormat="1" ht="19.5" customHeight="1" x14ac:dyDescent="0.25">
      <c r="C219" s="73" t="s">
        <v>73</v>
      </c>
      <c r="D219" s="114" t="s">
        <v>176</v>
      </c>
      <c r="E219" s="35">
        <v>6869</v>
      </c>
      <c r="F219" s="35">
        <v>6869</v>
      </c>
      <c r="G219" s="17">
        <f t="shared" si="40"/>
        <v>0</v>
      </c>
      <c r="H219" s="209"/>
      <c r="I219" s="35">
        <f>I220+I221</f>
        <v>6869</v>
      </c>
      <c r="J219" s="17">
        <f t="shared" si="36"/>
        <v>0</v>
      </c>
      <c r="K219" s="209"/>
      <c r="L219" s="35">
        <f>L220+L221</f>
        <v>6869</v>
      </c>
      <c r="M219" s="17">
        <f t="shared" si="37"/>
        <v>0</v>
      </c>
      <c r="N219" s="209"/>
      <c r="O219" s="155">
        <f>O220+O221</f>
        <v>0</v>
      </c>
      <c r="P219" s="272">
        <f t="shared" si="35"/>
        <v>0</v>
      </c>
      <c r="Q219" s="368"/>
    </row>
    <row r="220" spans="2:17" s="33" customFormat="1" outlineLevel="1" x14ac:dyDescent="0.25">
      <c r="B220" s="33">
        <v>1011</v>
      </c>
      <c r="C220" s="76" t="s">
        <v>413</v>
      </c>
      <c r="D220" s="113" t="s">
        <v>232</v>
      </c>
      <c r="E220" s="36">
        <v>1000</v>
      </c>
      <c r="F220" s="36">
        <v>1000</v>
      </c>
      <c r="G220" s="34">
        <f t="shared" si="40"/>
        <v>0</v>
      </c>
      <c r="H220" s="242"/>
      <c r="I220" s="36">
        <f>ROUND(F220,0)</f>
        <v>1000</v>
      </c>
      <c r="J220" s="34">
        <f t="shared" si="36"/>
        <v>0</v>
      </c>
      <c r="K220" s="242"/>
      <c r="L220" s="36">
        <f>ROUND(I220,0)</f>
        <v>1000</v>
      </c>
      <c r="M220" s="34">
        <f t="shared" si="37"/>
        <v>0</v>
      </c>
      <c r="N220" s="242"/>
      <c r="O220" s="152">
        <v>0</v>
      </c>
      <c r="P220" s="293">
        <f t="shared" si="35"/>
        <v>0</v>
      </c>
      <c r="Q220" s="367"/>
    </row>
    <row r="221" spans="2:17" s="33" customFormat="1" outlineLevel="1" x14ac:dyDescent="0.25">
      <c r="B221" s="33">
        <v>1011</v>
      </c>
      <c r="C221" s="76" t="s">
        <v>414</v>
      </c>
      <c r="D221" s="113" t="s">
        <v>233</v>
      </c>
      <c r="E221" s="36">
        <v>5869</v>
      </c>
      <c r="F221" s="36">
        <v>5869</v>
      </c>
      <c r="G221" s="34">
        <f t="shared" si="40"/>
        <v>0</v>
      </c>
      <c r="H221" s="242"/>
      <c r="I221" s="36">
        <f>ROUND(F221,0)</f>
        <v>5869</v>
      </c>
      <c r="J221" s="34">
        <f t="shared" si="36"/>
        <v>0</v>
      </c>
      <c r="K221" s="242"/>
      <c r="L221" s="36">
        <f>ROUND(I221,0)</f>
        <v>5869</v>
      </c>
      <c r="M221" s="34">
        <f t="shared" si="37"/>
        <v>0</v>
      </c>
      <c r="N221" s="242"/>
      <c r="O221" s="152">
        <v>0</v>
      </c>
      <c r="P221" s="293">
        <f t="shared" si="35"/>
        <v>0</v>
      </c>
      <c r="Q221" s="367"/>
    </row>
    <row r="222" spans="2:17" s="4" customFormat="1" ht="26.25" customHeight="1" x14ac:dyDescent="0.25">
      <c r="C222" s="73" t="s">
        <v>177</v>
      </c>
      <c r="D222" s="114" t="s">
        <v>250</v>
      </c>
      <c r="E222" s="377">
        <v>454885</v>
      </c>
      <c r="F222" s="377">
        <v>454885</v>
      </c>
      <c r="G222" s="47">
        <f t="shared" si="40"/>
        <v>0</v>
      </c>
      <c r="H222" s="182"/>
      <c r="I222" s="377">
        <f>SUM(I223:I226)</f>
        <v>454885</v>
      </c>
      <c r="J222" s="47">
        <f t="shared" si="36"/>
        <v>0</v>
      </c>
      <c r="K222" s="182"/>
      <c r="L222" s="377">
        <f>SUM(L223:L226)</f>
        <v>454885</v>
      </c>
      <c r="M222" s="47">
        <f t="shared" si="37"/>
        <v>0</v>
      </c>
      <c r="N222" s="182"/>
      <c r="O222" s="160">
        <f>SUM(O223:O226)</f>
        <v>150075.70000000001</v>
      </c>
      <c r="P222" s="284">
        <f t="shared" si="35"/>
        <v>0.32992008969299935</v>
      </c>
      <c r="Q222" s="371"/>
    </row>
    <row r="223" spans="2:17" s="4" customFormat="1" ht="15" customHeight="1" x14ac:dyDescent="0.25">
      <c r="B223" s="2" t="s">
        <v>449</v>
      </c>
      <c r="C223" s="77" t="s">
        <v>571</v>
      </c>
      <c r="D223" s="121" t="s">
        <v>434</v>
      </c>
      <c r="E223" s="171">
        <v>443236</v>
      </c>
      <c r="F223" s="171">
        <v>443236</v>
      </c>
      <c r="G223" s="40">
        <f t="shared" si="40"/>
        <v>0</v>
      </c>
      <c r="H223" s="205"/>
      <c r="I223" s="171">
        <f t="shared" ref="I223:I231" si="41">ROUND(F223,0)</f>
        <v>443236</v>
      </c>
      <c r="J223" s="40">
        <f t="shared" si="36"/>
        <v>0</v>
      </c>
      <c r="K223" s="205"/>
      <c r="L223" s="171">
        <f t="shared" ref="L223:L229" si="42">ROUND(I223,0)</f>
        <v>443236</v>
      </c>
      <c r="M223" s="40">
        <f t="shared" si="37"/>
        <v>0</v>
      </c>
      <c r="N223" s="205"/>
      <c r="O223" s="332">
        <f>150075.7-O224</f>
        <v>144203.32</v>
      </c>
      <c r="P223" s="282">
        <f t="shared" si="35"/>
        <v>0.32534207510220292</v>
      </c>
      <c r="Q223" s="366"/>
    </row>
    <row r="224" spans="2:17" s="4" customFormat="1" ht="15" customHeight="1" x14ac:dyDescent="0.25">
      <c r="B224" s="2" t="s">
        <v>449</v>
      </c>
      <c r="C224" s="77" t="s">
        <v>572</v>
      </c>
      <c r="D224" s="121" t="s">
        <v>518</v>
      </c>
      <c r="E224" s="389">
        <v>11649</v>
      </c>
      <c r="F224" s="389">
        <v>11649</v>
      </c>
      <c r="G224" s="40">
        <f t="shared" si="40"/>
        <v>0</v>
      </c>
      <c r="H224" s="245"/>
      <c r="I224" s="389">
        <f t="shared" si="41"/>
        <v>11649</v>
      </c>
      <c r="J224" s="40">
        <f t="shared" si="36"/>
        <v>0</v>
      </c>
      <c r="K224" s="245"/>
      <c r="L224" s="389">
        <f t="shared" si="42"/>
        <v>11649</v>
      </c>
      <c r="M224" s="40">
        <f t="shared" si="37"/>
        <v>0</v>
      </c>
      <c r="N224" s="245"/>
      <c r="O224" s="470">
        <v>5872.3799999999992</v>
      </c>
      <c r="P224" s="275">
        <f t="shared" si="35"/>
        <v>0.50411022405356676</v>
      </c>
      <c r="Q224" s="366"/>
    </row>
    <row r="225" spans="2:18" s="4" customFormat="1" ht="15.75" customHeight="1" x14ac:dyDescent="0.25">
      <c r="B225" s="2" t="s">
        <v>449</v>
      </c>
      <c r="C225" s="97" t="s">
        <v>573</v>
      </c>
      <c r="D225" s="121" t="s">
        <v>437</v>
      </c>
      <c r="E225" s="171">
        <v>0</v>
      </c>
      <c r="F225" s="171">
        <v>0</v>
      </c>
      <c r="G225" s="40">
        <f t="shared" si="40"/>
        <v>0</v>
      </c>
      <c r="H225" s="205"/>
      <c r="I225" s="171">
        <f t="shared" si="41"/>
        <v>0</v>
      </c>
      <c r="J225" s="40">
        <f t="shared" si="36"/>
        <v>0</v>
      </c>
      <c r="K225" s="205"/>
      <c r="L225" s="171">
        <f t="shared" si="42"/>
        <v>0</v>
      </c>
      <c r="M225" s="40">
        <f t="shared" si="37"/>
        <v>0</v>
      </c>
      <c r="N225" s="205"/>
      <c r="O225" s="332">
        <v>0</v>
      </c>
      <c r="P225" s="282" t="e">
        <f t="shared" si="35"/>
        <v>#DIV/0!</v>
      </c>
      <c r="Q225" s="366"/>
    </row>
    <row r="226" spans="2:18" s="4" customFormat="1" ht="15.6" customHeight="1" x14ac:dyDescent="0.25">
      <c r="B226" s="2" t="s">
        <v>351</v>
      </c>
      <c r="C226" s="77" t="s">
        <v>574</v>
      </c>
      <c r="D226" s="121" t="s">
        <v>435</v>
      </c>
      <c r="E226" s="171">
        <v>0</v>
      </c>
      <c r="F226" s="171">
        <v>0</v>
      </c>
      <c r="G226" s="40">
        <f t="shared" si="40"/>
        <v>0</v>
      </c>
      <c r="H226" s="205"/>
      <c r="I226" s="171">
        <f t="shared" si="41"/>
        <v>0</v>
      </c>
      <c r="J226" s="40">
        <f t="shared" si="36"/>
        <v>0</v>
      </c>
      <c r="K226" s="205"/>
      <c r="L226" s="171">
        <f t="shared" si="42"/>
        <v>0</v>
      </c>
      <c r="M226" s="40">
        <f t="shared" si="37"/>
        <v>0</v>
      </c>
      <c r="N226" s="205"/>
      <c r="O226" s="332">
        <v>0</v>
      </c>
      <c r="P226" s="282" t="e">
        <f t="shared" si="35"/>
        <v>#DIV/0!</v>
      </c>
      <c r="Q226" s="366"/>
    </row>
    <row r="227" spans="2:18" s="4" customFormat="1" ht="16.149999999999999" customHeight="1" x14ac:dyDescent="0.25">
      <c r="C227" s="73" t="s">
        <v>252</v>
      </c>
      <c r="D227" s="114" t="s">
        <v>178</v>
      </c>
      <c r="E227" s="35">
        <v>167400</v>
      </c>
      <c r="F227" s="35">
        <v>167400</v>
      </c>
      <c r="G227" s="17">
        <f t="shared" si="40"/>
        <v>0</v>
      </c>
      <c r="H227" s="182"/>
      <c r="I227" s="35">
        <f t="shared" si="41"/>
        <v>167400</v>
      </c>
      <c r="J227" s="17">
        <f t="shared" si="36"/>
        <v>0</v>
      </c>
      <c r="K227" s="182"/>
      <c r="L227" s="35">
        <f t="shared" si="42"/>
        <v>167400</v>
      </c>
      <c r="M227" s="17">
        <f t="shared" si="37"/>
        <v>0</v>
      </c>
      <c r="N227" s="182"/>
      <c r="O227" s="463">
        <v>58284.53</v>
      </c>
      <c r="P227" s="272">
        <f t="shared" si="35"/>
        <v>0.34817520908004779</v>
      </c>
      <c r="Q227" s="368"/>
    </row>
    <row r="228" spans="2:18" s="4" customFormat="1" ht="16.5" customHeight="1" x14ac:dyDescent="0.25">
      <c r="B228" s="2">
        <v>1016</v>
      </c>
      <c r="C228" s="92" t="s">
        <v>327</v>
      </c>
      <c r="D228" s="118" t="s">
        <v>405</v>
      </c>
      <c r="E228" s="395">
        <v>53636</v>
      </c>
      <c r="F228" s="395">
        <v>53636</v>
      </c>
      <c r="G228" s="86">
        <f t="shared" si="40"/>
        <v>0</v>
      </c>
      <c r="H228" s="246"/>
      <c r="I228" s="395">
        <f t="shared" si="41"/>
        <v>53636</v>
      </c>
      <c r="J228" s="86">
        <f t="shared" si="36"/>
        <v>0</v>
      </c>
      <c r="K228" s="246"/>
      <c r="L228" s="395">
        <f t="shared" si="42"/>
        <v>53636</v>
      </c>
      <c r="M228" s="86">
        <f t="shared" si="37"/>
        <v>0</v>
      </c>
      <c r="N228" s="246"/>
      <c r="O228" s="463">
        <v>14227.4</v>
      </c>
      <c r="P228" s="294">
        <f t="shared" si="35"/>
        <v>0.26525840853158328</v>
      </c>
      <c r="Q228" s="368"/>
    </row>
    <row r="229" spans="2:18" s="4" customFormat="1" ht="18.75" customHeight="1" outlineLevel="1" x14ac:dyDescent="0.25">
      <c r="B229" s="2">
        <v>1017</v>
      </c>
      <c r="C229" s="73" t="s">
        <v>346</v>
      </c>
      <c r="D229" s="119" t="s">
        <v>417</v>
      </c>
      <c r="E229" s="395">
        <v>0</v>
      </c>
      <c r="F229" s="395">
        <v>0</v>
      </c>
      <c r="G229" s="86">
        <f t="shared" si="40"/>
        <v>0</v>
      </c>
      <c r="H229" s="246"/>
      <c r="I229" s="395">
        <f t="shared" si="41"/>
        <v>0</v>
      </c>
      <c r="J229" s="86">
        <f t="shared" si="36"/>
        <v>0</v>
      </c>
      <c r="K229" s="246"/>
      <c r="L229" s="395">
        <f t="shared" si="42"/>
        <v>0</v>
      </c>
      <c r="M229" s="86">
        <f t="shared" si="37"/>
        <v>0</v>
      </c>
      <c r="N229" s="246"/>
      <c r="O229" s="463">
        <v>0</v>
      </c>
      <c r="P229" s="294" t="e">
        <f t="shared" si="35"/>
        <v>#DIV/0!</v>
      </c>
      <c r="Q229" s="368"/>
    </row>
    <row r="230" spans="2:18" s="4" customFormat="1" ht="46.5" customHeight="1" x14ac:dyDescent="0.25">
      <c r="B230" s="2">
        <v>1018</v>
      </c>
      <c r="C230" s="73" t="s">
        <v>346</v>
      </c>
      <c r="D230" s="307" t="s">
        <v>477</v>
      </c>
      <c r="E230" s="396">
        <v>0</v>
      </c>
      <c r="F230" s="396">
        <v>0</v>
      </c>
      <c r="G230" s="86">
        <f t="shared" si="40"/>
        <v>0</v>
      </c>
      <c r="H230" s="230"/>
      <c r="I230" s="396">
        <f>ROUND(F230,0)+33210+22000+159+25000</f>
        <v>80369</v>
      </c>
      <c r="J230" s="86">
        <f t="shared" si="36"/>
        <v>80369</v>
      </c>
      <c r="K230" s="251" t="s">
        <v>728</v>
      </c>
      <c r="L230" s="396">
        <f>ROUND(I230,0)</f>
        <v>80369</v>
      </c>
      <c r="M230" s="86">
        <f t="shared" si="37"/>
        <v>0</v>
      </c>
      <c r="N230" s="251"/>
      <c r="O230" s="463">
        <v>0</v>
      </c>
      <c r="P230" s="290">
        <f t="shared" si="35"/>
        <v>0</v>
      </c>
      <c r="Q230" s="368" t="s">
        <v>463</v>
      </c>
    </row>
    <row r="231" spans="2:18" ht="43.5" customHeight="1" x14ac:dyDescent="0.25">
      <c r="B231" s="2" t="s">
        <v>357</v>
      </c>
      <c r="C231" s="73" t="s">
        <v>347</v>
      </c>
      <c r="D231" s="119" t="s">
        <v>240</v>
      </c>
      <c r="E231" s="395">
        <v>47219</v>
      </c>
      <c r="F231" s="395">
        <v>47219</v>
      </c>
      <c r="G231" s="86">
        <f t="shared" si="40"/>
        <v>0</v>
      </c>
      <c r="H231" s="246"/>
      <c r="I231" s="395">
        <f t="shared" si="41"/>
        <v>47219</v>
      </c>
      <c r="J231" s="86">
        <f t="shared" si="36"/>
        <v>0</v>
      </c>
      <c r="K231" s="246"/>
      <c r="L231" s="395">
        <f t="shared" ref="L231" si="43">ROUND(I231,0)</f>
        <v>47219</v>
      </c>
      <c r="M231" s="86">
        <f t="shared" si="37"/>
        <v>0</v>
      </c>
      <c r="N231" s="246"/>
      <c r="O231" s="463">
        <v>7381.36</v>
      </c>
      <c r="P231" s="290">
        <f t="shared" si="35"/>
        <v>0.15632181960651431</v>
      </c>
      <c r="Q231" s="430"/>
    </row>
    <row r="232" spans="2:18" x14ac:dyDescent="0.25">
      <c r="C232" s="74" t="s">
        <v>76</v>
      </c>
      <c r="D232" s="122" t="s">
        <v>179</v>
      </c>
      <c r="E232" s="12">
        <v>36616746</v>
      </c>
      <c r="F232" s="12">
        <v>36670320</v>
      </c>
      <c r="G232" s="12">
        <f t="shared" si="40"/>
        <v>53574</v>
      </c>
      <c r="H232" s="12"/>
      <c r="I232" s="12">
        <f>I233+I234+I239+I244+I249+I254+I258+I270+I290+I293+I296+I297+I298+I299+I300+I301+I302+I303+I304</f>
        <v>36921933</v>
      </c>
      <c r="J232" s="12">
        <f t="shared" si="36"/>
        <v>251613</v>
      </c>
      <c r="K232" s="12"/>
      <c r="L232" s="12">
        <f>L233+L234+L239+L244+L249+L254+L258+L270+L290+L293+L296+L297+L298+L299+L300+L301+L302+L303+L304</f>
        <v>37002650</v>
      </c>
      <c r="M232" s="12">
        <f t="shared" si="37"/>
        <v>80717</v>
      </c>
      <c r="N232" s="12"/>
      <c r="O232" s="156">
        <f>O233+O234+O239+O244+O249+O254+O258+O270+O290+O293+O296+O297+O298+O299+O300+O301+O302+O303+O304</f>
        <v>15140462.17</v>
      </c>
      <c r="P232" s="280">
        <f t="shared" si="35"/>
        <v>0.41006688815561199</v>
      </c>
      <c r="Q232" s="428"/>
      <c r="R232" s="301"/>
    </row>
    <row r="233" spans="2:18" ht="27.6" customHeight="1" x14ac:dyDescent="0.25">
      <c r="B233" s="25" t="s">
        <v>643</v>
      </c>
      <c r="C233" s="73" t="s">
        <v>78</v>
      </c>
      <c r="D233" s="126" t="s">
        <v>180</v>
      </c>
      <c r="E233" s="35">
        <v>800000</v>
      </c>
      <c r="F233" s="35">
        <v>800000</v>
      </c>
      <c r="G233" s="17">
        <f t="shared" si="40"/>
        <v>0</v>
      </c>
      <c r="H233" s="209"/>
      <c r="I233" s="35">
        <f>ROUND(F233,0)</f>
        <v>800000</v>
      </c>
      <c r="J233" s="17">
        <f t="shared" si="36"/>
        <v>0</v>
      </c>
      <c r="K233" s="209"/>
      <c r="L233" s="35">
        <f>ROUND(I233,0)</f>
        <v>800000</v>
      </c>
      <c r="M233" s="17">
        <f t="shared" si="37"/>
        <v>0</v>
      </c>
      <c r="N233" s="209"/>
      <c r="O233" s="463">
        <v>463445.05</v>
      </c>
      <c r="P233" s="272">
        <f t="shared" si="35"/>
        <v>0.57930631249999998</v>
      </c>
      <c r="Q233" s="368" t="s">
        <v>529</v>
      </c>
    </row>
    <row r="234" spans="2:18" ht="17.45" customHeight="1" x14ac:dyDescent="0.25">
      <c r="C234" s="73" t="s">
        <v>80</v>
      </c>
      <c r="D234" s="126" t="s">
        <v>181</v>
      </c>
      <c r="E234" s="35">
        <v>2528122</v>
      </c>
      <c r="F234" s="35">
        <v>2527822</v>
      </c>
      <c r="G234" s="17">
        <f t="shared" si="40"/>
        <v>-300</v>
      </c>
      <c r="H234" s="182"/>
      <c r="I234" s="35">
        <f>SUM(I235:I238)</f>
        <v>2532053</v>
      </c>
      <c r="J234" s="17">
        <f t="shared" si="36"/>
        <v>4231</v>
      </c>
      <c r="K234" s="182"/>
      <c r="L234" s="35">
        <f>SUM(L235:L238)</f>
        <v>2532053</v>
      </c>
      <c r="M234" s="17">
        <f t="shared" si="37"/>
        <v>0</v>
      </c>
      <c r="N234" s="182"/>
      <c r="O234" s="463">
        <f>SUM(O235:O238)</f>
        <v>953765.77</v>
      </c>
      <c r="P234" s="272">
        <f t="shared" si="35"/>
        <v>0.37667685865975159</v>
      </c>
      <c r="Q234" s="368"/>
    </row>
    <row r="235" spans="2:18" ht="15" customHeight="1" x14ac:dyDescent="0.25">
      <c r="B235" s="53" t="s">
        <v>265</v>
      </c>
      <c r="C235" s="75" t="s">
        <v>182</v>
      </c>
      <c r="D235" s="110" t="s">
        <v>237</v>
      </c>
      <c r="E235" s="176">
        <v>386470</v>
      </c>
      <c r="F235" s="176">
        <v>386470</v>
      </c>
      <c r="G235" s="13">
        <f t="shared" si="40"/>
        <v>0</v>
      </c>
      <c r="H235" s="183"/>
      <c r="I235" s="176">
        <f>ROUND(F235,0)+4107+124</f>
        <v>390701</v>
      </c>
      <c r="J235" s="13">
        <f t="shared" si="36"/>
        <v>4231</v>
      </c>
      <c r="K235" s="187" t="s">
        <v>731</v>
      </c>
      <c r="L235" s="176">
        <f>ROUND(I235,0)</f>
        <v>390701</v>
      </c>
      <c r="M235" s="13">
        <f t="shared" si="37"/>
        <v>0</v>
      </c>
      <c r="N235" s="187"/>
      <c r="O235" s="330">
        <v>156409.13</v>
      </c>
      <c r="P235" s="295">
        <f t="shared" si="35"/>
        <v>0.40032948469545765</v>
      </c>
      <c r="Q235" s="449"/>
    </row>
    <row r="236" spans="2:18" ht="15" customHeight="1" x14ac:dyDescent="0.25">
      <c r="B236" s="53" t="s">
        <v>220</v>
      </c>
      <c r="C236" s="75" t="s">
        <v>184</v>
      </c>
      <c r="D236" s="110" t="s">
        <v>185</v>
      </c>
      <c r="E236" s="176">
        <v>1691795</v>
      </c>
      <c r="F236" s="176">
        <v>1691495</v>
      </c>
      <c r="G236" s="13">
        <f t="shared" si="40"/>
        <v>-300</v>
      </c>
      <c r="H236" s="418" t="s">
        <v>709</v>
      </c>
      <c r="I236" s="176">
        <f>ROUND(F236,0)</f>
        <v>1691495</v>
      </c>
      <c r="J236" s="13">
        <f t="shared" si="36"/>
        <v>0</v>
      </c>
      <c r="K236" s="418"/>
      <c r="L236" s="176">
        <f>ROUND(I236,0)-3500</f>
        <v>1687995</v>
      </c>
      <c r="M236" s="13">
        <f t="shared" si="37"/>
        <v>-3500</v>
      </c>
      <c r="N236" s="418" t="s">
        <v>761</v>
      </c>
      <c r="O236" s="330">
        <v>647991.88</v>
      </c>
      <c r="P236" s="295">
        <f t="shared" si="35"/>
        <v>0.38308826215862302</v>
      </c>
      <c r="Q236" s="449" t="s">
        <v>467</v>
      </c>
    </row>
    <row r="237" spans="2:18" ht="44.25" customHeight="1" x14ac:dyDescent="0.25">
      <c r="B237" s="329" t="s">
        <v>419</v>
      </c>
      <c r="C237" s="75" t="s">
        <v>575</v>
      </c>
      <c r="D237" s="325" t="s">
        <v>657</v>
      </c>
      <c r="E237" s="397">
        <v>2857</v>
      </c>
      <c r="F237" s="176">
        <v>2857</v>
      </c>
      <c r="G237" s="13">
        <f>F237-E237</f>
        <v>0</v>
      </c>
      <c r="H237" s="327"/>
      <c r="I237" s="176">
        <f>ROUND(F237,0)</f>
        <v>2857</v>
      </c>
      <c r="J237" s="13">
        <f t="shared" si="36"/>
        <v>0</v>
      </c>
      <c r="K237" s="327"/>
      <c r="L237" s="176">
        <f>ROUND(I237,0)</f>
        <v>2857</v>
      </c>
      <c r="M237" s="13">
        <f t="shared" si="37"/>
        <v>0</v>
      </c>
      <c r="N237" s="327"/>
      <c r="O237" s="330">
        <v>1961.71</v>
      </c>
      <c r="P237" s="295">
        <f t="shared" si="35"/>
        <v>0.68663283164158206</v>
      </c>
      <c r="Q237" s="369"/>
    </row>
    <row r="238" spans="2:18" ht="17.25" customHeight="1" x14ac:dyDescent="0.25">
      <c r="B238" s="53"/>
      <c r="C238" s="75" t="s">
        <v>670</v>
      </c>
      <c r="D238" s="110" t="s">
        <v>446</v>
      </c>
      <c r="E238" s="398">
        <v>447000</v>
      </c>
      <c r="F238" s="398">
        <v>447000</v>
      </c>
      <c r="G238" s="13">
        <f t="shared" si="40"/>
        <v>0</v>
      </c>
      <c r="H238" s="248"/>
      <c r="I238" s="398">
        <f>ROUND(F238,0)</f>
        <v>447000</v>
      </c>
      <c r="J238" s="13">
        <f t="shared" si="36"/>
        <v>0</v>
      </c>
      <c r="K238" s="248"/>
      <c r="L238" s="398">
        <f>ROUND(I238,0)+3500</f>
        <v>450500</v>
      </c>
      <c r="M238" s="13">
        <f t="shared" si="37"/>
        <v>3500</v>
      </c>
      <c r="N238" s="248" t="s">
        <v>761</v>
      </c>
      <c r="O238" s="470">
        <v>147403.04999999999</v>
      </c>
      <c r="P238" s="295">
        <f t="shared" si="35"/>
        <v>0.32976073825503355</v>
      </c>
      <c r="Q238" s="449"/>
    </row>
    <row r="239" spans="2:18" ht="18" customHeight="1" x14ac:dyDescent="0.25">
      <c r="C239" s="73" t="s">
        <v>81</v>
      </c>
      <c r="D239" s="126" t="s">
        <v>186</v>
      </c>
      <c r="E239" s="35">
        <v>1472568</v>
      </c>
      <c r="F239" s="35">
        <v>1472568</v>
      </c>
      <c r="G239" s="17">
        <f t="shared" ref="G239:H239" si="44">G240+G241+G242+G243</f>
        <v>0</v>
      </c>
      <c r="H239" s="182">
        <f t="shared" si="44"/>
        <v>0</v>
      </c>
      <c r="I239" s="35">
        <f>I240+I241+I242+I243</f>
        <v>1475440</v>
      </c>
      <c r="J239" s="17">
        <f t="shared" si="36"/>
        <v>2872</v>
      </c>
      <c r="K239" s="182"/>
      <c r="L239" s="35">
        <f>L240+L241+L242+L243</f>
        <v>1475440</v>
      </c>
      <c r="M239" s="17">
        <f t="shared" si="37"/>
        <v>0</v>
      </c>
      <c r="N239" s="182"/>
      <c r="O239" s="463">
        <f>O240+O241+O242+O243</f>
        <v>569224.06000000006</v>
      </c>
      <c r="P239" s="272">
        <f t="shared" si="35"/>
        <v>0.38579953098736652</v>
      </c>
      <c r="Q239" s="368"/>
    </row>
    <row r="240" spans="2:18" ht="25.9" customHeight="1" x14ac:dyDescent="0.25">
      <c r="B240" s="53" t="s">
        <v>266</v>
      </c>
      <c r="C240" s="75" t="s">
        <v>187</v>
      </c>
      <c r="D240" s="110" t="s">
        <v>237</v>
      </c>
      <c r="E240" s="145">
        <v>167072</v>
      </c>
      <c r="F240" s="145">
        <v>167072</v>
      </c>
      <c r="G240" s="11">
        <f t="shared" si="40"/>
        <v>0</v>
      </c>
      <c r="H240" s="183"/>
      <c r="I240" s="145">
        <f>ROUND(F240,0)+(2812+60)</f>
        <v>169944</v>
      </c>
      <c r="J240" s="11">
        <f t="shared" si="36"/>
        <v>2872</v>
      </c>
      <c r="K240" s="183" t="s">
        <v>731</v>
      </c>
      <c r="L240" s="145">
        <f>ROUND(I240,0)</f>
        <v>169944</v>
      </c>
      <c r="M240" s="11">
        <f t="shared" si="37"/>
        <v>0</v>
      </c>
      <c r="N240" s="183"/>
      <c r="O240" s="332">
        <v>74393.94</v>
      </c>
      <c r="P240" s="260">
        <f t="shared" si="35"/>
        <v>0.43775561361389637</v>
      </c>
      <c r="Q240" s="366"/>
    </row>
    <row r="241" spans="2:17" ht="13.5" customHeight="1" x14ac:dyDescent="0.25">
      <c r="B241" s="53" t="s">
        <v>396</v>
      </c>
      <c r="C241" s="75" t="s">
        <v>188</v>
      </c>
      <c r="D241" s="110" t="s">
        <v>185</v>
      </c>
      <c r="E241" s="145">
        <v>1068814</v>
      </c>
      <c r="F241" s="145">
        <v>1068814</v>
      </c>
      <c r="G241" s="11">
        <f t="shared" si="40"/>
        <v>0</v>
      </c>
      <c r="H241" s="183"/>
      <c r="I241" s="145">
        <f>ROUND(F241,0)</f>
        <v>1068814</v>
      </c>
      <c r="J241" s="11">
        <f t="shared" si="36"/>
        <v>0</v>
      </c>
      <c r="K241" s="183"/>
      <c r="L241" s="145">
        <f>ROUND(I241,0)</f>
        <v>1068814</v>
      </c>
      <c r="M241" s="11">
        <f t="shared" si="37"/>
        <v>0</v>
      </c>
      <c r="N241" s="183"/>
      <c r="O241" s="332">
        <v>404911.33</v>
      </c>
      <c r="P241" s="260">
        <f t="shared" si="35"/>
        <v>0.37884171614518525</v>
      </c>
      <c r="Q241" s="366" t="s">
        <v>467</v>
      </c>
    </row>
    <row r="242" spans="2:17" ht="45" customHeight="1" x14ac:dyDescent="0.25">
      <c r="B242" s="53" t="s">
        <v>671</v>
      </c>
      <c r="C242" s="75" t="s">
        <v>348</v>
      </c>
      <c r="D242" s="325" t="s">
        <v>657</v>
      </c>
      <c r="E242" s="380">
        <v>1643</v>
      </c>
      <c r="F242" s="145">
        <v>1643</v>
      </c>
      <c r="G242" s="11">
        <f>F242-E242</f>
        <v>0</v>
      </c>
      <c r="H242" s="328"/>
      <c r="I242" s="145">
        <f>ROUND(F242,0)</f>
        <v>1643</v>
      </c>
      <c r="J242" s="11">
        <f t="shared" si="36"/>
        <v>0</v>
      </c>
      <c r="K242" s="328"/>
      <c r="L242" s="145">
        <f>ROUND(I242,0)</f>
        <v>1643</v>
      </c>
      <c r="M242" s="11">
        <f t="shared" si="37"/>
        <v>0</v>
      </c>
      <c r="N242" s="328"/>
      <c r="O242" s="332">
        <v>712.7</v>
      </c>
      <c r="P242" s="260">
        <f t="shared" si="35"/>
        <v>0.43377967133292761</v>
      </c>
      <c r="Q242" s="359"/>
    </row>
    <row r="243" spans="2:17" ht="16.899999999999999" customHeight="1" x14ac:dyDescent="0.25">
      <c r="B243" s="53"/>
      <c r="C243" s="75" t="s">
        <v>672</v>
      </c>
      <c r="D243" s="110" t="s">
        <v>446</v>
      </c>
      <c r="E243" s="175">
        <v>235039</v>
      </c>
      <c r="F243" s="175">
        <v>235039</v>
      </c>
      <c r="G243" s="11">
        <f t="shared" si="40"/>
        <v>0</v>
      </c>
      <c r="H243" s="181"/>
      <c r="I243" s="175">
        <f>ROUND(F243,0)</f>
        <v>235039</v>
      </c>
      <c r="J243" s="11">
        <f t="shared" si="36"/>
        <v>0</v>
      </c>
      <c r="K243" s="181"/>
      <c r="L243" s="175">
        <f>ROUND(I243,0)</f>
        <v>235039</v>
      </c>
      <c r="M243" s="11">
        <f t="shared" si="37"/>
        <v>0</v>
      </c>
      <c r="N243" s="181"/>
      <c r="O243" s="470">
        <v>89206.090000000011</v>
      </c>
      <c r="P243" s="260">
        <f t="shared" si="35"/>
        <v>0.37953739592152796</v>
      </c>
      <c r="Q243" s="366"/>
    </row>
    <row r="244" spans="2:17" ht="27.6" customHeight="1" x14ac:dyDescent="0.25">
      <c r="C244" s="73" t="s">
        <v>189</v>
      </c>
      <c r="D244" s="126" t="s">
        <v>289</v>
      </c>
      <c r="E244" s="35">
        <v>1764581</v>
      </c>
      <c r="F244" s="35">
        <v>1764581</v>
      </c>
      <c r="G244" s="17">
        <f t="shared" ref="G244:H244" si="45">G245+G246+G247+G248</f>
        <v>0</v>
      </c>
      <c r="H244" s="182">
        <f t="shared" si="45"/>
        <v>0</v>
      </c>
      <c r="I244" s="35">
        <f>I245+I246+I247+I248</f>
        <v>1760063</v>
      </c>
      <c r="J244" s="17">
        <f t="shared" si="36"/>
        <v>-4518</v>
      </c>
      <c r="K244" s="182"/>
      <c r="L244" s="35">
        <f>L245+L246+L247+L248</f>
        <v>1760063</v>
      </c>
      <c r="M244" s="17">
        <f t="shared" si="37"/>
        <v>0</v>
      </c>
      <c r="N244" s="182"/>
      <c r="O244" s="463">
        <f>O245+O246+O247+O248</f>
        <v>701840.87</v>
      </c>
      <c r="P244" s="272">
        <f t="shared" si="35"/>
        <v>0.39875894783311733</v>
      </c>
      <c r="Q244" s="368"/>
    </row>
    <row r="245" spans="2:17" ht="13.5" customHeight="1" x14ac:dyDescent="0.25">
      <c r="B245" s="2" t="s">
        <v>317</v>
      </c>
      <c r="C245" s="75" t="s">
        <v>576</v>
      </c>
      <c r="D245" s="110" t="s">
        <v>237</v>
      </c>
      <c r="E245" s="145">
        <v>201671</v>
      </c>
      <c r="F245" s="145">
        <v>201671</v>
      </c>
      <c r="G245" s="11">
        <f t="shared" si="40"/>
        <v>0</v>
      </c>
      <c r="H245" s="183"/>
      <c r="I245" s="145">
        <f>ROUND(F245,0)+(3647+76)</f>
        <v>205394</v>
      </c>
      <c r="J245" s="11">
        <f t="shared" si="36"/>
        <v>3723</v>
      </c>
      <c r="K245" s="183" t="s">
        <v>731</v>
      </c>
      <c r="L245" s="145">
        <f>ROUND(I245,0)</f>
        <v>205394</v>
      </c>
      <c r="M245" s="11">
        <f t="shared" si="37"/>
        <v>0</v>
      </c>
      <c r="N245" s="183"/>
      <c r="O245" s="332">
        <v>84544.22</v>
      </c>
      <c r="P245" s="260">
        <f t="shared" si="35"/>
        <v>0.41161971625266564</v>
      </c>
      <c r="Q245" s="366"/>
    </row>
    <row r="246" spans="2:17" ht="13.5" customHeight="1" x14ac:dyDescent="0.25">
      <c r="B246" s="2" t="s">
        <v>318</v>
      </c>
      <c r="C246" s="75" t="s">
        <v>577</v>
      </c>
      <c r="D246" s="110" t="s">
        <v>185</v>
      </c>
      <c r="E246" s="145">
        <v>1322431</v>
      </c>
      <c r="F246" s="145">
        <v>1322431</v>
      </c>
      <c r="G246" s="11">
        <f t="shared" si="40"/>
        <v>0</v>
      </c>
      <c r="H246" s="247"/>
      <c r="I246" s="145">
        <f>ROUND(F246,0)-8241</f>
        <v>1314190</v>
      </c>
      <c r="J246" s="11">
        <f t="shared" si="36"/>
        <v>-8241</v>
      </c>
      <c r="K246" s="247" t="s">
        <v>739</v>
      </c>
      <c r="L246" s="145">
        <f>ROUND(I246,0)</f>
        <v>1314190</v>
      </c>
      <c r="M246" s="11">
        <f t="shared" si="37"/>
        <v>0</v>
      </c>
      <c r="N246" s="247"/>
      <c r="O246" s="332">
        <v>510945.53</v>
      </c>
      <c r="P246" s="260">
        <f t="shared" si="35"/>
        <v>0.38879121740387618</v>
      </c>
      <c r="Q246" s="366"/>
    </row>
    <row r="247" spans="2:17" ht="44.25" customHeight="1" x14ac:dyDescent="0.25">
      <c r="B247" s="2" t="s">
        <v>668</v>
      </c>
      <c r="C247" s="324" t="s">
        <v>578</v>
      </c>
      <c r="D247" s="325" t="s">
        <v>657</v>
      </c>
      <c r="E247" s="380">
        <v>2219</v>
      </c>
      <c r="F247" s="145">
        <v>2219</v>
      </c>
      <c r="G247" s="11">
        <f>F247-E247</f>
        <v>0</v>
      </c>
      <c r="H247" s="327"/>
      <c r="I247" s="145">
        <f>ROUND(F247,0)</f>
        <v>2219</v>
      </c>
      <c r="J247" s="11">
        <f t="shared" si="36"/>
        <v>0</v>
      </c>
      <c r="K247" s="327"/>
      <c r="L247" s="145">
        <f>ROUND(I247,0)</f>
        <v>2219</v>
      </c>
      <c r="M247" s="11">
        <f t="shared" si="37"/>
        <v>0</v>
      </c>
      <c r="N247" s="327"/>
      <c r="O247" s="332">
        <v>1755.4</v>
      </c>
      <c r="P247" s="260">
        <f t="shared" si="35"/>
        <v>0.7910770617395223</v>
      </c>
      <c r="Q247" s="359"/>
    </row>
    <row r="248" spans="2:17" ht="17.45" customHeight="1" x14ac:dyDescent="0.25">
      <c r="C248" s="75" t="s">
        <v>669</v>
      </c>
      <c r="D248" s="110" t="s">
        <v>446</v>
      </c>
      <c r="E248" s="170">
        <v>238260</v>
      </c>
      <c r="F248" s="145">
        <v>238260</v>
      </c>
      <c r="G248" s="11">
        <f t="shared" si="40"/>
        <v>0</v>
      </c>
      <c r="H248" s="248"/>
      <c r="I248" s="145">
        <f>ROUND(F248,0)</f>
        <v>238260</v>
      </c>
      <c r="J248" s="11">
        <f t="shared" si="36"/>
        <v>0</v>
      </c>
      <c r="K248" s="248"/>
      <c r="L248" s="145">
        <f>ROUND(I248,0)</f>
        <v>238260</v>
      </c>
      <c r="M248" s="11">
        <f t="shared" si="37"/>
        <v>0</v>
      </c>
      <c r="N248" s="248"/>
      <c r="O248" s="470">
        <v>104595.72</v>
      </c>
      <c r="P248" s="274">
        <f t="shared" si="35"/>
        <v>0.43899823721984388</v>
      </c>
      <c r="Q248" s="366"/>
    </row>
    <row r="249" spans="2:17" ht="28.9" customHeight="1" x14ac:dyDescent="0.25">
      <c r="B249" s="2" t="s">
        <v>319</v>
      </c>
      <c r="C249" s="73" t="s">
        <v>192</v>
      </c>
      <c r="D249" s="126" t="s">
        <v>293</v>
      </c>
      <c r="E249" s="35">
        <v>1597860</v>
      </c>
      <c r="F249" s="35">
        <v>1597860</v>
      </c>
      <c r="G249" s="17">
        <f t="shared" si="40"/>
        <v>0</v>
      </c>
      <c r="H249" s="182"/>
      <c r="I249" s="35">
        <f>SUM(I250:I253)</f>
        <v>1602142</v>
      </c>
      <c r="J249" s="17">
        <f t="shared" si="36"/>
        <v>4282</v>
      </c>
      <c r="K249" s="182"/>
      <c r="L249" s="35">
        <f>SUM(L250:L253)</f>
        <v>1602142</v>
      </c>
      <c r="M249" s="17">
        <f t="shared" si="37"/>
        <v>0</v>
      </c>
      <c r="N249" s="182"/>
      <c r="O249" s="463">
        <f>SUM(O250:O253)</f>
        <v>603767.60000000009</v>
      </c>
      <c r="P249" s="272">
        <f t="shared" si="35"/>
        <v>0.37685024173887216</v>
      </c>
      <c r="Q249" s="368"/>
    </row>
    <row r="250" spans="2:17" s="26" customFormat="1" ht="26.45" customHeight="1" x14ac:dyDescent="0.25">
      <c r="B250" s="56" t="s">
        <v>320</v>
      </c>
      <c r="C250" s="75" t="s">
        <v>579</v>
      </c>
      <c r="D250" s="110" t="s">
        <v>237</v>
      </c>
      <c r="E250" s="145">
        <v>213378</v>
      </c>
      <c r="F250" s="145">
        <v>213378</v>
      </c>
      <c r="G250" s="13">
        <f t="shared" si="40"/>
        <v>0</v>
      </c>
      <c r="H250" s="183"/>
      <c r="I250" s="145">
        <f>ROUND(F250,0)+(4194+88)</f>
        <v>217660</v>
      </c>
      <c r="J250" s="13">
        <f t="shared" si="36"/>
        <v>4282</v>
      </c>
      <c r="K250" s="183" t="s">
        <v>731</v>
      </c>
      <c r="L250" s="145">
        <f>ROUND(I250,0)</f>
        <v>217660</v>
      </c>
      <c r="M250" s="13">
        <f t="shared" si="37"/>
        <v>0</v>
      </c>
      <c r="N250" s="183"/>
      <c r="O250" s="332">
        <v>99084.47</v>
      </c>
      <c r="P250" s="260">
        <f t="shared" si="35"/>
        <v>0.45522590278415881</v>
      </c>
      <c r="Q250" s="366"/>
    </row>
    <row r="251" spans="2:17" s="26" customFormat="1" ht="15.6" customHeight="1" x14ac:dyDescent="0.25">
      <c r="C251" s="75" t="s">
        <v>580</v>
      </c>
      <c r="D251" s="110" t="s">
        <v>185</v>
      </c>
      <c r="E251" s="145">
        <v>1205664</v>
      </c>
      <c r="F251" s="145">
        <v>1205664</v>
      </c>
      <c r="G251" s="413">
        <f t="shared" si="40"/>
        <v>0</v>
      </c>
      <c r="H251" s="183"/>
      <c r="I251" s="145">
        <f>ROUND(F251,0)</f>
        <v>1205664</v>
      </c>
      <c r="J251" s="413">
        <f t="shared" si="36"/>
        <v>0</v>
      </c>
      <c r="K251" s="183"/>
      <c r="L251" s="145">
        <f>ROUND(I251,0)</f>
        <v>1205664</v>
      </c>
      <c r="M251" s="413">
        <f t="shared" si="37"/>
        <v>0</v>
      </c>
      <c r="N251" s="183"/>
      <c r="O251" s="332">
        <v>438934.31</v>
      </c>
      <c r="P251" s="260">
        <f t="shared" si="35"/>
        <v>0.36406022739336996</v>
      </c>
      <c r="Q251" s="366"/>
    </row>
    <row r="252" spans="2:17" s="26" customFormat="1" ht="43.5" customHeight="1" x14ac:dyDescent="0.25">
      <c r="B252" s="26" t="s">
        <v>673</v>
      </c>
      <c r="C252" s="75" t="s">
        <v>581</v>
      </c>
      <c r="D252" s="325" t="s">
        <v>657</v>
      </c>
      <c r="E252" s="381">
        <v>2496</v>
      </c>
      <c r="F252" s="145">
        <v>2496</v>
      </c>
      <c r="G252" s="413">
        <f>F252-E252</f>
        <v>0</v>
      </c>
      <c r="H252" s="331"/>
      <c r="I252" s="145">
        <f>ROUND(F252,0)</f>
        <v>2496</v>
      </c>
      <c r="J252" s="413">
        <f t="shared" si="36"/>
        <v>0</v>
      </c>
      <c r="K252" s="331"/>
      <c r="L252" s="145">
        <f>ROUND(I252,0)</f>
        <v>2496</v>
      </c>
      <c r="M252" s="413">
        <f t="shared" si="37"/>
        <v>0</v>
      </c>
      <c r="N252" s="331"/>
      <c r="O252" s="332">
        <v>1334.9</v>
      </c>
      <c r="P252" s="333">
        <f t="shared" si="35"/>
        <v>0.5348157051282052</v>
      </c>
      <c r="Q252" s="360"/>
    </row>
    <row r="253" spans="2:17" s="26" customFormat="1" ht="13.9" customHeight="1" x14ac:dyDescent="0.25">
      <c r="C253" s="75" t="s">
        <v>682</v>
      </c>
      <c r="D253" s="110" t="s">
        <v>446</v>
      </c>
      <c r="E253" s="170">
        <v>176322</v>
      </c>
      <c r="F253" s="145">
        <v>176322</v>
      </c>
      <c r="G253" s="413">
        <f t="shared" si="40"/>
        <v>0</v>
      </c>
      <c r="H253" s="188"/>
      <c r="I253" s="145">
        <f>ROUND(F253,0)</f>
        <v>176322</v>
      </c>
      <c r="J253" s="413">
        <f t="shared" si="36"/>
        <v>0</v>
      </c>
      <c r="K253" s="188"/>
      <c r="L253" s="145">
        <f>ROUND(I253,0)</f>
        <v>176322</v>
      </c>
      <c r="M253" s="413">
        <f t="shared" si="37"/>
        <v>0</v>
      </c>
      <c r="N253" s="188"/>
      <c r="O253" s="470">
        <v>64413.919999999998</v>
      </c>
      <c r="P253" s="274">
        <f t="shared" si="35"/>
        <v>0.36531981261555563</v>
      </c>
      <c r="Q253" s="366"/>
    </row>
    <row r="254" spans="2:17" x14ac:dyDescent="0.25">
      <c r="C254" s="73" t="s">
        <v>194</v>
      </c>
      <c r="D254" s="126" t="s">
        <v>190</v>
      </c>
      <c r="E254" s="35">
        <v>3367469</v>
      </c>
      <c r="F254" s="35">
        <v>3367469</v>
      </c>
      <c r="G254" s="17">
        <f t="shared" si="40"/>
        <v>0</v>
      </c>
      <c r="H254" s="182"/>
      <c r="I254" s="35">
        <f>I255+I256+I257</f>
        <v>3367469</v>
      </c>
      <c r="J254" s="17">
        <f t="shared" si="36"/>
        <v>0</v>
      </c>
      <c r="K254" s="182"/>
      <c r="L254" s="35">
        <f>L255+L256+L257</f>
        <v>3367469</v>
      </c>
      <c r="M254" s="17">
        <f t="shared" si="37"/>
        <v>0</v>
      </c>
      <c r="N254" s="182"/>
      <c r="O254" s="463">
        <f>O255+O256+O257</f>
        <v>1655399.88</v>
      </c>
      <c r="P254" s="272">
        <f t="shared" si="35"/>
        <v>0.49158578148752069</v>
      </c>
      <c r="Q254" s="368"/>
    </row>
    <row r="255" spans="2:17" s="26" customFormat="1" ht="18.600000000000001" customHeight="1" x14ac:dyDescent="0.25">
      <c r="B255" s="56" t="s">
        <v>223</v>
      </c>
      <c r="C255" s="79" t="s">
        <v>582</v>
      </c>
      <c r="D255" s="139" t="s">
        <v>191</v>
      </c>
      <c r="E255" s="145">
        <v>700669</v>
      </c>
      <c r="F255" s="145">
        <v>700669</v>
      </c>
      <c r="G255" s="13">
        <f t="shared" si="40"/>
        <v>0</v>
      </c>
      <c r="H255" s="183"/>
      <c r="I255" s="145">
        <f>ROUND(F255,0)</f>
        <v>700669</v>
      </c>
      <c r="J255" s="13">
        <f t="shared" si="36"/>
        <v>0</v>
      </c>
      <c r="K255" s="183"/>
      <c r="L255" s="145">
        <f>ROUND(I255,0)</f>
        <v>700669</v>
      </c>
      <c r="M255" s="13">
        <f t="shared" si="37"/>
        <v>0</v>
      </c>
      <c r="N255" s="183"/>
      <c r="O255" s="332">
        <v>368097.94</v>
      </c>
      <c r="P255" s="260">
        <f t="shared" si="35"/>
        <v>0.5253521134801169</v>
      </c>
      <c r="Q255" s="366"/>
    </row>
    <row r="256" spans="2:17" s="26" customFormat="1" ht="16.149999999999999" customHeight="1" x14ac:dyDescent="0.25">
      <c r="B256" s="56" t="s">
        <v>526</v>
      </c>
      <c r="C256" s="79" t="s">
        <v>583</v>
      </c>
      <c r="D256" s="139" t="s">
        <v>483</v>
      </c>
      <c r="E256" s="145">
        <v>2381500</v>
      </c>
      <c r="F256" s="145">
        <v>2381500</v>
      </c>
      <c r="G256" s="13">
        <f t="shared" si="40"/>
        <v>0</v>
      </c>
      <c r="H256" s="184"/>
      <c r="I256" s="145">
        <f>ROUND(F256,0)</f>
        <v>2381500</v>
      </c>
      <c r="J256" s="13">
        <f t="shared" si="36"/>
        <v>0</v>
      </c>
      <c r="K256" s="184"/>
      <c r="L256" s="145">
        <f>ROUND(I256,0)</f>
        <v>2381500</v>
      </c>
      <c r="M256" s="13">
        <f t="shared" si="37"/>
        <v>0</v>
      </c>
      <c r="N256" s="184"/>
      <c r="O256" s="332">
        <v>1155227.44</v>
      </c>
      <c r="P256" s="260">
        <f t="shared" si="35"/>
        <v>0.4850839554902372</v>
      </c>
      <c r="Q256" s="366"/>
    </row>
    <row r="257" spans="2:17" ht="14.45" customHeight="1" x14ac:dyDescent="0.25">
      <c r="B257" s="53" t="s">
        <v>527</v>
      </c>
      <c r="C257" s="75" t="s">
        <v>584</v>
      </c>
      <c r="D257" s="110" t="s">
        <v>261</v>
      </c>
      <c r="E257" s="145">
        <v>285300</v>
      </c>
      <c r="F257" s="145">
        <v>285300</v>
      </c>
      <c r="G257" s="13">
        <f t="shared" si="40"/>
        <v>0</v>
      </c>
      <c r="H257" s="185"/>
      <c r="I257" s="145">
        <f>ROUND(F257,0)</f>
        <v>285300</v>
      </c>
      <c r="J257" s="13">
        <f t="shared" si="36"/>
        <v>0</v>
      </c>
      <c r="K257" s="185"/>
      <c r="L257" s="145">
        <f>ROUND(I257,0)</f>
        <v>285300</v>
      </c>
      <c r="M257" s="13">
        <f t="shared" si="37"/>
        <v>0</v>
      </c>
      <c r="N257" s="185"/>
      <c r="O257" s="332">
        <v>132074.5</v>
      </c>
      <c r="P257" s="296">
        <f t="shared" si="35"/>
        <v>0.46293200140203294</v>
      </c>
      <c r="Q257" s="366"/>
    </row>
    <row r="258" spans="2:17" s="4" customFormat="1" ht="15.75" customHeight="1" x14ac:dyDescent="0.25">
      <c r="C258" s="73" t="s">
        <v>195</v>
      </c>
      <c r="D258" s="126" t="s">
        <v>528</v>
      </c>
      <c r="E258" s="173">
        <v>3231179</v>
      </c>
      <c r="F258" s="173">
        <v>3231139</v>
      </c>
      <c r="G258" s="23">
        <f t="shared" si="40"/>
        <v>-40</v>
      </c>
      <c r="H258" s="186"/>
      <c r="I258" s="173">
        <f>I259+SUM(I263:I269)</f>
        <v>3252000</v>
      </c>
      <c r="J258" s="23">
        <f t="shared" si="36"/>
        <v>20861</v>
      </c>
      <c r="K258" s="186"/>
      <c r="L258" s="173">
        <f>L259+SUM(L263:L269)</f>
        <v>3289312</v>
      </c>
      <c r="M258" s="23">
        <f t="shared" si="37"/>
        <v>37312</v>
      </c>
      <c r="N258" s="186"/>
      <c r="O258" s="464">
        <f>O259+O263+O264+O265+O266+O268+O269+O267</f>
        <v>1387225.7</v>
      </c>
      <c r="P258" s="291">
        <f t="shared" si="35"/>
        <v>0.42657616851168512</v>
      </c>
      <c r="Q258" s="450"/>
    </row>
    <row r="259" spans="2:17" s="10" customFormat="1" ht="24.6" customHeight="1" x14ac:dyDescent="0.25">
      <c r="B259" s="55"/>
      <c r="C259" s="75" t="s">
        <v>585</v>
      </c>
      <c r="D259" s="110" t="s">
        <v>237</v>
      </c>
      <c r="E259" s="145">
        <v>1830248</v>
      </c>
      <c r="F259" s="145">
        <v>1830248</v>
      </c>
      <c r="G259" s="11">
        <f t="shared" si="40"/>
        <v>0</v>
      </c>
      <c r="H259" s="183"/>
      <c r="I259" s="145">
        <f>I260+I261+I262</f>
        <v>1858109</v>
      </c>
      <c r="J259" s="11">
        <f t="shared" si="36"/>
        <v>27861</v>
      </c>
      <c r="K259" s="183"/>
      <c r="L259" s="145">
        <f>L260+L261+L262</f>
        <v>1858109</v>
      </c>
      <c r="M259" s="11">
        <f t="shared" si="37"/>
        <v>0</v>
      </c>
      <c r="N259" s="183"/>
      <c r="O259" s="332">
        <f>O260+O261+O262</f>
        <v>813029.42999999993</v>
      </c>
      <c r="P259" s="260">
        <f t="shared" si="35"/>
        <v>0.43755744684515274</v>
      </c>
      <c r="Q259" s="366"/>
    </row>
    <row r="260" spans="2:17" s="149" customFormat="1" ht="33.75" customHeight="1" x14ac:dyDescent="0.25">
      <c r="B260" s="150" t="s">
        <v>322</v>
      </c>
      <c r="C260" s="104" t="s">
        <v>586</v>
      </c>
      <c r="D260" s="134" t="s">
        <v>506</v>
      </c>
      <c r="E260" s="399">
        <v>1692220</v>
      </c>
      <c r="F260" s="399">
        <v>1692220</v>
      </c>
      <c r="G260" s="151">
        <f t="shared" si="40"/>
        <v>0</v>
      </c>
      <c r="H260" s="187"/>
      <c r="I260" s="399">
        <f t="shared" ref="I260:I269" si="46">ROUND(F260,0)</f>
        <v>1692220</v>
      </c>
      <c r="J260" s="151">
        <f t="shared" si="36"/>
        <v>0</v>
      </c>
      <c r="K260" s="187"/>
      <c r="L260" s="399">
        <f t="shared" ref="L260:L261" si="47">ROUND(I260,0)</f>
        <v>1692220</v>
      </c>
      <c r="M260" s="151">
        <f t="shared" si="37"/>
        <v>0</v>
      </c>
      <c r="N260" s="187"/>
      <c r="O260" s="472">
        <f>799839.29-O263</f>
        <v>756488.62</v>
      </c>
      <c r="P260" s="260">
        <f t="shared" si="35"/>
        <v>0.44703916748413325</v>
      </c>
      <c r="Q260" s="370"/>
    </row>
    <row r="261" spans="2:17" s="149" customFormat="1" ht="29.45" customHeight="1" x14ac:dyDescent="0.25">
      <c r="B261" s="150" t="s">
        <v>510</v>
      </c>
      <c r="C261" s="104" t="s">
        <v>587</v>
      </c>
      <c r="D261" s="134" t="s">
        <v>507</v>
      </c>
      <c r="E261" s="399">
        <v>137869</v>
      </c>
      <c r="F261" s="399">
        <v>137869</v>
      </c>
      <c r="G261" s="151">
        <f t="shared" si="40"/>
        <v>0</v>
      </c>
      <c r="H261" s="187"/>
      <c r="I261" s="399">
        <f t="shared" si="46"/>
        <v>137869</v>
      </c>
      <c r="J261" s="151">
        <f t="shared" si="36"/>
        <v>0</v>
      </c>
      <c r="K261" s="187"/>
      <c r="L261" s="399">
        <f t="shared" si="47"/>
        <v>137869</v>
      </c>
      <c r="M261" s="151">
        <f t="shared" si="37"/>
        <v>0</v>
      </c>
      <c r="N261" s="187"/>
      <c r="O261" s="472">
        <v>56540.81</v>
      </c>
      <c r="P261" s="260">
        <f t="shared" ref="P261:P313" si="48">O261/I261</f>
        <v>0.41010531736648553</v>
      </c>
      <c r="Q261" s="370"/>
    </row>
    <row r="262" spans="2:17" s="149" customFormat="1" ht="17.25" customHeight="1" x14ac:dyDescent="0.25">
      <c r="B262" s="150"/>
      <c r="C262" s="104" t="s">
        <v>588</v>
      </c>
      <c r="D262" s="134" t="s">
        <v>508</v>
      </c>
      <c r="E262" s="399">
        <v>159</v>
      </c>
      <c r="F262" s="399">
        <v>159</v>
      </c>
      <c r="G262" s="151">
        <f t="shared" si="40"/>
        <v>0</v>
      </c>
      <c r="H262" s="187"/>
      <c r="I262" s="399">
        <f>ROUND(F262,0)+27294+567</f>
        <v>28020</v>
      </c>
      <c r="J262" s="151">
        <f t="shared" si="36"/>
        <v>27861</v>
      </c>
      <c r="K262" s="187" t="s">
        <v>731</v>
      </c>
      <c r="L262" s="399">
        <f>ROUND(I262,0)</f>
        <v>28020</v>
      </c>
      <c r="M262" s="151">
        <f t="shared" si="37"/>
        <v>0</v>
      </c>
      <c r="N262" s="187"/>
      <c r="O262" s="472">
        <v>0</v>
      </c>
      <c r="P262" s="297">
        <f t="shared" si="48"/>
        <v>0</v>
      </c>
      <c r="Q262" s="370"/>
    </row>
    <row r="263" spans="2:17" s="10" customFormat="1" x14ac:dyDescent="0.25">
      <c r="B263" s="10" t="s">
        <v>322</v>
      </c>
      <c r="C263" s="75" t="s">
        <v>589</v>
      </c>
      <c r="D263" s="110" t="s">
        <v>262</v>
      </c>
      <c r="E263" s="392">
        <v>104143</v>
      </c>
      <c r="F263" s="392">
        <v>104143</v>
      </c>
      <c r="G263" s="11">
        <f t="shared" si="40"/>
        <v>0</v>
      </c>
      <c r="H263" s="183"/>
      <c r="I263" s="392">
        <f t="shared" si="46"/>
        <v>104143</v>
      </c>
      <c r="J263" s="11">
        <f t="shared" ref="J263:J313" si="49">I263-F263</f>
        <v>0</v>
      </c>
      <c r="K263" s="183"/>
      <c r="L263" s="392">
        <f t="shared" ref="L263" si="50">ROUND(I263,0)</f>
        <v>104143</v>
      </c>
      <c r="M263" s="11">
        <f t="shared" ref="M263:M313" si="51">L263-I263</f>
        <v>0</v>
      </c>
      <c r="N263" s="183"/>
      <c r="O263" s="332">
        <v>43350.67</v>
      </c>
      <c r="P263" s="260">
        <f t="shared" si="48"/>
        <v>0.41626100650067693</v>
      </c>
      <c r="Q263" s="366"/>
    </row>
    <row r="264" spans="2:17" s="10" customFormat="1" ht="70.150000000000006" customHeight="1" x14ac:dyDescent="0.25">
      <c r="B264" s="55" t="s">
        <v>321</v>
      </c>
      <c r="C264" s="75" t="s">
        <v>590</v>
      </c>
      <c r="D264" s="110" t="s">
        <v>185</v>
      </c>
      <c r="E264" s="145">
        <v>867411</v>
      </c>
      <c r="F264" s="145">
        <v>867411</v>
      </c>
      <c r="G264" s="11">
        <f t="shared" si="40"/>
        <v>0</v>
      </c>
      <c r="H264" s="418"/>
      <c r="I264" s="145">
        <f>ROUND(F264,0)-7000</f>
        <v>860411</v>
      </c>
      <c r="J264" s="11">
        <f t="shared" si="49"/>
        <v>-7000</v>
      </c>
      <c r="K264" s="418" t="s">
        <v>745</v>
      </c>
      <c r="L264" s="145">
        <f>ROUND(I264,0)</f>
        <v>860411</v>
      </c>
      <c r="M264" s="11">
        <f t="shared" si="51"/>
        <v>0</v>
      </c>
      <c r="N264" s="418"/>
      <c r="O264" s="332">
        <v>330214.75</v>
      </c>
      <c r="P264" s="260">
        <f t="shared" si="48"/>
        <v>0.3837872249424984</v>
      </c>
      <c r="Q264" s="366"/>
    </row>
    <row r="265" spans="2:17" s="10" customFormat="1" ht="16.899999999999999" customHeight="1" x14ac:dyDescent="0.25">
      <c r="B265" s="55"/>
      <c r="C265" s="101" t="s">
        <v>591</v>
      </c>
      <c r="D265" s="110" t="s">
        <v>446</v>
      </c>
      <c r="E265" s="170">
        <v>329532</v>
      </c>
      <c r="F265" s="145">
        <v>329532</v>
      </c>
      <c r="G265" s="11">
        <f t="shared" si="40"/>
        <v>0</v>
      </c>
      <c r="H265" s="248"/>
      <c r="I265" s="145">
        <f t="shared" si="46"/>
        <v>329532</v>
      </c>
      <c r="J265" s="11">
        <f t="shared" si="49"/>
        <v>0</v>
      </c>
      <c r="K265" s="248" t="s">
        <v>260</v>
      </c>
      <c r="L265" s="145">
        <f t="shared" ref="L265:L269" si="52">ROUND(I265,0)</f>
        <v>329532</v>
      </c>
      <c r="M265" s="11">
        <f t="shared" si="51"/>
        <v>0</v>
      </c>
      <c r="N265" s="248" t="s">
        <v>260</v>
      </c>
      <c r="O265" s="470">
        <v>148507.95000000001</v>
      </c>
      <c r="P265" s="274">
        <f t="shared" si="48"/>
        <v>0.45066321328429415</v>
      </c>
      <c r="Q265" s="366"/>
    </row>
    <row r="266" spans="2:17" s="10" customFormat="1" ht="16.899999999999999" customHeight="1" x14ac:dyDescent="0.25">
      <c r="B266" s="55" t="s">
        <v>323</v>
      </c>
      <c r="C266" s="75" t="s">
        <v>592</v>
      </c>
      <c r="D266" s="110" t="s">
        <v>257</v>
      </c>
      <c r="E266" s="145">
        <v>17776</v>
      </c>
      <c r="F266" s="145">
        <v>17736</v>
      </c>
      <c r="G266" s="11">
        <f t="shared" si="40"/>
        <v>-40</v>
      </c>
      <c r="H266" s="185" t="s">
        <v>460</v>
      </c>
      <c r="I266" s="145">
        <f t="shared" si="46"/>
        <v>17736</v>
      </c>
      <c r="J266" s="11">
        <f t="shared" si="49"/>
        <v>0</v>
      </c>
      <c r="K266" s="185"/>
      <c r="L266" s="145">
        <f t="shared" si="52"/>
        <v>17736</v>
      </c>
      <c r="M266" s="11">
        <f t="shared" si="51"/>
        <v>0</v>
      </c>
      <c r="N266" s="185"/>
      <c r="O266" s="332">
        <v>3072.4</v>
      </c>
      <c r="P266" s="260">
        <f t="shared" si="48"/>
        <v>0.17322958953540821</v>
      </c>
      <c r="Q266" s="366"/>
    </row>
    <row r="267" spans="2:17" s="10" customFormat="1" ht="49.5" customHeight="1" x14ac:dyDescent="0.25">
      <c r="B267" s="329" t="s">
        <v>667</v>
      </c>
      <c r="C267" s="75" t="s">
        <v>593</v>
      </c>
      <c r="D267" s="325" t="s">
        <v>657</v>
      </c>
      <c r="E267" s="380">
        <v>15473</v>
      </c>
      <c r="F267" s="145">
        <v>15473</v>
      </c>
      <c r="G267" s="11">
        <f>F267-E267</f>
        <v>0</v>
      </c>
      <c r="H267" s="326"/>
      <c r="I267" s="145">
        <f t="shared" si="46"/>
        <v>15473</v>
      </c>
      <c r="J267" s="11">
        <f t="shared" si="49"/>
        <v>0</v>
      </c>
      <c r="K267" s="326"/>
      <c r="L267" s="145">
        <f t="shared" si="52"/>
        <v>15473</v>
      </c>
      <c r="M267" s="11">
        <f t="shared" si="51"/>
        <v>0</v>
      </c>
      <c r="N267" s="326"/>
      <c r="O267" s="332">
        <v>10320.06</v>
      </c>
      <c r="P267" s="322">
        <f t="shared" si="48"/>
        <v>0.6669721450268209</v>
      </c>
      <c r="Q267" s="359"/>
    </row>
    <row r="268" spans="2:17" s="4" customFormat="1" ht="15.6" customHeight="1" x14ac:dyDescent="0.25">
      <c r="B268" s="53" t="s">
        <v>397</v>
      </c>
      <c r="C268" s="75" t="s">
        <v>594</v>
      </c>
      <c r="D268" s="110" t="s">
        <v>494</v>
      </c>
      <c r="E268" s="145">
        <v>66596</v>
      </c>
      <c r="F268" s="145">
        <v>66596</v>
      </c>
      <c r="G268" s="11">
        <f t="shared" si="40"/>
        <v>0</v>
      </c>
      <c r="H268" s="189"/>
      <c r="I268" s="145">
        <f t="shared" si="46"/>
        <v>66596</v>
      </c>
      <c r="J268" s="11">
        <f t="shared" si="49"/>
        <v>0</v>
      </c>
      <c r="K268" s="189"/>
      <c r="L268" s="145">
        <f>ROUND(I268,0)+37312</f>
        <v>103908</v>
      </c>
      <c r="M268" s="11">
        <f t="shared" si="51"/>
        <v>37312</v>
      </c>
      <c r="N268" s="189" t="s">
        <v>763</v>
      </c>
      <c r="O268" s="332">
        <v>38730.44</v>
      </c>
      <c r="P268" s="260">
        <f t="shared" si="48"/>
        <v>0.58157306745149862</v>
      </c>
      <c r="Q268" s="366"/>
    </row>
    <row r="269" spans="2:17" s="4" customFormat="1" ht="15" customHeight="1" x14ac:dyDescent="0.25">
      <c r="B269" s="53" t="s">
        <v>321</v>
      </c>
      <c r="C269" s="75" t="s">
        <v>666</v>
      </c>
      <c r="D269" s="141" t="s">
        <v>341</v>
      </c>
      <c r="E269" s="145">
        <v>0</v>
      </c>
      <c r="F269" s="145">
        <v>0</v>
      </c>
      <c r="G269" s="11">
        <f t="shared" si="40"/>
        <v>0</v>
      </c>
      <c r="H269" s="190"/>
      <c r="I269" s="145">
        <f t="shared" si="46"/>
        <v>0</v>
      </c>
      <c r="J269" s="11">
        <f t="shared" si="49"/>
        <v>0</v>
      </c>
      <c r="K269" s="190"/>
      <c r="L269" s="145">
        <f t="shared" si="52"/>
        <v>0</v>
      </c>
      <c r="M269" s="11">
        <f t="shared" si="51"/>
        <v>0</v>
      </c>
      <c r="N269" s="190"/>
      <c r="O269" s="332"/>
      <c r="P269" s="260" t="e">
        <f t="shared" si="48"/>
        <v>#DIV/0!</v>
      </c>
      <c r="Q269" s="366"/>
    </row>
    <row r="270" spans="2:17" s="10" customFormat="1" ht="15.75" customHeight="1" x14ac:dyDescent="0.25">
      <c r="B270" s="55"/>
      <c r="C270" s="73" t="s">
        <v>197</v>
      </c>
      <c r="D270" s="126" t="s">
        <v>193</v>
      </c>
      <c r="E270" s="23">
        <v>8577054</v>
      </c>
      <c r="F270" s="23">
        <v>8577434</v>
      </c>
      <c r="G270" s="173">
        <f t="shared" ref="G270" si="53">G271+G275+G276+G277+G278+G279+G280+G281+G282+G283+G284+G285</f>
        <v>380</v>
      </c>
      <c r="H270" s="173"/>
      <c r="I270" s="23">
        <f>I271+I275+I276+I277+I278+I279+I280+I281+I282+I283+I284+I285</f>
        <v>8762749</v>
      </c>
      <c r="J270" s="173">
        <f t="shared" si="49"/>
        <v>185315</v>
      </c>
      <c r="K270" s="173"/>
      <c r="L270" s="23">
        <f>L271+L275+L276+L277+L278+L279+L280+L281+L282+L283+L284+L285</f>
        <v>8762749</v>
      </c>
      <c r="M270" s="173">
        <f t="shared" si="51"/>
        <v>0</v>
      </c>
      <c r="N270" s="173"/>
      <c r="O270" s="464">
        <f>O271+O275+O276+O277+O278+O279+O280+O281+O282+O283+O284+O285</f>
        <v>3712676.89</v>
      </c>
      <c r="P270" s="291">
        <f t="shared" si="48"/>
        <v>0.42368860388446594</v>
      </c>
      <c r="Q270" s="450"/>
    </row>
    <row r="271" spans="2:17" s="10" customFormat="1" ht="27" customHeight="1" x14ac:dyDescent="0.25">
      <c r="B271" s="55"/>
      <c r="C271" s="75" t="s">
        <v>595</v>
      </c>
      <c r="D271" s="110" t="s">
        <v>237</v>
      </c>
      <c r="E271" s="145">
        <v>4972819</v>
      </c>
      <c r="F271" s="145">
        <v>4972819</v>
      </c>
      <c r="G271" s="11">
        <f t="shared" si="40"/>
        <v>0</v>
      </c>
      <c r="H271" s="183"/>
      <c r="I271" s="145">
        <f>SUM(I272:I274)</f>
        <v>5023047</v>
      </c>
      <c r="J271" s="11">
        <f t="shared" si="49"/>
        <v>50228</v>
      </c>
      <c r="K271" s="183"/>
      <c r="L271" s="145">
        <f>SUM(L272:L274)</f>
        <v>5023047</v>
      </c>
      <c r="M271" s="11">
        <f t="shared" si="51"/>
        <v>0</v>
      </c>
      <c r="N271" s="183"/>
      <c r="O271" s="332">
        <f>SUM(O272:O274)</f>
        <v>2184795.7000000002</v>
      </c>
      <c r="P271" s="260">
        <f t="shared" si="48"/>
        <v>0.43495426182554137</v>
      </c>
      <c r="Q271" s="366"/>
    </row>
    <row r="272" spans="2:17" s="149" customFormat="1" ht="15.75" customHeight="1" x14ac:dyDescent="0.25">
      <c r="B272" s="150" t="s">
        <v>313</v>
      </c>
      <c r="C272" s="104" t="s">
        <v>596</v>
      </c>
      <c r="D272" s="134" t="s">
        <v>506</v>
      </c>
      <c r="E272" s="399">
        <v>4524017</v>
      </c>
      <c r="F272" s="399">
        <v>4524017</v>
      </c>
      <c r="G272" s="151">
        <f t="shared" si="40"/>
        <v>0</v>
      </c>
      <c r="H272" s="187"/>
      <c r="I272" s="399">
        <f t="shared" ref="I272:I284" si="54">ROUND(F272,0)</f>
        <v>4524017</v>
      </c>
      <c r="J272" s="151">
        <f t="shared" si="49"/>
        <v>0</v>
      </c>
      <c r="K272" s="187"/>
      <c r="L272" s="399">
        <f t="shared" ref="L272:L273" si="55">ROUND(I272,0)</f>
        <v>4524017</v>
      </c>
      <c r="M272" s="151">
        <f t="shared" si="51"/>
        <v>0</v>
      </c>
      <c r="N272" s="187"/>
      <c r="O272" s="472">
        <f>2104158.58-O274-O284</f>
        <v>2009146.2000000002</v>
      </c>
      <c r="P272" s="260">
        <f t="shared" si="48"/>
        <v>0.4441066866017524</v>
      </c>
      <c r="Q272" s="370"/>
    </row>
    <row r="273" spans="2:17" s="149" customFormat="1" ht="13.5" customHeight="1" x14ac:dyDescent="0.25">
      <c r="B273" s="150" t="s">
        <v>509</v>
      </c>
      <c r="C273" s="104" t="s">
        <v>597</v>
      </c>
      <c r="D273" s="134" t="s">
        <v>507</v>
      </c>
      <c r="E273" s="399">
        <v>423575</v>
      </c>
      <c r="F273" s="399">
        <v>423575</v>
      </c>
      <c r="G273" s="151">
        <f t="shared" si="40"/>
        <v>0</v>
      </c>
      <c r="H273" s="187"/>
      <c r="I273" s="399">
        <f t="shared" si="54"/>
        <v>423575</v>
      </c>
      <c r="J273" s="151">
        <f t="shared" si="49"/>
        <v>0</v>
      </c>
      <c r="K273" s="187"/>
      <c r="L273" s="399">
        <f t="shared" si="55"/>
        <v>423575</v>
      </c>
      <c r="M273" s="151">
        <f t="shared" si="51"/>
        <v>0</v>
      </c>
      <c r="N273" s="187"/>
      <c r="O273" s="472">
        <v>175649.5</v>
      </c>
      <c r="P273" s="260">
        <f t="shared" si="48"/>
        <v>0.41468335005607038</v>
      </c>
      <c r="Q273" s="370"/>
    </row>
    <row r="274" spans="2:17" s="149" customFormat="1" ht="17.25" customHeight="1" x14ac:dyDescent="0.25">
      <c r="B274" s="150" t="s">
        <v>313</v>
      </c>
      <c r="C274" s="104" t="s">
        <v>598</v>
      </c>
      <c r="D274" s="134" t="s">
        <v>508</v>
      </c>
      <c r="E274" s="399">
        <v>25227</v>
      </c>
      <c r="F274" s="399">
        <v>25227</v>
      </c>
      <c r="G274" s="151">
        <f t="shared" si="40"/>
        <v>0</v>
      </c>
      <c r="H274" s="187"/>
      <c r="I274" s="399">
        <f>ROUND(F274,0)-25227+4380+71075</f>
        <v>75455</v>
      </c>
      <c r="J274" s="151">
        <f t="shared" si="49"/>
        <v>50228</v>
      </c>
      <c r="K274" s="187" t="s">
        <v>732</v>
      </c>
      <c r="L274" s="399">
        <f>ROUND(I274,0)</f>
        <v>75455</v>
      </c>
      <c r="M274" s="151">
        <f t="shared" si="51"/>
        <v>0</v>
      </c>
      <c r="N274" s="187"/>
      <c r="O274" s="472"/>
      <c r="P274" s="297">
        <f t="shared" si="48"/>
        <v>0</v>
      </c>
      <c r="Q274" s="370"/>
    </row>
    <row r="275" spans="2:17" s="10" customFormat="1" ht="13.5" customHeight="1" x14ac:dyDescent="0.25">
      <c r="B275" s="55" t="s">
        <v>221</v>
      </c>
      <c r="C275" s="75" t="s">
        <v>599</v>
      </c>
      <c r="D275" s="110" t="s">
        <v>185</v>
      </c>
      <c r="E275" s="145">
        <v>1028492</v>
      </c>
      <c r="F275" s="145">
        <v>1028792</v>
      </c>
      <c r="G275" s="11">
        <f t="shared" ref="G275:G313" si="56">F275-E275</f>
        <v>300</v>
      </c>
      <c r="H275" s="418" t="s">
        <v>709</v>
      </c>
      <c r="I275" s="145">
        <f>ROUND(F275,0)+12000</f>
        <v>1040792</v>
      </c>
      <c r="J275" s="11">
        <f t="shared" si="49"/>
        <v>12000</v>
      </c>
      <c r="K275" s="187" t="s">
        <v>740</v>
      </c>
      <c r="L275" s="145">
        <f>ROUND(I275,0)</f>
        <v>1040792</v>
      </c>
      <c r="M275" s="11">
        <f t="shared" si="51"/>
        <v>0</v>
      </c>
      <c r="N275" s="187"/>
      <c r="O275" s="332">
        <f>794231.25-O276-O280-O281</f>
        <v>449669.60000000003</v>
      </c>
      <c r="P275" s="260">
        <f t="shared" si="48"/>
        <v>0.432045596046088</v>
      </c>
      <c r="Q275" s="366"/>
    </row>
    <row r="276" spans="2:17" s="10" customFormat="1" ht="16.5" customHeight="1" x14ac:dyDescent="0.25">
      <c r="B276" s="55"/>
      <c r="C276" s="75" t="s">
        <v>600</v>
      </c>
      <c r="D276" s="130" t="s">
        <v>446</v>
      </c>
      <c r="E276" s="175">
        <v>776305</v>
      </c>
      <c r="F276" s="175">
        <v>776305</v>
      </c>
      <c r="G276" s="11">
        <f t="shared" si="56"/>
        <v>0</v>
      </c>
      <c r="H276" s="248"/>
      <c r="I276" s="175">
        <f>ROUND(F276,0)-25000</f>
        <v>751305</v>
      </c>
      <c r="J276" s="11">
        <f t="shared" si="49"/>
        <v>-25000</v>
      </c>
      <c r="K276" s="187" t="s">
        <v>729</v>
      </c>
      <c r="L276" s="175">
        <f>ROUND(I276,0)</f>
        <v>751305</v>
      </c>
      <c r="M276" s="11">
        <f t="shared" si="51"/>
        <v>0</v>
      </c>
      <c r="N276" s="187"/>
      <c r="O276" s="470">
        <v>285363.03999999998</v>
      </c>
      <c r="P276" s="260">
        <f t="shared" si="48"/>
        <v>0.37982316103313563</v>
      </c>
      <c r="Q276" s="366"/>
    </row>
    <row r="277" spans="2:17" s="10" customFormat="1" ht="15" customHeight="1" x14ac:dyDescent="0.25">
      <c r="B277" s="10" t="s">
        <v>314</v>
      </c>
      <c r="C277" s="75" t="s">
        <v>601</v>
      </c>
      <c r="D277" s="110" t="s">
        <v>236</v>
      </c>
      <c r="E277" s="145">
        <v>70991</v>
      </c>
      <c r="F277" s="145">
        <v>70991</v>
      </c>
      <c r="G277" s="11">
        <f t="shared" si="56"/>
        <v>0</v>
      </c>
      <c r="H277" s="184"/>
      <c r="I277" s="145">
        <f>ROUND(F277,0)+67062</f>
        <v>138053</v>
      </c>
      <c r="J277" s="11">
        <f t="shared" si="49"/>
        <v>67062</v>
      </c>
      <c r="K277" s="187" t="s">
        <v>727</v>
      </c>
      <c r="L277" s="145">
        <f>ROUND(I277,0)</f>
        <v>138053</v>
      </c>
      <c r="M277" s="11">
        <f t="shared" si="51"/>
        <v>0</v>
      </c>
      <c r="N277" s="187"/>
      <c r="O277" s="332">
        <v>43442.879999999997</v>
      </c>
      <c r="P277" s="260">
        <f t="shared" si="48"/>
        <v>0.31468262189159235</v>
      </c>
      <c r="Q277" s="366"/>
    </row>
    <row r="278" spans="2:17" s="10" customFormat="1" ht="16.149999999999999" customHeight="1" x14ac:dyDescent="0.25">
      <c r="B278" s="55" t="s">
        <v>268</v>
      </c>
      <c r="C278" s="75" t="s">
        <v>602</v>
      </c>
      <c r="D278" s="110" t="s">
        <v>257</v>
      </c>
      <c r="E278" s="145">
        <v>42102</v>
      </c>
      <c r="F278" s="145">
        <v>42182</v>
      </c>
      <c r="G278" s="40">
        <f t="shared" si="56"/>
        <v>80</v>
      </c>
      <c r="H278" s="185" t="s">
        <v>460</v>
      </c>
      <c r="I278" s="145">
        <f t="shared" si="54"/>
        <v>42182</v>
      </c>
      <c r="J278" s="40">
        <f t="shared" si="49"/>
        <v>0</v>
      </c>
      <c r="K278" s="187"/>
      <c r="L278" s="145">
        <f t="shared" ref="L278:L280" si="57">ROUND(I278,0)</f>
        <v>42182</v>
      </c>
      <c r="M278" s="40">
        <f t="shared" si="51"/>
        <v>0</v>
      </c>
      <c r="N278" s="187"/>
      <c r="O278" s="332">
        <v>19216.990000000002</v>
      </c>
      <c r="P278" s="260">
        <f t="shared" si="48"/>
        <v>0.4555732302878005</v>
      </c>
      <c r="Q278" s="366"/>
    </row>
    <row r="279" spans="2:17" s="10" customFormat="1" ht="47.25" customHeight="1" x14ac:dyDescent="0.25">
      <c r="B279" s="55" t="s">
        <v>658</v>
      </c>
      <c r="C279" s="324" t="s">
        <v>603</v>
      </c>
      <c r="D279" s="325" t="s">
        <v>657</v>
      </c>
      <c r="E279" s="380">
        <v>42376</v>
      </c>
      <c r="F279" s="145">
        <v>42376</v>
      </c>
      <c r="G279" s="40">
        <f>F279-E279</f>
        <v>0</v>
      </c>
      <c r="H279" s="326"/>
      <c r="I279" s="145">
        <f t="shared" si="54"/>
        <v>42376</v>
      </c>
      <c r="J279" s="40">
        <f t="shared" si="49"/>
        <v>0</v>
      </c>
      <c r="K279" s="326"/>
      <c r="L279" s="145">
        <f t="shared" si="57"/>
        <v>42376</v>
      </c>
      <c r="M279" s="40">
        <f t="shared" si="51"/>
        <v>0</v>
      </c>
      <c r="N279" s="326"/>
      <c r="O279" s="332">
        <v>32542.880000000001</v>
      </c>
      <c r="P279" s="322">
        <f t="shared" si="48"/>
        <v>0.76795544647913916</v>
      </c>
      <c r="Q279" s="359"/>
    </row>
    <row r="280" spans="2:17" s="5" customFormat="1" ht="20.25" customHeight="1" x14ac:dyDescent="0.25">
      <c r="B280" s="55" t="s">
        <v>221</v>
      </c>
      <c r="C280" s="75" t="s">
        <v>604</v>
      </c>
      <c r="D280" s="110" t="s">
        <v>530</v>
      </c>
      <c r="E280" s="145">
        <v>59199</v>
      </c>
      <c r="F280" s="145">
        <v>59199</v>
      </c>
      <c r="G280" s="48">
        <f t="shared" si="56"/>
        <v>0</v>
      </c>
      <c r="H280" s="185"/>
      <c r="I280" s="145">
        <f t="shared" si="54"/>
        <v>59199</v>
      </c>
      <c r="J280" s="48">
        <f t="shared" si="49"/>
        <v>0</v>
      </c>
      <c r="K280" s="185"/>
      <c r="L280" s="145">
        <f t="shared" si="57"/>
        <v>59199</v>
      </c>
      <c r="M280" s="48">
        <f t="shared" si="51"/>
        <v>0</v>
      </c>
      <c r="N280" s="185"/>
      <c r="O280" s="470">
        <v>59198.61</v>
      </c>
      <c r="P280" s="260">
        <f t="shared" si="48"/>
        <v>0.99999341205087922</v>
      </c>
      <c r="Q280" s="366"/>
    </row>
    <row r="281" spans="2:17" s="5" customFormat="1" ht="30" customHeight="1" x14ac:dyDescent="0.25">
      <c r="B281" s="55" t="s">
        <v>221</v>
      </c>
      <c r="C281" s="75" t="s">
        <v>605</v>
      </c>
      <c r="D281" s="130" t="s">
        <v>741</v>
      </c>
      <c r="E281" s="175">
        <v>0</v>
      </c>
      <c r="F281" s="145">
        <v>0</v>
      </c>
      <c r="G281" s="48">
        <f t="shared" si="56"/>
        <v>0</v>
      </c>
      <c r="H281" s="185"/>
      <c r="I281" s="145">
        <f>ROUND(F281,0)+25000+50000+7000</f>
        <v>82000</v>
      </c>
      <c r="J281" s="48">
        <f t="shared" si="49"/>
        <v>82000</v>
      </c>
      <c r="K281" s="183" t="s">
        <v>742</v>
      </c>
      <c r="L281" s="145">
        <f>ROUND(I281,0)</f>
        <v>82000</v>
      </c>
      <c r="M281" s="48">
        <f t="shared" si="51"/>
        <v>0</v>
      </c>
      <c r="N281" s="183"/>
      <c r="O281" s="332">
        <v>0</v>
      </c>
      <c r="P281" s="287">
        <f t="shared" si="48"/>
        <v>0</v>
      </c>
      <c r="Q281" s="366"/>
    </row>
    <row r="282" spans="2:17" s="5" customFormat="1" ht="14.25" customHeight="1" x14ac:dyDescent="0.25">
      <c r="B282" s="54" t="s">
        <v>242</v>
      </c>
      <c r="C282" s="75" t="s">
        <v>606</v>
      </c>
      <c r="D282" s="110" t="s">
        <v>255</v>
      </c>
      <c r="E282" s="145">
        <v>702301</v>
      </c>
      <c r="F282" s="145">
        <v>702301</v>
      </c>
      <c r="G282" s="11">
        <f t="shared" si="56"/>
        <v>0</v>
      </c>
      <c r="H282" s="418"/>
      <c r="I282" s="145">
        <f t="shared" si="54"/>
        <v>702301</v>
      </c>
      <c r="J282" s="11">
        <f t="shared" si="49"/>
        <v>0</v>
      </c>
      <c r="K282" s="418"/>
      <c r="L282" s="145">
        <f t="shared" ref="L282:L284" si="58">ROUND(I282,0)</f>
        <v>702301</v>
      </c>
      <c r="M282" s="11">
        <f t="shared" si="51"/>
        <v>0</v>
      </c>
      <c r="N282" s="418"/>
      <c r="O282" s="332">
        <v>276305.92000000004</v>
      </c>
      <c r="P282" s="260">
        <f t="shared" si="48"/>
        <v>0.39342948393922272</v>
      </c>
      <c r="Q282" s="366"/>
    </row>
    <row r="283" spans="2:17" s="5" customFormat="1" ht="14.25" customHeight="1" x14ac:dyDescent="0.25">
      <c r="B283" s="54"/>
      <c r="C283" s="75" t="s">
        <v>607</v>
      </c>
      <c r="D283" s="130" t="s">
        <v>498</v>
      </c>
      <c r="E283" s="175">
        <v>393201</v>
      </c>
      <c r="F283" s="175">
        <v>393201</v>
      </c>
      <c r="G283" s="11">
        <f t="shared" si="56"/>
        <v>0</v>
      </c>
      <c r="H283" s="248"/>
      <c r="I283" s="175">
        <f t="shared" si="54"/>
        <v>393201</v>
      </c>
      <c r="J283" s="11">
        <f t="shared" si="49"/>
        <v>0</v>
      </c>
      <c r="K283" s="248"/>
      <c r="L283" s="175">
        <f t="shared" si="58"/>
        <v>393201</v>
      </c>
      <c r="M283" s="11">
        <f t="shared" si="51"/>
        <v>0</v>
      </c>
      <c r="N283" s="248"/>
      <c r="O283" s="470">
        <v>178484.29</v>
      </c>
      <c r="P283" s="260">
        <f t="shared" si="48"/>
        <v>0.45392633792894732</v>
      </c>
      <c r="Q283" s="366"/>
    </row>
    <row r="284" spans="2:17" s="5" customFormat="1" ht="15" customHeight="1" x14ac:dyDescent="0.25">
      <c r="B284" s="55" t="s">
        <v>313</v>
      </c>
      <c r="C284" s="75" t="s">
        <v>608</v>
      </c>
      <c r="D284" s="110" t="s">
        <v>263</v>
      </c>
      <c r="E284" s="145">
        <v>250743</v>
      </c>
      <c r="F284" s="145">
        <v>250743</v>
      </c>
      <c r="G284" s="40">
        <f t="shared" si="56"/>
        <v>0</v>
      </c>
      <c r="H284" s="183"/>
      <c r="I284" s="145">
        <f t="shared" si="54"/>
        <v>250743</v>
      </c>
      <c r="J284" s="40">
        <f t="shared" si="49"/>
        <v>0</v>
      </c>
      <c r="K284" s="183"/>
      <c r="L284" s="145">
        <f t="shared" si="58"/>
        <v>250743</v>
      </c>
      <c r="M284" s="40">
        <f t="shared" si="51"/>
        <v>0</v>
      </c>
      <c r="N284" s="183"/>
      <c r="O284" s="332">
        <v>95012.38</v>
      </c>
      <c r="P284" s="260">
        <f t="shared" si="48"/>
        <v>0.37892335977474945</v>
      </c>
      <c r="Q284" s="366"/>
    </row>
    <row r="285" spans="2:17" s="82" customFormat="1" ht="13.9" customHeight="1" x14ac:dyDescent="0.25">
      <c r="B285" s="54"/>
      <c r="C285" s="83" t="s">
        <v>659</v>
      </c>
      <c r="D285" s="140" t="s">
        <v>270</v>
      </c>
      <c r="E285" s="400">
        <v>238525</v>
      </c>
      <c r="F285" s="400">
        <v>238525</v>
      </c>
      <c r="G285" s="94">
        <f t="shared" ref="G285:H285" si="59">G286+G287+G288+G289</f>
        <v>0</v>
      </c>
      <c r="H285" s="94">
        <f t="shared" si="59"/>
        <v>0</v>
      </c>
      <c r="I285" s="400">
        <f>I286+I287+I288+I289</f>
        <v>237550</v>
      </c>
      <c r="J285" s="94">
        <f t="shared" si="49"/>
        <v>-975</v>
      </c>
      <c r="K285" s="94"/>
      <c r="L285" s="400">
        <f>L286+L287+L288+L289</f>
        <v>237550</v>
      </c>
      <c r="M285" s="94">
        <f t="shared" si="51"/>
        <v>0</v>
      </c>
      <c r="N285" s="94"/>
      <c r="O285" s="473">
        <f>O286+O287+O288+O289</f>
        <v>88644.599999999991</v>
      </c>
      <c r="P285" s="302">
        <f t="shared" si="48"/>
        <v>0.37316186066091345</v>
      </c>
      <c r="Q285" s="451"/>
    </row>
    <row r="286" spans="2:17" s="5" customFormat="1" ht="14.25" customHeight="1" x14ac:dyDescent="0.25">
      <c r="B286" s="53" t="s">
        <v>312</v>
      </c>
      <c r="C286" s="80" t="s">
        <v>660</v>
      </c>
      <c r="D286" s="110" t="s">
        <v>511</v>
      </c>
      <c r="E286" s="145">
        <v>49111</v>
      </c>
      <c r="F286" s="145">
        <v>49111</v>
      </c>
      <c r="G286" s="48">
        <f t="shared" si="56"/>
        <v>0</v>
      </c>
      <c r="H286" s="183"/>
      <c r="I286" s="145">
        <f>ROUND(F286,0)-975</f>
        <v>48136</v>
      </c>
      <c r="J286" s="48">
        <f t="shared" si="49"/>
        <v>-975</v>
      </c>
      <c r="K286" s="183" t="s">
        <v>732</v>
      </c>
      <c r="L286" s="145">
        <f>ROUND(I286,0)</f>
        <v>48136</v>
      </c>
      <c r="M286" s="48">
        <f t="shared" si="51"/>
        <v>0</v>
      </c>
      <c r="N286" s="183"/>
      <c r="O286" s="332">
        <v>19355.27</v>
      </c>
      <c r="P286" s="260">
        <f t="shared" si="48"/>
        <v>0.402095521023766</v>
      </c>
      <c r="Q286" s="366"/>
    </row>
    <row r="287" spans="2:17" s="4" customFormat="1" ht="14.45" customHeight="1" x14ac:dyDescent="0.25">
      <c r="B287" s="54" t="s">
        <v>269</v>
      </c>
      <c r="C287" s="80" t="s">
        <v>661</v>
      </c>
      <c r="D287" s="110" t="s">
        <v>271</v>
      </c>
      <c r="E287" s="145">
        <v>170322</v>
      </c>
      <c r="F287" s="145">
        <v>170322</v>
      </c>
      <c r="G287" s="48">
        <f t="shared" si="56"/>
        <v>0</v>
      </c>
      <c r="H287" s="202"/>
      <c r="I287" s="145">
        <f>ROUND(F287,0)</f>
        <v>170322</v>
      </c>
      <c r="J287" s="48">
        <f t="shared" si="49"/>
        <v>0</v>
      </c>
      <c r="K287" s="202"/>
      <c r="L287" s="145">
        <f>ROUND(I287,0)</f>
        <v>170322</v>
      </c>
      <c r="M287" s="48">
        <f t="shared" si="51"/>
        <v>0</v>
      </c>
      <c r="N287" s="202"/>
      <c r="O287" s="332">
        <v>63692.039999999994</v>
      </c>
      <c r="P287" s="260">
        <f t="shared" si="48"/>
        <v>0.37395075210483669</v>
      </c>
      <c r="Q287" s="366"/>
    </row>
    <row r="288" spans="2:17" s="4" customFormat="1" ht="51.6" customHeight="1" x14ac:dyDescent="0.25">
      <c r="B288" s="54" t="s">
        <v>663</v>
      </c>
      <c r="C288" s="80" t="s">
        <v>662</v>
      </c>
      <c r="D288" s="325" t="s">
        <v>665</v>
      </c>
      <c r="E288" s="380">
        <v>1221</v>
      </c>
      <c r="F288" s="145">
        <v>1221</v>
      </c>
      <c r="G288" s="48">
        <f>F288-E288</f>
        <v>0</v>
      </c>
      <c r="H288" s="326"/>
      <c r="I288" s="145">
        <f>ROUND(F288,0)</f>
        <v>1221</v>
      </c>
      <c r="J288" s="48">
        <f t="shared" si="49"/>
        <v>0</v>
      </c>
      <c r="K288" s="326"/>
      <c r="L288" s="145">
        <f>ROUND(I288,0)</f>
        <v>1221</v>
      </c>
      <c r="M288" s="48">
        <f t="shared" si="51"/>
        <v>0</v>
      </c>
      <c r="N288" s="326"/>
      <c r="O288" s="332">
        <v>110</v>
      </c>
      <c r="P288" s="260">
        <f t="shared" si="48"/>
        <v>9.0090090090090086E-2</v>
      </c>
      <c r="Q288" s="359"/>
    </row>
    <row r="289" spans="2:17" s="4" customFormat="1" ht="13.9" customHeight="1" x14ac:dyDescent="0.25">
      <c r="B289" s="54"/>
      <c r="C289" s="80" t="s">
        <v>664</v>
      </c>
      <c r="D289" s="130" t="s">
        <v>497</v>
      </c>
      <c r="E289" s="175">
        <v>17871</v>
      </c>
      <c r="F289" s="175">
        <v>17871</v>
      </c>
      <c r="G289" s="48">
        <f t="shared" si="56"/>
        <v>0</v>
      </c>
      <c r="H289" s="206"/>
      <c r="I289" s="175">
        <f>ROUND(F289,0)</f>
        <v>17871</v>
      </c>
      <c r="J289" s="48">
        <f t="shared" si="49"/>
        <v>0</v>
      </c>
      <c r="K289" s="206"/>
      <c r="L289" s="175">
        <f>ROUND(I289,0)</f>
        <v>17871</v>
      </c>
      <c r="M289" s="48">
        <f t="shared" si="51"/>
        <v>0</v>
      </c>
      <c r="N289" s="206"/>
      <c r="O289" s="470">
        <v>5487.29</v>
      </c>
      <c r="P289" s="260">
        <f t="shared" si="48"/>
        <v>0.30704996922388228</v>
      </c>
      <c r="Q289" s="366"/>
    </row>
    <row r="290" spans="2:17" ht="18" customHeight="1" x14ac:dyDescent="0.25">
      <c r="C290" s="78" t="s">
        <v>520</v>
      </c>
      <c r="D290" s="126" t="s">
        <v>436</v>
      </c>
      <c r="E290" s="173">
        <v>1995994</v>
      </c>
      <c r="F290" s="173">
        <v>1995994</v>
      </c>
      <c r="G290" s="23">
        <f t="shared" si="56"/>
        <v>0</v>
      </c>
      <c r="H290" s="23"/>
      <c r="I290" s="173">
        <f>I291+I292</f>
        <v>1995994</v>
      </c>
      <c r="J290" s="23">
        <f t="shared" si="49"/>
        <v>0</v>
      </c>
      <c r="K290" s="23"/>
      <c r="L290" s="173">
        <f>L291+L292</f>
        <v>1995994</v>
      </c>
      <c r="M290" s="23">
        <f t="shared" si="51"/>
        <v>0</v>
      </c>
      <c r="N290" s="23"/>
      <c r="O290" s="464">
        <f>O291+O292</f>
        <v>953428.91</v>
      </c>
      <c r="P290" s="291">
        <f t="shared" si="48"/>
        <v>0.47767123047464072</v>
      </c>
      <c r="Q290" s="450"/>
    </row>
    <row r="291" spans="2:17" ht="13.5" customHeight="1" x14ac:dyDescent="0.25">
      <c r="C291" s="75" t="s">
        <v>609</v>
      </c>
      <c r="D291" s="110" t="s">
        <v>183</v>
      </c>
      <c r="E291" s="145">
        <v>849067</v>
      </c>
      <c r="F291" s="145">
        <v>849067</v>
      </c>
      <c r="G291" s="11">
        <f t="shared" si="56"/>
        <v>0</v>
      </c>
      <c r="H291" s="183"/>
      <c r="I291" s="145">
        <f>ROUND(F291,0)</f>
        <v>849067</v>
      </c>
      <c r="J291" s="11">
        <f t="shared" si="49"/>
        <v>0</v>
      </c>
      <c r="K291" s="183"/>
      <c r="L291" s="145">
        <f>ROUND(I291,0)</f>
        <v>849067</v>
      </c>
      <c r="M291" s="11">
        <f t="shared" si="51"/>
        <v>0</v>
      </c>
      <c r="N291" s="183"/>
      <c r="O291" s="332">
        <v>408912.64000000001</v>
      </c>
      <c r="P291" s="260">
        <f t="shared" si="48"/>
        <v>0.48160232349155013</v>
      </c>
      <c r="Q291" s="366"/>
    </row>
    <row r="292" spans="2:17" ht="25.9" customHeight="1" x14ac:dyDescent="0.25">
      <c r="C292" s="75" t="s">
        <v>609</v>
      </c>
      <c r="D292" s="110" t="s">
        <v>185</v>
      </c>
      <c r="E292" s="145">
        <v>1146927</v>
      </c>
      <c r="F292" s="145">
        <v>1146927</v>
      </c>
      <c r="G292" s="11">
        <f t="shared" si="56"/>
        <v>0</v>
      </c>
      <c r="H292" s="249"/>
      <c r="I292" s="145">
        <f>ROUND(F292,0)</f>
        <v>1146927</v>
      </c>
      <c r="J292" s="11">
        <f t="shared" si="49"/>
        <v>0</v>
      </c>
      <c r="K292" s="249"/>
      <c r="L292" s="145">
        <f>ROUND(I292,0)</f>
        <v>1146927</v>
      </c>
      <c r="M292" s="11">
        <f t="shared" si="51"/>
        <v>0</v>
      </c>
      <c r="N292" s="249"/>
      <c r="O292" s="332">
        <v>544516.27</v>
      </c>
      <c r="P292" s="260">
        <f t="shared" si="48"/>
        <v>0.47476105279586234</v>
      </c>
      <c r="Q292" s="430"/>
    </row>
    <row r="293" spans="2:17" ht="16.149999999999999" customHeight="1" x14ac:dyDescent="0.25">
      <c r="C293" s="81" t="s">
        <v>610</v>
      </c>
      <c r="D293" s="126" t="s">
        <v>196</v>
      </c>
      <c r="E293" s="173">
        <v>915221</v>
      </c>
      <c r="F293" s="173">
        <v>915221</v>
      </c>
      <c r="G293" s="23">
        <f t="shared" si="56"/>
        <v>0</v>
      </c>
      <c r="H293" s="186"/>
      <c r="I293" s="173">
        <f>I294+I295</f>
        <v>915221</v>
      </c>
      <c r="J293" s="23">
        <f t="shared" si="49"/>
        <v>0</v>
      </c>
      <c r="K293" s="186"/>
      <c r="L293" s="173">
        <f>L294+L295</f>
        <v>915221</v>
      </c>
      <c r="M293" s="23">
        <f t="shared" si="51"/>
        <v>0</v>
      </c>
      <c r="N293" s="186"/>
      <c r="O293" s="464">
        <f>O294+O295</f>
        <v>350846.43000000005</v>
      </c>
      <c r="P293" s="291">
        <f t="shared" si="48"/>
        <v>0.38334613169933823</v>
      </c>
      <c r="Q293" s="450"/>
    </row>
    <row r="294" spans="2:17" ht="16.5" customHeight="1" x14ac:dyDescent="0.25">
      <c r="B294" s="53" t="s">
        <v>395</v>
      </c>
      <c r="C294" s="75" t="s">
        <v>612</v>
      </c>
      <c r="D294" s="110" t="s">
        <v>183</v>
      </c>
      <c r="E294" s="145">
        <v>339485</v>
      </c>
      <c r="F294" s="145">
        <v>339485</v>
      </c>
      <c r="G294" s="11">
        <f t="shared" si="56"/>
        <v>0</v>
      </c>
      <c r="H294" s="185"/>
      <c r="I294" s="145">
        <f t="shared" ref="I294:I303" si="60">ROUND(F294,0)</f>
        <v>339485</v>
      </c>
      <c r="J294" s="11">
        <f t="shared" si="49"/>
        <v>0</v>
      </c>
      <c r="K294" s="185"/>
      <c r="L294" s="145">
        <f t="shared" ref="L294:L295" si="61">ROUND(I294,0)</f>
        <v>339485</v>
      </c>
      <c r="M294" s="11">
        <f t="shared" si="51"/>
        <v>0</v>
      </c>
      <c r="N294" s="185"/>
      <c r="O294" s="332">
        <v>141465.73000000001</v>
      </c>
      <c r="P294" s="260">
        <f t="shared" si="48"/>
        <v>0.41670686480993274</v>
      </c>
      <c r="Q294" s="366"/>
    </row>
    <row r="295" spans="2:17" ht="16.5" customHeight="1" x14ac:dyDescent="0.25">
      <c r="B295" s="53" t="s">
        <v>222</v>
      </c>
      <c r="C295" s="75" t="s">
        <v>611</v>
      </c>
      <c r="D295" s="110" t="s">
        <v>226</v>
      </c>
      <c r="E295" s="145">
        <v>575736</v>
      </c>
      <c r="F295" s="145">
        <v>575736</v>
      </c>
      <c r="G295" s="11">
        <f t="shared" si="56"/>
        <v>0</v>
      </c>
      <c r="H295" s="183"/>
      <c r="I295" s="145">
        <f t="shared" si="60"/>
        <v>575736</v>
      </c>
      <c r="J295" s="11">
        <f t="shared" si="49"/>
        <v>0</v>
      </c>
      <c r="K295" s="183"/>
      <c r="L295" s="145">
        <f t="shared" si="61"/>
        <v>575736</v>
      </c>
      <c r="M295" s="11">
        <f t="shared" si="51"/>
        <v>0</v>
      </c>
      <c r="N295" s="183"/>
      <c r="O295" s="332">
        <v>209380.7</v>
      </c>
      <c r="P295" s="260">
        <f t="shared" si="48"/>
        <v>0.36367484402573402</v>
      </c>
      <c r="Q295" s="430"/>
    </row>
    <row r="296" spans="2:17" ht="132" customHeight="1" x14ac:dyDescent="0.25">
      <c r="B296" s="53" t="s">
        <v>693</v>
      </c>
      <c r="C296" s="81" t="s">
        <v>613</v>
      </c>
      <c r="D296" s="126" t="s">
        <v>474</v>
      </c>
      <c r="E296" s="35">
        <v>753249</v>
      </c>
      <c r="F296" s="35">
        <v>806783</v>
      </c>
      <c r="G296" s="17">
        <f t="shared" si="56"/>
        <v>53534</v>
      </c>
      <c r="H296" s="209" t="s">
        <v>712</v>
      </c>
      <c r="I296" s="35">
        <f>ROUND(F296,0)-125+3887</f>
        <v>810545</v>
      </c>
      <c r="J296" s="17">
        <f t="shared" si="49"/>
        <v>3762</v>
      </c>
      <c r="K296" s="209" t="s">
        <v>738</v>
      </c>
      <c r="L296" s="35">
        <f>ROUND(I296,0)+6099+19319</f>
        <v>835963</v>
      </c>
      <c r="M296" s="17">
        <f t="shared" si="51"/>
        <v>25418</v>
      </c>
      <c r="N296" s="596" t="s">
        <v>1150</v>
      </c>
      <c r="O296" s="463">
        <v>262230.33999999997</v>
      </c>
      <c r="P296" s="272">
        <f t="shared" si="48"/>
        <v>0.3235234811145587</v>
      </c>
      <c r="Q296" s="368" t="s">
        <v>472</v>
      </c>
    </row>
    <row r="297" spans="2:17" ht="27" customHeight="1" x14ac:dyDescent="0.25">
      <c r="B297" s="53"/>
      <c r="C297" s="81" t="s">
        <v>614</v>
      </c>
      <c r="D297" s="126" t="s">
        <v>473</v>
      </c>
      <c r="E297" s="395">
        <v>2000</v>
      </c>
      <c r="F297" s="35">
        <v>2000</v>
      </c>
      <c r="G297" s="17">
        <f t="shared" si="56"/>
        <v>0</v>
      </c>
      <c r="H297" s="229"/>
      <c r="I297" s="35">
        <f t="shared" si="60"/>
        <v>2000</v>
      </c>
      <c r="J297" s="17">
        <f t="shared" si="49"/>
        <v>0</v>
      </c>
      <c r="K297" s="229"/>
      <c r="L297" s="35">
        <f t="shared" ref="L297:L300" si="62">ROUND(I297,0)</f>
        <v>2000</v>
      </c>
      <c r="M297" s="17">
        <f t="shared" si="51"/>
        <v>0</v>
      </c>
      <c r="N297" s="229"/>
      <c r="O297" s="463">
        <v>0</v>
      </c>
      <c r="P297" s="294">
        <f t="shared" si="48"/>
        <v>0</v>
      </c>
      <c r="Q297" s="368"/>
    </row>
    <row r="298" spans="2:17" ht="31.9" hidden="1" customHeight="1" outlineLevel="1" x14ac:dyDescent="0.25">
      <c r="B298" s="53" t="s">
        <v>325</v>
      </c>
      <c r="C298" s="81" t="s">
        <v>615</v>
      </c>
      <c r="D298" s="165" t="s">
        <v>492</v>
      </c>
      <c r="E298" s="35">
        <v>0</v>
      </c>
      <c r="F298" s="35">
        <v>0</v>
      </c>
      <c r="G298" s="408">
        <f t="shared" si="56"/>
        <v>0</v>
      </c>
      <c r="H298" s="228" t="s">
        <v>445</v>
      </c>
      <c r="I298" s="35">
        <f t="shared" si="60"/>
        <v>0</v>
      </c>
      <c r="J298" s="408">
        <f t="shared" si="49"/>
        <v>0</v>
      </c>
      <c r="K298" s="228" t="s">
        <v>445</v>
      </c>
      <c r="L298" s="35">
        <f t="shared" si="62"/>
        <v>0</v>
      </c>
      <c r="M298" s="408">
        <f t="shared" si="51"/>
        <v>0</v>
      </c>
      <c r="N298" s="228"/>
      <c r="O298" s="463">
        <v>0</v>
      </c>
      <c r="P298" s="272" t="e">
        <f t="shared" si="48"/>
        <v>#DIV/0!</v>
      </c>
      <c r="Q298" s="368" t="s">
        <v>513</v>
      </c>
    </row>
    <row r="299" spans="2:17" ht="27" hidden="1" customHeight="1" outlineLevel="1" x14ac:dyDescent="0.25">
      <c r="B299" s="53" t="s">
        <v>324</v>
      </c>
      <c r="C299" s="81" t="s">
        <v>616</v>
      </c>
      <c r="D299" s="165" t="s">
        <v>296</v>
      </c>
      <c r="E299" s="35">
        <v>0</v>
      </c>
      <c r="F299" s="35">
        <v>0</v>
      </c>
      <c r="G299" s="408">
        <f t="shared" si="56"/>
        <v>0</v>
      </c>
      <c r="H299" s="228"/>
      <c r="I299" s="35">
        <f t="shared" si="60"/>
        <v>0</v>
      </c>
      <c r="J299" s="408">
        <f t="shared" si="49"/>
        <v>0</v>
      </c>
      <c r="K299" s="228"/>
      <c r="L299" s="35">
        <f t="shared" si="62"/>
        <v>0</v>
      </c>
      <c r="M299" s="408">
        <f t="shared" si="51"/>
        <v>0</v>
      </c>
      <c r="N299" s="228"/>
      <c r="O299" s="463">
        <v>0</v>
      </c>
      <c r="P299" s="272" t="e">
        <f t="shared" si="48"/>
        <v>#DIV/0!</v>
      </c>
      <c r="Q299" s="368" t="s">
        <v>513</v>
      </c>
    </row>
    <row r="300" spans="2:17" ht="57.6" hidden="1" customHeight="1" outlineLevel="1" x14ac:dyDescent="0.25">
      <c r="B300" s="53" t="s">
        <v>394</v>
      </c>
      <c r="C300" s="81" t="s">
        <v>617</v>
      </c>
      <c r="D300" s="166" t="s">
        <v>418</v>
      </c>
      <c r="E300" s="35">
        <v>0</v>
      </c>
      <c r="F300" s="35">
        <v>0</v>
      </c>
      <c r="G300" s="86">
        <f t="shared" si="56"/>
        <v>0</v>
      </c>
      <c r="H300" s="229"/>
      <c r="I300" s="35">
        <f t="shared" si="60"/>
        <v>0</v>
      </c>
      <c r="J300" s="86">
        <f t="shared" si="49"/>
        <v>0</v>
      </c>
      <c r="K300" s="229"/>
      <c r="L300" s="35">
        <f t="shared" si="62"/>
        <v>0</v>
      </c>
      <c r="M300" s="86">
        <f t="shared" si="51"/>
        <v>0</v>
      </c>
      <c r="N300" s="229"/>
      <c r="O300" s="463">
        <v>0</v>
      </c>
      <c r="P300" s="272" t="e">
        <f t="shared" si="48"/>
        <v>#DIV/0!</v>
      </c>
      <c r="Q300" s="368" t="s">
        <v>513</v>
      </c>
    </row>
    <row r="301" spans="2:17" ht="61.5" customHeight="1" collapsed="1" x14ac:dyDescent="0.25">
      <c r="B301" s="53" t="s">
        <v>502</v>
      </c>
      <c r="C301" s="78" t="s">
        <v>615</v>
      </c>
      <c r="D301" s="162" t="s">
        <v>501</v>
      </c>
      <c r="E301" s="401">
        <v>8910183</v>
      </c>
      <c r="F301" s="35">
        <v>8910183</v>
      </c>
      <c r="G301" s="86">
        <f t="shared" si="56"/>
        <v>0</v>
      </c>
      <c r="H301" s="250"/>
      <c r="I301" s="35">
        <f>ROUND(F301,0)+8000+8241+17487</f>
        <v>8943911</v>
      </c>
      <c r="J301" s="86">
        <f t="shared" si="49"/>
        <v>33728</v>
      </c>
      <c r="K301" s="250" t="s">
        <v>739</v>
      </c>
      <c r="L301" s="35">
        <f>ROUND(I301,0)</f>
        <v>8943911</v>
      </c>
      <c r="M301" s="86">
        <f t="shared" si="51"/>
        <v>0</v>
      </c>
      <c r="N301" s="250"/>
      <c r="O301" s="463">
        <f>3385604.91+200</f>
        <v>3385804.91</v>
      </c>
      <c r="P301" s="303">
        <f t="shared" si="48"/>
        <v>0.37855977211758929</v>
      </c>
      <c r="Q301" s="368" t="s">
        <v>524</v>
      </c>
    </row>
    <row r="302" spans="2:17" ht="57" customHeight="1" x14ac:dyDescent="0.25">
      <c r="B302" s="53" t="s">
        <v>535</v>
      </c>
      <c r="C302" s="78" t="s">
        <v>616</v>
      </c>
      <c r="D302" s="162" t="s">
        <v>624</v>
      </c>
      <c r="E302" s="396">
        <v>78747</v>
      </c>
      <c r="F302" s="396">
        <v>78747</v>
      </c>
      <c r="G302" s="86">
        <f t="shared" si="56"/>
        <v>0</v>
      </c>
      <c r="H302" s="251"/>
      <c r="I302" s="396">
        <f>ROUND(F302,0)+1080</f>
        <v>79827</v>
      </c>
      <c r="J302" s="86">
        <f t="shared" si="49"/>
        <v>1080</v>
      </c>
      <c r="K302" s="251" t="s">
        <v>735</v>
      </c>
      <c r="L302" s="396">
        <f>ROUND(I302,0)</f>
        <v>79827</v>
      </c>
      <c r="M302" s="86">
        <f t="shared" si="51"/>
        <v>0</v>
      </c>
      <c r="N302" s="251"/>
      <c r="O302" s="463">
        <v>83066.5</v>
      </c>
      <c r="P302" s="290">
        <f t="shared" si="48"/>
        <v>1.0405815075099905</v>
      </c>
      <c r="Q302" s="368"/>
    </row>
    <row r="303" spans="2:17" ht="140.25" customHeight="1" thickBot="1" x14ac:dyDescent="0.3">
      <c r="B303" s="340" t="s">
        <v>688</v>
      </c>
      <c r="C303" s="78" t="s">
        <v>617</v>
      </c>
      <c r="D303" s="162" t="s">
        <v>675</v>
      </c>
      <c r="E303" s="396">
        <v>622519</v>
      </c>
      <c r="F303" s="396">
        <v>622519</v>
      </c>
      <c r="G303" s="86">
        <f t="shared" si="56"/>
        <v>0</v>
      </c>
      <c r="H303" s="251"/>
      <c r="I303" s="396">
        <f t="shared" si="60"/>
        <v>622519</v>
      </c>
      <c r="J303" s="86">
        <f t="shared" si="49"/>
        <v>0</v>
      </c>
      <c r="K303" s="455" t="s">
        <v>746</v>
      </c>
      <c r="L303" s="396">
        <f>ROUND(I303,0)+17987</f>
        <v>640506</v>
      </c>
      <c r="M303" s="86">
        <f t="shared" si="51"/>
        <v>17987</v>
      </c>
      <c r="N303" s="596" t="s">
        <v>1151</v>
      </c>
      <c r="O303" s="463">
        <v>57739.26</v>
      </c>
      <c r="P303" s="290">
        <f t="shared" si="48"/>
        <v>9.275100037107302E-2</v>
      </c>
      <c r="Q303" s="368"/>
    </row>
    <row r="304" spans="2:17" ht="27" hidden="1" customHeight="1" outlineLevel="1" x14ac:dyDescent="0.25">
      <c r="C304" s="78" t="s">
        <v>621</v>
      </c>
      <c r="D304" s="126" t="s">
        <v>249</v>
      </c>
      <c r="E304" s="377">
        <v>0</v>
      </c>
      <c r="F304" s="377">
        <v>0</v>
      </c>
      <c r="G304" s="17">
        <f t="shared" si="56"/>
        <v>0</v>
      </c>
      <c r="H304" s="252"/>
      <c r="I304" s="377">
        <f>I305+I306</f>
        <v>0</v>
      </c>
      <c r="J304" s="17">
        <f t="shared" si="49"/>
        <v>0</v>
      </c>
      <c r="K304" s="252"/>
      <c r="L304" s="377">
        <f>L305+L306</f>
        <v>0</v>
      </c>
      <c r="M304" s="17">
        <f t="shared" si="51"/>
        <v>0</v>
      </c>
      <c r="N304" s="252"/>
      <c r="O304" s="311">
        <f>O305+O306</f>
        <v>0</v>
      </c>
      <c r="P304" s="284" t="e">
        <f t="shared" si="48"/>
        <v>#DIV/0!</v>
      </c>
      <c r="Q304" s="371"/>
    </row>
    <row r="305" spans="2:18" ht="14.45" hidden="1" customHeight="1" outlineLevel="1" x14ac:dyDescent="0.25">
      <c r="B305" s="53" t="s">
        <v>251</v>
      </c>
      <c r="C305" s="24" t="s">
        <v>622</v>
      </c>
      <c r="D305" s="21" t="s">
        <v>310</v>
      </c>
      <c r="E305" s="172"/>
      <c r="F305" s="172"/>
      <c r="G305" s="48">
        <f t="shared" si="56"/>
        <v>0</v>
      </c>
      <c r="H305" s="219" t="s">
        <v>445</v>
      </c>
      <c r="I305" s="172">
        <f>ROUND(G305,0)</f>
        <v>0</v>
      </c>
      <c r="J305" s="48">
        <f t="shared" si="49"/>
        <v>0</v>
      </c>
      <c r="K305" s="219" t="s">
        <v>445</v>
      </c>
      <c r="L305" s="172">
        <f>ROUND(J305,0)</f>
        <v>0</v>
      </c>
      <c r="M305" s="48">
        <f t="shared" si="51"/>
        <v>0</v>
      </c>
      <c r="N305" s="219" t="s">
        <v>445</v>
      </c>
      <c r="O305" s="309">
        <v>0</v>
      </c>
      <c r="P305" s="262" t="e">
        <f t="shared" si="48"/>
        <v>#DIV/0!</v>
      </c>
      <c r="Q305" s="354"/>
    </row>
    <row r="306" spans="2:18" s="4" customFormat="1" ht="15" hidden="1" customHeight="1" outlineLevel="1" x14ac:dyDescent="0.25">
      <c r="B306" s="53" t="s">
        <v>315</v>
      </c>
      <c r="C306" s="24" t="s">
        <v>623</v>
      </c>
      <c r="D306" s="21" t="s">
        <v>290</v>
      </c>
      <c r="E306" s="172"/>
      <c r="F306" s="172"/>
      <c r="G306" s="48">
        <f t="shared" si="56"/>
        <v>0</v>
      </c>
      <c r="H306" s="219"/>
      <c r="I306" s="172">
        <f>ROUND(G306,0)</f>
        <v>0</v>
      </c>
      <c r="J306" s="48">
        <f t="shared" si="49"/>
        <v>0</v>
      </c>
      <c r="K306" s="219"/>
      <c r="L306" s="172">
        <f>ROUND(J306,0)</f>
        <v>0</v>
      </c>
      <c r="M306" s="48">
        <f t="shared" si="51"/>
        <v>0</v>
      </c>
      <c r="N306" s="219"/>
      <c r="O306" s="309">
        <v>0</v>
      </c>
      <c r="P306" s="262" t="e">
        <f t="shared" si="48"/>
        <v>#DIV/0!</v>
      </c>
      <c r="Q306" s="354"/>
    </row>
    <row r="307" spans="2:18" s="4" customFormat="1" ht="17.45" hidden="1" customHeight="1" outlineLevel="1" x14ac:dyDescent="0.2">
      <c r="C307" s="74" t="s">
        <v>82</v>
      </c>
      <c r="D307" s="122" t="s">
        <v>198</v>
      </c>
      <c r="E307" s="169">
        <v>0</v>
      </c>
      <c r="F307" s="169">
        <v>0</v>
      </c>
      <c r="G307" s="12">
        <f t="shared" si="56"/>
        <v>0</v>
      </c>
      <c r="H307" s="196"/>
      <c r="I307" s="169">
        <f>SUM(I308:I309)</f>
        <v>0</v>
      </c>
      <c r="J307" s="12">
        <f t="shared" si="49"/>
        <v>0</v>
      </c>
      <c r="K307" s="196"/>
      <c r="L307" s="169">
        <f>SUM(L308:L309)</f>
        <v>0</v>
      </c>
      <c r="M307" s="12">
        <f t="shared" si="51"/>
        <v>0</v>
      </c>
      <c r="N307" s="196"/>
      <c r="O307" s="310">
        <f>SUM(O308:O309)</f>
        <v>0</v>
      </c>
      <c r="P307" s="280" t="e">
        <f t="shared" si="48"/>
        <v>#DIV/0!</v>
      </c>
      <c r="Q307" s="353"/>
    </row>
    <row r="308" spans="2:18" ht="17.25" hidden="1" customHeight="1" outlineLevel="1" x14ac:dyDescent="0.25">
      <c r="C308" s="73" t="s">
        <v>84</v>
      </c>
      <c r="D308" s="114" t="s">
        <v>199</v>
      </c>
      <c r="E308" s="35"/>
      <c r="F308" s="35"/>
      <c r="G308" s="17">
        <f t="shared" si="56"/>
        <v>0</v>
      </c>
      <c r="H308" s="209"/>
      <c r="I308" s="35"/>
      <c r="J308" s="17">
        <f t="shared" si="49"/>
        <v>0</v>
      </c>
      <c r="K308" s="209"/>
      <c r="L308" s="35"/>
      <c r="M308" s="17">
        <f t="shared" si="51"/>
        <v>0</v>
      </c>
      <c r="N308" s="209"/>
      <c r="O308" s="312"/>
      <c r="P308" s="272" t="e">
        <f t="shared" si="48"/>
        <v>#DIV/0!</v>
      </c>
      <c r="Q308" s="355"/>
    </row>
    <row r="309" spans="2:18" ht="4.5" hidden="1" customHeight="1" outlineLevel="1" thickBot="1" x14ac:dyDescent="0.3">
      <c r="C309" s="73" t="s">
        <v>85</v>
      </c>
      <c r="D309" s="114" t="s">
        <v>200</v>
      </c>
      <c r="E309" s="35"/>
      <c r="F309" s="35"/>
      <c r="G309" s="17">
        <f t="shared" si="56"/>
        <v>0</v>
      </c>
      <c r="H309" s="209"/>
      <c r="I309" s="35"/>
      <c r="J309" s="17">
        <f t="shared" si="49"/>
        <v>0</v>
      </c>
      <c r="K309" s="209"/>
      <c r="L309" s="35"/>
      <c r="M309" s="17">
        <f t="shared" si="51"/>
        <v>0</v>
      </c>
      <c r="N309" s="209"/>
      <c r="O309" s="312"/>
      <c r="P309" s="272" t="e">
        <f t="shared" si="48"/>
        <v>#DIV/0!</v>
      </c>
      <c r="Q309" s="355"/>
    </row>
    <row r="310" spans="2:18" s="4" customFormat="1" ht="30" customHeight="1" collapsed="1" thickBot="1" x14ac:dyDescent="0.25">
      <c r="C310" s="27"/>
      <c r="D310" s="142" t="s">
        <v>201</v>
      </c>
      <c r="E310" s="28">
        <v>82419351</v>
      </c>
      <c r="F310" s="28">
        <v>82526605</v>
      </c>
      <c r="G310" s="177">
        <f t="shared" si="56"/>
        <v>107254</v>
      </c>
      <c r="H310" s="177"/>
      <c r="I310" s="28">
        <f>I133+I143+I144+I149+I151+I197+I212+I232+I307</f>
        <v>82577696</v>
      </c>
      <c r="J310" s="177">
        <f t="shared" si="49"/>
        <v>51091</v>
      </c>
      <c r="K310" s="177"/>
      <c r="L310" s="28">
        <f>L133+L143+L144+L149+L151+L197+L212+L232+L307</f>
        <v>82450854</v>
      </c>
      <c r="M310" s="177">
        <f t="shared" si="51"/>
        <v>-126842</v>
      </c>
      <c r="N310" s="177"/>
      <c r="O310" s="28">
        <f>O133+O143+O144+O149+O151+O197+O212+O232+O307</f>
        <v>29833282.130000003</v>
      </c>
      <c r="P310" s="304">
        <f t="shared" si="48"/>
        <v>0.36127530283722137</v>
      </c>
      <c r="Q310" s="372"/>
      <c r="R310" s="32"/>
    </row>
    <row r="311" spans="2:18" s="10" customFormat="1" ht="15" customHeight="1" thickTop="1" thickBot="1" x14ac:dyDescent="0.3">
      <c r="C311" s="74" t="s">
        <v>107</v>
      </c>
      <c r="D311" s="122" t="s">
        <v>202</v>
      </c>
      <c r="E311" s="169">
        <v>3907497</v>
      </c>
      <c r="F311" s="169">
        <v>3907497</v>
      </c>
      <c r="G311" s="12">
        <f t="shared" si="56"/>
        <v>0</v>
      </c>
      <c r="H311" s="254"/>
      <c r="I311" s="169">
        <f>ROUND(F311,0)</f>
        <v>3907497</v>
      </c>
      <c r="J311" s="12">
        <f t="shared" si="49"/>
        <v>0</v>
      </c>
      <c r="K311" s="254"/>
      <c r="L311" s="169">
        <f>ROUND(I311,0)</f>
        <v>3907497</v>
      </c>
      <c r="M311" s="12">
        <f t="shared" si="51"/>
        <v>0</v>
      </c>
      <c r="N311" s="254"/>
      <c r="O311" s="460">
        <v>1954754.58</v>
      </c>
      <c r="P311" s="280">
        <f t="shared" si="48"/>
        <v>0.50025747428596878</v>
      </c>
      <c r="Q311" s="353"/>
    </row>
    <row r="312" spans="2:18" ht="15.75" thickBot="1" x14ac:dyDescent="0.3">
      <c r="C312" s="27"/>
      <c r="D312" s="142" t="s">
        <v>203</v>
      </c>
      <c r="E312" s="402">
        <v>86326848</v>
      </c>
      <c r="F312" s="402">
        <v>86434102</v>
      </c>
      <c r="G312" s="29">
        <f t="shared" si="56"/>
        <v>107254</v>
      </c>
      <c r="H312" s="253"/>
      <c r="I312" s="402">
        <f>I310+I311</f>
        <v>86485193</v>
      </c>
      <c r="J312" s="29">
        <f t="shared" si="49"/>
        <v>51091</v>
      </c>
      <c r="K312" s="253"/>
      <c r="L312" s="402">
        <f>L310+L311</f>
        <v>86358351</v>
      </c>
      <c r="M312" s="29">
        <f t="shared" si="51"/>
        <v>-126842</v>
      </c>
      <c r="N312" s="253"/>
      <c r="O312" s="29">
        <f>O310+O311</f>
        <v>31788036.710000001</v>
      </c>
      <c r="P312" s="305">
        <f t="shared" si="48"/>
        <v>0.36755467158407107</v>
      </c>
      <c r="Q312" s="373"/>
    </row>
    <row r="313" spans="2:18" ht="16.5" thickTop="1" thickBot="1" x14ac:dyDescent="0.3">
      <c r="C313" s="30" t="s">
        <v>204</v>
      </c>
      <c r="D313" s="143" t="s">
        <v>205</v>
      </c>
      <c r="E313" s="403">
        <v>150304.20000000298</v>
      </c>
      <c r="F313" s="403">
        <v>103594.8</v>
      </c>
      <c r="G313" s="31">
        <f t="shared" si="56"/>
        <v>-46709.400000002977</v>
      </c>
      <c r="H313" s="254"/>
      <c r="I313" s="403">
        <f>I127-I312-0.2</f>
        <v>316682.8</v>
      </c>
      <c r="J313" s="31">
        <f t="shared" si="49"/>
        <v>213088</v>
      </c>
      <c r="K313" s="254"/>
      <c r="L313" s="403">
        <f>L127-L312-0.2</f>
        <v>988893.8</v>
      </c>
      <c r="M313" s="31">
        <f t="shared" si="51"/>
        <v>672211</v>
      </c>
      <c r="N313" s="254"/>
      <c r="O313" s="31">
        <f>O127-O312-0.2</f>
        <v>13308008.800000001</v>
      </c>
      <c r="P313" s="306">
        <f t="shared" si="48"/>
        <v>42.023149978464261</v>
      </c>
      <c r="Q313" s="374"/>
    </row>
  </sheetData>
  <mergeCells count="14">
    <mergeCell ref="C130:D130"/>
    <mergeCell ref="C131:D131"/>
    <mergeCell ref="C2:D2"/>
    <mergeCell ref="C3:D3"/>
    <mergeCell ref="P158:P159"/>
    <mergeCell ref="O52:O53"/>
    <mergeCell ref="O55:O56"/>
    <mergeCell ref="O158:O159"/>
    <mergeCell ref="P52:P53"/>
    <mergeCell ref="P55:P56"/>
    <mergeCell ref="K115:K116"/>
    <mergeCell ref="K146:K147"/>
    <mergeCell ref="N115:N116"/>
    <mergeCell ref="N158:N159"/>
  </mergeCells>
  <phoneticPr fontId="84" type="noConversion"/>
  <conditionalFormatting sqref="E313:G313">
    <cfRule type="cellIs" dxfId="3" priority="22" operator="lessThan">
      <formula>0</formula>
    </cfRule>
  </conditionalFormatting>
  <conditionalFormatting sqref="I313:J313">
    <cfRule type="cellIs" dxfId="2" priority="2" operator="lessThan">
      <formula>0</formula>
    </cfRule>
  </conditionalFormatting>
  <conditionalFormatting sqref="L313:M313">
    <cfRule type="cellIs" dxfId="1" priority="1" operator="lessThan">
      <formula>0</formula>
    </cfRule>
  </conditionalFormatting>
  <conditionalFormatting sqref="O313:Q313">
    <cfRule type="cellIs" dxfId="0" priority="1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0ACE2-5C32-4863-BF5D-CA5C6ED1B1B9}">
  <sheetPr>
    <tabColor rgb="FF92D050"/>
    <pageSetUpPr fitToPage="1"/>
  </sheetPr>
  <dimension ref="A1:AY155"/>
  <sheetViews>
    <sheetView topLeftCell="A121" zoomScaleNormal="100" workbookViewId="0">
      <pane xSplit="3" topLeftCell="D1" activePane="topRight" state="frozen"/>
      <selection activeCell="C1" sqref="C1"/>
      <selection pane="topRight" activeCell="J128" sqref="J128"/>
    </sheetView>
  </sheetViews>
  <sheetFormatPr defaultColWidth="8.85546875" defaultRowHeight="15" outlineLevelRow="2" outlineLevelCol="1" x14ac:dyDescent="0.25"/>
  <cols>
    <col min="1" max="1" width="5" style="474" hidden="1" customWidth="1" outlineLevel="1"/>
    <col min="2" max="2" width="3.5703125" style="474" hidden="1" customWidth="1" outlineLevel="1"/>
    <col min="3" max="3" width="4.28515625" style="474" customWidth="1" collapsed="1"/>
    <col min="4" max="4" width="31.85546875" style="474" customWidth="1"/>
    <col min="5" max="5" width="12.28515625" style="476" customWidth="1"/>
    <col min="6" max="6" width="11.5703125" style="474" customWidth="1"/>
    <col min="7" max="7" width="11.7109375" style="474" customWidth="1"/>
    <col min="8" max="8" width="11.42578125" style="474" customWidth="1"/>
    <col min="9" max="9" width="6.42578125" style="474" hidden="1" customWidth="1" outlineLevel="1"/>
    <col min="10" max="10" width="11.85546875" style="476" customWidth="1" collapsed="1"/>
    <col min="11" max="12" width="13.28515625" style="474" customWidth="1" outlineLevel="1"/>
    <col min="13" max="13" width="7.28515625" style="474" customWidth="1" outlineLevel="1"/>
    <col min="14" max="16" width="13.28515625" style="474" customWidth="1" outlineLevel="1"/>
    <col min="17" max="17" width="14.42578125" style="474" customWidth="1"/>
    <col min="18" max="18" width="12" style="474" customWidth="1"/>
    <col min="19" max="24" width="11.85546875" style="474" customWidth="1"/>
    <col min="25" max="45" width="10.7109375" style="474" hidden="1" customWidth="1" outlineLevel="1"/>
    <col min="46" max="46" width="11.28515625" style="474" hidden="1" customWidth="1" outlineLevel="1"/>
    <col min="47" max="47" width="10.28515625" style="474" hidden="1" customWidth="1" outlineLevel="1"/>
    <col min="48" max="48" width="12.28515625" style="474" customWidth="1" collapsed="1"/>
    <col min="49" max="49" width="12.85546875" style="474" customWidth="1" collapsed="1"/>
    <col min="50" max="16384" width="8.85546875" style="474"/>
  </cols>
  <sheetData>
    <row r="1" spans="1:51" ht="18.75" x14ac:dyDescent="0.3">
      <c r="C1" s="475" t="s">
        <v>766</v>
      </c>
      <c r="K1" s="477"/>
      <c r="L1" s="477"/>
      <c r="M1" s="477"/>
      <c r="N1" s="477"/>
      <c r="O1" s="477"/>
      <c r="Q1" s="478"/>
      <c r="R1" s="479"/>
    </row>
    <row r="2" spans="1:51" ht="18.75" x14ac:dyDescent="0.3">
      <c r="C2" s="475"/>
      <c r="K2" s="478"/>
      <c r="L2" s="478"/>
      <c r="M2" s="478"/>
      <c r="N2" s="478"/>
      <c r="O2" s="478"/>
      <c r="Q2" s="478"/>
      <c r="R2" s="480"/>
    </row>
    <row r="3" spans="1:51" ht="15.75" x14ac:dyDescent="0.25">
      <c r="C3" s="481" t="s">
        <v>767</v>
      </c>
      <c r="K3" s="477"/>
      <c r="L3" s="477"/>
      <c r="M3" s="477"/>
      <c r="N3" s="477"/>
      <c r="O3" s="477"/>
      <c r="P3" s="477"/>
      <c r="Q3" s="478"/>
      <c r="R3" s="482"/>
      <c r="S3" s="482"/>
      <c r="T3" s="482"/>
      <c r="U3" s="482"/>
      <c r="V3" s="482"/>
      <c r="W3" s="482"/>
      <c r="X3" s="482"/>
      <c r="Y3" s="482"/>
      <c r="Z3" s="482"/>
      <c r="AA3" s="482"/>
      <c r="AB3" s="482"/>
      <c r="AC3" s="482"/>
      <c r="AD3" s="482"/>
      <c r="AE3" s="482"/>
      <c r="AF3" s="482"/>
      <c r="AG3" s="482"/>
      <c r="AH3" s="482"/>
      <c r="AI3" s="482"/>
      <c r="AJ3" s="482"/>
      <c r="AK3" s="482"/>
      <c r="AL3" s="482"/>
      <c r="AM3" s="482"/>
      <c r="AN3" s="482"/>
      <c r="AO3" s="482"/>
      <c r="AP3" s="482"/>
      <c r="AQ3" s="482"/>
      <c r="AR3" s="482"/>
      <c r="AS3" s="482"/>
      <c r="AT3" s="482"/>
      <c r="AU3" s="482"/>
      <c r="AV3" s="482"/>
      <c r="AW3" s="482"/>
    </row>
    <row r="4" spans="1:51" outlineLevel="1" x14ac:dyDescent="0.25">
      <c r="C4" s="483"/>
      <c r="K4" s="478"/>
      <c r="L4" s="478"/>
      <c r="M4" s="478"/>
      <c r="N4" s="478"/>
      <c r="O4" s="478"/>
      <c r="P4" s="484">
        <v>0</v>
      </c>
      <c r="Q4" s="478"/>
      <c r="R4" s="485"/>
      <c r="S4" s="485"/>
      <c r="T4" s="485"/>
      <c r="U4" s="485"/>
      <c r="V4" s="485"/>
      <c r="W4" s="485"/>
      <c r="X4" s="485"/>
      <c r="Y4" s="485"/>
    </row>
    <row r="5" spans="1:51" s="486" customFormat="1" ht="60" x14ac:dyDescent="0.2">
      <c r="B5" s="487" t="s">
        <v>768</v>
      </c>
      <c r="C5" s="488" t="s">
        <v>291</v>
      </c>
      <c r="D5" s="489" t="s">
        <v>206</v>
      </c>
      <c r="E5" s="488" t="s">
        <v>769</v>
      </c>
      <c r="F5" s="488" t="s">
        <v>770</v>
      </c>
      <c r="G5" s="488" t="s">
        <v>771</v>
      </c>
      <c r="H5" s="488" t="s">
        <v>772</v>
      </c>
      <c r="I5" s="488" t="s">
        <v>773</v>
      </c>
      <c r="J5" s="490" t="s">
        <v>774</v>
      </c>
      <c r="K5" s="491" t="s">
        <v>775</v>
      </c>
      <c r="L5" s="491" t="s">
        <v>776</v>
      </c>
      <c r="M5" s="491" t="s">
        <v>777</v>
      </c>
      <c r="N5" s="491" t="s">
        <v>778</v>
      </c>
      <c r="O5" s="491" t="s">
        <v>779</v>
      </c>
      <c r="P5" s="491" t="s">
        <v>780</v>
      </c>
      <c r="Q5" s="492" t="s">
        <v>781</v>
      </c>
      <c r="R5" s="489">
        <v>2026</v>
      </c>
      <c r="S5" s="489">
        <v>2027</v>
      </c>
      <c r="T5" s="489">
        <v>2028</v>
      </c>
      <c r="U5" s="489">
        <v>2029</v>
      </c>
      <c r="V5" s="489">
        <v>2030</v>
      </c>
      <c r="W5" s="489">
        <v>2031</v>
      </c>
      <c r="X5" s="489">
        <v>2032</v>
      </c>
      <c r="Y5" s="489">
        <v>2033</v>
      </c>
      <c r="Z5" s="489">
        <v>2034</v>
      </c>
      <c r="AA5" s="489">
        <v>2035</v>
      </c>
      <c r="AB5" s="489">
        <v>2036</v>
      </c>
      <c r="AC5" s="489">
        <v>2037</v>
      </c>
      <c r="AD5" s="489">
        <v>2038</v>
      </c>
      <c r="AE5" s="489">
        <v>2039</v>
      </c>
      <c r="AF5" s="489">
        <v>2040</v>
      </c>
      <c r="AG5" s="489">
        <v>2041</v>
      </c>
      <c r="AH5" s="489">
        <v>2042</v>
      </c>
      <c r="AI5" s="489">
        <v>2043</v>
      </c>
      <c r="AJ5" s="489">
        <v>2044</v>
      </c>
      <c r="AK5" s="489">
        <v>2045</v>
      </c>
      <c r="AL5" s="489">
        <v>2046</v>
      </c>
      <c r="AM5" s="489">
        <v>2047</v>
      </c>
      <c r="AN5" s="489">
        <v>2048</v>
      </c>
      <c r="AO5" s="489">
        <v>2049</v>
      </c>
      <c r="AP5" s="489">
        <v>2050</v>
      </c>
      <c r="AQ5" s="489">
        <v>2051</v>
      </c>
      <c r="AR5" s="489">
        <v>2052</v>
      </c>
      <c r="AS5" s="489">
        <v>2053</v>
      </c>
      <c r="AT5" s="488" t="s">
        <v>782</v>
      </c>
      <c r="AU5" s="493"/>
      <c r="AV5" s="487" t="s">
        <v>783</v>
      </c>
      <c r="AW5" s="488" t="s">
        <v>784</v>
      </c>
    </row>
    <row r="6" spans="1:51" s="494" customFormat="1" outlineLevel="2" x14ac:dyDescent="0.25">
      <c r="B6" s="495" t="s">
        <v>227</v>
      </c>
      <c r="C6" s="496">
        <v>1</v>
      </c>
      <c r="D6" s="497" t="s">
        <v>785</v>
      </c>
      <c r="E6" s="498" t="s">
        <v>786</v>
      </c>
      <c r="F6" s="499" t="s">
        <v>787</v>
      </c>
      <c r="G6" s="499" t="s">
        <v>788</v>
      </c>
      <c r="H6" s="499" t="s">
        <v>789</v>
      </c>
      <c r="I6" s="499" t="s">
        <v>224</v>
      </c>
      <c r="J6" s="500">
        <v>2099988.0499999998</v>
      </c>
      <c r="K6" s="501">
        <v>1098963.5900000001</v>
      </c>
      <c r="L6" s="501"/>
      <c r="M6" s="501"/>
      <c r="N6" s="497"/>
      <c r="O6" s="497"/>
      <c r="P6" s="497"/>
      <c r="Q6" s="502" t="s">
        <v>749</v>
      </c>
      <c r="R6" s="503">
        <v>97944.8</v>
      </c>
      <c r="S6" s="503">
        <v>97944.8</v>
      </c>
      <c r="T6" s="503">
        <v>97944.8</v>
      </c>
      <c r="U6" s="503">
        <v>97944.8</v>
      </c>
      <c r="V6" s="503">
        <v>97944.8</v>
      </c>
      <c r="W6" s="503">
        <v>97944.8</v>
      </c>
      <c r="X6" s="503">
        <v>97944.8</v>
      </c>
      <c r="Y6" s="503">
        <v>113829.75999999999</v>
      </c>
      <c r="Z6" s="503">
        <v>113829.75999999999</v>
      </c>
      <c r="AA6" s="503">
        <v>113829.75999999999</v>
      </c>
      <c r="AB6" s="503">
        <v>71860.709999999992</v>
      </c>
      <c r="AC6" s="503">
        <v>0</v>
      </c>
      <c r="AD6" s="503">
        <v>0</v>
      </c>
      <c r="AE6" s="503">
        <v>0</v>
      </c>
      <c r="AF6" s="503">
        <v>0</v>
      </c>
      <c r="AG6" s="503">
        <v>0</v>
      </c>
      <c r="AH6" s="503">
        <v>0</v>
      </c>
      <c r="AI6" s="503">
        <v>0</v>
      </c>
      <c r="AJ6" s="503">
        <v>0</v>
      </c>
      <c r="AK6" s="503">
        <v>0</v>
      </c>
      <c r="AL6" s="503">
        <v>0</v>
      </c>
      <c r="AM6" s="503">
        <v>0</v>
      </c>
      <c r="AN6" s="503">
        <v>0</v>
      </c>
      <c r="AO6" s="503">
        <v>0</v>
      </c>
      <c r="AP6" s="503">
        <v>0</v>
      </c>
      <c r="AQ6" s="503">
        <v>0</v>
      </c>
      <c r="AR6" s="503"/>
      <c r="AS6" s="503"/>
      <c r="AT6" s="504">
        <f t="shared" ref="AT6:AT69" si="0">SUM(R6:AS6)</f>
        <v>1098963.5900000001</v>
      </c>
      <c r="AU6" s="505">
        <f t="shared" ref="AU6:AU69" si="1">AT6-SUM(R6:AS6)</f>
        <v>0</v>
      </c>
      <c r="AV6" s="506">
        <f>SUM(Y6:AS6)</f>
        <v>413349.99</v>
      </c>
      <c r="AW6" s="503">
        <f>SUM(R6:X6,AV6)</f>
        <v>1098963.5900000001</v>
      </c>
      <c r="AY6" s="507"/>
    </row>
    <row r="7" spans="1:51" outlineLevel="2" x14ac:dyDescent="0.25">
      <c r="B7" s="508" t="s">
        <v>227</v>
      </c>
      <c r="C7" s="509"/>
      <c r="D7" s="510" t="s">
        <v>790</v>
      </c>
      <c r="E7" s="511"/>
      <c r="F7" s="512"/>
      <c r="G7" s="512"/>
      <c r="H7" s="512"/>
      <c r="I7" s="512"/>
      <c r="J7" s="513"/>
      <c r="K7" s="514"/>
      <c r="L7" s="513" t="s">
        <v>791</v>
      </c>
      <c r="M7" s="513"/>
      <c r="N7" s="515">
        <f>SUM(O7:P7)</f>
        <v>2.4</v>
      </c>
      <c r="O7" s="515">
        <v>2.4</v>
      </c>
      <c r="P7" s="515">
        <f>$P$4</f>
        <v>0</v>
      </c>
      <c r="Q7" s="515" t="s">
        <v>792</v>
      </c>
      <c r="R7" s="516">
        <f>SUM(R6:$AQ6)*$N7/100</f>
        <v>26375.12616</v>
      </c>
      <c r="S7" s="516">
        <f>SUM(S6:$AQ6)*$N7/100</f>
        <v>24024.450959999998</v>
      </c>
      <c r="T7" s="516">
        <f>SUM(T6:$AQ6)*$N7/100</f>
        <v>21673.77576</v>
      </c>
      <c r="U7" s="516">
        <f>SUM(U6:$AQ6)*$N7/100</f>
        <v>19323.100559999999</v>
      </c>
      <c r="V7" s="516">
        <f>SUM(V6:$AQ6)*$N7/100</f>
        <v>16972.425360000001</v>
      </c>
      <c r="W7" s="516">
        <f>SUM(W6:$AQ6)*$N7/100</f>
        <v>14621.750159999998</v>
      </c>
      <c r="X7" s="516">
        <f>SUM(X6:$AQ6)*$N7/100</f>
        <v>12271.07496</v>
      </c>
      <c r="Y7" s="516">
        <f>SUM(Y6:$AQ6)*$N7/100</f>
        <v>9920.3997599999984</v>
      </c>
      <c r="Z7" s="516">
        <f>SUM(Z6:$AQ6)*$N7/100</f>
        <v>7188.4855199999993</v>
      </c>
      <c r="AA7" s="516">
        <f>SUM(AA6:$AQ6)*$N7/100</f>
        <v>4456.5712799999992</v>
      </c>
      <c r="AB7" s="516">
        <f>SUM(AB6:$AQ6)*$N7/100</f>
        <v>1724.6570399999996</v>
      </c>
      <c r="AC7" s="516">
        <v>0</v>
      </c>
      <c r="AD7" s="516">
        <v>0</v>
      </c>
      <c r="AE7" s="516">
        <v>0</v>
      </c>
      <c r="AF7" s="516">
        <v>0</v>
      </c>
      <c r="AG7" s="516">
        <v>0</v>
      </c>
      <c r="AH7" s="516">
        <v>0</v>
      </c>
      <c r="AI7" s="516">
        <v>0</v>
      </c>
      <c r="AJ7" s="516">
        <v>0</v>
      </c>
      <c r="AK7" s="516">
        <v>0</v>
      </c>
      <c r="AL7" s="516">
        <v>0</v>
      </c>
      <c r="AM7" s="516">
        <v>0</v>
      </c>
      <c r="AN7" s="516">
        <v>0</v>
      </c>
      <c r="AO7" s="516">
        <v>0</v>
      </c>
      <c r="AP7" s="516">
        <v>0</v>
      </c>
      <c r="AQ7" s="516">
        <v>0</v>
      </c>
      <c r="AR7" s="516"/>
      <c r="AS7" s="516"/>
      <c r="AT7" s="517">
        <f t="shared" si="0"/>
        <v>158551.81751999998</v>
      </c>
      <c r="AU7" s="505">
        <f t="shared" si="1"/>
        <v>0</v>
      </c>
      <c r="AV7" s="518">
        <f>SUM(Y7:AS7)</f>
        <v>23290.113599999997</v>
      </c>
      <c r="AW7" s="516">
        <f t="shared" ref="AW7:AW70" si="2">SUM(R7:X7,AV7)</f>
        <v>158551.81751999998</v>
      </c>
      <c r="AY7" s="507"/>
    </row>
    <row r="8" spans="1:51" s="494" customFormat="1" outlineLevel="2" x14ac:dyDescent="0.25">
      <c r="B8" s="495" t="s">
        <v>227</v>
      </c>
      <c r="C8" s="496">
        <v>2</v>
      </c>
      <c r="D8" s="497" t="s">
        <v>785</v>
      </c>
      <c r="E8" s="498" t="s">
        <v>793</v>
      </c>
      <c r="F8" s="499" t="s">
        <v>794</v>
      </c>
      <c r="G8" s="499" t="s">
        <v>795</v>
      </c>
      <c r="H8" s="499" t="s">
        <v>796</v>
      </c>
      <c r="I8" s="499" t="s">
        <v>224</v>
      </c>
      <c r="J8" s="500">
        <v>6628759.9400000004</v>
      </c>
      <c r="K8" s="501">
        <v>2355591.2400000002</v>
      </c>
      <c r="L8" s="501"/>
      <c r="M8" s="501"/>
      <c r="N8" s="519"/>
      <c r="O8" s="519"/>
      <c r="P8" s="502"/>
      <c r="Q8" s="502" t="s">
        <v>749</v>
      </c>
      <c r="R8" s="503">
        <v>392598.8</v>
      </c>
      <c r="S8" s="503">
        <v>392598.8</v>
      </c>
      <c r="T8" s="503">
        <v>392598.8</v>
      </c>
      <c r="U8" s="503">
        <v>392598.8</v>
      </c>
      <c r="V8" s="503">
        <v>392598.8</v>
      </c>
      <c r="W8" s="503">
        <v>392597.24</v>
      </c>
      <c r="X8" s="503">
        <v>0</v>
      </c>
      <c r="Y8" s="503">
        <v>0</v>
      </c>
      <c r="Z8" s="503">
        <v>0</v>
      </c>
      <c r="AA8" s="503">
        <v>0</v>
      </c>
      <c r="AB8" s="503">
        <v>0</v>
      </c>
      <c r="AC8" s="503">
        <v>0</v>
      </c>
      <c r="AD8" s="503">
        <v>0</v>
      </c>
      <c r="AE8" s="503">
        <v>0</v>
      </c>
      <c r="AF8" s="503">
        <v>0</v>
      </c>
      <c r="AG8" s="503">
        <v>0</v>
      </c>
      <c r="AH8" s="503">
        <v>0</v>
      </c>
      <c r="AI8" s="503">
        <v>0</v>
      </c>
      <c r="AJ8" s="503">
        <v>0</v>
      </c>
      <c r="AK8" s="503">
        <v>0</v>
      </c>
      <c r="AL8" s="503">
        <v>0</v>
      </c>
      <c r="AM8" s="503">
        <v>0</v>
      </c>
      <c r="AN8" s="503">
        <v>0</v>
      </c>
      <c r="AO8" s="503">
        <v>0</v>
      </c>
      <c r="AP8" s="503">
        <v>0</v>
      </c>
      <c r="AQ8" s="503">
        <v>0</v>
      </c>
      <c r="AR8" s="503"/>
      <c r="AS8" s="503"/>
      <c r="AT8" s="504">
        <f t="shared" si="0"/>
        <v>2355591.2400000002</v>
      </c>
      <c r="AU8" s="505">
        <f t="shared" si="1"/>
        <v>0</v>
      </c>
      <c r="AV8" s="506">
        <f t="shared" ref="AV8:AV71" si="3">SUM(Y8:AS8)</f>
        <v>0</v>
      </c>
      <c r="AW8" s="503">
        <f t="shared" si="2"/>
        <v>2355591.2400000002</v>
      </c>
      <c r="AY8" s="507"/>
    </row>
    <row r="9" spans="1:51" outlineLevel="2" x14ac:dyDescent="0.25">
      <c r="B9" s="508" t="s">
        <v>227</v>
      </c>
      <c r="C9" s="509"/>
      <c r="D9" s="510" t="s">
        <v>797</v>
      </c>
      <c r="E9" s="511"/>
      <c r="F9" s="512"/>
      <c r="G9" s="512"/>
      <c r="H9" s="512"/>
      <c r="I9" s="512"/>
      <c r="J9" s="513"/>
      <c r="K9" s="514"/>
      <c r="L9" s="513" t="s">
        <v>798</v>
      </c>
      <c r="M9" s="513"/>
      <c r="N9" s="515">
        <f t="shared" ref="N9:N63" si="4">SUM(O9:P9)</f>
        <v>2.2999999999999998</v>
      </c>
      <c r="O9" s="515">
        <v>2.2999999999999998</v>
      </c>
      <c r="P9" s="515">
        <f>$P$4</f>
        <v>0</v>
      </c>
      <c r="Q9" s="515" t="s">
        <v>792</v>
      </c>
      <c r="R9" s="516">
        <f>SUM(R8:$AQ8)*$N9/100</f>
        <v>54178.59852</v>
      </c>
      <c r="S9" s="516">
        <f>SUM(S8:$AQ8)*$N9/100</f>
        <v>45148.826119999998</v>
      </c>
      <c r="T9" s="516">
        <f>SUM(T8:$AQ8)*$N9/100-7000</f>
        <v>29119.053719999996</v>
      </c>
      <c r="U9" s="516">
        <f>SUM(U8:$AQ8)*$N9/100</f>
        <v>27089.281319999995</v>
      </c>
      <c r="V9" s="516">
        <f>SUM(V8:$AQ8)*$N9/100</f>
        <v>18059.50892</v>
      </c>
      <c r="W9" s="516">
        <f>SUM(W8:$AQ8)*$N9/100</f>
        <v>9029.7365199999986</v>
      </c>
      <c r="X9" s="516">
        <f>SUM(X8:$AQ8)*$N9/100</f>
        <v>0</v>
      </c>
      <c r="Y9" s="516">
        <v>0</v>
      </c>
      <c r="Z9" s="516">
        <v>0</v>
      </c>
      <c r="AA9" s="516">
        <v>0</v>
      </c>
      <c r="AB9" s="516">
        <v>0</v>
      </c>
      <c r="AC9" s="516">
        <v>0</v>
      </c>
      <c r="AD9" s="516">
        <v>0</v>
      </c>
      <c r="AE9" s="516">
        <v>0</v>
      </c>
      <c r="AF9" s="516">
        <v>0</v>
      </c>
      <c r="AG9" s="516">
        <v>0</v>
      </c>
      <c r="AH9" s="516">
        <v>0</v>
      </c>
      <c r="AI9" s="516">
        <v>0</v>
      </c>
      <c r="AJ9" s="516">
        <v>0</v>
      </c>
      <c r="AK9" s="516">
        <v>0</v>
      </c>
      <c r="AL9" s="516">
        <v>0</v>
      </c>
      <c r="AM9" s="516">
        <v>0</v>
      </c>
      <c r="AN9" s="516">
        <v>0</v>
      </c>
      <c r="AO9" s="516">
        <v>0</v>
      </c>
      <c r="AP9" s="516">
        <v>0</v>
      </c>
      <c r="AQ9" s="516">
        <v>0</v>
      </c>
      <c r="AR9" s="516"/>
      <c r="AS9" s="516"/>
      <c r="AT9" s="517">
        <f t="shared" si="0"/>
        <v>182625.00511999999</v>
      </c>
      <c r="AU9" s="505">
        <f t="shared" si="1"/>
        <v>0</v>
      </c>
      <c r="AV9" s="518">
        <f t="shared" si="3"/>
        <v>0</v>
      </c>
      <c r="AW9" s="516">
        <f t="shared" si="2"/>
        <v>182625.00511999999</v>
      </c>
      <c r="AY9" s="507"/>
    </row>
    <row r="10" spans="1:51" s="494" customFormat="1" outlineLevel="2" x14ac:dyDescent="0.25">
      <c r="A10" s="494" t="s">
        <v>799</v>
      </c>
      <c r="B10" s="495" t="s">
        <v>227</v>
      </c>
      <c r="C10" s="496">
        <v>3</v>
      </c>
      <c r="D10" s="497" t="s">
        <v>800</v>
      </c>
      <c r="E10" s="498" t="s">
        <v>801</v>
      </c>
      <c r="F10" s="499" t="s">
        <v>802</v>
      </c>
      <c r="G10" s="499" t="s">
        <v>803</v>
      </c>
      <c r="H10" s="499" t="s">
        <v>804</v>
      </c>
      <c r="I10" s="499" t="s">
        <v>224</v>
      </c>
      <c r="J10" s="500">
        <v>871076.43</v>
      </c>
      <c r="K10" s="501">
        <v>319941.11</v>
      </c>
      <c r="L10" s="501"/>
      <c r="M10" s="501"/>
      <c r="N10" s="519"/>
      <c r="O10" s="519"/>
      <c r="P10" s="502"/>
      <c r="Q10" s="502" t="s">
        <v>749</v>
      </c>
      <c r="R10" s="503">
        <v>53323.56</v>
      </c>
      <c r="S10" s="503">
        <v>53323.56</v>
      </c>
      <c r="T10" s="503">
        <v>53323.56</v>
      </c>
      <c r="U10" s="503">
        <v>53323.56</v>
      </c>
      <c r="V10" s="503">
        <v>53323.56</v>
      </c>
      <c r="W10" s="503">
        <v>51223.4</v>
      </c>
      <c r="X10" s="503">
        <v>2099.91</v>
      </c>
      <c r="Y10" s="503">
        <v>0</v>
      </c>
      <c r="Z10" s="503">
        <v>0</v>
      </c>
      <c r="AA10" s="503">
        <v>0</v>
      </c>
      <c r="AB10" s="503">
        <v>0</v>
      </c>
      <c r="AC10" s="503">
        <v>0</v>
      </c>
      <c r="AD10" s="503">
        <v>0</v>
      </c>
      <c r="AE10" s="503">
        <v>0</v>
      </c>
      <c r="AF10" s="503">
        <v>0</v>
      </c>
      <c r="AG10" s="503">
        <v>0</v>
      </c>
      <c r="AH10" s="503">
        <v>0</v>
      </c>
      <c r="AI10" s="503">
        <v>0</v>
      </c>
      <c r="AJ10" s="503">
        <v>0</v>
      </c>
      <c r="AK10" s="503">
        <v>0</v>
      </c>
      <c r="AL10" s="503">
        <v>0</v>
      </c>
      <c r="AM10" s="503">
        <v>0</v>
      </c>
      <c r="AN10" s="503">
        <v>0</v>
      </c>
      <c r="AO10" s="503">
        <v>0</v>
      </c>
      <c r="AP10" s="503">
        <v>0</v>
      </c>
      <c r="AQ10" s="503">
        <v>0</v>
      </c>
      <c r="AR10" s="503"/>
      <c r="AS10" s="503"/>
      <c r="AT10" s="504">
        <f t="shared" si="0"/>
        <v>319941.11</v>
      </c>
      <c r="AU10" s="505">
        <f t="shared" si="1"/>
        <v>0</v>
      </c>
      <c r="AV10" s="506">
        <f t="shared" si="3"/>
        <v>0</v>
      </c>
      <c r="AW10" s="503">
        <f t="shared" si="2"/>
        <v>319941.11</v>
      </c>
      <c r="AY10" s="507"/>
    </row>
    <row r="11" spans="1:51" outlineLevel="2" x14ac:dyDescent="0.25">
      <c r="A11" s="494" t="s">
        <v>799</v>
      </c>
      <c r="B11" s="508" t="s">
        <v>227</v>
      </c>
      <c r="C11" s="509"/>
      <c r="D11" s="510" t="s">
        <v>805</v>
      </c>
      <c r="E11" s="511"/>
      <c r="F11" s="512"/>
      <c r="G11" s="512"/>
      <c r="H11" s="512"/>
      <c r="I11" s="512"/>
      <c r="J11" s="513"/>
      <c r="K11" s="514"/>
      <c r="L11" s="513" t="s">
        <v>806</v>
      </c>
      <c r="M11" s="513"/>
      <c r="N11" s="515">
        <f t="shared" si="4"/>
        <v>2.4159999999999999</v>
      </c>
      <c r="O11" s="515">
        <v>2.4159999999999999</v>
      </c>
      <c r="P11" s="515">
        <f>$P$4</f>
        <v>0</v>
      </c>
      <c r="Q11" s="515" t="s">
        <v>792</v>
      </c>
      <c r="R11" s="516">
        <v>13137.43</v>
      </c>
      <c r="S11" s="516">
        <v>10896.919999999998</v>
      </c>
      <c r="T11" s="516">
        <v>8679.44</v>
      </c>
      <c r="U11" s="516">
        <v>6409.7699999999995</v>
      </c>
      <c r="V11" s="516">
        <v>4166.21</v>
      </c>
      <c r="W11" s="516">
        <v>1941.92</v>
      </c>
      <c r="X11" s="516">
        <v>173.87</v>
      </c>
      <c r="Y11" s="516">
        <v>0</v>
      </c>
      <c r="Z11" s="516">
        <v>0</v>
      </c>
      <c r="AA11" s="516">
        <v>0</v>
      </c>
      <c r="AB11" s="516">
        <v>0</v>
      </c>
      <c r="AC11" s="516">
        <v>0</v>
      </c>
      <c r="AD11" s="516">
        <v>0</v>
      </c>
      <c r="AE11" s="516">
        <v>0</v>
      </c>
      <c r="AF11" s="516">
        <v>0</v>
      </c>
      <c r="AG11" s="516">
        <v>0</v>
      </c>
      <c r="AH11" s="516">
        <v>0</v>
      </c>
      <c r="AI11" s="516">
        <v>0</v>
      </c>
      <c r="AJ11" s="516">
        <v>0</v>
      </c>
      <c r="AK11" s="516">
        <v>0</v>
      </c>
      <c r="AL11" s="516">
        <v>0</v>
      </c>
      <c r="AM11" s="516">
        <v>0</v>
      </c>
      <c r="AN11" s="516">
        <v>0</v>
      </c>
      <c r="AO11" s="516">
        <v>0</v>
      </c>
      <c r="AP11" s="516">
        <v>0</v>
      </c>
      <c r="AQ11" s="516">
        <v>0</v>
      </c>
      <c r="AR11" s="516"/>
      <c r="AS11" s="516"/>
      <c r="AT11" s="517">
        <f t="shared" si="0"/>
        <v>45405.56</v>
      </c>
      <c r="AU11" s="505">
        <f t="shared" si="1"/>
        <v>0</v>
      </c>
      <c r="AV11" s="518">
        <f t="shared" si="3"/>
        <v>0</v>
      </c>
      <c r="AW11" s="516">
        <f t="shared" si="2"/>
        <v>45405.56</v>
      </c>
      <c r="AY11" s="507"/>
    </row>
    <row r="12" spans="1:51" s="494" customFormat="1" outlineLevel="2" x14ac:dyDescent="0.25">
      <c r="B12" s="495" t="s">
        <v>227</v>
      </c>
      <c r="C12" s="496">
        <v>4</v>
      </c>
      <c r="D12" s="497" t="s">
        <v>807</v>
      </c>
      <c r="E12" s="498" t="s">
        <v>808</v>
      </c>
      <c r="F12" s="499" t="s">
        <v>809</v>
      </c>
      <c r="G12" s="499" t="s">
        <v>810</v>
      </c>
      <c r="H12" s="499" t="s">
        <v>811</v>
      </c>
      <c r="I12" s="499" t="s">
        <v>224</v>
      </c>
      <c r="J12" s="500">
        <v>1925611</v>
      </c>
      <c r="K12" s="501">
        <v>863226</v>
      </c>
      <c r="L12" s="501"/>
      <c r="M12" s="501"/>
      <c r="N12" s="519"/>
      <c r="O12" s="519"/>
      <c r="P12" s="502"/>
      <c r="Q12" s="502" t="s">
        <v>749</v>
      </c>
      <c r="R12" s="503">
        <v>132804</v>
      </c>
      <c r="S12" s="503">
        <v>132804</v>
      </c>
      <c r="T12" s="503">
        <v>132804</v>
      </c>
      <c r="U12" s="503">
        <v>132804</v>
      </c>
      <c r="V12" s="503">
        <v>132804</v>
      </c>
      <c r="W12" s="503">
        <v>132804</v>
      </c>
      <c r="X12" s="503">
        <v>66402</v>
      </c>
      <c r="Y12" s="503">
        <v>0</v>
      </c>
      <c r="Z12" s="503">
        <v>0</v>
      </c>
      <c r="AA12" s="503">
        <v>0</v>
      </c>
      <c r="AB12" s="503">
        <v>0</v>
      </c>
      <c r="AC12" s="503">
        <v>0</v>
      </c>
      <c r="AD12" s="503">
        <v>0</v>
      </c>
      <c r="AE12" s="503">
        <v>0</v>
      </c>
      <c r="AF12" s="503">
        <v>0</v>
      </c>
      <c r="AG12" s="503">
        <v>0</v>
      </c>
      <c r="AH12" s="503">
        <v>0</v>
      </c>
      <c r="AI12" s="503">
        <v>0</v>
      </c>
      <c r="AJ12" s="503">
        <v>0</v>
      </c>
      <c r="AK12" s="503">
        <v>0</v>
      </c>
      <c r="AL12" s="503">
        <v>0</v>
      </c>
      <c r="AM12" s="503">
        <v>0</v>
      </c>
      <c r="AN12" s="503">
        <v>0</v>
      </c>
      <c r="AO12" s="503">
        <v>0</v>
      </c>
      <c r="AP12" s="503">
        <v>0</v>
      </c>
      <c r="AQ12" s="503">
        <v>0</v>
      </c>
      <c r="AR12" s="503"/>
      <c r="AS12" s="503"/>
      <c r="AT12" s="504">
        <f t="shared" si="0"/>
        <v>863226</v>
      </c>
      <c r="AU12" s="505">
        <f t="shared" si="1"/>
        <v>0</v>
      </c>
      <c r="AV12" s="506">
        <f t="shared" si="3"/>
        <v>0</v>
      </c>
      <c r="AW12" s="503">
        <f t="shared" si="2"/>
        <v>863226</v>
      </c>
      <c r="AY12" s="507"/>
    </row>
    <row r="13" spans="1:51" outlineLevel="2" x14ac:dyDescent="0.25">
      <c r="B13" s="508" t="s">
        <v>227</v>
      </c>
      <c r="C13" s="509"/>
      <c r="D13" s="510" t="s">
        <v>812</v>
      </c>
      <c r="E13" s="511"/>
      <c r="F13" s="512"/>
      <c r="G13" s="512"/>
      <c r="H13" s="512"/>
      <c r="I13" s="512"/>
      <c r="J13" s="513"/>
      <c r="K13" s="514"/>
      <c r="L13" s="513" t="s">
        <v>813</v>
      </c>
      <c r="M13" s="513"/>
      <c r="N13" s="515">
        <f t="shared" si="4"/>
        <v>2.5569999999999999</v>
      </c>
      <c r="O13" s="515">
        <v>2.5569999999999999</v>
      </c>
      <c r="P13" s="515">
        <f>$P$4</f>
        <v>0</v>
      </c>
      <c r="Q13" s="515" t="s">
        <v>792</v>
      </c>
      <c r="R13" s="516">
        <f>SUM(R12:$AQ12)*$N13/100</f>
        <v>22072.688819999996</v>
      </c>
      <c r="S13" s="516">
        <f>SUM(S12:$AQ12)*$N13/100</f>
        <v>18676.89054</v>
      </c>
      <c r="T13" s="516">
        <f>SUM(T12:$AQ12)*$N13/100</f>
        <v>15281.092259999999</v>
      </c>
      <c r="U13" s="516">
        <f>SUM(U12:$AQ12)*$N13/100</f>
        <v>11885.29398</v>
      </c>
      <c r="V13" s="516">
        <f>SUM(V12:$AQ12)*$N13/100</f>
        <v>8489.4956999999995</v>
      </c>
      <c r="W13" s="516">
        <f>SUM(W12:$AQ12)*$N13/100</f>
        <v>5093.6974199999995</v>
      </c>
      <c r="X13" s="516">
        <f>SUM(X12:$AQ12)*$N13/100</f>
        <v>1697.89914</v>
      </c>
      <c r="Y13" s="516">
        <v>0</v>
      </c>
      <c r="Z13" s="516">
        <v>0</v>
      </c>
      <c r="AA13" s="516">
        <v>0</v>
      </c>
      <c r="AB13" s="516">
        <v>0</v>
      </c>
      <c r="AC13" s="516">
        <v>0</v>
      </c>
      <c r="AD13" s="516">
        <v>0</v>
      </c>
      <c r="AE13" s="516">
        <v>0</v>
      </c>
      <c r="AF13" s="516">
        <v>0</v>
      </c>
      <c r="AG13" s="516">
        <v>0</v>
      </c>
      <c r="AH13" s="516">
        <v>0</v>
      </c>
      <c r="AI13" s="516">
        <v>0</v>
      </c>
      <c r="AJ13" s="516">
        <v>0</v>
      </c>
      <c r="AK13" s="516">
        <v>0</v>
      </c>
      <c r="AL13" s="516">
        <v>0</v>
      </c>
      <c r="AM13" s="516">
        <v>0</v>
      </c>
      <c r="AN13" s="516">
        <v>0</v>
      </c>
      <c r="AO13" s="516">
        <v>0</v>
      </c>
      <c r="AP13" s="516">
        <v>0</v>
      </c>
      <c r="AQ13" s="516">
        <v>0</v>
      </c>
      <c r="AR13" s="516"/>
      <c r="AS13" s="516"/>
      <c r="AT13" s="517">
        <f t="shared" si="0"/>
        <v>83197.057859999986</v>
      </c>
      <c r="AU13" s="505">
        <f t="shared" si="1"/>
        <v>0</v>
      </c>
      <c r="AV13" s="518">
        <f t="shared" si="3"/>
        <v>0</v>
      </c>
      <c r="AW13" s="516">
        <f t="shared" si="2"/>
        <v>83197.057859999986</v>
      </c>
      <c r="AY13" s="507"/>
    </row>
    <row r="14" spans="1:51" s="494" customFormat="1" outlineLevel="2" x14ac:dyDescent="0.25">
      <c r="B14" s="495" t="s">
        <v>227</v>
      </c>
      <c r="C14" s="496">
        <v>5</v>
      </c>
      <c r="D14" s="497" t="s">
        <v>807</v>
      </c>
      <c r="E14" s="498" t="s">
        <v>814</v>
      </c>
      <c r="F14" s="499" t="s">
        <v>815</v>
      </c>
      <c r="G14" s="499" t="s">
        <v>816</v>
      </c>
      <c r="H14" s="499" t="s">
        <v>817</v>
      </c>
      <c r="I14" s="499" t="s">
        <v>224</v>
      </c>
      <c r="J14" s="500">
        <v>154450.12</v>
      </c>
      <c r="K14" s="501">
        <v>70686</v>
      </c>
      <c r="L14" s="501"/>
      <c r="M14" s="501"/>
      <c r="N14" s="519"/>
      <c r="O14" s="519"/>
      <c r="P14" s="502"/>
      <c r="Q14" s="502" t="s">
        <v>749</v>
      </c>
      <c r="R14" s="503">
        <v>10472</v>
      </c>
      <c r="S14" s="503">
        <v>10472</v>
      </c>
      <c r="T14" s="503">
        <v>10472</v>
      </c>
      <c r="U14" s="503">
        <v>10472</v>
      </c>
      <c r="V14" s="503">
        <v>10472</v>
      </c>
      <c r="W14" s="503">
        <v>10472</v>
      </c>
      <c r="X14" s="503">
        <v>7854</v>
      </c>
      <c r="Y14" s="503">
        <v>0</v>
      </c>
      <c r="Z14" s="503">
        <v>0</v>
      </c>
      <c r="AA14" s="503">
        <v>0</v>
      </c>
      <c r="AB14" s="503">
        <v>0</v>
      </c>
      <c r="AC14" s="503">
        <v>0</v>
      </c>
      <c r="AD14" s="503">
        <v>0</v>
      </c>
      <c r="AE14" s="503">
        <v>0</v>
      </c>
      <c r="AF14" s="503">
        <v>0</v>
      </c>
      <c r="AG14" s="503">
        <v>0</v>
      </c>
      <c r="AH14" s="503">
        <v>0</v>
      </c>
      <c r="AI14" s="503">
        <v>0</v>
      </c>
      <c r="AJ14" s="503">
        <v>0</v>
      </c>
      <c r="AK14" s="503">
        <v>0</v>
      </c>
      <c r="AL14" s="503">
        <v>0</v>
      </c>
      <c r="AM14" s="503">
        <v>0</v>
      </c>
      <c r="AN14" s="503">
        <v>0</v>
      </c>
      <c r="AO14" s="503">
        <v>0</v>
      </c>
      <c r="AP14" s="503">
        <v>0</v>
      </c>
      <c r="AQ14" s="503">
        <v>0</v>
      </c>
      <c r="AR14" s="503"/>
      <c r="AS14" s="503"/>
      <c r="AT14" s="504">
        <f t="shared" si="0"/>
        <v>70686</v>
      </c>
      <c r="AU14" s="505">
        <f t="shared" si="1"/>
        <v>0</v>
      </c>
      <c r="AV14" s="506">
        <f t="shared" si="3"/>
        <v>0</v>
      </c>
      <c r="AW14" s="503">
        <f t="shared" si="2"/>
        <v>70686</v>
      </c>
      <c r="AY14" s="507"/>
    </row>
    <row r="15" spans="1:51" outlineLevel="2" x14ac:dyDescent="0.25">
      <c r="B15" s="508" t="s">
        <v>227</v>
      </c>
      <c r="C15" s="509"/>
      <c r="D15" s="510" t="s">
        <v>818</v>
      </c>
      <c r="E15" s="511"/>
      <c r="F15" s="512"/>
      <c r="G15" s="512"/>
      <c r="H15" s="512"/>
      <c r="I15" s="512"/>
      <c r="J15" s="513"/>
      <c r="K15" s="514"/>
      <c r="L15" s="513" t="s">
        <v>819</v>
      </c>
      <c r="M15" s="513"/>
      <c r="N15" s="515">
        <f t="shared" si="4"/>
        <v>2.4980000000000002</v>
      </c>
      <c r="O15" s="515">
        <v>2.4980000000000002</v>
      </c>
      <c r="P15" s="515">
        <f>$P$4</f>
        <v>0</v>
      </c>
      <c r="Q15" s="515" t="s">
        <v>792</v>
      </c>
      <c r="R15" s="516">
        <f>SUM(R14:$AQ14)*$N15/100</f>
        <v>1765.7362800000003</v>
      </c>
      <c r="S15" s="516">
        <f>SUM(S14:$AQ14)*$N15/100</f>
        <v>1504.1457200000002</v>
      </c>
      <c r="T15" s="516">
        <f>SUM(T14:$AQ14)*$N15/100</f>
        <v>1242.5551600000001</v>
      </c>
      <c r="U15" s="516">
        <f>SUM(U14:$AQ14)*$N15/100</f>
        <v>980.96460000000002</v>
      </c>
      <c r="V15" s="516">
        <f>SUM(V14:$AQ14)*$N15/100</f>
        <v>719.37404000000015</v>
      </c>
      <c r="W15" s="516">
        <f>SUM(W14:$AQ14)*$N15/100</f>
        <v>457.78348000000005</v>
      </c>
      <c r="X15" s="516">
        <f>SUM(X14:$AQ14)*$N15/100</f>
        <v>196.19292000000002</v>
      </c>
      <c r="Y15" s="516">
        <v>0</v>
      </c>
      <c r="Z15" s="516">
        <v>0</v>
      </c>
      <c r="AA15" s="516">
        <v>0</v>
      </c>
      <c r="AB15" s="516">
        <v>0</v>
      </c>
      <c r="AC15" s="516">
        <v>0</v>
      </c>
      <c r="AD15" s="516">
        <v>0</v>
      </c>
      <c r="AE15" s="516">
        <v>0</v>
      </c>
      <c r="AF15" s="516">
        <v>0</v>
      </c>
      <c r="AG15" s="516">
        <v>0</v>
      </c>
      <c r="AH15" s="516">
        <v>0</v>
      </c>
      <c r="AI15" s="516">
        <v>0</v>
      </c>
      <c r="AJ15" s="516">
        <v>0</v>
      </c>
      <c r="AK15" s="516">
        <v>0</v>
      </c>
      <c r="AL15" s="516">
        <v>0</v>
      </c>
      <c r="AM15" s="516">
        <v>0</v>
      </c>
      <c r="AN15" s="516">
        <v>0</v>
      </c>
      <c r="AO15" s="516">
        <v>0</v>
      </c>
      <c r="AP15" s="516">
        <v>0</v>
      </c>
      <c r="AQ15" s="516">
        <v>0</v>
      </c>
      <c r="AR15" s="516"/>
      <c r="AS15" s="516"/>
      <c r="AT15" s="517">
        <f t="shared" si="0"/>
        <v>6866.7522000000017</v>
      </c>
      <c r="AU15" s="505">
        <f t="shared" si="1"/>
        <v>0</v>
      </c>
      <c r="AV15" s="518">
        <f t="shared" si="3"/>
        <v>0</v>
      </c>
      <c r="AW15" s="516">
        <f t="shared" si="2"/>
        <v>6866.7522000000017</v>
      </c>
      <c r="AY15" s="507"/>
    </row>
    <row r="16" spans="1:51" s="494" customFormat="1" outlineLevel="2" x14ac:dyDescent="0.25">
      <c r="B16" s="495" t="s">
        <v>227</v>
      </c>
      <c r="C16" s="496">
        <v>6</v>
      </c>
      <c r="D16" s="497" t="s">
        <v>820</v>
      </c>
      <c r="E16" s="498" t="s">
        <v>821</v>
      </c>
      <c r="F16" s="499" t="s">
        <v>822</v>
      </c>
      <c r="G16" s="499" t="s">
        <v>823</v>
      </c>
      <c r="H16" s="499" t="s">
        <v>824</v>
      </c>
      <c r="I16" s="499" t="s">
        <v>224</v>
      </c>
      <c r="J16" s="500">
        <v>11123368</v>
      </c>
      <c r="K16" s="501">
        <v>8549640</v>
      </c>
      <c r="L16" s="501"/>
      <c r="M16" s="501"/>
      <c r="N16" s="519"/>
      <c r="O16" s="519"/>
      <c r="P16" s="502"/>
      <c r="Q16" s="502" t="s">
        <v>749</v>
      </c>
      <c r="R16" s="503">
        <v>379984</v>
      </c>
      <c r="S16" s="503">
        <v>379984</v>
      </c>
      <c r="T16" s="503">
        <v>379984</v>
      </c>
      <c r="U16" s="503">
        <v>379984</v>
      </c>
      <c r="V16" s="503">
        <v>379984</v>
      </c>
      <c r="W16" s="503">
        <v>379984</v>
      </c>
      <c r="X16" s="503">
        <v>379984</v>
      </c>
      <c r="Y16" s="503">
        <v>379984</v>
      </c>
      <c r="Z16" s="503">
        <v>379984</v>
      </c>
      <c r="AA16" s="503">
        <v>379984</v>
      </c>
      <c r="AB16" s="503">
        <v>379984</v>
      </c>
      <c r="AC16" s="503">
        <v>379984</v>
      </c>
      <c r="AD16" s="503">
        <v>379984</v>
      </c>
      <c r="AE16" s="503">
        <v>379984</v>
      </c>
      <c r="AF16" s="503">
        <v>379984</v>
      </c>
      <c r="AG16" s="503">
        <v>379984</v>
      </c>
      <c r="AH16" s="503">
        <v>379984</v>
      </c>
      <c r="AI16" s="503">
        <v>379984</v>
      </c>
      <c r="AJ16" s="503">
        <v>379984</v>
      </c>
      <c r="AK16" s="503">
        <v>379984</v>
      </c>
      <c r="AL16" s="503">
        <v>379984</v>
      </c>
      <c r="AM16" s="503">
        <v>379984</v>
      </c>
      <c r="AN16" s="503">
        <v>189992</v>
      </c>
      <c r="AO16" s="503">
        <v>0</v>
      </c>
      <c r="AP16" s="503">
        <v>0</v>
      </c>
      <c r="AQ16" s="503">
        <v>0</v>
      </c>
      <c r="AR16" s="503"/>
      <c r="AS16" s="503"/>
      <c r="AT16" s="504">
        <f t="shared" si="0"/>
        <v>8549640</v>
      </c>
      <c r="AU16" s="505">
        <f t="shared" si="1"/>
        <v>0</v>
      </c>
      <c r="AV16" s="506">
        <f t="shared" si="3"/>
        <v>5889752</v>
      </c>
      <c r="AW16" s="503">
        <f t="shared" si="2"/>
        <v>8549640</v>
      </c>
      <c r="AY16" s="507"/>
    </row>
    <row r="17" spans="2:51" outlineLevel="2" x14ac:dyDescent="0.25">
      <c r="B17" s="508" t="s">
        <v>227</v>
      </c>
      <c r="C17" s="509"/>
      <c r="D17" s="510" t="s">
        <v>825</v>
      </c>
      <c r="E17" s="511"/>
      <c r="F17" s="512"/>
      <c r="G17" s="512"/>
      <c r="H17" s="512"/>
      <c r="I17" s="512"/>
      <c r="J17" s="513"/>
      <c r="K17" s="514"/>
      <c r="L17" s="513" t="s">
        <v>826</v>
      </c>
      <c r="M17" s="513"/>
      <c r="N17" s="515">
        <f t="shared" si="4"/>
        <v>2.4</v>
      </c>
      <c r="O17" s="515">
        <v>2.4</v>
      </c>
      <c r="P17" s="515">
        <f>$P$4</f>
        <v>0</v>
      </c>
      <c r="Q17" s="515" t="s">
        <v>792</v>
      </c>
      <c r="R17" s="516">
        <f>SUM(R16:$AQ16)*$N17/100</f>
        <v>205191.36</v>
      </c>
      <c r="S17" s="516">
        <f>SUM(S16:$AQ16)*$N17/100</f>
        <v>196071.74399999998</v>
      </c>
      <c r="T17" s="516">
        <f>SUM(T16:$AQ16)*$N17/100-5000</f>
        <v>181952.128</v>
      </c>
      <c r="U17" s="516">
        <f>SUM(U16:$AQ16)*$N17/100</f>
        <v>177832.51199999999</v>
      </c>
      <c r="V17" s="516">
        <f>SUM(V16:$AQ16)*$N17/100</f>
        <v>168712.89599999998</v>
      </c>
      <c r="W17" s="516">
        <f>SUM(W16:$AQ16)*$N17/100</f>
        <v>159593.28</v>
      </c>
      <c r="X17" s="516">
        <f>SUM(X16:$AQ16)*$N17/100</f>
        <v>150473.66399999999</v>
      </c>
      <c r="Y17" s="516">
        <f>SUM(Y16:$AQ16)*$N17/100</f>
        <v>141354.04799999998</v>
      </c>
      <c r="Z17" s="516">
        <f>SUM(Z16:$AQ16)*$N17/100</f>
        <v>132234.432</v>
      </c>
      <c r="AA17" s="516">
        <f>SUM(AA16:$AQ16)*$N17/100</f>
        <v>123114.81599999999</v>
      </c>
      <c r="AB17" s="516">
        <f>SUM(AB16:$AQ16)*$N17/100</f>
        <v>113995.2</v>
      </c>
      <c r="AC17" s="516">
        <f>SUM(AC16:$AQ16)*$N17/100</f>
        <v>104875.584</v>
      </c>
      <c r="AD17" s="516">
        <f>SUM(AD16:$AQ16)*$N17/100</f>
        <v>95755.967999999993</v>
      </c>
      <c r="AE17" s="516">
        <f>SUM(AE16:$AQ16)*$N17/100</f>
        <v>86636.351999999999</v>
      </c>
      <c r="AF17" s="516">
        <f>SUM(AF16:$AQ16)*$N17/100</f>
        <v>77516.73599999999</v>
      </c>
      <c r="AG17" s="516">
        <f>SUM(AG16:$AQ16)*$N17/100</f>
        <v>68397.119999999995</v>
      </c>
      <c r="AH17" s="516">
        <f>SUM(AH16:$AQ16)*$N17/100</f>
        <v>59277.503999999994</v>
      </c>
      <c r="AI17" s="516">
        <f>SUM(AI16:$AQ16)*$N17/100</f>
        <v>50157.887999999999</v>
      </c>
      <c r="AJ17" s="516">
        <f>SUM(AJ16:$AQ16)*$N17/100</f>
        <v>41038.271999999997</v>
      </c>
      <c r="AK17" s="516">
        <f>SUM(AK16:$AQ16)*$N17/100</f>
        <v>31918.656000000003</v>
      </c>
      <c r="AL17" s="516">
        <f>SUM(AL16:$AQ16)*$N17/100</f>
        <v>22799.040000000001</v>
      </c>
      <c r="AM17" s="516">
        <f>SUM(AM16:$AQ16)*$N17/100</f>
        <v>13679.423999999999</v>
      </c>
      <c r="AN17" s="516">
        <f>SUM(AN16:$AQ16)*$N17/100</f>
        <v>4559.808</v>
      </c>
      <c r="AO17" s="516">
        <v>0</v>
      </c>
      <c r="AP17" s="516">
        <v>0</v>
      </c>
      <c r="AQ17" s="516">
        <v>0</v>
      </c>
      <c r="AR17" s="516"/>
      <c r="AS17" s="516"/>
      <c r="AT17" s="517">
        <f t="shared" si="0"/>
        <v>2407138.432</v>
      </c>
      <c r="AU17" s="505">
        <f t="shared" si="1"/>
        <v>0</v>
      </c>
      <c r="AV17" s="518">
        <f t="shared" si="3"/>
        <v>1167310.848</v>
      </c>
      <c r="AW17" s="516">
        <f t="shared" si="2"/>
        <v>2407138.432</v>
      </c>
      <c r="AY17" s="507"/>
    </row>
    <row r="18" spans="2:51" s="494" customFormat="1" outlineLevel="2" x14ac:dyDescent="0.25">
      <c r="B18" s="495" t="s">
        <v>316</v>
      </c>
      <c r="C18" s="496">
        <v>7</v>
      </c>
      <c r="D18" s="497" t="s">
        <v>827</v>
      </c>
      <c r="E18" s="498" t="s">
        <v>828</v>
      </c>
      <c r="F18" s="499" t="s">
        <v>829</v>
      </c>
      <c r="G18" s="499" t="s">
        <v>830</v>
      </c>
      <c r="H18" s="499" t="s">
        <v>831</v>
      </c>
      <c r="I18" s="499" t="s">
        <v>224</v>
      </c>
      <c r="J18" s="500">
        <v>484935.32</v>
      </c>
      <c r="K18" s="501">
        <v>248822</v>
      </c>
      <c r="L18" s="501"/>
      <c r="M18" s="501"/>
      <c r="N18" s="519"/>
      <c r="O18" s="519"/>
      <c r="P18" s="502"/>
      <c r="Q18" s="502" t="s">
        <v>749</v>
      </c>
      <c r="R18" s="503">
        <v>20312</v>
      </c>
      <c r="S18" s="503">
        <v>20312</v>
      </c>
      <c r="T18" s="503">
        <v>20312</v>
      </c>
      <c r="U18" s="503">
        <v>20312</v>
      </c>
      <c r="V18" s="503">
        <v>20312</v>
      </c>
      <c r="W18" s="503">
        <v>20312</v>
      </c>
      <c r="X18" s="503">
        <v>20312</v>
      </c>
      <c r="Y18" s="503">
        <v>20312</v>
      </c>
      <c r="Z18" s="503">
        <v>20312</v>
      </c>
      <c r="AA18" s="503">
        <v>20312</v>
      </c>
      <c r="AB18" s="503">
        <v>20312</v>
      </c>
      <c r="AC18" s="503">
        <v>20312</v>
      </c>
      <c r="AD18" s="503">
        <v>5078</v>
      </c>
      <c r="AE18" s="503">
        <v>0</v>
      </c>
      <c r="AF18" s="503">
        <v>0</v>
      </c>
      <c r="AG18" s="503">
        <v>0</v>
      </c>
      <c r="AH18" s="503">
        <v>0</v>
      </c>
      <c r="AI18" s="503">
        <v>0</v>
      </c>
      <c r="AJ18" s="503">
        <v>0</v>
      </c>
      <c r="AK18" s="503">
        <v>0</v>
      </c>
      <c r="AL18" s="503">
        <v>0</v>
      </c>
      <c r="AM18" s="503">
        <v>0</v>
      </c>
      <c r="AN18" s="503">
        <v>0</v>
      </c>
      <c r="AO18" s="503">
        <v>0</v>
      </c>
      <c r="AP18" s="503">
        <v>0</v>
      </c>
      <c r="AQ18" s="503">
        <v>0</v>
      </c>
      <c r="AR18" s="503"/>
      <c r="AS18" s="503"/>
      <c r="AT18" s="504">
        <f t="shared" si="0"/>
        <v>248822</v>
      </c>
      <c r="AU18" s="505">
        <f t="shared" si="1"/>
        <v>0</v>
      </c>
      <c r="AV18" s="506">
        <f t="shared" si="3"/>
        <v>106638</v>
      </c>
      <c r="AW18" s="503">
        <f t="shared" si="2"/>
        <v>248822</v>
      </c>
      <c r="AY18" s="507"/>
    </row>
    <row r="19" spans="2:51" outlineLevel="2" x14ac:dyDescent="0.25">
      <c r="B19" s="508" t="s">
        <v>316</v>
      </c>
      <c r="C19" s="509"/>
      <c r="D19" s="510" t="s">
        <v>832</v>
      </c>
      <c r="E19" s="511"/>
      <c r="F19" s="512"/>
      <c r="G19" s="512"/>
      <c r="H19" s="512"/>
      <c r="I19" s="512"/>
      <c r="J19" s="513"/>
      <c r="K19" s="514"/>
      <c r="L19" s="513" t="s">
        <v>833</v>
      </c>
      <c r="M19" s="513"/>
      <c r="N19" s="515">
        <f t="shared" si="4"/>
        <v>2.9460000000000002</v>
      </c>
      <c r="O19" s="515">
        <v>2.9460000000000002</v>
      </c>
      <c r="P19" s="515">
        <f>$P$4</f>
        <v>0</v>
      </c>
      <c r="Q19" s="515" t="s">
        <v>792</v>
      </c>
      <c r="R19" s="516">
        <f>SUM(R18:$AQ18)*$N19/100</f>
        <v>7330.2961200000009</v>
      </c>
      <c r="S19" s="516">
        <f>SUM(S18:$AQ18)*$N19/100</f>
        <v>6731.9046000000008</v>
      </c>
      <c r="T19" s="516">
        <f>SUM(T18:$AQ18)*$N19/100</f>
        <v>6133.5130800000006</v>
      </c>
      <c r="U19" s="516">
        <f>SUM(U18:$AQ18)*$N19/100</f>
        <v>5535.1215600000005</v>
      </c>
      <c r="V19" s="516">
        <f>SUM(V18:$AQ18)*$N19/100</f>
        <v>4936.7300400000004</v>
      </c>
      <c r="W19" s="516">
        <f>SUM(W18:$AQ18)*$N19/100</f>
        <v>4338.3385200000002</v>
      </c>
      <c r="X19" s="516">
        <f>SUM(X18:$AQ18)*$N19/100</f>
        <v>3739.9470000000001</v>
      </c>
      <c r="Y19" s="516">
        <f>SUM(Y18:$AQ18)*$N19/100</f>
        <v>3141.55548</v>
      </c>
      <c r="Z19" s="516">
        <f>SUM(Z18:$AQ18)*$N19/100</f>
        <v>2543.1639599999999</v>
      </c>
      <c r="AA19" s="516">
        <f>SUM(AA18:$AQ18)*$N19/100</f>
        <v>1944.77244</v>
      </c>
      <c r="AB19" s="516">
        <f>SUM(AB18:$AQ18)*$N19/100</f>
        <v>1346.3809200000001</v>
      </c>
      <c r="AC19" s="516">
        <f>SUM(AC18:$AQ18)*$N19/100</f>
        <v>747.98940000000005</v>
      </c>
      <c r="AD19" s="516">
        <f>SUM(AD18:$AQ18)*$N19/100</f>
        <v>149.59788</v>
      </c>
      <c r="AE19" s="516">
        <v>0</v>
      </c>
      <c r="AF19" s="516">
        <v>0</v>
      </c>
      <c r="AG19" s="516">
        <v>0</v>
      </c>
      <c r="AH19" s="516">
        <v>0</v>
      </c>
      <c r="AI19" s="516">
        <v>0</v>
      </c>
      <c r="AJ19" s="516">
        <v>0</v>
      </c>
      <c r="AK19" s="516">
        <v>0</v>
      </c>
      <c r="AL19" s="516">
        <v>0</v>
      </c>
      <c r="AM19" s="516">
        <v>0</v>
      </c>
      <c r="AN19" s="516">
        <v>0</v>
      </c>
      <c r="AO19" s="516">
        <v>0</v>
      </c>
      <c r="AP19" s="516">
        <v>0</v>
      </c>
      <c r="AQ19" s="516">
        <v>0</v>
      </c>
      <c r="AR19" s="516"/>
      <c r="AS19" s="516"/>
      <c r="AT19" s="517">
        <f t="shared" si="0"/>
        <v>48619.311000000002</v>
      </c>
      <c r="AU19" s="505">
        <f t="shared" si="1"/>
        <v>0</v>
      </c>
      <c r="AV19" s="518">
        <f t="shared" si="3"/>
        <v>9873.4600799999989</v>
      </c>
      <c r="AW19" s="516">
        <f t="shared" si="2"/>
        <v>48619.310999999994</v>
      </c>
      <c r="AY19" s="507"/>
    </row>
    <row r="20" spans="2:51" s="494" customFormat="1" outlineLevel="2" x14ac:dyDescent="0.25">
      <c r="B20" s="495" t="s">
        <v>316</v>
      </c>
      <c r="C20" s="496">
        <v>8</v>
      </c>
      <c r="D20" s="497" t="s">
        <v>834</v>
      </c>
      <c r="E20" s="498" t="s">
        <v>835</v>
      </c>
      <c r="F20" s="499" t="s">
        <v>836</v>
      </c>
      <c r="G20" s="499" t="s">
        <v>837</v>
      </c>
      <c r="H20" s="499" t="s">
        <v>838</v>
      </c>
      <c r="I20" s="499" t="s">
        <v>224</v>
      </c>
      <c r="J20" s="500">
        <v>278611.39</v>
      </c>
      <c r="K20" s="501">
        <v>180950</v>
      </c>
      <c r="L20" s="501"/>
      <c r="M20" s="501"/>
      <c r="N20" s="519"/>
      <c r="O20" s="519"/>
      <c r="P20" s="502"/>
      <c r="Q20" s="502" t="s">
        <v>749</v>
      </c>
      <c r="R20" s="503">
        <v>14476</v>
      </c>
      <c r="S20" s="503">
        <v>14476</v>
      </c>
      <c r="T20" s="503">
        <v>14476</v>
      </c>
      <c r="U20" s="503">
        <v>14476</v>
      </c>
      <c r="V20" s="503">
        <v>14476</v>
      </c>
      <c r="W20" s="503">
        <v>14476</v>
      </c>
      <c r="X20" s="503">
        <v>14476</v>
      </c>
      <c r="Y20" s="503">
        <v>14476</v>
      </c>
      <c r="Z20" s="503">
        <v>14476</v>
      </c>
      <c r="AA20" s="503">
        <v>14476</v>
      </c>
      <c r="AB20" s="503">
        <v>14476</v>
      </c>
      <c r="AC20" s="503">
        <v>14476</v>
      </c>
      <c r="AD20" s="503">
        <v>7238</v>
      </c>
      <c r="AE20" s="503">
        <v>0</v>
      </c>
      <c r="AF20" s="503">
        <v>0</v>
      </c>
      <c r="AG20" s="503">
        <v>0</v>
      </c>
      <c r="AH20" s="503">
        <v>0</v>
      </c>
      <c r="AI20" s="503">
        <v>0</v>
      </c>
      <c r="AJ20" s="503">
        <v>0</v>
      </c>
      <c r="AK20" s="503">
        <v>0</v>
      </c>
      <c r="AL20" s="503">
        <v>0</v>
      </c>
      <c r="AM20" s="503">
        <v>0</v>
      </c>
      <c r="AN20" s="503">
        <v>0</v>
      </c>
      <c r="AO20" s="503">
        <v>0</v>
      </c>
      <c r="AP20" s="503">
        <v>0</v>
      </c>
      <c r="AQ20" s="503">
        <v>0</v>
      </c>
      <c r="AR20" s="503"/>
      <c r="AS20" s="503"/>
      <c r="AT20" s="504">
        <f t="shared" si="0"/>
        <v>180950</v>
      </c>
      <c r="AU20" s="505">
        <f t="shared" si="1"/>
        <v>0</v>
      </c>
      <c r="AV20" s="506">
        <f t="shared" si="3"/>
        <v>79618</v>
      </c>
      <c r="AW20" s="503">
        <f t="shared" si="2"/>
        <v>180950</v>
      </c>
      <c r="AY20" s="507"/>
    </row>
    <row r="21" spans="2:51" outlineLevel="2" x14ac:dyDescent="0.25">
      <c r="B21" s="508" t="s">
        <v>316</v>
      </c>
      <c r="C21" s="509"/>
      <c r="D21" s="510" t="s">
        <v>839</v>
      </c>
      <c r="E21" s="511"/>
      <c r="F21" s="512"/>
      <c r="G21" s="512"/>
      <c r="H21" s="512"/>
      <c r="I21" s="512"/>
      <c r="J21" s="513"/>
      <c r="K21" s="514"/>
      <c r="L21" s="513" t="s">
        <v>840</v>
      </c>
      <c r="M21" s="513"/>
      <c r="N21" s="515">
        <f t="shared" si="4"/>
        <v>2.508</v>
      </c>
      <c r="O21" s="515">
        <v>2.508</v>
      </c>
      <c r="P21" s="515">
        <f>$P$4</f>
        <v>0</v>
      </c>
      <c r="Q21" s="515" t="s">
        <v>792</v>
      </c>
      <c r="R21" s="516">
        <f>SUM(R20:$AQ20)*$N21/100</f>
        <v>4538.2259999999997</v>
      </c>
      <c r="S21" s="516">
        <f>SUM(S20:$AQ20)*$N21/100</f>
        <v>4175.1679199999999</v>
      </c>
      <c r="T21" s="516">
        <f>SUM(T20:$AQ20)*$N21/100</f>
        <v>3812.1098400000001</v>
      </c>
      <c r="U21" s="516">
        <f>SUM(U20:$AQ20)*$N21/100</f>
        <v>3449.0517599999998</v>
      </c>
      <c r="V21" s="516">
        <f>SUM(V20:$AQ20)*$N21/100</f>
        <v>3085.99368</v>
      </c>
      <c r="W21" s="516">
        <f>SUM(W20:$AQ20)*$N21/100</f>
        <v>2722.9355999999998</v>
      </c>
      <c r="X21" s="516">
        <f>SUM(X20:$AQ20)*$N21/100</f>
        <v>2359.87752</v>
      </c>
      <c r="Y21" s="516">
        <f>SUM(Y20:$AQ20)*$N21/100</f>
        <v>1996.81944</v>
      </c>
      <c r="Z21" s="516">
        <f>SUM(Z20:$AQ20)*$N21/100</f>
        <v>1633.76136</v>
      </c>
      <c r="AA21" s="516">
        <f>SUM(AA20:$AQ20)*$N21/100</f>
        <v>1270.7032799999999</v>
      </c>
      <c r="AB21" s="516">
        <f>SUM(AB20:$AQ20)*$N21/100</f>
        <v>907.64520000000005</v>
      </c>
      <c r="AC21" s="516">
        <f>SUM(AC20:$AQ20)*$N21/100</f>
        <v>544.58712000000003</v>
      </c>
      <c r="AD21" s="516">
        <f>SUM(AD20:$AQ20)*$N21/100</f>
        <v>181.52903999999998</v>
      </c>
      <c r="AE21" s="516">
        <v>0</v>
      </c>
      <c r="AF21" s="516">
        <v>0</v>
      </c>
      <c r="AG21" s="516">
        <v>0</v>
      </c>
      <c r="AH21" s="516">
        <v>0</v>
      </c>
      <c r="AI21" s="516">
        <v>0</v>
      </c>
      <c r="AJ21" s="516">
        <v>0</v>
      </c>
      <c r="AK21" s="516">
        <v>0</v>
      </c>
      <c r="AL21" s="516">
        <v>0</v>
      </c>
      <c r="AM21" s="516">
        <v>0</v>
      </c>
      <c r="AN21" s="516">
        <v>0</v>
      </c>
      <c r="AO21" s="516">
        <v>0</v>
      </c>
      <c r="AP21" s="516">
        <v>0</v>
      </c>
      <c r="AQ21" s="516">
        <v>0</v>
      </c>
      <c r="AR21" s="516"/>
      <c r="AS21" s="516"/>
      <c r="AT21" s="517">
        <f t="shared" si="0"/>
        <v>30678.407760000002</v>
      </c>
      <c r="AU21" s="505">
        <f t="shared" si="1"/>
        <v>0</v>
      </c>
      <c r="AV21" s="518">
        <f t="shared" si="3"/>
        <v>6535.0454399999999</v>
      </c>
      <c r="AW21" s="516">
        <f t="shared" si="2"/>
        <v>30678.407760000002</v>
      </c>
      <c r="AY21" s="507"/>
    </row>
    <row r="22" spans="2:51" s="494" customFormat="1" outlineLevel="2" x14ac:dyDescent="0.25">
      <c r="B22" s="495" t="s">
        <v>316</v>
      </c>
      <c r="C22" s="496">
        <v>9</v>
      </c>
      <c r="D22" s="497" t="s">
        <v>841</v>
      </c>
      <c r="E22" s="498" t="s">
        <v>842</v>
      </c>
      <c r="F22" s="499" t="s">
        <v>843</v>
      </c>
      <c r="G22" s="499" t="s">
        <v>837</v>
      </c>
      <c r="H22" s="499" t="s">
        <v>844</v>
      </c>
      <c r="I22" s="499" t="s">
        <v>224</v>
      </c>
      <c r="J22" s="500">
        <v>49472</v>
      </c>
      <c r="K22" s="501">
        <v>11100</v>
      </c>
      <c r="L22" s="501"/>
      <c r="M22" s="501"/>
      <c r="N22" s="519"/>
      <c r="O22" s="519"/>
      <c r="P22" s="502"/>
      <c r="Q22" s="502" t="s">
        <v>749</v>
      </c>
      <c r="R22" s="503">
        <v>1480</v>
      </c>
      <c r="S22" s="503">
        <v>1480</v>
      </c>
      <c r="T22" s="503">
        <v>1480</v>
      </c>
      <c r="U22" s="503">
        <v>1480</v>
      </c>
      <c r="V22" s="503">
        <v>1480</v>
      </c>
      <c r="W22" s="503">
        <v>1480</v>
      </c>
      <c r="X22" s="503">
        <v>1480</v>
      </c>
      <c r="Y22" s="503">
        <v>740</v>
      </c>
      <c r="Z22" s="503">
        <v>0</v>
      </c>
      <c r="AA22" s="503">
        <v>0</v>
      </c>
      <c r="AB22" s="503">
        <v>0</v>
      </c>
      <c r="AC22" s="503">
        <v>0</v>
      </c>
      <c r="AD22" s="503">
        <v>0</v>
      </c>
      <c r="AE22" s="503">
        <v>0</v>
      </c>
      <c r="AF22" s="503">
        <v>0</v>
      </c>
      <c r="AG22" s="503">
        <v>0</v>
      </c>
      <c r="AH22" s="503">
        <v>0</v>
      </c>
      <c r="AI22" s="503">
        <v>0</v>
      </c>
      <c r="AJ22" s="503">
        <v>0</v>
      </c>
      <c r="AK22" s="503">
        <v>0</v>
      </c>
      <c r="AL22" s="503">
        <v>0</v>
      </c>
      <c r="AM22" s="503">
        <v>0</v>
      </c>
      <c r="AN22" s="503">
        <v>0</v>
      </c>
      <c r="AO22" s="503">
        <v>0</v>
      </c>
      <c r="AP22" s="503">
        <v>0</v>
      </c>
      <c r="AQ22" s="503">
        <v>0</v>
      </c>
      <c r="AR22" s="503"/>
      <c r="AS22" s="503"/>
      <c r="AT22" s="504">
        <f t="shared" si="0"/>
        <v>11100</v>
      </c>
      <c r="AU22" s="505">
        <f t="shared" si="1"/>
        <v>0</v>
      </c>
      <c r="AV22" s="506">
        <f t="shared" si="3"/>
        <v>740</v>
      </c>
      <c r="AW22" s="503">
        <f t="shared" si="2"/>
        <v>11100</v>
      </c>
      <c r="AY22" s="507"/>
    </row>
    <row r="23" spans="2:51" outlineLevel="2" x14ac:dyDescent="0.25">
      <c r="B23" s="508" t="s">
        <v>316</v>
      </c>
      <c r="C23" s="509"/>
      <c r="D23" s="510" t="s">
        <v>845</v>
      </c>
      <c r="E23" s="511"/>
      <c r="F23" s="512"/>
      <c r="G23" s="512"/>
      <c r="H23" s="512"/>
      <c r="I23" s="512"/>
      <c r="J23" s="513"/>
      <c r="K23" s="514"/>
      <c r="L23" s="513" t="s">
        <v>840</v>
      </c>
      <c r="M23" s="513"/>
      <c r="N23" s="515">
        <f t="shared" si="4"/>
        <v>2.508</v>
      </c>
      <c r="O23" s="515">
        <v>2.508</v>
      </c>
      <c r="P23" s="515">
        <f>$P$4</f>
        <v>0</v>
      </c>
      <c r="Q23" s="515" t="s">
        <v>792</v>
      </c>
      <c r="R23" s="516">
        <f>SUM(R22:$AQ22)*$N23/100</f>
        <v>278.38799999999998</v>
      </c>
      <c r="S23" s="516">
        <f>SUM(S22:$AQ22)*$N23/100</f>
        <v>241.2696</v>
      </c>
      <c r="T23" s="516">
        <f>SUM(T22:$AQ22)*$N23/100</f>
        <v>204.15119999999999</v>
      </c>
      <c r="U23" s="516">
        <f>SUM(U22:$AQ22)*$N23/100</f>
        <v>167.03279999999998</v>
      </c>
      <c r="V23" s="516">
        <f>SUM(V22:$AQ22)*$N23/100</f>
        <v>129.9144</v>
      </c>
      <c r="W23" s="516">
        <f>SUM(W22:$AQ22)*$N23/100</f>
        <v>92.796000000000006</v>
      </c>
      <c r="X23" s="516">
        <f>SUM(X22:$AQ22)*$N23/100</f>
        <v>55.677600000000005</v>
      </c>
      <c r="Y23" s="516">
        <f>SUM(Y22:$AQ22)*$N23/100</f>
        <v>18.559200000000001</v>
      </c>
      <c r="Z23" s="516">
        <v>0</v>
      </c>
      <c r="AA23" s="516">
        <v>0</v>
      </c>
      <c r="AB23" s="516">
        <v>0</v>
      </c>
      <c r="AC23" s="516">
        <v>0</v>
      </c>
      <c r="AD23" s="516">
        <v>0</v>
      </c>
      <c r="AE23" s="516">
        <v>0</v>
      </c>
      <c r="AF23" s="516">
        <v>0</v>
      </c>
      <c r="AG23" s="516">
        <v>0</v>
      </c>
      <c r="AH23" s="516">
        <v>0</v>
      </c>
      <c r="AI23" s="516">
        <v>0</v>
      </c>
      <c r="AJ23" s="516">
        <v>0</v>
      </c>
      <c r="AK23" s="516">
        <v>0</v>
      </c>
      <c r="AL23" s="516">
        <v>0</v>
      </c>
      <c r="AM23" s="516">
        <v>0</v>
      </c>
      <c r="AN23" s="516">
        <v>0</v>
      </c>
      <c r="AO23" s="516">
        <v>0</v>
      </c>
      <c r="AP23" s="516">
        <v>0</v>
      </c>
      <c r="AQ23" s="516">
        <v>0</v>
      </c>
      <c r="AR23" s="516"/>
      <c r="AS23" s="516"/>
      <c r="AT23" s="517">
        <f t="shared" si="0"/>
        <v>1187.7887999999998</v>
      </c>
      <c r="AU23" s="505">
        <f t="shared" si="1"/>
        <v>0</v>
      </c>
      <c r="AV23" s="518">
        <f t="shared" si="3"/>
        <v>18.559200000000001</v>
      </c>
      <c r="AW23" s="516">
        <f t="shared" si="2"/>
        <v>1187.7887999999998</v>
      </c>
      <c r="AY23" s="507"/>
    </row>
    <row r="24" spans="2:51" s="494" customFormat="1" outlineLevel="2" x14ac:dyDescent="0.25">
      <c r="B24" s="495" t="s">
        <v>316</v>
      </c>
      <c r="C24" s="496">
        <v>10</v>
      </c>
      <c r="D24" s="497" t="s">
        <v>846</v>
      </c>
      <c r="E24" s="498" t="s">
        <v>847</v>
      </c>
      <c r="F24" s="499" t="s">
        <v>848</v>
      </c>
      <c r="G24" s="499" t="s">
        <v>837</v>
      </c>
      <c r="H24" s="499" t="s">
        <v>838</v>
      </c>
      <c r="I24" s="499" t="s">
        <v>224</v>
      </c>
      <c r="J24" s="500">
        <v>238897.15</v>
      </c>
      <c r="K24" s="501">
        <v>132500</v>
      </c>
      <c r="L24" s="501"/>
      <c r="M24" s="501"/>
      <c r="N24" s="519"/>
      <c r="O24" s="519"/>
      <c r="P24" s="502"/>
      <c r="Q24" s="502" t="s">
        <v>749</v>
      </c>
      <c r="R24" s="503">
        <v>10600</v>
      </c>
      <c r="S24" s="503">
        <v>10600</v>
      </c>
      <c r="T24" s="503">
        <v>10600</v>
      </c>
      <c r="U24" s="503">
        <v>10600</v>
      </c>
      <c r="V24" s="503">
        <v>10600</v>
      </c>
      <c r="W24" s="503">
        <v>10600</v>
      </c>
      <c r="X24" s="503">
        <v>10600</v>
      </c>
      <c r="Y24" s="503">
        <v>10600</v>
      </c>
      <c r="Z24" s="503">
        <v>10600</v>
      </c>
      <c r="AA24" s="503">
        <v>10600</v>
      </c>
      <c r="AB24" s="503">
        <v>10600</v>
      </c>
      <c r="AC24" s="503">
        <v>10600</v>
      </c>
      <c r="AD24" s="503">
        <v>5300</v>
      </c>
      <c r="AE24" s="503">
        <v>0</v>
      </c>
      <c r="AF24" s="503">
        <v>0</v>
      </c>
      <c r="AG24" s="503">
        <v>0</v>
      </c>
      <c r="AH24" s="503">
        <v>0</v>
      </c>
      <c r="AI24" s="503">
        <v>0</v>
      </c>
      <c r="AJ24" s="503">
        <v>0</v>
      </c>
      <c r="AK24" s="503">
        <v>0</v>
      </c>
      <c r="AL24" s="503">
        <v>0</v>
      </c>
      <c r="AM24" s="503">
        <v>0</v>
      </c>
      <c r="AN24" s="503">
        <v>0</v>
      </c>
      <c r="AO24" s="503">
        <v>0</v>
      </c>
      <c r="AP24" s="503">
        <v>0</v>
      </c>
      <c r="AQ24" s="503">
        <v>0</v>
      </c>
      <c r="AR24" s="503"/>
      <c r="AS24" s="503"/>
      <c r="AT24" s="504">
        <f t="shared" si="0"/>
        <v>132500</v>
      </c>
      <c r="AU24" s="505">
        <f t="shared" si="1"/>
        <v>0</v>
      </c>
      <c r="AV24" s="506">
        <f t="shared" si="3"/>
        <v>58300</v>
      </c>
      <c r="AW24" s="503">
        <f t="shared" si="2"/>
        <v>132500</v>
      </c>
      <c r="AY24" s="507"/>
    </row>
    <row r="25" spans="2:51" outlineLevel="2" x14ac:dyDescent="0.25">
      <c r="B25" s="508" t="s">
        <v>316</v>
      </c>
      <c r="C25" s="509"/>
      <c r="D25" s="510" t="s">
        <v>849</v>
      </c>
      <c r="E25" s="511"/>
      <c r="F25" s="512"/>
      <c r="G25" s="512"/>
      <c r="H25" s="512"/>
      <c r="I25" s="512"/>
      <c r="J25" s="513"/>
      <c r="K25" s="514"/>
      <c r="L25" s="513" t="s">
        <v>840</v>
      </c>
      <c r="M25" s="513"/>
      <c r="N25" s="515">
        <f t="shared" si="4"/>
        <v>2.508</v>
      </c>
      <c r="O25" s="515">
        <v>2.508</v>
      </c>
      <c r="P25" s="515">
        <f>$P$4</f>
        <v>0</v>
      </c>
      <c r="Q25" s="515" t="s">
        <v>792</v>
      </c>
      <c r="R25" s="516">
        <f>SUM(R24:$AQ24)*$N25/100</f>
        <v>3323.1</v>
      </c>
      <c r="S25" s="516">
        <f>SUM(S24:$AQ24)*$N25/100</f>
        <v>3057.252</v>
      </c>
      <c r="T25" s="516">
        <f>SUM(T24:$AQ24)*$N25/100</f>
        <v>2791.4040000000005</v>
      </c>
      <c r="U25" s="516">
        <f>SUM(U24:$AQ24)*$N25/100</f>
        <v>2525.556</v>
      </c>
      <c r="V25" s="516">
        <f>SUM(V24:$AQ24)*$N25/100</f>
        <v>2259.7080000000001</v>
      </c>
      <c r="W25" s="516">
        <f>SUM(W24:$AQ24)*$N25/100</f>
        <v>1993.86</v>
      </c>
      <c r="X25" s="516">
        <f>SUM(X24:$AQ24)*$N25/100</f>
        <v>1728.0120000000002</v>
      </c>
      <c r="Y25" s="516">
        <f>SUM(Y24:$AQ24)*$N25/100</f>
        <v>1462.164</v>
      </c>
      <c r="Z25" s="516">
        <f>SUM(Z24:$AQ24)*$N25/100</f>
        <v>1196.316</v>
      </c>
      <c r="AA25" s="516">
        <f>SUM(AA24:$AQ24)*$N25/100</f>
        <v>930.46800000000007</v>
      </c>
      <c r="AB25" s="516">
        <f>SUM(AB24:$AQ24)*$N25/100</f>
        <v>664.62</v>
      </c>
      <c r="AC25" s="516">
        <f>SUM(AC24:$AQ24)*$N25/100</f>
        <v>398.77199999999999</v>
      </c>
      <c r="AD25" s="516">
        <f>SUM(AD24:$AQ24)*$N25/100</f>
        <v>132.92400000000001</v>
      </c>
      <c r="AE25" s="516">
        <v>0</v>
      </c>
      <c r="AF25" s="516">
        <v>0</v>
      </c>
      <c r="AG25" s="516">
        <v>0</v>
      </c>
      <c r="AH25" s="516">
        <v>0</v>
      </c>
      <c r="AI25" s="516">
        <v>0</v>
      </c>
      <c r="AJ25" s="516">
        <v>0</v>
      </c>
      <c r="AK25" s="516">
        <v>0</v>
      </c>
      <c r="AL25" s="516">
        <v>0</v>
      </c>
      <c r="AM25" s="516">
        <v>0</v>
      </c>
      <c r="AN25" s="516">
        <v>0</v>
      </c>
      <c r="AO25" s="516">
        <v>0</v>
      </c>
      <c r="AP25" s="516">
        <v>0</v>
      </c>
      <c r="AQ25" s="516">
        <v>0</v>
      </c>
      <c r="AR25" s="516"/>
      <c r="AS25" s="516"/>
      <c r="AT25" s="517">
        <f t="shared" si="0"/>
        <v>22464.156000000003</v>
      </c>
      <c r="AU25" s="505">
        <f t="shared" si="1"/>
        <v>0</v>
      </c>
      <c r="AV25" s="518">
        <f t="shared" si="3"/>
        <v>4785.2640000000001</v>
      </c>
      <c r="AW25" s="516">
        <f t="shared" si="2"/>
        <v>22464.156000000003</v>
      </c>
      <c r="AY25" s="507"/>
    </row>
    <row r="26" spans="2:51" s="484" customFormat="1" outlineLevel="2" x14ac:dyDescent="0.25">
      <c r="B26" s="520" t="s">
        <v>316</v>
      </c>
      <c r="C26" s="521">
        <v>11</v>
      </c>
      <c r="D26" s="522" t="s">
        <v>850</v>
      </c>
      <c r="E26" s="498" t="s">
        <v>851</v>
      </c>
      <c r="F26" s="498" t="s">
        <v>852</v>
      </c>
      <c r="G26" s="498" t="s">
        <v>853</v>
      </c>
      <c r="H26" s="498" t="s">
        <v>854</v>
      </c>
      <c r="I26" s="498" t="s">
        <v>224</v>
      </c>
      <c r="J26" s="500">
        <v>34291</v>
      </c>
      <c r="K26" s="501">
        <v>8870</v>
      </c>
      <c r="L26" s="501"/>
      <c r="M26" s="501"/>
      <c r="N26" s="519"/>
      <c r="O26" s="519"/>
      <c r="P26" s="502"/>
      <c r="Q26" s="502" t="s">
        <v>749</v>
      </c>
      <c r="R26" s="503">
        <v>3548</v>
      </c>
      <c r="S26" s="503">
        <v>3548</v>
      </c>
      <c r="T26" s="503">
        <v>1774</v>
      </c>
      <c r="U26" s="503">
        <v>0</v>
      </c>
      <c r="V26" s="503">
        <v>0</v>
      </c>
      <c r="W26" s="503">
        <v>0</v>
      </c>
      <c r="X26" s="503">
        <v>0</v>
      </c>
      <c r="Y26" s="503">
        <v>0</v>
      </c>
      <c r="Z26" s="503">
        <v>0</v>
      </c>
      <c r="AA26" s="503">
        <v>0</v>
      </c>
      <c r="AB26" s="503">
        <v>0</v>
      </c>
      <c r="AC26" s="503">
        <v>0</v>
      </c>
      <c r="AD26" s="503">
        <v>0</v>
      </c>
      <c r="AE26" s="503">
        <v>0</v>
      </c>
      <c r="AF26" s="503">
        <v>0</v>
      </c>
      <c r="AG26" s="503">
        <v>0</v>
      </c>
      <c r="AH26" s="503">
        <v>0</v>
      </c>
      <c r="AI26" s="503">
        <v>0</v>
      </c>
      <c r="AJ26" s="503">
        <v>0</v>
      </c>
      <c r="AK26" s="503">
        <v>0</v>
      </c>
      <c r="AL26" s="503">
        <v>0</v>
      </c>
      <c r="AM26" s="503">
        <v>0</v>
      </c>
      <c r="AN26" s="503">
        <v>0</v>
      </c>
      <c r="AO26" s="503">
        <v>0</v>
      </c>
      <c r="AP26" s="503">
        <v>0</v>
      </c>
      <c r="AQ26" s="503">
        <v>0</v>
      </c>
      <c r="AR26" s="503"/>
      <c r="AS26" s="503"/>
      <c r="AT26" s="503">
        <f t="shared" si="0"/>
        <v>8870</v>
      </c>
      <c r="AU26" s="523">
        <f t="shared" si="1"/>
        <v>0</v>
      </c>
      <c r="AV26" s="506">
        <f t="shared" si="3"/>
        <v>0</v>
      </c>
      <c r="AW26" s="503">
        <f t="shared" si="2"/>
        <v>8870</v>
      </c>
      <c r="AY26" s="507"/>
    </row>
    <row r="27" spans="2:51" s="476" customFormat="1" outlineLevel="2" x14ac:dyDescent="0.25">
      <c r="B27" s="524" t="s">
        <v>316</v>
      </c>
      <c r="C27" s="525"/>
      <c r="D27" s="526" t="s">
        <v>855</v>
      </c>
      <c r="E27" s="511"/>
      <c r="F27" s="511"/>
      <c r="G27" s="511"/>
      <c r="H27" s="511"/>
      <c r="I27" s="511"/>
      <c r="J27" s="513"/>
      <c r="K27" s="514"/>
      <c r="L27" s="513" t="s">
        <v>856</v>
      </c>
      <c r="M27" s="513"/>
      <c r="N27" s="515">
        <f t="shared" si="4"/>
        <v>2.4620000000000002</v>
      </c>
      <c r="O27" s="515">
        <v>2.4620000000000002</v>
      </c>
      <c r="P27" s="515">
        <f>$P$4</f>
        <v>0</v>
      </c>
      <c r="Q27" s="515" t="s">
        <v>792</v>
      </c>
      <c r="R27" s="516">
        <f>SUM(R26:$AQ26)*$N27/100</f>
        <v>218.37940000000003</v>
      </c>
      <c r="S27" s="516">
        <f>SUM(S26:$AQ26)*$N27/100</f>
        <v>131.02764000000002</v>
      </c>
      <c r="T27" s="516">
        <f>SUM(T26:$AQ26)*$N27/100</f>
        <v>43.675880000000006</v>
      </c>
      <c r="U27" s="516">
        <v>0</v>
      </c>
      <c r="V27" s="516">
        <v>0</v>
      </c>
      <c r="W27" s="516">
        <v>0</v>
      </c>
      <c r="X27" s="516">
        <v>0</v>
      </c>
      <c r="Y27" s="516">
        <v>0</v>
      </c>
      <c r="Z27" s="516">
        <v>0</v>
      </c>
      <c r="AA27" s="516">
        <v>0</v>
      </c>
      <c r="AB27" s="516">
        <v>0</v>
      </c>
      <c r="AC27" s="516">
        <v>0</v>
      </c>
      <c r="AD27" s="516">
        <v>0</v>
      </c>
      <c r="AE27" s="516">
        <v>0</v>
      </c>
      <c r="AF27" s="516">
        <v>0</v>
      </c>
      <c r="AG27" s="516">
        <v>0</v>
      </c>
      <c r="AH27" s="516">
        <v>0</v>
      </c>
      <c r="AI27" s="516">
        <v>0</v>
      </c>
      <c r="AJ27" s="516">
        <v>0</v>
      </c>
      <c r="AK27" s="516">
        <v>0</v>
      </c>
      <c r="AL27" s="516">
        <v>0</v>
      </c>
      <c r="AM27" s="516">
        <v>0</v>
      </c>
      <c r="AN27" s="516">
        <v>0</v>
      </c>
      <c r="AO27" s="516">
        <v>0</v>
      </c>
      <c r="AP27" s="516">
        <v>0</v>
      </c>
      <c r="AQ27" s="516">
        <v>0</v>
      </c>
      <c r="AR27" s="516"/>
      <c r="AS27" s="516"/>
      <c r="AT27" s="516">
        <f t="shared" si="0"/>
        <v>393.08292000000006</v>
      </c>
      <c r="AU27" s="523">
        <f t="shared" si="1"/>
        <v>0</v>
      </c>
      <c r="AV27" s="518">
        <f t="shared" si="3"/>
        <v>0</v>
      </c>
      <c r="AW27" s="516">
        <f t="shared" si="2"/>
        <v>393.08292000000006</v>
      </c>
      <c r="AY27" s="507"/>
    </row>
    <row r="28" spans="2:51" s="494" customFormat="1" outlineLevel="2" x14ac:dyDescent="0.25">
      <c r="B28" s="495" t="s">
        <v>316</v>
      </c>
      <c r="C28" s="496">
        <v>12</v>
      </c>
      <c r="D28" s="497" t="s">
        <v>857</v>
      </c>
      <c r="E28" s="498" t="s">
        <v>858</v>
      </c>
      <c r="F28" s="499" t="s">
        <v>859</v>
      </c>
      <c r="G28" s="499" t="s">
        <v>860</v>
      </c>
      <c r="H28" s="499" t="s">
        <v>861</v>
      </c>
      <c r="I28" s="499" t="s">
        <v>224</v>
      </c>
      <c r="J28" s="500">
        <v>2609698.31</v>
      </c>
      <c r="K28" s="501">
        <v>2138739.31</v>
      </c>
      <c r="L28" s="501"/>
      <c r="M28" s="501"/>
      <c r="N28" s="519"/>
      <c r="O28" s="519"/>
      <c r="P28" s="502"/>
      <c r="Q28" s="502" t="s">
        <v>749</v>
      </c>
      <c r="R28" s="503">
        <v>94200</v>
      </c>
      <c r="S28" s="503">
        <v>94200</v>
      </c>
      <c r="T28" s="503">
        <v>94200</v>
      </c>
      <c r="U28" s="503">
        <v>94200</v>
      </c>
      <c r="V28" s="503">
        <v>94200</v>
      </c>
      <c r="W28" s="503">
        <v>94200</v>
      </c>
      <c r="X28" s="503">
        <v>94200</v>
      </c>
      <c r="Y28" s="503">
        <v>94200</v>
      </c>
      <c r="Z28" s="503">
        <v>94200</v>
      </c>
      <c r="AA28" s="503">
        <v>94200</v>
      </c>
      <c r="AB28" s="503">
        <v>94200</v>
      </c>
      <c r="AC28" s="503">
        <v>94200</v>
      </c>
      <c r="AD28" s="503">
        <v>94200</v>
      </c>
      <c r="AE28" s="503">
        <v>94200</v>
      </c>
      <c r="AF28" s="503">
        <v>94200</v>
      </c>
      <c r="AG28" s="503">
        <v>94200</v>
      </c>
      <c r="AH28" s="503">
        <v>94200</v>
      </c>
      <c r="AI28" s="503">
        <v>94200</v>
      </c>
      <c r="AJ28" s="503">
        <v>94200</v>
      </c>
      <c r="AK28" s="503">
        <v>94200</v>
      </c>
      <c r="AL28" s="503">
        <v>94200</v>
      </c>
      <c r="AM28" s="503">
        <v>94200</v>
      </c>
      <c r="AN28" s="503">
        <v>66339.31</v>
      </c>
      <c r="AO28" s="503">
        <v>0</v>
      </c>
      <c r="AP28" s="503">
        <v>0</v>
      </c>
      <c r="AQ28" s="503">
        <v>0</v>
      </c>
      <c r="AR28" s="503"/>
      <c r="AS28" s="503"/>
      <c r="AT28" s="504">
        <f t="shared" si="0"/>
        <v>2138739.31</v>
      </c>
      <c r="AU28" s="505">
        <f t="shared" si="1"/>
        <v>0</v>
      </c>
      <c r="AV28" s="506">
        <f t="shared" si="3"/>
        <v>1479339.31</v>
      </c>
      <c r="AW28" s="503">
        <f t="shared" si="2"/>
        <v>2138739.31</v>
      </c>
      <c r="AY28" s="507"/>
    </row>
    <row r="29" spans="2:51" outlineLevel="2" x14ac:dyDescent="0.25">
      <c r="B29" s="508" t="s">
        <v>316</v>
      </c>
      <c r="C29" s="509"/>
      <c r="D29" s="510" t="s">
        <v>862</v>
      </c>
      <c r="E29" s="511"/>
      <c r="F29" s="512"/>
      <c r="G29" s="512"/>
      <c r="H29" s="512"/>
      <c r="I29" s="512"/>
      <c r="J29" s="513"/>
      <c r="K29" s="514"/>
      <c r="L29" s="513" t="s">
        <v>863</v>
      </c>
      <c r="M29" s="513"/>
      <c r="N29" s="515">
        <f t="shared" si="4"/>
        <v>2.2999999999999998</v>
      </c>
      <c r="O29" s="515">
        <v>2.2999999999999998</v>
      </c>
      <c r="P29" s="515">
        <f>$P$4</f>
        <v>0</v>
      </c>
      <c r="Q29" s="515" t="s">
        <v>792</v>
      </c>
      <c r="R29" s="516">
        <f>SUM(R28:$AQ28)*$N29/100</f>
        <v>49191.004129999994</v>
      </c>
      <c r="S29" s="516">
        <f>SUM(S28:$AQ28)*$N29/100</f>
        <v>47024.404129999995</v>
      </c>
      <c r="T29" s="516">
        <f>SUM(T28:$AQ28)*$N29/100</f>
        <v>44857.804129999997</v>
      </c>
      <c r="U29" s="516">
        <f>SUM(U28:$AQ28)*$N29/100</f>
        <v>42691.204129999998</v>
      </c>
      <c r="V29" s="516">
        <f>SUM(V28:$AQ28)*$N29/100</f>
        <v>40524.60413</v>
      </c>
      <c r="W29" s="516">
        <f>SUM(W28:$AQ28)*$N29/100</f>
        <v>38358.004129999994</v>
      </c>
      <c r="X29" s="516">
        <f>SUM(X28:$AQ28)*$N29/100</f>
        <v>36191.404129999995</v>
      </c>
      <c r="Y29" s="516">
        <f>SUM(Y28:$AQ28)*$N29/100</f>
        <v>34024.804129999997</v>
      </c>
      <c r="Z29" s="516">
        <f>SUM(Z28:$AQ28)*$N29/100</f>
        <v>31858.204129999998</v>
      </c>
      <c r="AA29" s="516">
        <f>SUM(AA28:$AQ28)*$N29/100</f>
        <v>29691.604129999996</v>
      </c>
      <c r="AB29" s="516">
        <f>SUM(AB28:$AQ28)*$N29/100</f>
        <v>27525.004129999998</v>
      </c>
      <c r="AC29" s="516">
        <f>SUM(AC28:$AQ28)*$N29/100</f>
        <v>25358.404129999995</v>
      </c>
      <c r="AD29" s="516">
        <f>SUM(AD28:$AQ28)*$N29/100</f>
        <v>23191.80413</v>
      </c>
      <c r="AE29" s="516">
        <f>SUM(AE28:$AQ28)*$N29/100</f>
        <v>21025.204130000002</v>
      </c>
      <c r="AF29" s="516">
        <f>SUM(AF28:$AQ28)*$N29/100</f>
        <v>18858.60413</v>
      </c>
      <c r="AG29" s="516">
        <f>SUM(AG28:$AQ28)*$N29/100</f>
        <v>16692.004130000001</v>
      </c>
      <c r="AH29" s="516">
        <f>SUM(AH28:$AQ28)*$N29/100</f>
        <v>14525.404129999999</v>
      </c>
      <c r="AI29" s="516">
        <f>SUM(AI28:$AQ28)*$N29/100</f>
        <v>12358.804129999999</v>
      </c>
      <c r="AJ29" s="516">
        <f>SUM(AJ28:$AQ28)*$N29/100</f>
        <v>10192.20413</v>
      </c>
      <c r="AK29" s="516">
        <f>SUM(AK28:$AQ28)*$N29/100</f>
        <v>8025.6041299999997</v>
      </c>
      <c r="AL29" s="516">
        <f>SUM(AL28:$AQ28)*$N29/100</f>
        <v>5859.0041299999993</v>
      </c>
      <c r="AM29" s="516">
        <f>SUM(AM28:$AQ28)*$N29/100</f>
        <v>3692.4041299999994</v>
      </c>
      <c r="AN29" s="516">
        <f>SUM(AN28:$AQ28)*$N29/100</f>
        <v>1525.8041299999998</v>
      </c>
      <c r="AO29" s="516">
        <v>0</v>
      </c>
      <c r="AP29" s="516">
        <v>0</v>
      </c>
      <c r="AQ29" s="516">
        <v>0</v>
      </c>
      <c r="AR29" s="516"/>
      <c r="AS29" s="516"/>
      <c r="AT29" s="517">
        <f t="shared" si="0"/>
        <v>583243.29498999985</v>
      </c>
      <c r="AU29" s="505">
        <f t="shared" si="1"/>
        <v>0</v>
      </c>
      <c r="AV29" s="518">
        <f t="shared" si="3"/>
        <v>284404.86608000001</v>
      </c>
      <c r="AW29" s="516">
        <f t="shared" si="2"/>
        <v>583243.29498999997</v>
      </c>
      <c r="AY29" s="507"/>
    </row>
    <row r="30" spans="2:51" s="494" customFormat="1" outlineLevel="2" x14ac:dyDescent="0.25">
      <c r="B30" s="495" t="s">
        <v>316</v>
      </c>
      <c r="C30" s="496">
        <v>13</v>
      </c>
      <c r="D30" s="497" t="s">
        <v>864</v>
      </c>
      <c r="E30" s="498" t="s">
        <v>865</v>
      </c>
      <c r="F30" s="499" t="s">
        <v>866</v>
      </c>
      <c r="G30" s="499" t="s">
        <v>860</v>
      </c>
      <c r="H30" s="499" t="s">
        <v>861</v>
      </c>
      <c r="I30" s="499" t="s">
        <v>224</v>
      </c>
      <c r="J30" s="500">
        <v>3496295</v>
      </c>
      <c r="K30" s="501">
        <v>2866409</v>
      </c>
      <c r="L30" s="501"/>
      <c r="M30" s="501"/>
      <c r="N30" s="519"/>
      <c r="O30" s="519"/>
      <c r="P30" s="502"/>
      <c r="Q30" s="502" t="s">
        <v>749</v>
      </c>
      <c r="R30" s="503">
        <v>125996</v>
      </c>
      <c r="S30" s="503">
        <v>125996</v>
      </c>
      <c r="T30" s="503">
        <v>125996</v>
      </c>
      <c r="U30" s="503">
        <v>125996</v>
      </c>
      <c r="V30" s="503">
        <v>125996</v>
      </c>
      <c r="W30" s="503">
        <v>125996</v>
      </c>
      <c r="X30" s="503">
        <v>125996</v>
      </c>
      <c r="Y30" s="503">
        <v>125996</v>
      </c>
      <c r="Z30" s="503">
        <v>125996</v>
      </c>
      <c r="AA30" s="503">
        <v>125996</v>
      </c>
      <c r="AB30" s="503">
        <v>125996</v>
      </c>
      <c r="AC30" s="503">
        <v>125996</v>
      </c>
      <c r="AD30" s="503">
        <v>125996</v>
      </c>
      <c r="AE30" s="503">
        <v>125996</v>
      </c>
      <c r="AF30" s="503">
        <v>125996</v>
      </c>
      <c r="AG30" s="503">
        <v>125996</v>
      </c>
      <c r="AH30" s="503">
        <v>125996</v>
      </c>
      <c r="AI30" s="503">
        <v>125996</v>
      </c>
      <c r="AJ30" s="503">
        <v>125996</v>
      </c>
      <c r="AK30" s="503">
        <v>125996</v>
      </c>
      <c r="AL30" s="503">
        <v>125996</v>
      </c>
      <c r="AM30" s="503">
        <v>125996</v>
      </c>
      <c r="AN30" s="503">
        <v>94497</v>
      </c>
      <c r="AO30" s="503">
        <v>0</v>
      </c>
      <c r="AP30" s="503">
        <v>0</v>
      </c>
      <c r="AQ30" s="503">
        <v>0</v>
      </c>
      <c r="AR30" s="503"/>
      <c r="AS30" s="503"/>
      <c r="AT30" s="504">
        <f t="shared" si="0"/>
        <v>2866409</v>
      </c>
      <c r="AU30" s="505">
        <f t="shared" si="1"/>
        <v>0</v>
      </c>
      <c r="AV30" s="506">
        <f t="shared" si="3"/>
        <v>1984437</v>
      </c>
      <c r="AW30" s="503">
        <f t="shared" si="2"/>
        <v>2866409</v>
      </c>
      <c r="AY30" s="507"/>
    </row>
    <row r="31" spans="2:51" outlineLevel="2" x14ac:dyDescent="0.25">
      <c r="B31" s="508" t="s">
        <v>316</v>
      </c>
      <c r="C31" s="509"/>
      <c r="D31" s="510" t="s">
        <v>867</v>
      </c>
      <c r="E31" s="511"/>
      <c r="F31" s="512"/>
      <c r="G31" s="512"/>
      <c r="H31" s="512"/>
      <c r="I31" s="512"/>
      <c r="J31" s="513"/>
      <c r="K31" s="514"/>
      <c r="L31" s="513" t="s">
        <v>863</v>
      </c>
      <c r="M31" s="513"/>
      <c r="N31" s="515">
        <f t="shared" si="4"/>
        <v>2.4620000000000002</v>
      </c>
      <c r="O31" s="515">
        <v>2.4620000000000002</v>
      </c>
      <c r="P31" s="515">
        <f>$P$4</f>
        <v>0</v>
      </c>
      <c r="Q31" s="515" t="s">
        <v>792</v>
      </c>
      <c r="R31" s="516">
        <f>SUM(R30:$AQ30)*$N31/100</f>
        <v>70570.989580000009</v>
      </c>
      <c r="S31" s="516">
        <f>SUM(S30:$AQ30)*$N31/100</f>
        <v>67468.968060000014</v>
      </c>
      <c r="T31" s="516">
        <f>SUM(T30:$AQ30)*$N31/100</f>
        <v>64366.946540000004</v>
      </c>
      <c r="U31" s="516">
        <f>SUM(U30:$AQ30)*$N31/100</f>
        <v>61264.925020000002</v>
      </c>
      <c r="V31" s="516">
        <f>SUM(V30:$AQ30)*$N31/100</f>
        <v>58162.903500000008</v>
      </c>
      <c r="W31" s="516">
        <f>SUM(W30:$AQ30)*$N31/100</f>
        <v>55060.881980000006</v>
      </c>
      <c r="X31" s="516">
        <f>SUM(X30:$AQ30)*$N31/100</f>
        <v>51958.860460000004</v>
      </c>
      <c r="Y31" s="516">
        <f>SUM(Y30:$AQ30)*$N31/100</f>
        <v>48856.838940000001</v>
      </c>
      <c r="Z31" s="516">
        <f>SUM(Z30:$AQ30)*$N31/100</f>
        <v>45754.817420000007</v>
      </c>
      <c r="AA31" s="516">
        <f>SUM(AA30:$AQ30)*$N31/100</f>
        <v>42652.795900000005</v>
      </c>
      <c r="AB31" s="516">
        <f>SUM(AB30:$AQ30)*$N31/100</f>
        <v>39550.774380000003</v>
      </c>
      <c r="AC31" s="516">
        <f>SUM(AC30:$AQ30)*$N31/100</f>
        <v>36448.752860000001</v>
      </c>
      <c r="AD31" s="516">
        <f>SUM(AD30:$AQ30)*$N31/100</f>
        <v>33346.731339999998</v>
      </c>
      <c r="AE31" s="516">
        <f>SUM(AE30:$AQ30)*$N31/100</f>
        <v>30244.709820000004</v>
      </c>
      <c r="AF31" s="516">
        <f>SUM(AF30:$AQ30)*$N31/100</f>
        <v>27142.688300000002</v>
      </c>
      <c r="AG31" s="516">
        <f>SUM(AG30:$AQ30)*$N31/100</f>
        <v>24040.666780000003</v>
      </c>
      <c r="AH31" s="516">
        <f>SUM(AH30:$AQ30)*$N31/100</f>
        <v>20938.645260000001</v>
      </c>
      <c r="AI31" s="516">
        <f>SUM(AI30:$AQ30)*$N31/100</f>
        <v>17836.623739999999</v>
      </c>
      <c r="AJ31" s="516">
        <f>SUM(AJ30:$AQ30)*$N31/100</f>
        <v>14734.602220000001</v>
      </c>
      <c r="AK31" s="516">
        <f>SUM(AK30:$AQ30)*$N31/100</f>
        <v>11632.5807</v>
      </c>
      <c r="AL31" s="516">
        <f>SUM(AL30:$AQ30)*$N31/100</f>
        <v>8530.5591800000002</v>
      </c>
      <c r="AM31" s="516">
        <f>SUM(AM30:$AQ30)*$N31/100</f>
        <v>5428.5376600000009</v>
      </c>
      <c r="AN31" s="516">
        <f>SUM(AN30:$AQ30)*$N31/100</f>
        <v>2326.5161400000002</v>
      </c>
      <c r="AO31" s="516">
        <v>0</v>
      </c>
      <c r="AP31" s="516">
        <v>0</v>
      </c>
      <c r="AQ31" s="516">
        <v>0</v>
      </c>
      <c r="AR31" s="516"/>
      <c r="AS31" s="516"/>
      <c r="AT31" s="517">
        <f t="shared" si="0"/>
        <v>838321.31578000006</v>
      </c>
      <c r="AU31" s="505">
        <f t="shared" si="1"/>
        <v>0</v>
      </c>
      <c r="AV31" s="518">
        <f t="shared" si="3"/>
        <v>409466.84064000001</v>
      </c>
      <c r="AW31" s="516">
        <f t="shared" si="2"/>
        <v>838321.31578000006</v>
      </c>
      <c r="AY31" s="507"/>
    </row>
    <row r="32" spans="2:51" s="494" customFormat="1" outlineLevel="2" x14ac:dyDescent="0.25">
      <c r="B32" s="495" t="s">
        <v>316</v>
      </c>
      <c r="C32" s="496">
        <v>14</v>
      </c>
      <c r="D32" s="497" t="s">
        <v>834</v>
      </c>
      <c r="E32" s="498" t="s">
        <v>868</v>
      </c>
      <c r="F32" s="499" t="s">
        <v>869</v>
      </c>
      <c r="G32" s="499" t="s">
        <v>870</v>
      </c>
      <c r="H32" s="499" t="s">
        <v>871</v>
      </c>
      <c r="I32" s="499" t="s">
        <v>224</v>
      </c>
      <c r="J32" s="500">
        <v>190122</v>
      </c>
      <c r="K32" s="501">
        <v>124332</v>
      </c>
      <c r="L32" s="501"/>
      <c r="M32" s="501"/>
      <c r="N32" s="519"/>
      <c r="O32" s="519"/>
      <c r="P32" s="502"/>
      <c r="Q32" s="502" t="s">
        <v>749</v>
      </c>
      <c r="R32" s="503">
        <v>9752</v>
      </c>
      <c r="S32" s="503">
        <v>9752</v>
      </c>
      <c r="T32" s="503">
        <v>9752</v>
      </c>
      <c r="U32" s="503">
        <v>9752</v>
      </c>
      <c r="V32" s="503">
        <v>9752</v>
      </c>
      <c r="W32" s="503">
        <v>9752</v>
      </c>
      <c r="X32" s="503">
        <v>9752</v>
      </c>
      <c r="Y32" s="503">
        <v>9752</v>
      </c>
      <c r="Z32" s="503">
        <v>9752</v>
      </c>
      <c r="AA32" s="503">
        <v>9752</v>
      </c>
      <c r="AB32" s="503">
        <v>9752</v>
      </c>
      <c r="AC32" s="503">
        <v>9752</v>
      </c>
      <c r="AD32" s="503">
        <v>7308</v>
      </c>
      <c r="AE32" s="503">
        <v>0</v>
      </c>
      <c r="AF32" s="503">
        <v>0</v>
      </c>
      <c r="AG32" s="503">
        <v>0</v>
      </c>
      <c r="AH32" s="503">
        <v>0</v>
      </c>
      <c r="AI32" s="503">
        <v>0</v>
      </c>
      <c r="AJ32" s="503">
        <v>0</v>
      </c>
      <c r="AK32" s="503">
        <v>0</v>
      </c>
      <c r="AL32" s="503">
        <v>0</v>
      </c>
      <c r="AM32" s="503">
        <v>0</v>
      </c>
      <c r="AN32" s="503">
        <v>0</v>
      </c>
      <c r="AO32" s="503">
        <v>0</v>
      </c>
      <c r="AP32" s="503">
        <v>0</v>
      </c>
      <c r="AQ32" s="503">
        <v>0</v>
      </c>
      <c r="AR32" s="503"/>
      <c r="AS32" s="503"/>
      <c r="AT32" s="504">
        <f t="shared" si="0"/>
        <v>124332</v>
      </c>
      <c r="AU32" s="505">
        <f t="shared" si="1"/>
        <v>0</v>
      </c>
      <c r="AV32" s="506">
        <f t="shared" si="3"/>
        <v>56068</v>
      </c>
      <c r="AW32" s="503">
        <f t="shared" si="2"/>
        <v>124332</v>
      </c>
      <c r="AY32" s="507"/>
    </row>
    <row r="33" spans="2:51" outlineLevel="2" x14ac:dyDescent="0.25">
      <c r="B33" s="508" t="s">
        <v>316</v>
      </c>
      <c r="C33" s="509"/>
      <c r="D33" s="510" t="s">
        <v>872</v>
      </c>
      <c r="E33" s="511"/>
      <c r="F33" s="512"/>
      <c r="G33" s="512"/>
      <c r="H33" s="512"/>
      <c r="I33" s="512"/>
      <c r="J33" s="513"/>
      <c r="K33" s="514"/>
      <c r="L33" s="513" t="s">
        <v>873</v>
      </c>
      <c r="M33" s="513"/>
      <c r="N33" s="515">
        <f t="shared" si="4"/>
        <v>2.4700000000000002</v>
      </c>
      <c r="O33" s="515">
        <v>2.4700000000000002</v>
      </c>
      <c r="P33" s="515">
        <f>$P$4</f>
        <v>0</v>
      </c>
      <c r="Q33" s="515" t="s">
        <v>792</v>
      </c>
      <c r="R33" s="516">
        <f>SUM(R32:$AQ32)*$N33/100</f>
        <v>3071.0004000000004</v>
      </c>
      <c r="S33" s="516">
        <f>SUM(S32:$AQ32)*$N33/100</f>
        <v>2830.1260000000002</v>
      </c>
      <c r="T33" s="516">
        <f>SUM(T32:$AQ32)*$N33/100</f>
        <v>2589.2516000000005</v>
      </c>
      <c r="U33" s="516">
        <f>SUM(U32:$AQ32)*$N33/100</f>
        <v>2348.3772000000004</v>
      </c>
      <c r="V33" s="516">
        <f>SUM(V32:$AQ32)*$N33/100</f>
        <v>2107.5028000000002</v>
      </c>
      <c r="W33" s="516">
        <f>SUM(W32:$AQ32)*$N33/100</f>
        <v>1866.6284000000003</v>
      </c>
      <c r="X33" s="516">
        <f>SUM(X32:$AQ32)*$N33/100</f>
        <v>1625.7540000000001</v>
      </c>
      <c r="Y33" s="516">
        <f>SUM(Y32:$AQ32)*$N33/100</f>
        <v>1384.8796000000002</v>
      </c>
      <c r="Z33" s="516">
        <f>SUM(Z32:$AQ32)*$N33/100</f>
        <v>1144.0052000000001</v>
      </c>
      <c r="AA33" s="516">
        <f>SUM(AA32:$AQ32)*$N33/100</f>
        <v>903.13080000000002</v>
      </c>
      <c r="AB33" s="516">
        <f>SUM(AB32:$AQ32)*$N33/100</f>
        <v>662.25639999999999</v>
      </c>
      <c r="AC33" s="516">
        <f>SUM(AC32:$AQ32)*$N33/100</f>
        <v>421.38200000000006</v>
      </c>
      <c r="AD33" s="516">
        <f>SUM(AD32:$AQ32)*$N33/100</f>
        <v>180.50760000000002</v>
      </c>
      <c r="AE33" s="516">
        <v>0</v>
      </c>
      <c r="AF33" s="516">
        <v>0</v>
      </c>
      <c r="AG33" s="516">
        <v>0</v>
      </c>
      <c r="AH33" s="516">
        <v>0</v>
      </c>
      <c r="AI33" s="516">
        <v>0</v>
      </c>
      <c r="AJ33" s="516">
        <v>0</v>
      </c>
      <c r="AK33" s="516">
        <v>0</v>
      </c>
      <c r="AL33" s="516">
        <v>0</v>
      </c>
      <c r="AM33" s="516">
        <v>0</v>
      </c>
      <c r="AN33" s="516">
        <v>0</v>
      </c>
      <c r="AO33" s="516">
        <v>0</v>
      </c>
      <c r="AP33" s="516">
        <v>0</v>
      </c>
      <c r="AQ33" s="516">
        <v>0</v>
      </c>
      <c r="AR33" s="516"/>
      <c r="AS33" s="516"/>
      <c r="AT33" s="517">
        <f t="shared" si="0"/>
        <v>21134.802</v>
      </c>
      <c r="AU33" s="505">
        <f t="shared" si="1"/>
        <v>0</v>
      </c>
      <c r="AV33" s="518">
        <f t="shared" si="3"/>
        <v>4696.1616000000004</v>
      </c>
      <c r="AW33" s="516">
        <f t="shared" si="2"/>
        <v>21134.802</v>
      </c>
      <c r="AY33" s="507"/>
    </row>
    <row r="34" spans="2:51" s="494" customFormat="1" outlineLevel="2" collapsed="1" x14ac:dyDescent="0.25">
      <c r="B34" s="495" t="s">
        <v>316</v>
      </c>
      <c r="C34" s="496">
        <v>15</v>
      </c>
      <c r="D34" s="497" t="s">
        <v>874</v>
      </c>
      <c r="E34" s="498" t="s">
        <v>875</v>
      </c>
      <c r="F34" s="499" t="s">
        <v>876</v>
      </c>
      <c r="G34" s="499" t="s">
        <v>877</v>
      </c>
      <c r="H34" s="499" t="s">
        <v>871</v>
      </c>
      <c r="I34" s="499" t="s">
        <v>224</v>
      </c>
      <c r="J34" s="500">
        <v>177076.43</v>
      </c>
      <c r="K34" s="501">
        <v>117300</v>
      </c>
      <c r="L34" s="501"/>
      <c r="M34" s="501"/>
      <c r="N34" s="519"/>
      <c r="O34" s="519"/>
      <c r="P34" s="502"/>
      <c r="Q34" s="502" t="s">
        <v>749</v>
      </c>
      <c r="R34" s="503">
        <v>9200</v>
      </c>
      <c r="S34" s="503">
        <v>9200</v>
      </c>
      <c r="T34" s="503">
        <v>9200</v>
      </c>
      <c r="U34" s="503">
        <v>9200</v>
      </c>
      <c r="V34" s="503">
        <v>9200</v>
      </c>
      <c r="W34" s="503">
        <v>9200</v>
      </c>
      <c r="X34" s="503">
        <v>9200</v>
      </c>
      <c r="Y34" s="503">
        <v>9200</v>
      </c>
      <c r="Z34" s="503">
        <v>9200</v>
      </c>
      <c r="AA34" s="503">
        <v>9200</v>
      </c>
      <c r="AB34" s="503">
        <v>9200</v>
      </c>
      <c r="AC34" s="503">
        <v>9200</v>
      </c>
      <c r="AD34" s="503">
        <v>6900</v>
      </c>
      <c r="AE34" s="503">
        <v>0</v>
      </c>
      <c r="AF34" s="503">
        <v>0</v>
      </c>
      <c r="AG34" s="503">
        <v>0</v>
      </c>
      <c r="AH34" s="503">
        <v>0</v>
      </c>
      <c r="AI34" s="503">
        <v>0</v>
      </c>
      <c r="AJ34" s="503">
        <v>0</v>
      </c>
      <c r="AK34" s="503">
        <v>0</v>
      </c>
      <c r="AL34" s="503">
        <v>0</v>
      </c>
      <c r="AM34" s="503">
        <v>0</v>
      </c>
      <c r="AN34" s="503">
        <v>0</v>
      </c>
      <c r="AO34" s="503">
        <v>0</v>
      </c>
      <c r="AP34" s="503">
        <v>0</v>
      </c>
      <c r="AQ34" s="503">
        <v>0</v>
      </c>
      <c r="AR34" s="503"/>
      <c r="AS34" s="503"/>
      <c r="AT34" s="504">
        <f t="shared" si="0"/>
        <v>117300</v>
      </c>
      <c r="AU34" s="505">
        <f t="shared" si="1"/>
        <v>0</v>
      </c>
      <c r="AV34" s="506">
        <f t="shared" si="3"/>
        <v>52900</v>
      </c>
      <c r="AW34" s="503">
        <f t="shared" si="2"/>
        <v>117300</v>
      </c>
      <c r="AY34" s="507"/>
    </row>
    <row r="35" spans="2:51" outlineLevel="2" x14ac:dyDescent="0.25">
      <c r="B35" s="508" t="s">
        <v>316</v>
      </c>
      <c r="C35" s="509"/>
      <c r="D35" s="510" t="s">
        <v>878</v>
      </c>
      <c r="E35" s="511"/>
      <c r="F35" s="512"/>
      <c r="G35" s="512"/>
      <c r="H35" s="512"/>
      <c r="I35" s="512"/>
      <c r="J35" s="513"/>
      <c r="K35" s="514"/>
      <c r="L35" s="513" t="s">
        <v>879</v>
      </c>
      <c r="M35" s="513"/>
      <c r="N35" s="515">
        <f t="shared" si="4"/>
        <v>2.4809999999999999</v>
      </c>
      <c r="O35" s="515">
        <v>2.4809999999999999</v>
      </c>
      <c r="P35" s="515">
        <f>$P$4</f>
        <v>0</v>
      </c>
      <c r="Q35" s="515" t="s">
        <v>792</v>
      </c>
      <c r="R35" s="516">
        <f>SUM(R34:$AQ34)*$N35/100</f>
        <v>2910.2129999999997</v>
      </c>
      <c r="S35" s="516">
        <f>SUM(S34:$AQ34)*$N35/100</f>
        <v>2681.9609999999998</v>
      </c>
      <c r="T35" s="516">
        <f>SUM(T34:$AQ34)*$N35/100</f>
        <v>2453.7089999999998</v>
      </c>
      <c r="U35" s="516">
        <f>SUM(U34:$AQ34)*$N35/100</f>
        <v>2225.4569999999999</v>
      </c>
      <c r="V35" s="516">
        <f>SUM(V34:$AQ34)*$N35/100</f>
        <v>1997.2049999999999</v>
      </c>
      <c r="W35" s="516">
        <f>SUM(W34:$AQ34)*$N35/100</f>
        <v>1768.953</v>
      </c>
      <c r="X35" s="516">
        <f>SUM(X34:$AQ34)*$N35/100</f>
        <v>1540.701</v>
      </c>
      <c r="Y35" s="516">
        <f>SUM(Y34:$AQ34)*$N35/100</f>
        <v>1312.4489999999998</v>
      </c>
      <c r="Z35" s="516">
        <f>SUM(Z34:$AQ34)*$N35/100</f>
        <v>1084.1969999999999</v>
      </c>
      <c r="AA35" s="516">
        <f>SUM(AA34:$AQ34)*$N35/100</f>
        <v>855.94500000000005</v>
      </c>
      <c r="AB35" s="516">
        <f>SUM(AB34:$AQ34)*$N35/100</f>
        <v>627.69299999999998</v>
      </c>
      <c r="AC35" s="516">
        <f>SUM(AC34:$AQ34)*$N35/100</f>
        <v>399.44099999999997</v>
      </c>
      <c r="AD35" s="516">
        <f>SUM(AD34:$AQ34)*$N35/100</f>
        <v>171.18899999999996</v>
      </c>
      <c r="AE35" s="516">
        <v>0</v>
      </c>
      <c r="AF35" s="516">
        <v>0</v>
      </c>
      <c r="AG35" s="516">
        <v>0</v>
      </c>
      <c r="AH35" s="516">
        <v>0</v>
      </c>
      <c r="AI35" s="516">
        <v>0</v>
      </c>
      <c r="AJ35" s="516">
        <v>0</v>
      </c>
      <c r="AK35" s="516">
        <v>0</v>
      </c>
      <c r="AL35" s="516">
        <v>0</v>
      </c>
      <c r="AM35" s="516">
        <v>0</v>
      </c>
      <c r="AN35" s="516">
        <v>0</v>
      </c>
      <c r="AO35" s="516">
        <v>0</v>
      </c>
      <c r="AP35" s="516">
        <v>0</v>
      </c>
      <c r="AQ35" s="516">
        <v>0</v>
      </c>
      <c r="AR35" s="516"/>
      <c r="AS35" s="516"/>
      <c r="AT35" s="517">
        <f t="shared" si="0"/>
        <v>20029.112999999994</v>
      </c>
      <c r="AU35" s="505">
        <f t="shared" si="1"/>
        <v>0</v>
      </c>
      <c r="AV35" s="518">
        <f t="shared" si="3"/>
        <v>4450.9139999999998</v>
      </c>
      <c r="AW35" s="516">
        <f t="shared" si="2"/>
        <v>20029.112999999998</v>
      </c>
      <c r="AY35" s="507"/>
    </row>
    <row r="36" spans="2:51" s="494" customFormat="1" outlineLevel="2" collapsed="1" x14ac:dyDescent="0.25">
      <c r="B36" s="495" t="s">
        <v>227</v>
      </c>
      <c r="C36" s="496">
        <v>16</v>
      </c>
      <c r="D36" s="497" t="s">
        <v>880</v>
      </c>
      <c r="E36" s="498" t="s">
        <v>881</v>
      </c>
      <c r="F36" s="499" t="s">
        <v>882</v>
      </c>
      <c r="G36" s="499" t="s">
        <v>877</v>
      </c>
      <c r="H36" s="499" t="s">
        <v>883</v>
      </c>
      <c r="I36" s="499" t="s">
        <v>224</v>
      </c>
      <c r="J36" s="500">
        <v>1174139.99</v>
      </c>
      <c r="K36" s="501">
        <v>627563.99</v>
      </c>
      <c r="L36" s="501"/>
      <c r="M36" s="501"/>
      <c r="N36" s="519"/>
      <c r="O36" s="519"/>
      <c r="P36" s="502"/>
      <c r="Q36" s="502" t="s">
        <v>749</v>
      </c>
      <c r="R36" s="503">
        <v>80976</v>
      </c>
      <c r="S36" s="503">
        <v>80976</v>
      </c>
      <c r="T36" s="503">
        <v>80976</v>
      </c>
      <c r="U36" s="503">
        <v>80976</v>
      </c>
      <c r="V36" s="503">
        <v>80976</v>
      </c>
      <c r="W36" s="503">
        <v>80976</v>
      </c>
      <c r="X36" s="503">
        <v>80976</v>
      </c>
      <c r="Y36" s="503">
        <v>60731.990000000005</v>
      </c>
      <c r="Z36" s="503">
        <v>0</v>
      </c>
      <c r="AA36" s="503">
        <v>0</v>
      </c>
      <c r="AB36" s="503">
        <v>0</v>
      </c>
      <c r="AC36" s="503">
        <v>0</v>
      </c>
      <c r="AD36" s="503">
        <v>0</v>
      </c>
      <c r="AE36" s="503">
        <v>0</v>
      </c>
      <c r="AF36" s="503">
        <v>0</v>
      </c>
      <c r="AG36" s="503">
        <v>0</v>
      </c>
      <c r="AH36" s="503">
        <v>0</v>
      </c>
      <c r="AI36" s="503">
        <v>0</v>
      </c>
      <c r="AJ36" s="503">
        <v>0</v>
      </c>
      <c r="AK36" s="503">
        <v>0</v>
      </c>
      <c r="AL36" s="503">
        <v>0</v>
      </c>
      <c r="AM36" s="503">
        <v>0</v>
      </c>
      <c r="AN36" s="503">
        <v>0</v>
      </c>
      <c r="AO36" s="503">
        <v>0</v>
      </c>
      <c r="AP36" s="503">
        <v>0</v>
      </c>
      <c r="AQ36" s="503">
        <v>0</v>
      </c>
      <c r="AR36" s="503"/>
      <c r="AS36" s="503"/>
      <c r="AT36" s="504">
        <f t="shared" si="0"/>
        <v>627563.99</v>
      </c>
      <c r="AU36" s="505">
        <f t="shared" si="1"/>
        <v>0</v>
      </c>
      <c r="AV36" s="506">
        <f t="shared" si="3"/>
        <v>60731.990000000005</v>
      </c>
      <c r="AW36" s="503">
        <f t="shared" si="2"/>
        <v>627563.99</v>
      </c>
      <c r="AY36" s="507"/>
    </row>
    <row r="37" spans="2:51" outlineLevel="2" x14ac:dyDescent="0.25">
      <c r="B37" s="508" t="s">
        <v>227</v>
      </c>
      <c r="C37" s="509"/>
      <c r="D37" s="510"/>
      <c r="E37" s="511"/>
      <c r="F37" s="512"/>
      <c r="G37" s="512"/>
      <c r="H37" s="512"/>
      <c r="I37" s="512"/>
      <c r="J37" s="513"/>
      <c r="K37" s="514"/>
      <c r="L37" s="513" t="s">
        <v>884</v>
      </c>
      <c r="M37" s="513"/>
      <c r="N37" s="515">
        <f t="shared" si="4"/>
        <v>2.4830000000000001</v>
      </c>
      <c r="O37" s="515">
        <v>2.4830000000000001</v>
      </c>
      <c r="P37" s="515">
        <f>$P$4</f>
        <v>0</v>
      </c>
      <c r="Q37" s="515" t="s">
        <v>792</v>
      </c>
      <c r="R37" s="516">
        <f>SUM(R36:$AQ36)*$N37/100</f>
        <v>15582.413871700001</v>
      </c>
      <c r="S37" s="516">
        <f>SUM(S36:$AQ36)*$N37/100</f>
        <v>13571.779791699999</v>
      </c>
      <c r="T37" s="516">
        <f>SUM(T36:$AQ36)*$N37/100</f>
        <v>11561.145711700001</v>
      </c>
      <c r="U37" s="516">
        <f>SUM(U36:$AQ36)*$N37/100</f>
        <v>9550.5116316999993</v>
      </c>
      <c r="V37" s="516">
        <f>SUM(V36:$AQ36)*$N37/100</f>
        <v>7539.8775517000004</v>
      </c>
      <c r="W37" s="516">
        <f>SUM(W36:$AQ36)*$N37/100</f>
        <v>5529.2434716999996</v>
      </c>
      <c r="X37" s="516">
        <f>SUM(X36:$AQ36)*$N37/100</f>
        <v>3518.6093916999998</v>
      </c>
      <c r="Y37" s="516">
        <f>SUM(Y36:$AQ36)*$N37/100</f>
        <v>1507.9753117000002</v>
      </c>
      <c r="Z37" s="516">
        <v>0</v>
      </c>
      <c r="AA37" s="516">
        <v>0</v>
      </c>
      <c r="AB37" s="516">
        <v>0</v>
      </c>
      <c r="AC37" s="516">
        <v>0</v>
      </c>
      <c r="AD37" s="516">
        <v>0</v>
      </c>
      <c r="AE37" s="516">
        <v>0</v>
      </c>
      <c r="AF37" s="516">
        <v>0</v>
      </c>
      <c r="AG37" s="516">
        <v>0</v>
      </c>
      <c r="AH37" s="516">
        <v>0</v>
      </c>
      <c r="AI37" s="516">
        <v>0</v>
      </c>
      <c r="AJ37" s="516">
        <v>0</v>
      </c>
      <c r="AK37" s="516">
        <v>0</v>
      </c>
      <c r="AL37" s="516">
        <v>0</v>
      </c>
      <c r="AM37" s="516">
        <v>0</v>
      </c>
      <c r="AN37" s="516">
        <v>0</v>
      </c>
      <c r="AO37" s="516">
        <v>0</v>
      </c>
      <c r="AP37" s="516">
        <v>0</v>
      </c>
      <c r="AQ37" s="516">
        <v>0</v>
      </c>
      <c r="AR37" s="516"/>
      <c r="AS37" s="516"/>
      <c r="AT37" s="517">
        <f t="shared" si="0"/>
        <v>68361.556733600009</v>
      </c>
      <c r="AU37" s="505">
        <f t="shared" si="1"/>
        <v>0</v>
      </c>
      <c r="AV37" s="518">
        <f t="shared" si="3"/>
        <v>1507.9753117000002</v>
      </c>
      <c r="AW37" s="516">
        <f t="shared" si="2"/>
        <v>68361.556733600009</v>
      </c>
      <c r="AY37" s="507"/>
    </row>
    <row r="38" spans="2:51" s="494" customFormat="1" outlineLevel="2" collapsed="1" x14ac:dyDescent="0.25">
      <c r="B38" s="495" t="s">
        <v>227</v>
      </c>
      <c r="C38" s="496">
        <v>17</v>
      </c>
      <c r="D38" s="497" t="s">
        <v>885</v>
      </c>
      <c r="E38" s="498" t="s">
        <v>886</v>
      </c>
      <c r="F38" s="499" t="s">
        <v>887</v>
      </c>
      <c r="G38" s="499" t="s">
        <v>888</v>
      </c>
      <c r="H38" s="499" t="s">
        <v>889</v>
      </c>
      <c r="I38" s="499" t="s">
        <v>224</v>
      </c>
      <c r="J38" s="500">
        <v>388132.51</v>
      </c>
      <c r="K38" s="501">
        <v>107162</v>
      </c>
      <c r="L38" s="501"/>
      <c r="M38" s="501"/>
      <c r="N38" s="519"/>
      <c r="O38" s="519"/>
      <c r="P38" s="502"/>
      <c r="Q38" s="502" t="s">
        <v>749</v>
      </c>
      <c r="R38" s="503">
        <v>38968</v>
      </c>
      <c r="S38" s="503">
        <v>38968</v>
      </c>
      <c r="T38" s="503">
        <v>29226</v>
      </c>
      <c r="U38" s="503">
        <v>0</v>
      </c>
      <c r="V38" s="503">
        <v>0</v>
      </c>
      <c r="W38" s="503">
        <v>0</v>
      </c>
      <c r="X38" s="503">
        <v>0</v>
      </c>
      <c r="Y38" s="503">
        <v>0</v>
      </c>
      <c r="Z38" s="503">
        <v>0</v>
      </c>
      <c r="AA38" s="503">
        <v>0</v>
      </c>
      <c r="AB38" s="503">
        <v>0</v>
      </c>
      <c r="AC38" s="503">
        <v>0</v>
      </c>
      <c r="AD38" s="503">
        <v>0</v>
      </c>
      <c r="AE38" s="503">
        <v>0</v>
      </c>
      <c r="AF38" s="503">
        <v>0</v>
      </c>
      <c r="AG38" s="503">
        <v>0</v>
      </c>
      <c r="AH38" s="503">
        <v>0</v>
      </c>
      <c r="AI38" s="503">
        <v>0</v>
      </c>
      <c r="AJ38" s="503">
        <v>0</v>
      </c>
      <c r="AK38" s="503">
        <v>0</v>
      </c>
      <c r="AL38" s="503">
        <v>0</v>
      </c>
      <c r="AM38" s="503">
        <v>0</v>
      </c>
      <c r="AN38" s="503">
        <v>0</v>
      </c>
      <c r="AO38" s="503">
        <v>0</v>
      </c>
      <c r="AP38" s="503">
        <v>0</v>
      </c>
      <c r="AQ38" s="503">
        <v>0</v>
      </c>
      <c r="AR38" s="503"/>
      <c r="AS38" s="503"/>
      <c r="AT38" s="504">
        <f t="shared" si="0"/>
        <v>107162</v>
      </c>
      <c r="AU38" s="505">
        <f t="shared" si="1"/>
        <v>0</v>
      </c>
      <c r="AV38" s="506">
        <f t="shared" si="3"/>
        <v>0</v>
      </c>
      <c r="AW38" s="503">
        <f t="shared" si="2"/>
        <v>107162</v>
      </c>
      <c r="AY38" s="507"/>
    </row>
    <row r="39" spans="2:51" outlineLevel="2" x14ac:dyDescent="0.25">
      <c r="B39" s="508" t="s">
        <v>227</v>
      </c>
      <c r="C39" s="509"/>
      <c r="D39" s="510"/>
      <c r="E39" s="511"/>
      <c r="F39" s="512"/>
      <c r="G39" s="512"/>
      <c r="H39" s="512"/>
      <c r="I39" s="512"/>
      <c r="J39" s="513"/>
      <c r="K39" s="514"/>
      <c r="L39" s="513" t="s">
        <v>890</v>
      </c>
      <c r="M39" s="513"/>
      <c r="N39" s="515">
        <f t="shared" si="4"/>
        <v>2.5070000000000001</v>
      </c>
      <c r="O39" s="515">
        <v>2.5070000000000001</v>
      </c>
      <c r="P39" s="515">
        <f>$P$4</f>
        <v>0</v>
      </c>
      <c r="Q39" s="515" t="s">
        <v>792</v>
      </c>
      <c r="R39" s="516">
        <f>SUM(R38:$AQ38)*$N39/100</f>
        <v>2686.55134</v>
      </c>
      <c r="S39" s="516">
        <f>SUM(S38:$AQ38)*$N39/100</f>
        <v>1709.6235800000002</v>
      </c>
      <c r="T39" s="516">
        <f>SUM(T38:$AQ38)*$N39/100</f>
        <v>732.69582000000014</v>
      </c>
      <c r="U39" s="516">
        <v>0</v>
      </c>
      <c r="V39" s="516">
        <v>0</v>
      </c>
      <c r="W39" s="516">
        <v>0</v>
      </c>
      <c r="X39" s="516">
        <v>0</v>
      </c>
      <c r="Y39" s="516">
        <v>0</v>
      </c>
      <c r="Z39" s="516">
        <v>0</v>
      </c>
      <c r="AA39" s="516">
        <v>0</v>
      </c>
      <c r="AB39" s="516">
        <v>0</v>
      </c>
      <c r="AC39" s="516">
        <v>0</v>
      </c>
      <c r="AD39" s="516">
        <v>0</v>
      </c>
      <c r="AE39" s="516">
        <v>0</v>
      </c>
      <c r="AF39" s="516">
        <v>0</v>
      </c>
      <c r="AG39" s="516">
        <v>0</v>
      </c>
      <c r="AH39" s="516">
        <v>0</v>
      </c>
      <c r="AI39" s="516">
        <v>0</v>
      </c>
      <c r="AJ39" s="516">
        <v>0</v>
      </c>
      <c r="AK39" s="516">
        <v>0</v>
      </c>
      <c r="AL39" s="516">
        <v>0</v>
      </c>
      <c r="AM39" s="516">
        <v>0</v>
      </c>
      <c r="AN39" s="516">
        <v>0</v>
      </c>
      <c r="AO39" s="516">
        <v>0</v>
      </c>
      <c r="AP39" s="516">
        <v>0</v>
      </c>
      <c r="AQ39" s="516">
        <v>0</v>
      </c>
      <c r="AR39" s="516"/>
      <c r="AS39" s="516"/>
      <c r="AT39" s="517">
        <f t="shared" si="0"/>
        <v>5128.8707400000003</v>
      </c>
      <c r="AU39" s="505">
        <f t="shared" si="1"/>
        <v>0</v>
      </c>
      <c r="AV39" s="518">
        <f t="shared" si="3"/>
        <v>0</v>
      </c>
      <c r="AW39" s="516">
        <f t="shared" si="2"/>
        <v>5128.8707400000003</v>
      </c>
      <c r="AY39" s="507"/>
    </row>
    <row r="40" spans="2:51" s="494" customFormat="1" outlineLevel="2" x14ac:dyDescent="0.25">
      <c r="B40" s="495" t="s">
        <v>316</v>
      </c>
      <c r="C40" s="496">
        <v>18</v>
      </c>
      <c r="D40" s="497" t="s">
        <v>834</v>
      </c>
      <c r="E40" s="498" t="s">
        <v>891</v>
      </c>
      <c r="F40" s="499" t="s">
        <v>892</v>
      </c>
      <c r="G40" s="499" t="s">
        <v>893</v>
      </c>
      <c r="H40" s="499" t="s">
        <v>894</v>
      </c>
      <c r="I40" s="499" t="s">
        <v>224</v>
      </c>
      <c r="J40" s="500">
        <v>160577.24</v>
      </c>
      <c r="K40" s="501">
        <v>107068</v>
      </c>
      <c r="L40" s="501"/>
      <c r="M40" s="501"/>
      <c r="N40" s="519"/>
      <c r="O40" s="519"/>
      <c r="P40" s="502"/>
      <c r="Q40" s="502" t="s">
        <v>749</v>
      </c>
      <c r="R40" s="503">
        <v>8236</v>
      </c>
      <c r="S40" s="503">
        <v>8236</v>
      </c>
      <c r="T40" s="503">
        <v>8236</v>
      </c>
      <c r="U40" s="503">
        <v>8236</v>
      </c>
      <c r="V40" s="503">
        <v>8236</v>
      </c>
      <c r="W40" s="503">
        <v>8236</v>
      </c>
      <c r="X40" s="503">
        <v>8236</v>
      </c>
      <c r="Y40" s="503">
        <v>8236</v>
      </c>
      <c r="Z40" s="503">
        <v>8236</v>
      </c>
      <c r="AA40" s="503">
        <v>8236</v>
      </c>
      <c r="AB40" s="503">
        <v>8236</v>
      </c>
      <c r="AC40" s="503">
        <v>8236</v>
      </c>
      <c r="AD40" s="503">
        <v>8236</v>
      </c>
      <c r="AE40" s="503">
        <v>0</v>
      </c>
      <c r="AF40" s="503">
        <v>0</v>
      </c>
      <c r="AG40" s="503">
        <v>0</v>
      </c>
      <c r="AH40" s="503">
        <v>0</v>
      </c>
      <c r="AI40" s="503">
        <v>0</v>
      </c>
      <c r="AJ40" s="503">
        <v>0</v>
      </c>
      <c r="AK40" s="503">
        <v>0</v>
      </c>
      <c r="AL40" s="503">
        <v>0</v>
      </c>
      <c r="AM40" s="503">
        <v>0</v>
      </c>
      <c r="AN40" s="503">
        <v>0</v>
      </c>
      <c r="AO40" s="503">
        <v>0</v>
      </c>
      <c r="AP40" s="503">
        <v>0</v>
      </c>
      <c r="AQ40" s="503">
        <v>0</v>
      </c>
      <c r="AR40" s="503"/>
      <c r="AS40" s="503"/>
      <c r="AT40" s="504">
        <f t="shared" si="0"/>
        <v>107068</v>
      </c>
      <c r="AU40" s="505">
        <f t="shared" si="1"/>
        <v>0</v>
      </c>
      <c r="AV40" s="506">
        <f t="shared" si="3"/>
        <v>49416</v>
      </c>
      <c r="AW40" s="503">
        <f t="shared" si="2"/>
        <v>107068</v>
      </c>
      <c r="AY40" s="507"/>
    </row>
    <row r="41" spans="2:51" outlineLevel="2" x14ac:dyDescent="0.25">
      <c r="B41" s="508" t="s">
        <v>316</v>
      </c>
      <c r="C41" s="509"/>
      <c r="D41" s="510" t="s">
        <v>895</v>
      </c>
      <c r="E41" s="511"/>
      <c r="F41" s="512"/>
      <c r="G41" s="512"/>
      <c r="H41" s="512"/>
      <c r="I41" s="512"/>
      <c r="J41" s="513"/>
      <c r="K41" s="514"/>
      <c r="L41" s="513" t="s">
        <v>896</v>
      </c>
      <c r="M41" s="513"/>
      <c r="N41" s="515">
        <f t="shared" si="4"/>
        <v>2.484</v>
      </c>
      <c r="O41" s="515">
        <v>2.484</v>
      </c>
      <c r="P41" s="515">
        <f>$P$4</f>
        <v>0</v>
      </c>
      <c r="Q41" s="515" t="s">
        <v>792</v>
      </c>
      <c r="R41" s="516">
        <f>SUM(R40:$AQ40)*$N41/100</f>
        <v>2659.5691200000001</v>
      </c>
      <c r="S41" s="516">
        <f>SUM(S40:$AQ40)*$N41/100</f>
        <v>2454.9868799999999</v>
      </c>
      <c r="T41" s="516">
        <f>SUM(T40:$AQ40)*$N41/100</f>
        <v>2250.4046400000002</v>
      </c>
      <c r="U41" s="516">
        <f>SUM(U40:$AQ40)*$N41/100</f>
        <v>2045.8224</v>
      </c>
      <c r="V41" s="516">
        <f>SUM(V40:$AQ40)*$N41/100</f>
        <v>1841.2401600000001</v>
      </c>
      <c r="W41" s="516">
        <f>SUM(W40:$AQ40)*$N41/100</f>
        <v>1636.6579199999999</v>
      </c>
      <c r="X41" s="516">
        <f>SUM(X40:$AQ40)*$N41/100</f>
        <v>1432.0756799999999</v>
      </c>
      <c r="Y41" s="516">
        <f>SUM(Y40:$AQ40)*$N41/100</f>
        <v>1227.49344</v>
      </c>
      <c r="Z41" s="516">
        <f>SUM(Z40:$AQ40)*$N41/100</f>
        <v>1022.9112</v>
      </c>
      <c r="AA41" s="516">
        <f>SUM(AA40:$AQ40)*$N41/100</f>
        <v>818.32895999999994</v>
      </c>
      <c r="AB41" s="516">
        <f>SUM(AB40:$AQ40)*$N41/100</f>
        <v>613.74671999999998</v>
      </c>
      <c r="AC41" s="516">
        <f>SUM(AC40:$AQ40)*$N41/100</f>
        <v>409.16447999999997</v>
      </c>
      <c r="AD41" s="516">
        <f>SUM(AD40:$AQ40)*$N41/100</f>
        <v>204.58223999999998</v>
      </c>
      <c r="AE41" s="516">
        <v>0</v>
      </c>
      <c r="AF41" s="516">
        <v>0</v>
      </c>
      <c r="AG41" s="516">
        <v>0</v>
      </c>
      <c r="AH41" s="516">
        <v>0</v>
      </c>
      <c r="AI41" s="516">
        <v>0</v>
      </c>
      <c r="AJ41" s="516">
        <v>0</v>
      </c>
      <c r="AK41" s="516">
        <v>0</v>
      </c>
      <c r="AL41" s="516">
        <v>0</v>
      </c>
      <c r="AM41" s="516">
        <v>0</v>
      </c>
      <c r="AN41" s="516">
        <v>0</v>
      </c>
      <c r="AO41" s="516">
        <v>0</v>
      </c>
      <c r="AP41" s="516">
        <v>0</v>
      </c>
      <c r="AQ41" s="516">
        <v>0</v>
      </c>
      <c r="AR41" s="516"/>
      <c r="AS41" s="516"/>
      <c r="AT41" s="517">
        <f t="shared" si="0"/>
        <v>18616.983839999997</v>
      </c>
      <c r="AU41" s="505">
        <f t="shared" si="1"/>
        <v>0</v>
      </c>
      <c r="AV41" s="518">
        <f t="shared" si="3"/>
        <v>4296.2270399999998</v>
      </c>
      <c r="AW41" s="516">
        <f t="shared" si="2"/>
        <v>18616.983840000001</v>
      </c>
      <c r="AY41" s="507"/>
    </row>
    <row r="42" spans="2:51" s="494" customFormat="1" outlineLevel="2" x14ac:dyDescent="0.25">
      <c r="B42" s="495" t="s">
        <v>316</v>
      </c>
      <c r="C42" s="496">
        <v>19</v>
      </c>
      <c r="D42" s="497" t="s">
        <v>897</v>
      </c>
      <c r="E42" s="498" t="s">
        <v>898</v>
      </c>
      <c r="F42" s="499" t="s">
        <v>899</v>
      </c>
      <c r="G42" s="499" t="s">
        <v>900</v>
      </c>
      <c r="H42" s="499" t="s">
        <v>901</v>
      </c>
      <c r="I42" s="499" t="s">
        <v>224</v>
      </c>
      <c r="J42" s="500">
        <v>131127</v>
      </c>
      <c r="K42" s="501">
        <v>87464</v>
      </c>
      <c r="L42" s="501"/>
      <c r="M42" s="501"/>
      <c r="N42" s="519"/>
      <c r="O42" s="519"/>
      <c r="P42" s="502"/>
      <c r="Q42" s="502" t="s">
        <v>749</v>
      </c>
      <c r="R42" s="503">
        <v>6728</v>
      </c>
      <c r="S42" s="503">
        <v>6728</v>
      </c>
      <c r="T42" s="503">
        <v>6728</v>
      </c>
      <c r="U42" s="503">
        <v>6728</v>
      </c>
      <c r="V42" s="503">
        <v>6728</v>
      </c>
      <c r="W42" s="503">
        <v>6728</v>
      </c>
      <c r="X42" s="503">
        <v>6728</v>
      </c>
      <c r="Y42" s="503">
        <v>6728</v>
      </c>
      <c r="Z42" s="503">
        <v>6728</v>
      </c>
      <c r="AA42" s="503">
        <v>6728</v>
      </c>
      <c r="AB42" s="503">
        <v>6728</v>
      </c>
      <c r="AC42" s="503">
        <v>6728</v>
      </c>
      <c r="AD42" s="503">
        <v>6728</v>
      </c>
      <c r="AE42" s="503">
        <v>0</v>
      </c>
      <c r="AF42" s="503">
        <v>0</v>
      </c>
      <c r="AG42" s="503">
        <v>0</v>
      </c>
      <c r="AH42" s="503">
        <v>0</v>
      </c>
      <c r="AI42" s="503">
        <v>0</v>
      </c>
      <c r="AJ42" s="503">
        <v>0</v>
      </c>
      <c r="AK42" s="503">
        <v>0</v>
      </c>
      <c r="AL42" s="503">
        <v>0</v>
      </c>
      <c r="AM42" s="503">
        <v>0</v>
      </c>
      <c r="AN42" s="503">
        <v>0</v>
      </c>
      <c r="AO42" s="503">
        <v>0</v>
      </c>
      <c r="AP42" s="503">
        <v>0</v>
      </c>
      <c r="AQ42" s="503">
        <v>0</v>
      </c>
      <c r="AR42" s="503"/>
      <c r="AS42" s="503"/>
      <c r="AT42" s="504">
        <f t="shared" si="0"/>
        <v>87464</v>
      </c>
      <c r="AU42" s="505">
        <f t="shared" si="1"/>
        <v>0</v>
      </c>
      <c r="AV42" s="506">
        <f t="shared" si="3"/>
        <v>40368</v>
      </c>
      <c r="AW42" s="503">
        <f t="shared" si="2"/>
        <v>87464</v>
      </c>
      <c r="AY42" s="507"/>
    </row>
    <row r="43" spans="2:51" outlineLevel="2" x14ac:dyDescent="0.25">
      <c r="B43" s="508" t="s">
        <v>316</v>
      </c>
      <c r="C43" s="509"/>
      <c r="D43" s="510" t="s">
        <v>902</v>
      </c>
      <c r="E43" s="511"/>
      <c r="F43" s="512"/>
      <c r="G43" s="512"/>
      <c r="H43" s="512"/>
      <c r="I43" s="512"/>
      <c r="J43" s="513"/>
      <c r="K43" s="514"/>
      <c r="L43" s="513" t="s">
        <v>903</v>
      </c>
      <c r="M43" s="513"/>
      <c r="N43" s="515">
        <f t="shared" si="4"/>
        <v>2.4670000000000001</v>
      </c>
      <c r="O43" s="515">
        <v>2.4670000000000001</v>
      </c>
      <c r="P43" s="515">
        <f>$P$4</f>
        <v>0</v>
      </c>
      <c r="Q43" s="515" t="s">
        <v>792</v>
      </c>
      <c r="R43" s="516">
        <f>SUM(R42:$AQ42)*$N43/100</f>
        <v>2157.7368799999999</v>
      </c>
      <c r="S43" s="516">
        <f>SUM(S42:$AQ42)*$N43/100</f>
        <v>1991.75712</v>
      </c>
      <c r="T43" s="516">
        <f>SUM(T42:$AQ42)*$N43/100</f>
        <v>1825.77736</v>
      </c>
      <c r="U43" s="516">
        <f>SUM(U42:$AQ42)*$N43/100</f>
        <v>1659.7976000000001</v>
      </c>
      <c r="V43" s="516">
        <f>SUM(V42:$AQ42)*$N43/100</f>
        <v>1493.8178400000002</v>
      </c>
      <c r="W43" s="516">
        <f>SUM(W42:$AQ42)*$N43/100</f>
        <v>1327.83808</v>
      </c>
      <c r="X43" s="516">
        <f>SUM(X42:$AQ42)*$N43/100</f>
        <v>1161.85832</v>
      </c>
      <c r="Y43" s="516">
        <f>SUM(Y42:$AQ42)*$N43/100</f>
        <v>995.87855999999999</v>
      </c>
      <c r="Z43" s="516">
        <f>SUM(Z42:$AQ42)*$N43/100</f>
        <v>829.89880000000005</v>
      </c>
      <c r="AA43" s="516">
        <f>SUM(AA42:$AQ42)*$N43/100</f>
        <v>663.91904</v>
      </c>
      <c r="AB43" s="516">
        <f>SUM(AB42:$AQ42)*$N43/100</f>
        <v>497.93928</v>
      </c>
      <c r="AC43" s="516">
        <f>SUM(AC42:$AQ42)*$N43/100</f>
        <v>331.95952</v>
      </c>
      <c r="AD43" s="516">
        <f>SUM(AD42:$AQ42)*$N43/100</f>
        <v>165.97976</v>
      </c>
      <c r="AE43" s="516">
        <v>0</v>
      </c>
      <c r="AF43" s="516">
        <v>0</v>
      </c>
      <c r="AG43" s="516">
        <v>0</v>
      </c>
      <c r="AH43" s="516">
        <v>0</v>
      </c>
      <c r="AI43" s="516">
        <v>0</v>
      </c>
      <c r="AJ43" s="516">
        <v>0</v>
      </c>
      <c r="AK43" s="516">
        <v>0</v>
      </c>
      <c r="AL43" s="516">
        <v>0</v>
      </c>
      <c r="AM43" s="516">
        <v>0</v>
      </c>
      <c r="AN43" s="516">
        <v>0</v>
      </c>
      <c r="AO43" s="516">
        <v>0</v>
      </c>
      <c r="AP43" s="516">
        <v>0</v>
      </c>
      <c r="AQ43" s="516">
        <v>0</v>
      </c>
      <c r="AR43" s="516"/>
      <c r="AS43" s="516"/>
      <c r="AT43" s="517">
        <f t="shared" si="0"/>
        <v>15104.158160000001</v>
      </c>
      <c r="AU43" s="505">
        <f t="shared" si="1"/>
        <v>0</v>
      </c>
      <c r="AV43" s="518">
        <f t="shared" si="3"/>
        <v>3485.5749599999999</v>
      </c>
      <c r="AW43" s="516">
        <f t="shared" si="2"/>
        <v>15104.158159999999</v>
      </c>
      <c r="AY43" s="507"/>
    </row>
    <row r="44" spans="2:51" s="494" customFormat="1" outlineLevel="2" x14ac:dyDescent="0.25">
      <c r="B44" s="495" t="s">
        <v>316</v>
      </c>
      <c r="C44" s="496">
        <v>20</v>
      </c>
      <c r="D44" s="497" t="s">
        <v>904</v>
      </c>
      <c r="E44" s="498" t="s">
        <v>905</v>
      </c>
      <c r="F44" s="499" t="s">
        <v>906</v>
      </c>
      <c r="G44" s="499" t="s">
        <v>907</v>
      </c>
      <c r="H44" s="499" t="s">
        <v>908</v>
      </c>
      <c r="I44" s="499" t="s">
        <v>224</v>
      </c>
      <c r="J44" s="500">
        <v>5678344.2000000002</v>
      </c>
      <c r="K44" s="501">
        <v>2273448</v>
      </c>
      <c r="L44" s="501"/>
      <c r="M44" s="501"/>
      <c r="N44" s="519"/>
      <c r="O44" s="519"/>
      <c r="P44" s="502"/>
      <c r="Q44" s="502" t="s">
        <v>749</v>
      </c>
      <c r="R44" s="503">
        <v>344336</v>
      </c>
      <c r="S44" s="503">
        <v>314856</v>
      </c>
      <c r="T44" s="503">
        <v>305080</v>
      </c>
      <c r="U44" s="503">
        <v>279984</v>
      </c>
      <c r="V44" s="503">
        <v>252100</v>
      </c>
      <c r="W44" s="503">
        <v>243352</v>
      </c>
      <c r="X44" s="503">
        <v>243352</v>
      </c>
      <c r="Y44" s="503">
        <v>243352</v>
      </c>
      <c r="Z44" s="503">
        <v>33356</v>
      </c>
      <c r="AA44" s="503">
        <v>13680</v>
      </c>
      <c r="AB44" s="503">
        <v>0</v>
      </c>
      <c r="AC44" s="503">
        <v>0</v>
      </c>
      <c r="AD44" s="503">
        <v>0</v>
      </c>
      <c r="AE44" s="503">
        <v>0</v>
      </c>
      <c r="AF44" s="503">
        <v>0</v>
      </c>
      <c r="AG44" s="503">
        <v>0</v>
      </c>
      <c r="AH44" s="503">
        <v>0</v>
      </c>
      <c r="AI44" s="503">
        <v>0</v>
      </c>
      <c r="AJ44" s="503">
        <v>0</v>
      </c>
      <c r="AK44" s="503">
        <v>0</v>
      </c>
      <c r="AL44" s="503">
        <v>0</v>
      </c>
      <c r="AM44" s="503">
        <v>0</v>
      </c>
      <c r="AN44" s="503">
        <v>0</v>
      </c>
      <c r="AO44" s="503">
        <v>0</v>
      </c>
      <c r="AP44" s="503">
        <v>0</v>
      </c>
      <c r="AQ44" s="503">
        <v>0</v>
      </c>
      <c r="AR44" s="503"/>
      <c r="AS44" s="503"/>
      <c r="AT44" s="504">
        <f t="shared" si="0"/>
        <v>2273448</v>
      </c>
      <c r="AU44" s="505">
        <f t="shared" si="1"/>
        <v>0</v>
      </c>
      <c r="AV44" s="506">
        <f t="shared" si="3"/>
        <v>290388</v>
      </c>
      <c r="AW44" s="503">
        <f t="shared" si="2"/>
        <v>2273448</v>
      </c>
      <c r="AY44" s="507"/>
    </row>
    <row r="45" spans="2:51" outlineLevel="2" x14ac:dyDescent="0.25">
      <c r="B45" s="508" t="s">
        <v>316</v>
      </c>
      <c r="C45" s="509"/>
      <c r="D45" s="510" t="s">
        <v>909</v>
      </c>
      <c r="E45" s="511"/>
      <c r="F45" s="512"/>
      <c r="G45" s="512"/>
      <c r="H45" s="512"/>
      <c r="I45" s="512"/>
      <c r="J45" s="513"/>
      <c r="K45" s="514"/>
      <c r="L45" s="513" t="s">
        <v>910</v>
      </c>
      <c r="M45" s="513"/>
      <c r="N45" s="515">
        <f t="shared" si="4"/>
        <v>2.5499999999999998</v>
      </c>
      <c r="O45" s="515">
        <v>2.5499999999999998</v>
      </c>
      <c r="P45" s="515">
        <f>$P$4</f>
        <v>0</v>
      </c>
      <c r="Q45" s="515" t="s">
        <v>792</v>
      </c>
      <c r="R45" s="516">
        <f>SUM(R44:$AQ44)*$N45/100</f>
        <v>57972.923999999992</v>
      </c>
      <c r="S45" s="516">
        <f>SUM(S44:$AQ44)*$N45/100</f>
        <v>49192.356</v>
      </c>
      <c r="T45" s="516">
        <f>SUM(T44:$AQ44)*$N45/100-2000</f>
        <v>39163.527999999998</v>
      </c>
      <c r="U45" s="516">
        <f>SUM(U44:$AQ44)*$N45/100</f>
        <v>33383.987999999998</v>
      </c>
      <c r="V45" s="516">
        <f>SUM(V44:$AQ44)*$N45/100</f>
        <v>26244.395999999997</v>
      </c>
      <c r="W45" s="516">
        <f>SUM(W44:$AQ44)*$N45/100</f>
        <v>19815.845999999998</v>
      </c>
      <c r="X45" s="516">
        <f>SUM(X44:$AQ44)*$N45/100</f>
        <v>13610.37</v>
      </c>
      <c r="Y45" s="516">
        <f>SUM(Y44:$AQ44)*$N45/100</f>
        <v>7404.8939999999993</v>
      </c>
      <c r="Z45" s="516">
        <f>SUM(Z44:$AQ44)*$N45/100</f>
        <v>1199.4179999999999</v>
      </c>
      <c r="AA45" s="516">
        <f>SUM(AA44:$AQ44)*$N45/100</f>
        <v>348.84</v>
      </c>
      <c r="AB45" s="516">
        <v>0</v>
      </c>
      <c r="AC45" s="516">
        <v>0</v>
      </c>
      <c r="AD45" s="516">
        <v>0</v>
      </c>
      <c r="AE45" s="516">
        <v>0</v>
      </c>
      <c r="AF45" s="516">
        <v>0</v>
      </c>
      <c r="AG45" s="516">
        <v>0</v>
      </c>
      <c r="AH45" s="516">
        <v>0</v>
      </c>
      <c r="AI45" s="516">
        <v>0</v>
      </c>
      <c r="AJ45" s="516">
        <v>0</v>
      </c>
      <c r="AK45" s="516">
        <v>0</v>
      </c>
      <c r="AL45" s="516">
        <v>0</v>
      </c>
      <c r="AM45" s="516">
        <v>0</v>
      </c>
      <c r="AN45" s="516">
        <v>0</v>
      </c>
      <c r="AO45" s="516">
        <v>0</v>
      </c>
      <c r="AP45" s="516">
        <v>0</v>
      </c>
      <c r="AQ45" s="516">
        <v>0</v>
      </c>
      <c r="AR45" s="516"/>
      <c r="AS45" s="516"/>
      <c r="AT45" s="517">
        <f t="shared" si="0"/>
        <v>248336.55999999997</v>
      </c>
      <c r="AU45" s="505">
        <f t="shared" si="1"/>
        <v>0</v>
      </c>
      <c r="AV45" s="518">
        <f t="shared" si="3"/>
        <v>8953.152</v>
      </c>
      <c r="AW45" s="516">
        <f t="shared" si="2"/>
        <v>248336.55999999997</v>
      </c>
      <c r="AY45" s="507"/>
    </row>
    <row r="46" spans="2:51" s="494" customFormat="1" outlineLevel="2" x14ac:dyDescent="0.25">
      <c r="B46" s="495" t="s">
        <v>316</v>
      </c>
      <c r="C46" s="496">
        <v>21</v>
      </c>
      <c r="D46" s="497" t="s">
        <v>911</v>
      </c>
      <c r="E46" s="498" t="s">
        <v>912</v>
      </c>
      <c r="F46" s="499" t="s">
        <v>913</v>
      </c>
      <c r="G46" s="499" t="s">
        <v>914</v>
      </c>
      <c r="H46" s="499" t="s">
        <v>915</v>
      </c>
      <c r="I46" s="499" t="s">
        <v>224</v>
      </c>
      <c r="J46" s="500">
        <v>117517</v>
      </c>
      <c r="K46" s="501">
        <v>6279</v>
      </c>
      <c r="L46" s="501"/>
      <c r="M46" s="501"/>
      <c r="N46" s="519"/>
      <c r="O46" s="519"/>
      <c r="P46" s="502"/>
      <c r="Q46" s="502" t="s">
        <v>749</v>
      </c>
      <c r="R46" s="503">
        <v>1932</v>
      </c>
      <c r="S46" s="503">
        <v>1932</v>
      </c>
      <c r="T46" s="503">
        <v>1932</v>
      </c>
      <c r="U46" s="503">
        <v>483</v>
      </c>
      <c r="V46" s="503">
        <v>0</v>
      </c>
      <c r="W46" s="503">
        <v>0</v>
      </c>
      <c r="X46" s="503">
        <v>0</v>
      </c>
      <c r="Y46" s="503">
        <v>0</v>
      </c>
      <c r="Z46" s="503">
        <v>0</v>
      </c>
      <c r="AA46" s="503">
        <v>0</v>
      </c>
      <c r="AB46" s="503">
        <v>0</v>
      </c>
      <c r="AC46" s="503">
        <v>0</v>
      </c>
      <c r="AD46" s="503">
        <v>0</v>
      </c>
      <c r="AE46" s="503">
        <v>0</v>
      </c>
      <c r="AF46" s="503">
        <v>0</v>
      </c>
      <c r="AG46" s="503">
        <v>0</v>
      </c>
      <c r="AH46" s="503">
        <v>0</v>
      </c>
      <c r="AI46" s="503">
        <v>0</v>
      </c>
      <c r="AJ46" s="503">
        <v>0</v>
      </c>
      <c r="AK46" s="503">
        <v>0</v>
      </c>
      <c r="AL46" s="503">
        <v>0</v>
      </c>
      <c r="AM46" s="503">
        <v>0</v>
      </c>
      <c r="AN46" s="503">
        <v>0</v>
      </c>
      <c r="AO46" s="503">
        <v>0</v>
      </c>
      <c r="AP46" s="503">
        <v>0</v>
      </c>
      <c r="AQ46" s="503">
        <v>0</v>
      </c>
      <c r="AR46" s="503"/>
      <c r="AS46" s="503"/>
      <c r="AT46" s="504">
        <f t="shared" si="0"/>
        <v>6279</v>
      </c>
      <c r="AU46" s="505">
        <f t="shared" si="1"/>
        <v>0</v>
      </c>
      <c r="AV46" s="506">
        <f t="shared" si="3"/>
        <v>0</v>
      </c>
      <c r="AW46" s="503">
        <f t="shared" si="2"/>
        <v>6279</v>
      </c>
      <c r="AY46" s="507"/>
    </row>
    <row r="47" spans="2:51" outlineLevel="2" x14ac:dyDescent="0.25">
      <c r="B47" s="508" t="s">
        <v>316</v>
      </c>
      <c r="C47" s="509"/>
      <c r="D47" s="510" t="s">
        <v>916</v>
      </c>
      <c r="E47" s="511"/>
      <c r="F47" s="512"/>
      <c r="G47" s="512"/>
      <c r="H47" s="512"/>
      <c r="I47" s="512"/>
      <c r="J47" s="513"/>
      <c r="K47" s="514"/>
      <c r="L47" s="513" t="s">
        <v>917</v>
      </c>
      <c r="M47" s="513"/>
      <c r="N47" s="515">
        <f t="shared" si="4"/>
        <v>2.8029999999999999</v>
      </c>
      <c r="O47" s="515">
        <v>2.8029999999999999</v>
      </c>
      <c r="P47" s="515">
        <f>$P$4</f>
        <v>0</v>
      </c>
      <c r="Q47" s="515" t="s">
        <v>792</v>
      </c>
      <c r="R47" s="516">
        <f>SUM(R46:$AQ46)*$N47/100</f>
        <v>176.00037</v>
      </c>
      <c r="S47" s="516">
        <f>SUM(S46:$AQ46)*$N47/100</f>
        <v>121.84640999999999</v>
      </c>
      <c r="T47" s="516">
        <f>SUM(T46:$AQ46)*$N47/100</f>
        <v>67.692449999999994</v>
      </c>
      <c r="U47" s="516">
        <f>SUM(U46:$AQ46)*$N47/100</f>
        <v>13.538489999999999</v>
      </c>
      <c r="V47" s="516">
        <v>0</v>
      </c>
      <c r="W47" s="516">
        <v>0</v>
      </c>
      <c r="X47" s="516">
        <v>0</v>
      </c>
      <c r="Y47" s="516">
        <v>0</v>
      </c>
      <c r="Z47" s="516">
        <v>0</v>
      </c>
      <c r="AA47" s="516">
        <v>0</v>
      </c>
      <c r="AB47" s="516">
        <v>0</v>
      </c>
      <c r="AC47" s="516">
        <v>0</v>
      </c>
      <c r="AD47" s="516">
        <v>0</v>
      </c>
      <c r="AE47" s="516">
        <v>0</v>
      </c>
      <c r="AF47" s="516">
        <v>0</v>
      </c>
      <c r="AG47" s="516">
        <v>0</v>
      </c>
      <c r="AH47" s="516">
        <v>0</v>
      </c>
      <c r="AI47" s="516">
        <v>0</v>
      </c>
      <c r="AJ47" s="516">
        <v>0</v>
      </c>
      <c r="AK47" s="516">
        <v>0</v>
      </c>
      <c r="AL47" s="516">
        <v>0</v>
      </c>
      <c r="AM47" s="516">
        <v>0</v>
      </c>
      <c r="AN47" s="516">
        <v>0</v>
      </c>
      <c r="AO47" s="516">
        <v>0</v>
      </c>
      <c r="AP47" s="516">
        <v>0</v>
      </c>
      <c r="AQ47" s="516">
        <v>0</v>
      </c>
      <c r="AR47" s="516"/>
      <c r="AS47" s="516"/>
      <c r="AT47" s="517">
        <f t="shared" si="0"/>
        <v>379.07772</v>
      </c>
      <c r="AU47" s="505">
        <f t="shared" si="1"/>
        <v>0</v>
      </c>
      <c r="AV47" s="518">
        <f t="shared" si="3"/>
        <v>0</v>
      </c>
      <c r="AW47" s="516">
        <f t="shared" si="2"/>
        <v>379.07772</v>
      </c>
      <c r="AY47" s="507"/>
    </row>
    <row r="48" spans="2:51" s="494" customFormat="1" outlineLevel="2" x14ac:dyDescent="0.25">
      <c r="B48" s="495" t="s">
        <v>316</v>
      </c>
      <c r="C48" s="496">
        <v>22</v>
      </c>
      <c r="D48" s="497" t="s">
        <v>918</v>
      </c>
      <c r="E48" s="498" t="s">
        <v>919</v>
      </c>
      <c r="F48" s="499" t="s">
        <v>920</v>
      </c>
      <c r="G48" s="499" t="s">
        <v>921</v>
      </c>
      <c r="H48" s="499" t="s">
        <v>922</v>
      </c>
      <c r="I48" s="499" t="s">
        <v>224</v>
      </c>
      <c r="J48" s="500">
        <v>2227434</v>
      </c>
      <c r="K48" s="501">
        <v>1655340</v>
      </c>
      <c r="L48" s="501"/>
      <c r="M48" s="501"/>
      <c r="N48" s="519"/>
      <c r="O48" s="519"/>
      <c r="P48" s="502"/>
      <c r="Q48" s="502" t="s">
        <v>749</v>
      </c>
      <c r="R48" s="503">
        <v>70440</v>
      </c>
      <c r="S48" s="503">
        <v>70440</v>
      </c>
      <c r="T48" s="503">
        <v>70440</v>
      </c>
      <c r="U48" s="503">
        <v>70440</v>
      </c>
      <c r="V48" s="503">
        <v>70440</v>
      </c>
      <c r="W48" s="503">
        <v>70440</v>
      </c>
      <c r="X48" s="503">
        <v>70440</v>
      </c>
      <c r="Y48" s="503">
        <v>70440</v>
      </c>
      <c r="Z48" s="503">
        <v>70440</v>
      </c>
      <c r="AA48" s="503">
        <v>70440</v>
      </c>
      <c r="AB48" s="503">
        <v>70440</v>
      </c>
      <c r="AC48" s="503">
        <v>70440</v>
      </c>
      <c r="AD48" s="503">
        <v>70440</v>
      </c>
      <c r="AE48" s="503">
        <v>70440</v>
      </c>
      <c r="AF48" s="503">
        <v>70440</v>
      </c>
      <c r="AG48" s="503">
        <v>70440</v>
      </c>
      <c r="AH48" s="503">
        <v>70440</v>
      </c>
      <c r="AI48" s="503">
        <v>70440</v>
      </c>
      <c r="AJ48" s="503">
        <v>70440</v>
      </c>
      <c r="AK48" s="503">
        <v>70440</v>
      </c>
      <c r="AL48" s="503">
        <v>70440</v>
      </c>
      <c r="AM48" s="503">
        <v>70440</v>
      </c>
      <c r="AN48" s="503">
        <v>70440</v>
      </c>
      <c r="AO48" s="503">
        <v>35220</v>
      </c>
      <c r="AP48" s="503">
        <v>0</v>
      </c>
      <c r="AQ48" s="503">
        <v>0</v>
      </c>
      <c r="AR48" s="503"/>
      <c r="AS48" s="503"/>
      <c r="AT48" s="504">
        <f t="shared" si="0"/>
        <v>1655340</v>
      </c>
      <c r="AU48" s="505">
        <f t="shared" si="1"/>
        <v>0</v>
      </c>
      <c r="AV48" s="506">
        <f t="shared" si="3"/>
        <v>1162260</v>
      </c>
      <c r="AW48" s="503">
        <f t="shared" si="2"/>
        <v>1655340</v>
      </c>
      <c r="AY48" s="507"/>
    </row>
    <row r="49" spans="1:51" outlineLevel="2" x14ac:dyDescent="0.25">
      <c r="B49" s="508" t="s">
        <v>316</v>
      </c>
      <c r="C49" s="509"/>
      <c r="D49" s="510" t="s">
        <v>923</v>
      </c>
      <c r="E49" s="511"/>
      <c r="F49" s="512"/>
      <c r="G49" s="512"/>
      <c r="H49" s="512"/>
      <c r="I49" s="512"/>
      <c r="J49" s="513"/>
      <c r="K49" s="514"/>
      <c r="L49" s="513" t="s">
        <v>924</v>
      </c>
      <c r="M49" s="513"/>
      <c r="N49" s="515">
        <f t="shared" si="4"/>
        <v>2.2999999999999998</v>
      </c>
      <c r="O49" s="515">
        <v>2.2999999999999998</v>
      </c>
      <c r="P49" s="515">
        <f>$P$4</f>
        <v>0</v>
      </c>
      <c r="Q49" s="515" t="s">
        <v>792</v>
      </c>
      <c r="R49" s="516">
        <f>SUM(R48:$AQ48)*$N49/100</f>
        <v>38072.819999999992</v>
      </c>
      <c r="S49" s="516">
        <f>SUM(S48:$AQ48)*$N49/100</f>
        <v>36452.699999999997</v>
      </c>
      <c r="T49" s="516">
        <f>SUM(T48:$AQ48)*$N49/100</f>
        <v>34832.579999999994</v>
      </c>
      <c r="U49" s="516">
        <f>SUM(U48:$AQ48)*$N49/100</f>
        <v>33212.459999999992</v>
      </c>
      <c r="V49" s="516">
        <f>SUM(V48:$AQ48)*$N49/100</f>
        <v>31592.339999999997</v>
      </c>
      <c r="W49" s="516">
        <f>SUM(W48:$AQ48)*$N49/100</f>
        <v>29972.22</v>
      </c>
      <c r="X49" s="516">
        <f>SUM(X48:$AQ48)*$N49/100</f>
        <v>28352.1</v>
      </c>
      <c r="Y49" s="516">
        <f>SUM(Y48:$AQ48)*$N49/100</f>
        <v>26731.98</v>
      </c>
      <c r="Z49" s="516">
        <f>SUM(Z48:$AQ48)*$N49/100</f>
        <v>25111.86</v>
      </c>
      <c r="AA49" s="516">
        <f>SUM(AA48:$AQ48)*$N49/100</f>
        <v>23491.74</v>
      </c>
      <c r="AB49" s="516">
        <f>SUM(AB48:$AQ48)*$N49/100</f>
        <v>21871.62</v>
      </c>
      <c r="AC49" s="516">
        <f>SUM(AC48:$AQ48)*$N49/100</f>
        <v>20251.499999999996</v>
      </c>
      <c r="AD49" s="516">
        <f>SUM(AD48:$AQ48)*$N49/100</f>
        <v>18631.379999999997</v>
      </c>
      <c r="AE49" s="516">
        <f>SUM(AE48:$AQ48)*$N49/100</f>
        <v>17011.259999999998</v>
      </c>
      <c r="AF49" s="516">
        <f>SUM(AF48:$AQ48)*$N49/100</f>
        <v>15391.139999999998</v>
      </c>
      <c r="AG49" s="516">
        <f>SUM(AG48:$AQ48)*$N49/100</f>
        <v>13771.02</v>
      </c>
      <c r="AH49" s="516">
        <f>SUM(AH48:$AQ48)*$N49/100</f>
        <v>12150.9</v>
      </c>
      <c r="AI49" s="516">
        <f>SUM(AI48:$AQ48)*$N49/100</f>
        <v>10530.78</v>
      </c>
      <c r="AJ49" s="516">
        <f>SUM(AJ48:$AQ48)*$N49/100</f>
        <v>8910.659999999998</v>
      </c>
      <c r="AK49" s="516">
        <f>SUM(AK48:$AQ48)*$N49/100</f>
        <v>7290.54</v>
      </c>
      <c r="AL49" s="516">
        <f>SUM(AL48:$AQ48)*$N49/100</f>
        <v>5670.42</v>
      </c>
      <c r="AM49" s="516">
        <f>SUM(AM48:$AQ48)*$N49/100</f>
        <v>4050.2999999999993</v>
      </c>
      <c r="AN49" s="516">
        <f>SUM(AN48:$AQ48)*$N49/100</f>
        <v>2430.1799999999998</v>
      </c>
      <c r="AO49" s="516">
        <f>SUM(AO48:$AQ48)*$N49/100</f>
        <v>810.06</v>
      </c>
      <c r="AP49" s="516">
        <v>0</v>
      </c>
      <c r="AQ49" s="516">
        <v>0</v>
      </c>
      <c r="AR49" s="516"/>
      <c r="AS49" s="516"/>
      <c r="AT49" s="517">
        <f t="shared" si="0"/>
        <v>466594.56</v>
      </c>
      <c r="AU49" s="505">
        <f t="shared" si="1"/>
        <v>0</v>
      </c>
      <c r="AV49" s="518">
        <f t="shared" si="3"/>
        <v>234107.33999999997</v>
      </c>
      <c r="AW49" s="516">
        <f t="shared" si="2"/>
        <v>466594.55999999994</v>
      </c>
      <c r="AY49" s="507"/>
    </row>
    <row r="50" spans="1:51" s="494" customFormat="1" outlineLevel="2" x14ac:dyDescent="0.25">
      <c r="B50" s="495" t="s">
        <v>227</v>
      </c>
      <c r="C50" s="496">
        <v>23</v>
      </c>
      <c r="D50" s="497" t="s">
        <v>925</v>
      </c>
      <c r="E50" s="498" t="s">
        <v>926</v>
      </c>
      <c r="F50" s="499" t="s">
        <v>927</v>
      </c>
      <c r="G50" s="499" t="s">
        <v>928</v>
      </c>
      <c r="H50" s="499" t="s">
        <v>929</v>
      </c>
      <c r="I50" s="499" t="s">
        <v>224</v>
      </c>
      <c r="J50" s="500">
        <v>531484</v>
      </c>
      <c r="K50" s="501">
        <v>320740</v>
      </c>
      <c r="L50" s="501"/>
      <c r="M50" s="501"/>
      <c r="N50" s="519"/>
      <c r="O50" s="519"/>
      <c r="P50" s="502"/>
      <c r="Q50" s="502" t="s">
        <v>749</v>
      </c>
      <c r="R50" s="503">
        <v>36656</v>
      </c>
      <c r="S50" s="503">
        <v>36656</v>
      </c>
      <c r="T50" s="503">
        <v>36656</v>
      </c>
      <c r="U50" s="503">
        <v>36656</v>
      </c>
      <c r="V50" s="503">
        <v>36656</v>
      </c>
      <c r="W50" s="503">
        <v>36656</v>
      </c>
      <c r="X50" s="503">
        <v>36656</v>
      </c>
      <c r="Y50" s="503">
        <v>36656</v>
      </c>
      <c r="Z50" s="503">
        <v>27492</v>
      </c>
      <c r="AA50" s="503">
        <v>0</v>
      </c>
      <c r="AB50" s="503">
        <v>0</v>
      </c>
      <c r="AC50" s="503">
        <v>0</v>
      </c>
      <c r="AD50" s="503">
        <v>0</v>
      </c>
      <c r="AE50" s="503">
        <v>0</v>
      </c>
      <c r="AF50" s="503">
        <v>0</v>
      </c>
      <c r="AG50" s="503">
        <v>0</v>
      </c>
      <c r="AH50" s="503">
        <v>0</v>
      </c>
      <c r="AI50" s="503">
        <v>0</v>
      </c>
      <c r="AJ50" s="503">
        <v>0</v>
      </c>
      <c r="AK50" s="503">
        <v>0</v>
      </c>
      <c r="AL50" s="503">
        <v>0</v>
      </c>
      <c r="AM50" s="503">
        <v>0</v>
      </c>
      <c r="AN50" s="503">
        <v>0</v>
      </c>
      <c r="AO50" s="503">
        <v>0</v>
      </c>
      <c r="AP50" s="503">
        <v>0</v>
      </c>
      <c r="AQ50" s="503">
        <v>0</v>
      </c>
      <c r="AR50" s="503"/>
      <c r="AS50" s="503"/>
      <c r="AT50" s="504">
        <f t="shared" si="0"/>
        <v>320740</v>
      </c>
      <c r="AU50" s="505">
        <f t="shared" si="1"/>
        <v>0</v>
      </c>
      <c r="AV50" s="506">
        <f t="shared" si="3"/>
        <v>64148</v>
      </c>
      <c r="AW50" s="503">
        <f t="shared" si="2"/>
        <v>320740</v>
      </c>
      <c r="AY50" s="507"/>
    </row>
    <row r="51" spans="1:51" outlineLevel="2" x14ac:dyDescent="0.25">
      <c r="B51" s="508" t="s">
        <v>227</v>
      </c>
      <c r="C51" s="509"/>
      <c r="D51" s="510"/>
      <c r="E51" s="511"/>
      <c r="F51" s="512"/>
      <c r="G51" s="512"/>
      <c r="H51" s="512"/>
      <c r="I51" s="512"/>
      <c r="J51" s="513"/>
      <c r="K51" s="514"/>
      <c r="L51" s="513" t="s">
        <v>930</v>
      </c>
      <c r="M51" s="513"/>
      <c r="N51" s="515">
        <f t="shared" si="4"/>
        <v>2.5070000000000001</v>
      </c>
      <c r="O51" s="515">
        <v>2.5070000000000001</v>
      </c>
      <c r="P51" s="515">
        <f>$P$4</f>
        <v>0</v>
      </c>
      <c r="Q51" s="515" t="s">
        <v>792</v>
      </c>
      <c r="R51" s="516">
        <f>SUM(R50:$AQ50)*$N51/100</f>
        <v>8040.9518000000007</v>
      </c>
      <c r="S51" s="516">
        <f>SUM(S50:$AQ50)*$N51/100</f>
        <v>7121.9858800000002</v>
      </c>
      <c r="T51" s="516">
        <f>SUM(T50:$AQ50)*$N51/100</f>
        <v>6203.0199600000005</v>
      </c>
      <c r="U51" s="516">
        <f>SUM(U50:$AQ50)*$N51/100</f>
        <v>5284.05404</v>
      </c>
      <c r="V51" s="516">
        <f>SUM(V50:$AQ50)*$N51/100</f>
        <v>4365.0881200000003</v>
      </c>
      <c r="W51" s="516">
        <f>SUM(W50:$AQ50)*$N51/100</f>
        <v>3446.1222000000002</v>
      </c>
      <c r="X51" s="516">
        <f>SUM(X50:$AQ50)*$N51/100</f>
        <v>2527.1562800000002</v>
      </c>
      <c r="Y51" s="516">
        <f>SUM(Y50:$AQ50)*$N51/100</f>
        <v>1608.1903600000003</v>
      </c>
      <c r="Z51" s="516">
        <f>SUM(Z50:$AQ50)*$N51/100</f>
        <v>689.22444000000007</v>
      </c>
      <c r="AA51" s="516">
        <v>0</v>
      </c>
      <c r="AB51" s="516">
        <v>0</v>
      </c>
      <c r="AC51" s="516">
        <v>0</v>
      </c>
      <c r="AD51" s="516">
        <v>0</v>
      </c>
      <c r="AE51" s="516">
        <v>0</v>
      </c>
      <c r="AF51" s="516">
        <v>0</v>
      </c>
      <c r="AG51" s="516">
        <v>0</v>
      </c>
      <c r="AH51" s="516">
        <v>0</v>
      </c>
      <c r="AI51" s="516">
        <v>0</v>
      </c>
      <c r="AJ51" s="516">
        <v>0</v>
      </c>
      <c r="AK51" s="516">
        <v>0</v>
      </c>
      <c r="AL51" s="516">
        <v>0</v>
      </c>
      <c r="AM51" s="516">
        <v>0</v>
      </c>
      <c r="AN51" s="516">
        <v>0</v>
      </c>
      <c r="AO51" s="516">
        <v>0</v>
      </c>
      <c r="AP51" s="516">
        <v>0</v>
      </c>
      <c r="AQ51" s="516">
        <v>0</v>
      </c>
      <c r="AR51" s="516"/>
      <c r="AS51" s="516"/>
      <c r="AT51" s="517">
        <f t="shared" si="0"/>
        <v>39285.793080000003</v>
      </c>
      <c r="AU51" s="505">
        <f t="shared" si="1"/>
        <v>0</v>
      </c>
      <c r="AV51" s="518">
        <f t="shared" si="3"/>
        <v>2297.4148000000005</v>
      </c>
      <c r="AW51" s="516">
        <f t="shared" si="2"/>
        <v>39285.793080000003</v>
      </c>
      <c r="AY51" s="507"/>
    </row>
    <row r="52" spans="1:51" s="494" customFormat="1" outlineLevel="2" x14ac:dyDescent="0.25">
      <c r="B52" s="495" t="s">
        <v>316</v>
      </c>
      <c r="C52" s="496">
        <v>24</v>
      </c>
      <c r="D52" s="497" t="s">
        <v>309</v>
      </c>
      <c r="E52" s="498" t="s">
        <v>931</v>
      </c>
      <c r="F52" s="499" t="s">
        <v>932</v>
      </c>
      <c r="G52" s="499" t="s">
        <v>933</v>
      </c>
      <c r="H52" s="499" t="s">
        <v>934</v>
      </c>
      <c r="I52" s="499" t="s">
        <v>224</v>
      </c>
      <c r="J52" s="500">
        <v>583938.46</v>
      </c>
      <c r="K52" s="501">
        <v>441952</v>
      </c>
      <c r="L52" s="501"/>
      <c r="M52" s="501"/>
      <c r="N52" s="519"/>
      <c r="O52" s="519"/>
      <c r="P52" s="502"/>
      <c r="Q52" s="502" t="s">
        <v>749</v>
      </c>
      <c r="R52" s="503">
        <v>31568</v>
      </c>
      <c r="S52" s="503">
        <v>31568</v>
      </c>
      <c r="T52" s="503">
        <v>31568</v>
      </c>
      <c r="U52" s="503">
        <v>31568</v>
      </c>
      <c r="V52" s="503">
        <v>31568</v>
      </c>
      <c r="W52" s="503">
        <v>31568</v>
      </c>
      <c r="X52" s="503">
        <v>31568</v>
      </c>
      <c r="Y52" s="503">
        <v>31568</v>
      </c>
      <c r="Z52" s="503">
        <v>31568</v>
      </c>
      <c r="AA52" s="503">
        <v>31568</v>
      </c>
      <c r="AB52" s="503">
        <v>31568</v>
      </c>
      <c r="AC52" s="503">
        <v>31568</v>
      </c>
      <c r="AD52" s="503">
        <v>31568</v>
      </c>
      <c r="AE52" s="503">
        <v>31568</v>
      </c>
      <c r="AF52" s="503">
        <v>0</v>
      </c>
      <c r="AG52" s="503">
        <v>0</v>
      </c>
      <c r="AH52" s="503">
        <v>0</v>
      </c>
      <c r="AI52" s="503">
        <v>0</v>
      </c>
      <c r="AJ52" s="503">
        <v>0</v>
      </c>
      <c r="AK52" s="503">
        <v>0</v>
      </c>
      <c r="AL52" s="503">
        <v>0</v>
      </c>
      <c r="AM52" s="503">
        <v>0</v>
      </c>
      <c r="AN52" s="503">
        <v>0</v>
      </c>
      <c r="AO52" s="503">
        <v>0</v>
      </c>
      <c r="AP52" s="503">
        <v>0</v>
      </c>
      <c r="AQ52" s="503">
        <v>0</v>
      </c>
      <c r="AR52" s="503"/>
      <c r="AS52" s="503"/>
      <c r="AT52" s="504">
        <f t="shared" si="0"/>
        <v>441952</v>
      </c>
      <c r="AU52" s="505">
        <f t="shared" si="1"/>
        <v>0</v>
      </c>
      <c r="AV52" s="506">
        <f t="shared" si="3"/>
        <v>220976</v>
      </c>
      <c r="AW52" s="503">
        <f t="shared" si="2"/>
        <v>441952</v>
      </c>
      <c r="AY52" s="507"/>
    </row>
    <row r="53" spans="1:51" outlineLevel="2" x14ac:dyDescent="0.25">
      <c r="B53" s="508" t="s">
        <v>316</v>
      </c>
      <c r="C53" s="509"/>
      <c r="D53" s="510"/>
      <c r="E53" s="511"/>
      <c r="F53" s="512"/>
      <c r="G53" s="512"/>
      <c r="H53" s="512"/>
      <c r="I53" s="512"/>
      <c r="J53" s="513"/>
      <c r="K53" s="514"/>
      <c r="L53" s="513" t="s">
        <v>935</v>
      </c>
      <c r="M53" s="513"/>
      <c r="N53" s="515">
        <f t="shared" si="4"/>
        <v>2.5169999999999999</v>
      </c>
      <c r="O53" s="515">
        <v>2.5169999999999999</v>
      </c>
      <c r="P53" s="515">
        <f>$P$4</f>
        <v>0</v>
      </c>
      <c r="Q53" s="515" t="s">
        <v>792</v>
      </c>
      <c r="R53" s="516">
        <f>SUM(R52:$AQ52)*$N53/100</f>
        <v>11123.931839999999</v>
      </c>
      <c r="S53" s="516">
        <f>SUM(S52:$AQ52)*$N53/100</f>
        <v>10329.36528</v>
      </c>
      <c r="T53" s="516">
        <f>SUM(T52:$AQ52)*$N53/100</f>
        <v>9534.7987199999989</v>
      </c>
      <c r="U53" s="516">
        <f>SUM(U52:$AQ52)*$N53/100</f>
        <v>8740.2321599999996</v>
      </c>
      <c r="V53" s="516">
        <f>SUM(V52:$AQ52)*$N53/100</f>
        <v>7945.6655999999994</v>
      </c>
      <c r="W53" s="516">
        <f>SUM(W52:$AQ52)*$N53/100</f>
        <v>7151.0990400000001</v>
      </c>
      <c r="X53" s="516">
        <f>SUM(X52:$AQ52)*$N53/100</f>
        <v>6356.5324799999999</v>
      </c>
      <c r="Y53" s="516">
        <f>SUM(Y52:$AQ52)*$N53/100</f>
        <v>5561.9659199999996</v>
      </c>
      <c r="Z53" s="516">
        <f>SUM(Z52:$AQ52)*$N53/100</f>
        <v>4767.3993599999994</v>
      </c>
      <c r="AA53" s="516">
        <f>SUM(AA52:$AQ52)*$N53/100</f>
        <v>3972.8327999999997</v>
      </c>
      <c r="AB53" s="516">
        <f>SUM(AB52:$AQ52)*$N53/100</f>
        <v>3178.2662399999999</v>
      </c>
      <c r="AC53" s="516">
        <f>SUM(AC52:$AQ52)*$N53/100</f>
        <v>2383.6996799999997</v>
      </c>
      <c r="AD53" s="516">
        <f>SUM(AD52:$AQ52)*$N53/100</f>
        <v>1589.13312</v>
      </c>
      <c r="AE53" s="516">
        <f>SUM(AE52:$AQ52)*$N53/100</f>
        <v>794.56655999999998</v>
      </c>
      <c r="AF53" s="516">
        <v>0</v>
      </c>
      <c r="AG53" s="516">
        <v>0</v>
      </c>
      <c r="AH53" s="516">
        <v>0</v>
      </c>
      <c r="AI53" s="516">
        <v>0</v>
      </c>
      <c r="AJ53" s="516">
        <v>0</v>
      </c>
      <c r="AK53" s="516">
        <v>0</v>
      </c>
      <c r="AL53" s="516">
        <v>0</v>
      </c>
      <c r="AM53" s="516">
        <v>0</v>
      </c>
      <c r="AN53" s="516">
        <v>0</v>
      </c>
      <c r="AO53" s="516">
        <v>0</v>
      </c>
      <c r="AP53" s="516">
        <v>0</v>
      </c>
      <c r="AQ53" s="516">
        <v>0</v>
      </c>
      <c r="AR53" s="516"/>
      <c r="AS53" s="516"/>
      <c r="AT53" s="517">
        <f t="shared" si="0"/>
        <v>83429.488800000006</v>
      </c>
      <c r="AU53" s="505">
        <f t="shared" si="1"/>
        <v>0</v>
      </c>
      <c r="AV53" s="518">
        <f t="shared" si="3"/>
        <v>22247.863679999995</v>
      </c>
      <c r="AW53" s="516">
        <f t="shared" si="2"/>
        <v>83429.488799999992</v>
      </c>
      <c r="AY53" s="507"/>
    </row>
    <row r="54" spans="1:51" s="494" customFormat="1" outlineLevel="2" x14ac:dyDescent="0.25">
      <c r="B54" s="495" t="s">
        <v>227</v>
      </c>
      <c r="C54" s="496">
        <v>25</v>
      </c>
      <c r="D54" s="497" t="s">
        <v>936</v>
      </c>
      <c r="E54" s="498" t="s">
        <v>937</v>
      </c>
      <c r="F54" s="499" t="s">
        <v>938</v>
      </c>
      <c r="G54" s="499" t="s">
        <v>939</v>
      </c>
      <c r="H54" s="499" t="s">
        <v>940</v>
      </c>
      <c r="I54" s="499" t="s">
        <v>224</v>
      </c>
      <c r="J54" s="500">
        <v>2556845.52</v>
      </c>
      <c r="K54" s="501">
        <v>2147587.52</v>
      </c>
      <c r="L54" s="501"/>
      <c r="M54" s="501"/>
      <c r="N54" s="519"/>
      <c r="O54" s="519"/>
      <c r="P54" s="502"/>
      <c r="Q54" s="502" t="s">
        <v>749</v>
      </c>
      <c r="R54" s="503">
        <v>96316</v>
      </c>
      <c r="S54" s="503">
        <v>96316</v>
      </c>
      <c r="T54" s="503">
        <v>96316</v>
      </c>
      <c r="U54" s="503">
        <v>96316</v>
      </c>
      <c r="V54" s="503">
        <v>96316</v>
      </c>
      <c r="W54" s="503">
        <v>96316</v>
      </c>
      <c r="X54" s="503">
        <v>96316</v>
      </c>
      <c r="Y54" s="503">
        <v>96316</v>
      </c>
      <c r="Z54" s="503">
        <v>96316</v>
      </c>
      <c r="AA54" s="503">
        <v>96316</v>
      </c>
      <c r="AB54" s="503">
        <v>96316</v>
      </c>
      <c r="AC54" s="503">
        <v>96316</v>
      </c>
      <c r="AD54" s="503">
        <v>96316</v>
      </c>
      <c r="AE54" s="503">
        <v>96316</v>
      </c>
      <c r="AF54" s="503">
        <v>96316</v>
      </c>
      <c r="AG54" s="503">
        <v>96316</v>
      </c>
      <c r="AH54" s="503">
        <v>96316</v>
      </c>
      <c r="AI54" s="503">
        <v>96316</v>
      </c>
      <c r="AJ54" s="503">
        <v>96316</v>
      </c>
      <c r="AK54" s="503">
        <v>96316</v>
      </c>
      <c r="AL54" s="503">
        <v>96316</v>
      </c>
      <c r="AM54" s="503">
        <v>96316</v>
      </c>
      <c r="AN54" s="503">
        <v>28635.52</v>
      </c>
      <c r="AO54" s="503">
        <v>0</v>
      </c>
      <c r="AP54" s="503">
        <v>0</v>
      </c>
      <c r="AQ54" s="503">
        <v>0</v>
      </c>
      <c r="AR54" s="503"/>
      <c r="AS54" s="503"/>
      <c r="AT54" s="504">
        <f t="shared" si="0"/>
        <v>2147587.52</v>
      </c>
      <c r="AU54" s="505">
        <f t="shared" si="1"/>
        <v>0</v>
      </c>
      <c r="AV54" s="506">
        <f t="shared" si="3"/>
        <v>1473375.52</v>
      </c>
      <c r="AW54" s="503">
        <f t="shared" si="2"/>
        <v>2147587.52</v>
      </c>
      <c r="AY54" s="507"/>
    </row>
    <row r="55" spans="1:51" outlineLevel="2" x14ac:dyDescent="0.25">
      <c r="B55" s="508" t="s">
        <v>227</v>
      </c>
      <c r="C55" s="509"/>
      <c r="D55" s="510"/>
      <c r="E55" s="511"/>
      <c r="F55" s="512"/>
      <c r="G55" s="512"/>
      <c r="H55" s="512"/>
      <c r="I55" s="512"/>
      <c r="J55" s="513"/>
      <c r="K55" s="514"/>
      <c r="L55" s="513" t="s">
        <v>941</v>
      </c>
      <c r="M55" s="513"/>
      <c r="N55" s="515">
        <f t="shared" si="4"/>
        <v>4.2089999999999996</v>
      </c>
      <c r="O55" s="515">
        <v>4.2089999999999996</v>
      </c>
      <c r="P55" s="515">
        <f>$P$4</f>
        <v>0</v>
      </c>
      <c r="Q55" s="515" t="s">
        <v>792</v>
      </c>
      <c r="R55" s="516">
        <f>SUM(R54:$AQ54)*$N55/100</f>
        <v>90391.958716799985</v>
      </c>
      <c r="S55" s="516">
        <f>SUM(S54:$AQ54)*$N55/100</f>
        <v>86338.018276799994</v>
      </c>
      <c r="T55" s="516">
        <f>SUM(T54:$AQ54)*$N55/100-3000</f>
        <v>79284.077836799988</v>
      </c>
      <c r="U55" s="516">
        <f>SUM(U54:$AQ54)*$N55/100</f>
        <v>78230.137396799997</v>
      </c>
      <c r="V55" s="516">
        <f>SUM(V54:$AQ54)*$N55/100</f>
        <v>74176.196956800006</v>
      </c>
      <c r="W55" s="516">
        <f>SUM(W54:$AQ54)*$N55/100</f>
        <v>70122.256516799986</v>
      </c>
      <c r="X55" s="516">
        <f>SUM(X54:$AQ54)*$N55/100</f>
        <v>66068.316076799994</v>
      </c>
      <c r="Y55" s="516">
        <f>SUM(Y54:$AQ54)*$N55/100</f>
        <v>62014.375636799996</v>
      </c>
      <c r="Z55" s="516">
        <f>SUM(Z54:$AQ54)*$N55/100</f>
        <v>57960.435196799997</v>
      </c>
      <c r="AA55" s="516">
        <f>SUM(AA54:$AQ54)*$N55/100</f>
        <v>53906.494756799992</v>
      </c>
      <c r="AB55" s="516">
        <f>SUM(AB54:$AQ54)*$N55/100</f>
        <v>49852.554316799993</v>
      </c>
      <c r="AC55" s="516">
        <f>SUM(AC54:$AQ54)*$N55/100</f>
        <v>45798.613876799995</v>
      </c>
      <c r="AD55" s="516">
        <f>SUM(AD54:$AQ54)*$N55/100</f>
        <v>41744.673436799996</v>
      </c>
      <c r="AE55" s="516">
        <f>SUM(AE54:$AQ54)*$N55/100</f>
        <v>37690.732996799998</v>
      </c>
      <c r="AF55" s="516">
        <f>SUM(AF54:$AQ54)*$N55/100</f>
        <v>33636.792556799999</v>
      </c>
      <c r="AG55" s="516">
        <f>SUM(AG54:$AQ54)*$N55/100</f>
        <v>29582.852116799997</v>
      </c>
      <c r="AH55" s="516">
        <f>SUM(AH54:$AQ54)*$N55/100</f>
        <v>25528.911676799999</v>
      </c>
      <c r="AI55" s="516">
        <f>SUM(AI54:$AQ54)*$N55/100</f>
        <v>21474.971236799996</v>
      </c>
      <c r="AJ55" s="516">
        <f>SUM(AJ54:$AQ54)*$N55/100</f>
        <v>17421.030796799998</v>
      </c>
      <c r="AK55" s="516">
        <f>SUM(AK54:$AQ54)*$N55/100</f>
        <v>13367.090356799999</v>
      </c>
      <c r="AL55" s="516">
        <f>SUM(AL54:$AQ54)*$N55/100</f>
        <v>9313.1499167999991</v>
      </c>
      <c r="AM55" s="516">
        <f>SUM(AM54:$AQ54)*$N55/100</f>
        <v>5259.2094767999997</v>
      </c>
      <c r="AN55" s="516">
        <f>SUM(AN54:$AQ54)*$N55/100</f>
        <v>1205.2690367999999</v>
      </c>
      <c r="AO55" s="516">
        <v>0</v>
      </c>
      <c r="AP55" s="516">
        <v>0</v>
      </c>
      <c r="AQ55" s="516">
        <v>0</v>
      </c>
      <c r="AR55" s="516"/>
      <c r="AS55" s="516"/>
      <c r="AT55" s="517">
        <f t="shared" si="0"/>
        <v>1050368.1191663998</v>
      </c>
      <c r="AU55" s="505">
        <f t="shared" si="1"/>
        <v>0</v>
      </c>
      <c r="AV55" s="518">
        <f t="shared" si="3"/>
        <v>505757.1573888</v>
      </c>
      <c r="AW55" s="516">
        <f t="shared" si="2"/>
        <v>1050368.1191664001</v>
      </c>
      <c r="AY55" s="507"/>
    </row>
    <row r="56" spans="1:51" s="494" customFormat="1" outlineLevel="2" x14ac:dyDescent="0.25">
      <c r="B56" s="495" t="s">
        <v>227</v>
      </c>
      <c r="C56" s="496">
        <v>26</v>
      </c>
      <c r="D56" s="497" t="s">
        <v>942</v>
      </c>
      <c r="E56" s="498" t="s">
        <v>943</v>
      </c>
      <c r="F56" s="499" t="s">
        <v>944</v>
      </c>
      <c r="G56" s="499" t="s">
        <v>945</v>
      </c>
      <c r="H56" s="499" t="s">
        <v>946</v>
      </c>
      <c r="I56" s="499" t="s">
        <v>224</v>
      </c>
      <c r="J56" s="500">
        <v>1410783</v>
      </c>
      <c r="K56" s="501">
        <v>838698</v>
      </c>
      <c r="L56" s="501"/>
      <c r="M56" s="501"/>
      <c r="N56" s="519"/>
      <c r="O56" s="519"/>
      <c r="P56" s="502"/>
      <c r="Q56" s="502" t="s">
        <v>749</v>
      </c>
      <c r="R56" s="503">
        <v>88284</v>
      </c>
      <c r="S56" s="503">
        <v>88284</v>
      </c>
      <c r="T56" s="503">
        <v>88284</v>
      </c>
      <c r="U56" s="503">
        <v>88284</v>
      </c>
      <c r="V56" s="503">
        <v>88284</v>
      </c>
      <c r="W56" s="503">
        <v>88284</v>
      </c>
      <c r="X56" s="503">
        <v>88284</v>
      </c>
      <c r="Y56" s="503">
        <v>88284</v>
      </c>
      <c r="Z56" s="503">
        <v>88284</v>
      </c>
      <c r="AA56" s="503">
        <v>44142</v>
      </c>
      <c r="AB56" s="503">
        <v>0</v>
      </c>
      <c r="AC56" s="503">
        <v>0</v>
      </c>
      <c r="AD56" s="503">
        <v>0</v>
      </c>
      <c r="AE56" s="503">
        <v>0</v>
      </c>
      <c r="AF56" s="503">
        <v>0</v>
      </c>
      <c r="AG56" s="503">
        <v>0</v>
      </c>
      <c r="AH56" s="503">
        <v>0</v>
      </c>
      <c r="AI56" s="503">
        <v>0</v>
      </c>
      <c r="AJ56" s="503">
        <v>0</v>
      </c>
      <c r="AK56" s="503">
        <v>0</v>
      </c>
      <c r="AL56" s="503">
        <v>0</v>
      </c>
      <c r="AM56" s="503">
        <v>0</v>
      </c>
      <c r="AN56" s="503">
        <v>0</v>
      </c>
      <c r="AO56" s="503">
        <v>0</v>
      </c>
      <c r="AP56" s="503">
        <v>0</v>
      </c>
      <c r="AQ56" s="503">
        <v>0</v>
      </c>
      <c r="AR56" s="503"/>
      <c r="AS56" s="503"/>
      <c r="AT56" s="504">
        <f t="shared" si="0"/>
        <v>838698</v>
      </c>
      <c r="AU56" s="505">
        <f t="shared" si="1"/>
        <v>0</v>
      </c>
      <c r="AV56" s="506">
        <f t="shared" si="3"/>
        <v>220710</v>
      </c>
      <c r="AW56" s="503">
        <f t="shared" si="2"/>
        <v>838698</v>
      </c>
      <c r="AY56" s="507"/>
    </row>
    <row r="57" spans="1:51" outlineLevel="2" x14ac:dyDescent="0.25">
      <c r="B57" s="508" t="s">
        <v>227</v>
      </c>
      <c r="C57" s="509"/>
      <c r="D57" s="510"/>
      <c r="E57" s="511"/>
      <c r="F57" s="512"/>
      <c r="G57" s="512"/>
      <c r="H57" s="512"/>
      <c r="I57" s="512"/>
      <c r="J57" s="513"/>
      <c r="K57" s="514"/>
      <c r="L57" s="513" t="s">
        <v>947</v>
      </c>
      <c r="M57" s="513"/>
      <c r="N57" s="515">
        <f t="shared" si="4"/>
        <v>2.8119999999999998</v>
      </c>
      <c r="O57" s="515">
        <v>2.8119999999999998</v>
      </c>
      <c r="P57" s="515">
        <f>$P$4</f>
        <v>0</v>
      </c>
      <c r="Q57" s="515" t="s">
        <v>792</v>
      </c>
      <c r="R57" s="516">
        <f>SUM(R56:$AQ56)*$N57/100</f>
        <v>23584.187760000001</v>
      </c>
      <c r="S57" s="516">
        <f>SUM(S56:$AQ56)*$N57/100</f>
        <v>21101.641680000001</v>
      </c>
      <c r="T57" s="516">
        <f>SUM(T56:$AQ56)*$N57/100</f>
        <v>18619.095599999997</v>
      </c>
      <c r="U57" s="516">
        <f>SUM(U56:$AQ56)*$N57/100</f>
        <v>16136.549519999999</v>
      </c>
      <c r="V57" s="516">
        <f>SUM(V56:$AQ56)*$N57/100</f>
        <v>13654.003439999999</v>
      </c>
      <c r="W57" s="516">
        <f>SUM(W56:$AQ56)*$N57/100</f>
        <v>11171.45736</v>
      </c>
      <c r="X57" s="516">
        <f>SUM(X56:$AQ56)*$N57/100</f>
        <v>8688.9112799999984</v>
      </c>
      <c r="Y57" s="516">
        <f>SUM(Y56:$AQ56)*$N57/100</f>
        <v>6206.3652000000002</v>
      </c>
      <c r="Z57" s="516">
        <f>SUM(Z56:$AQ56)*$N57/100</f>
        <v>3723.8191199999997</v>
      </c>
      <c r="AA57" s="516">
        <f>SUM(AA56:$AQ56)*$N57/100</f>
        <v>1241.2730399999998</v>
      </c>
      <c r="AB57" s="516">
        <v>0</v>
      </c>
      <c r="AC57" s="516">
        <v>0</v>
      </c>
      <c r="AD57" s="516">
        <v>0</v>
      </c>
      <c r="AE57" s="516">
        <v>0</v>
      </c>
      <c r="AF57" s="516">
        <v>0</v>
      </c>
      <c r="AG57" s="516">
        <v>0</v>
      </c>
      <c r="AH57" s="516">
        <v>0</v>
      </c>
      <c r="AI57" s="516">
        <v>0</v>
      </c>
      <c r="AJ57" s="516">
        <v>0</v>
      </c>
      <c r="AK57" s="516">
        <v>0</v>
      </c>
      <c r="AL57" s="516">
        <v>0</v>
      </c>
      <c r="AM57" s="516">
        <v>0</v>
      </c>
      <c r="AN57" s="516">
        <v>0</v>
      </c>
      <c r="AO57" s="516">
        <v>0</v>
      </c>
      <c r="AP57" s="516">
        <v>0</v>
      </c>
      <c r="AQ57" s="516">
        <v>0</v>
      </c>
      <c r="AR57" s="516"/>
      <c r="AS57" s="516"/>
      <c r="AT57" s="517">
        <f t="shared" si="0"/>
        <v>124127.304</v>
      </c>
      <c r="AU57" s="505">
        <f t="shared" si="1"/>
        <v>0</v>
      </c>
      <c r="AV57" s="518">
        <f t="shared" si="3"/>
        <v>11171.45736</v>
      </c>
      <c r="AW57" s="516">
        <f t="shared" si="2"/>
        <v>124127.304</v>
      </c>
      <c r="AY57" s="507"/>
    </row>
    <row r="58" spans="1:51" s="494" customFormat="1" outlineLevel="2" x14ac:dyDescent="0.25">
      <c r="A58" s="494" t="s">
        <v>799</v>
      </c>
      <c r="B58" s="495" t="s">
        <v>316</v>
      </c>
      <c r="C58" s="496">
        <v>27</v>
      </c>
      <c r="D58" s="497" t="s">
        <v>948</v>
      </c>
      <c r="E58" s="498" t="s">
        <v>949</v>
      </c>
      <c r="F58" s="499" t="s">
        <v>950</v>
      </c>
      <c r="G58" s="499" t="s">
        <v>951</v>
      </c>
      <c r="H58" s="499" t="s">
        <v>952</v>
      </c>
      <c r="I58" s="499" t="s">
        <v>224</v>
      </c>
      <c r="J58" s="500">
        <v>824810</v>
      </c>
      <c r="K58" s="501">
        <v>735669</v>
      </c>
      <c r="L58" s="501"/>
      <c r="M58" s="501"/>
      <c r="N58" s="519"/>
      <c r="O58" s="519"/>
      <c r="P58" s="502"/>
      <c r="Q58" s="502" t="s">
        <v>749</v>
      </c>
      <c r="R58" s="503">
        <v>29724</v>
      </c>
      <c r="S58" s="503">
        <v>29724</v>
      </c>
      <c r="T58" s="503">
        <v>29724</v>
      </c>
      <c r="U58" s="503">
        <v>29724</v>
      </c>
      <c r="V58" s="503">
        <v>29724</v>
      </c>
      <c r="W58" s="503">
        <v>29724</v>
      </c>
      <c r="X58" s="503">
        <v>29724</v>
      </c>
      <c r="Y58" s="503">
        <v>29724</v>
      </c>
      <c r="Z58" s="503">
        <v>29724</v>
      </c>
      <c r="AA58" s="503">
        <v>29724</v>
      </c>
      <c r="AB58" s="503">
        <v>29724</v>
      </c>
      <c r="AC58" s="503">
        <v>29724</v>
      </c>
      <c r="AD58" s="503">
        <v>29724</v>
      </c>
      <c r="AE58" s="503">
        <v>29724</v>
      </c>
      <c r="AF58" s="503">
        <v>29724</v>
      </c>
      <c r="AG58" s="503">
        <v>29724</v>
      </c>
      <c r="AH58" s="503">
        <v>29724</v>
      </c>
      <c r="AI58" s="503">
        <v>29724</v>
      </c>
      <c r="AJ58" s="503">
        <v>29724</v>
      </c>
      <c r="AK58" s="503">
        <v>29724</v>
      </c>
      <c r="AL58" s="503">
        <v>29724</v>
      </c>
      <c r="AM58" s="503">
        <v>29724</v>
      </c>
      <c r="AN58" s="503">
        <v>29724</v>
      </c>
      <c r="AO58" s="503">
        <v>29724</v>
      </c>
      <c r="AP58" s="503">
        <v>22293</v>
      </c>
      <c r="AQ58" s="503">
        <v>0</v>
      </c>
      <c r="AR58" s="503"/>
      <c r="AS58" s="503"/>
      <c r="AT58" s="504">
        <f t="shared" si="0"/>
        <v>735669</v>
      </c>
      <c r="AU58" s="505">
        <f t="shared" si="1"/>
        <v>0</v>
      </c>
      <c r="AV58" s="506">
        <f t="shared" si="3"/>
        <v>527601</v>
      </c>
      <c r="AW58" s="503">
        <f t="shared" si="2"/>
        <v>735669</v>
      </c>
      <c r="AY58" s="507"/>
    </row>
    <row r="59" spans="1:51" outlineLevel="2" x14ac:dyDescent="0.25">
      <c r="A59" s="494" t="s">
        <v>799</v>
      </c>
      <c r="B59" s="508" t="s">
        <v>316</v>
      </c>
      <c r="C59" s="509"/>
      <c r="D59" s="510" t="s">
        <v>953</v>
      </c>
      <c r="E59" s="511"/>
      <c r="F59" s="512"/>
      <c r="G59" s="512"/>
      <c r="H59" s="512"/>
      <c r="I59" s="512"/>
      <c r="J59" s="513"/>
      <c r="K59" s="514"/>
      <c r="L59" s="513" t="s">
        <v>954</v>
      </c>
      <c r="M59" s="513"/>
      <c r="N59" s="515">
        <f t="shared" si="4"/>
        <v>3.1080000000000001</v>
      </c>
      <c r="O59" s="515">
        <v>3.1080000000000001</v>
      </c>
      <c r="P59" s="515">
        <f>$P$4</f>
        <v>0</v>
      </c>
      <c r="Q59" s="515" t="s">
        <v>792</v>
      </c>
      <c r="R59" s="516">
        <f>SUM(R58:$AQ58)*$N59/100</f>
        <v>22864.592519999998</v>
      </c>
      <c r="S59" s="516">
        <f>SUM(S58:$AQ58)*$N59/100</f>
        <v>21940.7706</v>
      </c>
      <c r="T59" s="516">
        <f>SUM(T58:$AQ58)*$N59/100</f>
        <v>21016.948680000001</v>
      </c>
      <c r="U59" s="516">
        <f>SUM(U58:$AQ58)*$N59/100</f>
        <v>20093.126759999999</v>
      </c>
      <c r="V59" s="516">
        <f>SUM(V58:$AQ58)*$N59/100</f>
        <v>19169.304840000001</v>
      </c>
      <c r="W59" s="516">
        <f>SUM(W58:$AQ58)*$N59/100</f>
        <v>18245.482920000002</v>
      </c>
      <c r="X59" s="516">
        <f>SUM(X58:$AQ58)*$N59/100</f>
        <v>17321.661</v>
      </c>
      <c r="Y59" s="516">
        <f>SUM(Y58:$AQ58)*$N59/100</f>
        <v>16397.839080000002</v>
      </c>
      <c r="Z59" s="516">
        <f>SUM(Z58:$AQ58)*$N59/100</f>
        <v>15474.017159999999</v>
      </c>
      <c r="AA59" s="516">
        <f>SUM(AA58:$AQ58)*$N59/100</f>
        <v>14550.195239999999</v>
      </c>
      <c r="AB59" s="516">
        <f>SUM(AB58:$AQ58)*$N59/100</f>
        <v>13626.373319999999</v>
      </c>
      <c r="AC59" s="516">
        <f>SUM(AC58:$AQ58)*$N59/100</f>
        <v>12702.551400000002</v>
      </c>
      <c r="AD59" s="516">
        <f>SUM(AD58:$AQ58)*$N59/100</f>
        <v>11778.729480000002</v>
      </c>
      <c r="AE59" s="516">
        <f>SUM(AE58:$AQ58)*$N59/100</f>
        <v>10854.90756</v>
      </c>
      <c r="AF59" s="516">
        <f>SUM(AF58:$AQ58)*$N59/100</f>
        <v>9931.0856399999993</v>
      </c>
      <c r="AG59" s="516">
        <f>SUM(AG58:$AQ58)*$N59/100</f>
        <v>9007.263719999999</v>
      </c>
      <c r="AH59" s="516">
        <f>SUM(AH58:$AQ58)*$N59/100</f>
        <v>8083.4418000000005</v>
      </c>
      <c r="AI59" s="516">
        <f>SUM(AI58:$AQ58)*$N59/100</f>
        <v>7159.6198800000002</v>
      </c>
      <c r="AJ59" s="516">
        <f>SUM(AJ58:$AQ58)*$N59/100</f>
        <v>6235.7979599999999</v>
      </c>
      <c r="AK59" s="516">
        <f>SUM(AK58:$AQ58)*$N59/100</f>
        <v>5311.9760400000005</v>
      </c>
      <c r="AL59" s="516">
        <f>SUM(AL58:$AQ58)*$N59/100</f>
        <v>4388.1541200000001</v>
      </c>
      <c r="AM59" s="516">
        <f>SUM(AM58:$AQ58)*$N59/100</f>
        <v>3464.3322000000003</v>
      </c>
      <c r="AN59" s="516">
        <f>SUM(AN58:$AQ58)*$N59/100</f>
        <v>2540.5102800000004</v>
      </c>
      <c r="AO59" s="516">
        <f>SUM(AO58:$AQ58)*$N59/100</f>
        <v>1616.6883600000001</v>
      </c>
      <c r="AP59" s="516">
        <f>SUM(AP58:$AQ58)*$N59/100</f>
        <v>692.86644000000001</v>
      </c>
      <c r="AQ59" s="516">
        <v>0</v>
      </c>
      <c r="AR59" s="516"/>
      <c r="AS59" s="516"/>
      <c r="AT59" s="517">
        <f t="shared" si="0"/>
        <v>294468.23699999996</v>
      </c>
      <c r="AU59" s="505">
        <f t="shared" si="1"/>
        <v>0</v>
      </c>
      <c r="AV59" s="518">
        <f t="shared" si="3"/>
        <v>153816.34968000001</v>
      </c>
      <c r="AW59" s="516">
        <f t="shared" si="2"/>
        <v>294468.23699999996</v>
      </c>
      <c r="AY59" s="507"/>
    </row>
    <row r="60" spans="1:51" s="494" customFormat="1" outlineLevel="2" x14ac:dyDescent="0.25">
      <c r="B60" s="495" t="s">
        <v>316</v>
      </c>
      <c r="C60" s="496">
        <v>28</v>
      </c>
      <c r="D60" s="497" t="s">
        <v>955</v>
      </c>
      <c r="E60" s="498" t="s">
        <v>956</v>
      </c>
      <c r="F60" s="499" t="s">
        <v>957</v>
      </c>
      <c r="G60" s="499" t="s">
        <v>951</v>
      </c>
      <c r="H60" s="499" t="s">
        <v>958</v>
      </c>
      <c r="I60" s="499" t="s">
        <v>224</v>
      </c>
      <c r="J60" s="500">
        <v>347420.04</v>
      </c>
      <c r="K60" s="501">
        <v>272338.03999999998</v>
      </c>
      <c r="L60" s="501"/>
      <c r="M60" s="501"/>
      <c r="N60" s="519"/>
      <c r="O60" s="519"/>
      <c r="P60" s="502"/>
      <c r="Q60" s="502" t="s">
        <v>749</v>
      </c>
      <c r="R60" s="503">
        <v>18788</v>
      </c>
      <c r="S60" s="503">
        <v>18788</v>
      </c>
      <c r="T60" s="503">
        <v>18788</v>
      </c>
      <c r="U60" s="503">
        <v>18788</v>
      </c>
      <c r="V60" s="503">
        <v>18788</v>
      </c>
      <c r="W60" s="503">
        <v>18788</v>
      </c>
      <c r="X60" s="503">
        <v>18788</v>
      </c>
      <c r="Y60" s="503">
        <v>18788</v>
      </c>
      <c r="Z60" s="503">
        <v>18788</v>
      </c>
      <c r="AA60" s="503">
        <v>18788</v>
      </c>
      <c r="AB60" s="503">
        <v>18788</v>
      </c>
      <c r="AC60" s="503">
        <v>18788</v>
      </c>
      <c r="AD60" s="503">
        <v>18788</v>
      </c>
      <c r="AE60" s="503">
        <v>18788</v>
      </c>
      <c r="AF60" s="503">
        <v>9306.0400000000009</v>
      </c>
      <c r="AG60" s="503">
        <v>0</v>
      </c>
      <c r="AH60" s="503">
        <v>0</v>
      </c>
      <c r="AI60" s="503">
        <v>0</v>
      </c>
      <c r="AJ60" s="503">
        <v>0</v>
      </c>
      <c r="AK60" s="503">
        <v>0</v>
      </c>
      <c r="AL60" s="503">
        <v>0</v>
      </c>
      <c r="AM60" s="503">
        <v>0</v>
      </c>
      <c r="AN60" s="503">
        <v>0</v>
      </c>
      <c r="AO60" s="503">
        <v>0</v>
      </c>
      <c r="AP60" s="503">
        <v>0</v>
      </c>
      <c r="AQ60" s="503">
        <v>0</v>
      </c>
      <c r="AR60" s="503"/>
      <c r="AS60" s="503"/>
      <c r="AT60" s="504">
        <f t="shared" si="0"/>
        <v>272338.03999999998</v>
      </c>
      <c r="AU60" s="505">
        <f t="shared" si="1"/>
        <v>0</v>
      </c>
      <c r="AV60" s="506">
        <f t="shared" si="3"/>
        <v>140822.04</v>
      </c>
      <c r="AW60" s="503">
        <f t="shared" si="2"/>
        <v>272338.04000000004</v>
      </c>
      <c r="AY60" s="507"/>
    </row>
    <row r="61" spans="1:51" outlineLevel="2" x14ac:dyDescent="0.25">
      <c r="B61" s="508" t="s">
        <v>316</v>
      </c>
      <c r="C61" s="509"/>
      <c r="D61" s="510" t="s">
        <v>959</v>
      </c>
      <c r="E61" s="511"/>
      <c r="F61" s="512"/>
      <c r="G61" s="512"/>
      <c r="H61" s="512"/>
      <c r="I61" s="512"/>
      <c r="J61" s="513"/>
      <c r="K61" s="514"/>
      <c r="L61" s="513" t="s">
        <v>954</v>
      </c>
      <c r="M61" s="513"/>
      <c r="N61" s="515">
        <f t="shared" si="4"/>
        <v>2.88</v>
      </c>
      <c r="O61" s="515">
        <v>2.88</v>
      </c>
      <c r="P61" s="515">
        <f>$P$4</f>
        <v>0</v>
      </c>
      <c r="Q61" s="515" t="s">
        <v>792</v>
      </c>
      <c r="R61" s="516">
        <f>SUM(R60:$AQ60)*$N61/100</f>
        <v>7843.3355519999996</v>
      </c>
      <c r="S61" s="516">
        <f>SUM(S60:$AQ60)*$N61/100</f>
        <v>7302.2411519999996</v>
      </c>
      <c r="T61" s="516">
        <f>SUM(T60:$AQ60)*$N61/100</f>
        <v>6761.1467520000006</v>
      </c>
      <c r="U61" s="516">
        <f>SUM(U60:$AQ60)*$N61/100</f>
        <v>6220.0523519999997</v>
      </c>
      <c r="V61" s="516">
        <f>SUM(V60:$AQ60)*$N61/100</f>
        <v>5678.9579520000007</v>
      </c>
      <c r="W61" s="516">
        <f>SUM(W60:$AQ60)*$N61/100</f>
        <v>5137.8635519999998</v>
      </c>
      <c r="X61" s="516">
        <f>SUM(X60:$AQ60)*$N61/100</f>
        <v>4596.7691519999998</v>
      </c>
      <c r="Y61" s="516">
        <f>SUM(Y60:$AQ60)*$N61/100</f>
        <v>4055.6747519999999</v>
      </c>
      <c r="Z61" s="516">
        <f>SUM(Z60:$AQ60)*$N61/100</f>
        <v>3514.5803519999999</v>
      </c>
      <c r="AA61" s="516">
        <f>SUM(AA60:$AQ60)*$N61/100</f>
        <v>2973.4859520000005</v>
      </c>
      <c r="AB61" s="516">
        <f>SUM(AB60:$AQ60)*$N61/100</f>
        <v>2432.391552</v>
      </c>
      <c r="AC61" s="516">
        <f>SUM(AC60:$AQ60)*$N61/100</f>
        <v>1891.2971520000001</v>
      </c>
      <c r="AD61" s="516">
        <f>SUM(AD60:$AQ60)*$N61/100</f>
        <v>1350.2027520000001</v>
      </c>
      <c r="AE61" s="516">
        <f>SUM(AE60:$AQ60)*$N61/100</f>
        <v>809.10835199999997</v>
      </c>
      <c r="AF61" s="516">
        <f>SUM(AF60:$AQ60)*$N61/100</f>
        <v>268.01395200000002</v>
      </c>
      <c r="AG61" s="516">
        <v>0</v>
      </c>
      <c r="AH61" s="516">
        <v>0</v>
      </c>
      <c r="AI61" s="516">
        <v>0</v>
      </c>
      <c r="AJ61" s="516">
        <v>0</v>
      </c>
      <c r="AK61" s="516">
        <v>0</v>
      </c>
      <c r="AL61" s="516">
        <v>0</v>
      </c>
      <c r="AM61" s="516">
        <v>0</v>
      </c>
      <c r="AN61" s="516">
        <v>0</v>
      </c>
      <c r="AO61" s="516">
        <v>0</v>
      </c>
      <c r="AP61" s="516">
        <v>0</v>
      </c>
      <c r="AQ61" s="516">
        <v>0</v>
      </c>
      <c r="AR61" s="516"/>
      <c r="AS61" s="516"/>
      <c r="AT61" s="517">
        <f t="shared" si="0"/>
        <v>60835.121280000007</v>
      </c>
      <c r="AU61" s="505">
        <f t="shared" si="1"/>
        <v>0</v>
      </c>
      <c r="AV61" s="518">
        <f t="shared" si="3"/>
        <v>17294.754816000001</v>
      </c>
      <c r="AW61" s="516">
        <f t="shared" si="2"/>
        <v>60835.121280000007</v>
      </c>
      <c r="AY61" s="507"/>
    </row>
    <row r="62" spans="1:51" s="494" customFormat="1" outlineLevel="2" x14ac:dyDescent="0.25">
      <c r="B62" s="495" t="s">
        <v>316</v>
      </c>
      <c r="C62" s="496">
        <v>29</v>
      </c>
      <c r="D62" s="497" t="s">
        <v>960</v>
      </c>
      <c r="E62" s="498" t="s">
        <v>961</v>
      </c>
      <c r="F62" s="499" t="s">
        <v>962</v>
      </c>
      <c r="G62" s="499" t="s">
        <v>963</v>
      </c>
      <c r="H62" s="499" t="s">
        <v>964</v>
      </c>
      <c r="I62" s="499" t="s">
        <v>224</v>
      </c>
      <c r="J62" s="500">
        <v>9703992</v>
      </c>
      <c r="K62" s="501">
        <v>8627007.9199999999</v>
      </c>
      <c r="L62" s="501"/>
      <c r="M62" s="501"/>
      <c r="N62" s="519"/>
      <c r="O62" s="519"/>
      <c r="P62" s="502"/>
      <c r="Q62" s="502" t="s">
        <v>749</v>
      </c>
      <c r="R62" s="503">
        <v>343508</v>
      </c>
      <c r="S62" s="503">
        <v>343508</v>
      </c>
      <c r="T62" s="503">
        <v>343508</v>
      </c>
      <c r="U62" s="503">
        <v>343508</v>
      </c>
      <c r="V62" s="503">
        <v>343508</v>
      </c>
      <c r="W62" s="503">
        <v>343508</v>
      </c>
      <c r="X62" s="503">
        <v>343508</v>
      </c>
      <c r="Y62" s="503">
        <v>343508</v>
      </c>
      <c r="Z62" s="503">
        <v>343508</v>
      </c>
      <c r="AA62" s="503">
        <v>343508</v>
      </c>
      <c r="AB62" s="503">
        <v>343508</v>
      </c>
      <c r="AC62" s="503">
        <v>343508</v>
      </c>
      <c r="AD62" s="503">
        <v>343508</v>
      </c>
      <c r="AE62" s="503">
        <v>343508</v>
      </c>
      <c r="AF62" s="503">
        <v>343508</v>
      </c>
      <c r="AG62" s="503">
        <v>343508</v>
      </c>
      <c r="AH62" s="503">
        <v>343508</v>
      </c>
      <c r="AI62" s="503">
        <v>343508</v>
      </c>
      <c r="AJ62" s="503">
        <v>343508</v>
      </c>
      <c r="AK62" s="503">
        <v>343508</v>
      </c>
      <c r="AL62" s="503">
        <v>343508</v>
      </c>
      <c r="AM62" s="503">
        <v>343508</v>
      </c>
      <c r="AN62" s="503">
        <v>343508</v>
      </c>
      <c r="AO62" s="503">
        <v>343508</v>
      </c>
      <c r="AP62" s="503">
        <v>343508</v>
      </c>
      <c r="AQ62" s="503">
        <v>39307.919999999998</v>
      </c>
      <c r="AR62" s="503"/>
      <c r="AS62" s="503"/>
      <c r="AT62" s="504">
        <f t="shared" si="0"/>
        <v>8627007.9199999999</v>
      </c>
      <c r="AU62" s="505">
        <f t="shared" si="1"/>
        <v>0</v>
      </c>
      <c r="AV62" s="506">
        <f t="shared" si="3"/>
        <v>6222451.9199999999</v>
      </c>
      <c r="AW62" s="503">
        <f t="shared" si="2"/>
        <v>8627007.9199999999</v>
      </c>
      <c r="AY62" s="507"/>
    </row>
    <row r="63" spans="1:51" outlineLevel="2" x14ac:dyDescent="0.25">
      <c r="B63" s="508" t="s">
        <v>316</v>
      </c>
      <c r="C63" s="509"/>
      <c r="D63" s="510"/>
      <c r="E63" s="511"/>
      <c r="F63" s="512"/>
      <c r="G63" s="512"/>
      <c r="H63" s="512"/>
      <c r="I63" s="512"/>
      <c r="J63" s="513"/>
      <c r="K63" s="514"/>
      <c r="L63" s="513" t="s">
        <v>965</v>
      </c>
      <c r="M63" s="513"/>
      <c r="N63" s="515">
        <f t="shared" si="4"/>
        <v>3.2919999999999998</v>
      </c>
      <c r="O63" s="515">
        <v>3.2919999999999998</v>
      </c>
      <c r="P63" s="515">
        <f>$P$4</f>
        <v>0</v>
      </c>
      <c r="Q63" s="515" t="s">
        <v>792</v>
      </c>
      <c r="R63" s="516">
        <f>SUM(R62:$AQ62)*$N63/100-10000</f>
        <v>274001.10072639998</v>
      </c>
      <c r="S63" s="516">
        <f>SUM(S62:$AQ62)*$N63/100</f>
        <v>272692.81736639998</v>
      </c>
      <c r="T63" s="516">
        <f>SUM(T62:$AQ62)*$N63/100-5000</f>
        <v>256384.5340064</v>
      </c>
      <c r="U63" s="516">
        <f>SUM(U62:$AQ62)*$N63/100</f>
        <v>250076.25064639997</v>
      </c>
      <c r="V63" s="516">
        <f>SUM(V62:$AQ62)*$N63/100</f>
        <v>238767.96728639997</v>
      </c>
      <c r="W63" s="516">
        <f>SUM(W62:$AQ62)*$N63/100</f>
        <v>227459.68392639997</v>
      </c>
      <c r="X63" s="516">
        <f>SUM(X62:$AQ62)*$N63/100</f>
        <v>216151.4005664</v>
      </c>
      <c r="Y63" s="516">
        <f>SUM(Y62:$AQ62)*$N63/100</f>
        <v>204843.1172064</v>
      </c>
      <c r="Z63" s="516">
        <f>SUM(Z62:$AQ62)*$N63/100</f>
        <v>193534.83384639997</v>
      </c>
      <c r="AA63" s="516">
        <f>SUM(AA62:$AQ62)*$N63/100</f>
        <v>182226.55048639997</v>
      </c>
      <c r="AB63" s="516">
        <f>SUM(AB62:$AQ62)*$N63/100</f>
        <v>170918.26712639999</v>
      </c>
      <c r="AC63" s="516">
        <f>SUM(AC62:$AQ62)*$N63/100</f>
        <v>159609.98376639999</v>
      </c>
      <c r="AD63" s="516">
        <f>SUM(AD62:$AQ62)*$N63/100</f>
        <v>148301.70040639999</v>
      </c>
      <c r="AE63" s="516">
        <f>SUM(AE62:$AQ62)*$N63/100</f>
        <v>136993.41704639999</v>
      </c>
      <c r="AF63" s="516">
        <f>SUM(AF62:$AQ62)*$N63/100</f>
        <v>125685.13368639997</v>
      </c>
      <c r="AG63" s="516">
        <f>SUM(AG62:$AQ62)*$N63/100</f>
        <v>114376.85032639999</v>
      </c>
      <c r="AH63" s="516">
        <f>SUM(AH62:$AQ62)*$N63/100</f>
        <v>103068.5669664</v>
      </c>
      <c r="AI63" s="516">
        <f>SUM(AI62:$AQ62)*$N63/100</f>
        <v>91760.283606399986</v>
      </c>
      <c r="AJ63" s="516">
        <f>SUM(AJ62:$AQ62)*$N63/100</f>
        <v>80452.000246399999</v>
      </c>
      <c r="AK63" s="516">
        <f>SUM(AK62:$AQ62)*$N63/100</f>
        <v>69143.716886399998</v>
      </c>
      <c r="AL63" s="516">
        <f>SUM(AL62:$AQ62)*$N63/100</f>
        <v>57835.433526399989</v>
      </c>
      <c r="AM63" s="516">
        <f>SUM(AM62:$AQ62)*$N63/100</f>
        <v>46527.150166399988</v>
      </c>
      <c r="AN63" s="516">
        <f>SUM(AN62:$AQ62)*$N63/100</f>
        <v>35218.866806399994</v>
      </c>
      <c r="AO63" s="516">
        <f>SUM(AO62:$AQ62)*$N63/100</f>
        <v>23910.583446399996</v>
      </c>
      <c r="AP63" s="516">
        <f>SUM(AP62:$AQ62)*$N63/100</f>
        <v>12602.300086399999</v>
      </c>
      <c r="AQ63" s="516">
        <f>SUM(AQ62:$AQ62)*$N63/100</f>
        <v>1294.0167263999999</v>
      </c>
      <c r="AR63" s="516"/>
      <c r="AS63" s="516"/>
      <c r="AT63" s="517">
        <f t="shared" si="0"/>
        <v>3693836.526886398</v>
      </c>
      <c r="AU63" s="505">
        <f t="shared" si="1"/>
        <v>0</v>
      </c>
      <c r="AV63" s="518">
        <f t="shared" si="3"/>
        <v>1958302.7723616001</v>
      </c>
      <c r="AW63" s="516">
        <f t="shared" si="2"/>
        <v>3693836.5268863998</v>
      </c>
      <c r="AY63" s="507"/>
    </row>
    <row r="64" spans="1:51" s="484" customFormat="1" outlineLevel="2" x14ac:dyDescent="0.25">
      <c r="B64" s="520" t="s">
        <v>316</v>
      </c>
      <c r="C64" s="521">
        <v>30</v>
      </c>
      <c r="D64" s="522" t="s">
        <v>966</v>
      </c>
      <c r="E64" s="498" t="s">
        <v>967</v>
      </c>
      <c r="F64" s="498" t="s">
        <v>968</v>
      </c>
      <c r="G64" s="498" t="s">
        <v>963</v>
      </c>
      <c r="H64" s="498" t="s">
        <v>969</v>
      </c>
      <c r="I64" s="498" t="s">
        <v>224</v>
      </c>
      <c r="J64" s="500">
        <v>43430</v>
      </c>
      <c r="K64" s="501">
        <v>4452</v>
      </c>
      <c r="L64" s="501"/>
      <c r="M64" s="501"/>
      <c r="N64" s="502"/>
      <c r="O64" s="502"/>
      <c r="P64" s="502"/>
      <c r="Q64" s="502" t="s">
        <v>749</v>
      </c>
      <c r="R64" s="503">
        <v>848</v>
      </c>
      <c r="S64" s="503">
        <v>848</v>
      </c>
      <c r="T64" s="503">
        <v>848</v>
      </c>
      <c r="U64" s="503">
        <v>848</v>
      </c>
      <c r="V64" s="503">
        <v>848</v>
      </c>
      <c r="W64" s="503">
        <v>212</v>
      </c>
      <c r="X64" s="503">
        <v>0</v>
      </c>
      <c r="Y64" s="503">
        <v>0</v>
      </c>
      <c r="Z64" s="503">
        <v>0</v>
      </c>
      <c r="AA64" s="503">
        <v>0</v>
      </c>
      <c r="AB64" s="503">
        <v>0</v>
      </c>
      <c r="AC64" s="503">
        <v>0</v>
      </c>
      <c r="AD64" s="503">
        <v>0</v>
      </c>
      <c r="AE64" s="503">
        <v>0</v>
      </c>
      <c r="AF64" s="503">
        <v>0</v>
      </c>
      <c r="AG64" s="503">
        <v>0</v>
      </c>
      <c r="AH64" s="503">
        <v>0</v>
      </c>
      <c r="AI64" s="503">
        <v>0</v>
      </c>
      <c r="AJ64" s="503">
        <v>0</v>
      </c>
      <c r="AK64" s="503">
        <v>0</v>
      </c>
      <c r="AL64" s="503">
        <v>0</v>
      </c>
      <c r="AM64" s="503">
        <v>0</v>
      </c>
      <c r="AN64" s="503">
        <v>0</v>
      </c>
      <c r="AO64" s="503">
        <v>0</v>
      </c>
      <c r="AP64" s="503">
        <v>0</v>
      </c>
      <c r="AQ64" s="503">
        <v>0</v>
      </c>
      <c r="AR64" s="503"/>
      <c r="AS64" s="503"/>
      <c r="AT64" s="503">
        <f t="shared" si="0"/>
        <v>4452</v>
      </c>
      <c r="AU64" s="523">
        <f t="shared" si="1"/>
        <v>0</v>
      </c>
      <c r="AV64" s="506">
        <f t="shared" si="3"/>
        <v>0</v>
      </c>
      <c r="AW64" s="503">
        <f t="shared" si="2"/>
        <v>4452</v>
      </c>
      <c r="AY64" s="507"/>
    </row>
    <row r="65" spans="2:51" s="476" customFormat="1" outlineLevel="2" x14ac:dyDescent="0.25">
      <c r="B65" s="524" t="s">
        <v>316</v>
      </c>
      <c r="C65" s="525"/>
      <c r="D65" s="526"/>
      <c r="E65" s="511"/>
      <c r="F65" s="511"/>
      <c r="G65" s="511"/>
      <c r="H65" s="511"/>
      <c r="I65" s="511"/>
      <c r="J65" s="513"/>
      <c r="K65" s="514"/>
      <c r="L65" s="513">
        <v>0</v>
      </c>
      <c r="M65" s="513" t="s">
        <v>970</v>
      </c>
      <c r="N65" s="515">
        <f>SUM(O65:P65)</f>
        <v>0.25</v>
      </c>
      <c r="O65" s="515">
        <v>0.25</v>
      </c>
      <c r="P65" s="515">
        <f>$P$4</f>
        <v>0</v>
      </c>
      <c r="Q65" s="515" t="s">
        <v>792</v>
      </c>
      <c r="R65" s="516">
        <f>SUM(R64:$AQ64)*$N65/100</f>
        <v>11.13</v>
      </c>
      <c r="S65" s="516">
        <f>SUM(S64:$AQ64)*$N65/100</f>
        <v>9.01</v>
      </c>
      <c r="T65" s="516">
        <f>SUM(T64:$AQ64)*$N65/100</f>
        <v>6.89</v>
      </c>
      <c r="U65" s="516">
        <f>SUM(U64:$AQ64)*$N65/100</f>
        <v>4.7699999999999996</v>
      </c>
      <c r="V65" s="516">
        <f>SUM(V64:$AQ64)*$N65/100</f>
        <v>2.65</v>
      </c>
      <c r="W65" s="516">
        <f>SUM(W64:$AQ64)*$N65/100</f>
        <v>0.53</v>
      </c>
      <c r="X65" s="516">
        <v>0</v>
      </c>
      <c r="Y65" s="516">
        <v>0</v>
      </c>
      <c r="Z65" s="516">
        <v>0</v>
      </c>
      <c r="AA65" s="516">
        <v>0</v>
      </c>
      <c r="AB65" s="516">
        <v>0</v>
      </c>
      <c r="AC65" s="516">
        <v>0</v>
      </c>
      <c r="AD65" s="516">
        <v>0</v>
      </c>
      <c r="AE65" s="516">
        <v>0</v>
      </c>
      <c r="AF65" s="516">
        <v>0</v>
      </c>
      <c r="AG65" s="516">
        <v>0</v>
      </c>
      <c r="AH65" s="516">
        <v>0</v>
      </c>
      <c r="AI65" s="516">
        <v>0</v>
      </c>
      <c r="AJ65" s="516">
        <v>0</v>
      </c>
      <c r="AK65" s="516">
        <v>0</v>
      </c>
      <c r="AL65" s="516">
        <v>0</v>
      </c>
      <c r="AM65" s="516">
        <v>0</v>
      </c>
      <c r="AN65" s="516">
        <v>0</v>
      </c>
      <c r="AO65" s="516">
        <v>0</v>
      </c>
      <c r="AP65" s="516">
        <v>0</v>
      </c>
      <c r="AQ65" s="516">
        <v>0</v>
      </c>
      <c r="AR65" s="516"/>
      <c r="AS65" s="516"/>
      <c r="AT65" s="516">
        <f t="shared" si="0"/>
        <v>34.980000000000004</v>
      </c>
      <c r="AU65" s="523">
        <f t="shared" si="1"/>
        <v>0</v>
      </c>
      <c r="AV65" s="518">
        <f t="shared" si="3"/>
        <v>0</v>
      </c>
      <c r="AW65" s="516">
        <f t="shared" si="2"/>
        <v>34.980000000000004</v>
      </c>
      <c r="AY65" s="507"/>
    </row>
    <row r="66" spans="2:51" s="494" customFormat="1" outlineLevel="2" x14ac:dyDescent="0.25">
      <c r="B66" s="495" t="s">
        <v>316</v>
      </c>
      <c r="C66" s="496">
        <v>31</v>
      </c>
      <c r="D66" s="497" t="s">
        <v>971</v>
      </c>
      <c r="E66" s="498" t="s">
        <v>972</v>
      </c>
      <c r="F66" s="499" t="s">
        <v>973</v>
      </c>
      <c r="G66" s="499" t="s">
        <v>974</v>
      </c>
      <c r="H66" s="499" t="s">
        <v>975</v>
      </c>
      <c r="I66" s="499" t="s">
        <v>224</v>
      </c>
      <c r="J66" s="500">
        <v>400000</v>
      </c>
      <c r="K66" s="501">
        <v>345319</v>
      </c>
      <c r="L66" s="501"/>
      <c r="M66" s="501"/>
      <c r="N66" s="519"/>
      <c r="O66" s="519"/>
      <c r="P66" s="502"/>
      <c r="Q66" s="502" t="s">
        <v>749</v>
      </c>
      <c r="R66" s="503">
        <v>13676</v>
      </c>
      <c r="S66" s="503">
        <v>13676</v>
      </c>
      <c r="T66" s="503">
        <v>13676</v>
      </c>
      <c r="U66" s="503">
        <v>13676</v>
      </c>
      <c r="V66" s="503">
        <v>13676</v>
      </c>
      <c r="W66" s="503">
        <v>13676</v>
      </c>
      <c r="X66" s="503">
        <v>13676</v>
      </c>
      <c r="Y66" s="503">
        <v>13676</v>
      </c>
      <c r="Z66" s="503">
        <v>13676</v>
      </c>
      <c r="AA66" s="503">
        <v>13676</v>
      </c>
      <c r="AB66" s="503">
        <v>13676</v>
      </c>
      <c r="AC66" s="503">
        <v>13676</v>
      </c>
      <c r="AD66" s="503">
        <v>13676</v>
      </c>
      <c r="AE66" s="503">
        <v>13676</v>
      </c>
      <c r="AF66" s="503">
        <v>13676</v>
      </c>
      <c r="AG66" s="503">
        <v>13676</v>
      </c>
      <c r="AH66" s="503">
        <v>13676</v>
      </c>
      <c r="AI66" s="503">
        <v>13676</v>
      </c>
      <c r="AJ66" s="503">
        <v>13676</v>
      </c>
      <c r="AK66" s="503">
        <v>13676</v>
      </c>
      <c r="AL66" s="503">
        <v>13676</v>
      </c>
      <c r="AM66" s="503">
        <v>13676</v>
      </c>
      <c r="AN66" s="503">
        <v>13676</v>
      </c>
      <c r="AO66" s="503">
        <v>13676</v>
      </c>
      <c r="AP66" s="503">
        <v>13676</v>
      </c>
      <c r="AQ66" s="503">
        <v>3419</v>
      </c>
      <c r="AR66" s="503"/>
      <c r="AS66" s="503"/>
      <c r="AT66" s="504">
        <f t="shared" si="0"/>
        <v>345319</v>
      </c>
      <c r="AU66" s="505">
        <f t="shared" si="1"/>
        <v>0</v>
      </c>
      <c r="AV66" s="506">
        <f t="shared" si="3"/>
        <v>249587</v>
      </c>
      <c r="AW66" s="503">
        <f t="shared" si="2"/>
        <v>345319</v>
      </c>
      <c r="AY66" s="507"/>
    </row>
    <row r="67" spans="2:51" outlineLevel="2" x14ac:dyDescent="0.25">
      <c r="B67" s="508" t="s">
        <v>316</v>
      </c>
      <c r="C67" s="509"/>
      <c r="D67" s="510" t="s">
        <v>976</v>
      </c>
      <c r="E67" s="511"/>
      <c r="F67" s="512"/>
      <c r="G67" s="512"/>
      <c r="H67" s="512"/>
      <c r="I67" s="512"/>
      <c r="J67" s="513"/>
      <c r="K67" s="514"/>
      <c r="L67" s="513" t="s">
        <v>977</v>
      </c>
      <c r="M67" s="513"/>
      <c r="N67" s="515">
        <f>SUM(O67:P67)</f>
        <v>3.0630000000000002</v>
      </c>
      <c r="O67" s="515">
        <v>3.0630000000000002</v>
      </c>
      <c r="P67" s="515">
        <f>$P$4</f>
        <v>0</v>
      </c>
      <c r="Q67" s="515" t="s">
        <v>792</v>
      </c>
      <c r="R67" s="516">
        <f>SUM(R66:$AQ66)*$N67/100</f>
        <v>10577.12097</v>
      </c>
      <c r="S67" s="516">
        <f>SUM(S66:$AQ66)*$N67/100</f>
        <v>10158.22509</v>
      </c>
      <c r="T67" s="516">
        <f>SUM(T66:$AQ66)*$N67/100</f>
        <v>9739.3292100000017</v>
      </c>
      <c r="U67" s="516">
        <f>SUM(U66:$AQ66)*$N67/100</f>
        <v>9320.4333300000017</v>
      </c>
      <c r="V67" s="516">
        <f>SUM(V66:$AQ66)*$N67/100</f>
        <v>8901.5374499999998</v>
      </c>
      <c r="W67" s="516">
        <f>SUM(W66:$AQ66)*$N67/100</f>
        <v>8482.6415699999998</v>
      </c>
      <c r="X67" s="516">
        <f>SUM(X66:$AQ66)*$N67/100</f>
        <v>8063.7456899999997</v>
      </c>
      <c r="Y67" s="516">
        <f>SUM(Y66:$AQ66)*$N67/100</f>
        <v>7644.8498100000006</v>
      </c>
      <c r="Z67" s="516">
        <f>SUM(Z66:$AQ66)*$N67/100</f>
        <v>7225.9539300000006</v>
      </c>
      <c r="AA67" s="516">
        <f>SUM(AA66:$AQ66)*$N67/100</f>
        <v>6807.0580500000005</v>
      </c>
      <c r="AB67" s="516">
        <f>SUM(AB66:$AQ66)*$N67/100</f>
        <v>6388.1621700000005</v>
      </c>
      <c r="AC67" s="516">
        <f>SUM(AC66:$AQ66)*$N67/100</f>
        <v>5969.2662900000005</v>
      </c>
      <c r="AD67" s="516">
        <f>SUM(AD66:$AQ66)*$N67/100</f>
        <v>5550.3704100000004</v>
      </c>
      <c r="AE67" s="516">
        <f>SUM(AE66:$AQ66)*$N67/100</f>
        <v>5131.4745300000004</v>
      </c>
      <c r="AF67" s="516">
        <f>SUM(AF66:$AQ66)*$N67/100</f>
        <v>4712.5786500000004</v>
      </c>
      <c r="AG67" s="516">
        <f>SUM(AG66:$AQ66)*$N67/100</f>
        <v>4293.6827700000003</v>
      </c>
      <c r="AH67" s="516">
        <f>SUM(AH66:$AQ66)*$N67/100</f>
        <v>3874.7868900000003</v>
      </c>
      <c r="AI67" s="516">
        <f>SUM(AI66:$AQ66)*$N67/100</f>
        <v>3455.8910100000003</v>
      </c>
      <c r="AJ67" s="516">
        <f>SUM(AJ66:$AQ66)*$N67/100</f>
        <v>3036.9951300000002</v>
      </c>
      <c r="AK67" s="516">
        <f>SUM(AK66:$AQ66)*$N67/100</f>
        <v>2618.0992500000002</v>
      </c>
      <c r="AL67" s="516">
        <f>SUM(AL66:$AQ66)*$N67/100</f>
        <v>2199.2033700000002</v>
      </c>
      <c r="AM67" s="516">
        <f>SUM(AM66:$AQ66)*$N67/100</f>
        <v>1780.3074900000001</v>
      </c>
      <c r="AN67" s="516">
        <f>SUM(AN66:$AQ66)*$N67/100</f>
        <v>1361.4116100000001</v>
      </c>
      <c r="AO67" s="516">
        <f>SUM(AO66:$AQ66)*$N67/100</f>
        <v>942.51573000000008</v>
      </c>
      <c r="AP67" s="516">
        <f>SUM(AP66:$AQ66)*$N67/100</f>
        <v>523.61985000000004</v>
      </c>
      <c r="AQ67" s="516">
        <f>SUM(AQ66:$AQ66)*$N67/100</f>
        <v>104.72397000000001</v>
      </c>
      <c r="AR67" s="516"/>
      <c r="AS67" s="516"/>
      <c r="AT67" s="517">
        <f t="shared" si="0"/>
        <v>138863.98422000004</v>
      </c>
      <c r="AU67" s="505">
        <f t="shared" si="1"/>
        <v>0</v>
      </c>
      <c r="AV67" s="518">
        <f t="shared" si="3"/>
        <v>73620.950910000029</v>
      </c>
      <c r="AW67" s="516">
        <f t="shared" si="2"/>
        <v>138863.98422000004</v>
      </c>
      <c r="AY67" s="507"/>
    </row>
    <row r="68" spans="2:51" s="494" customFormat="1" outlineLevel="2" collapsed="1" x14ac:dyDescent="0.25">
      <c r="B68" s="495" t="s">
        <v>316</v>
      </c>
      <c r="C68" s="496">
        <v>32</v>
      </c>
      <c r="D68" s="497" t="s">
        <v>978</v>
      </c>
      <c r="E68" s="498" t="s">
        <v>979</v>
      </c>
      <c r="F68" s="499" t="s">
        <v>980</v>
      </c>
      <c r="G68" s="499" t="s">
        <v>981</v>
      </c>
      <c r="H68" s="499" t="s">
        <v>982</v>
      </c>
      <c r="I68" s="499" t="s">
        <v>224</v>
      </c>
      <c r="J68" s="500">
        <v>279650</v>
      </c>
      <c r="K68" s="501">
        <v>241491</v>
      </c>
      <c r="L68" s="501"/>
      <c r="M68" s="501"/>
      <c r="N68" s="519"/>
      <c r="O68" s="519"/>
      <c r="P68" s="502"/>
      <c r="Q68" s="502" t="s">
        <v>749</v>
      </c>
      <c r="R68" s="503">
        <v>9564</v>
      </c>
      <c r="S68" s="503">
        <v>9564</v>
      </c>
      <c r="T68" s="503">
        <v>9564</v>
      </c>
      <c r="U68" s="503">
        <v>9564</v>
      </c>
      <c r="V68" s="503">
        <v>9564</v>
      </c>
      <c r="W68" s="503">
        <v>9564</v>
      </c>
      <c r="X68" s="503">
        <v>9564</v>
      </c>
      <c r="Y68" s="503">
        <v>9564</v>
      </c>
      <c r="Z68" s="503">
        <v>9564</v>
      </c>
      <c r="AA68" s="503">
        <v>9564</v>
      </c>
      <c r="AB68" s="503">
        <v>9564</v>
      </c>
      <c r="AC68" s="503">
        <v>9564</v>
      </c>
      <c r="AD68" s="503">
        <v>9564</v>
      </c>
      <c r="AE68" s="503">
        <v>9564</v>
      </c>
      <c r="AF68" s="503">
        <v>9564</v>
      </c>
      <c r="AG68" s="503">
        <v>9564</v>
      </c>
      <c r="AH68" s="503">
        <v>9564</v>
      </c>
      <c r="AI68" s="503">
        <v>9564</v>
      </c>
      <c r="AJ68" s="503">
        <v>9564</v>
      </c>
      <c r="AK68" s="503">
        <v>9564</v>
      </c>
      <c r="AL68" s="503">
        <v>9564</v>
      </c>
      <c r="AM68" s="503">
        <v>9564</v>
      </c>
      <c r="AN68" s="503">
        <v>9564</v>
      </c>
      <c r="AO68" s="503">
        <v>9564</v>
      </c>
      <c r="AP68" s="503">
        <v>9564</v>
      </c>
      <c r="AQ68" s="503">
        <v>2391</v>
      </c>
      <c r="AR68" s="503"/>
      <c r="AS68" s="503"/>
      <c r="AT68" s="504">
        <f t="shared" si="0"/>
        <v>241491</v>
      </c>
      <c r="AU68" s="505">
        <f t="shared" si="1"/>
        <v>0</v>
      </c>
      <c r="AV68" s="506">
        <f t="shared" si="3"/>
        <v>174543</v>
      </c>
      <c r="AW68" s="503">
        <f t="shared" si="2"/>
        <v>241491</v>
      </c>
      <c r="AY68" s="507"/>
    </row>
    <row r="69" spans="2:51" outlineLevel="2" x14ac:dyDescent="0.25">
      <c r="B69" s="508" t="s">
        <v>316</v>
      </c>
      <c r="C69" s="509"/>
      <c r="D69" s="510"/>
      <c r="E69" s="511"/>
      <c r="F69" s="512"/>
      <c r="G69" s="512"/>
      <c r="H69" s="512"/>
      <c r="I69" s="512"/>
      <c r="J69" s="513"/>
      <c r="K69" s="514"/>
      <c r="L69" s="513" t="s">
        <v>983</v>
      </c>
      <c r="M69" s="513"/>
      <c r="N69" s="515">
        <f>SUM(O69:P69)</f>
        <v>2.835</v>
      </c>
      <c r="O69" s="515">
        <v>2.835</v>
      </c>
      <c r="P69" s="515">
        <f>$P$4</f>
        <v>0</v>
      </c>
      <c r="Q69" s="515" t="s">
        <v>792</v>
      </c>
      <c r="R69" s="516">
        <f>SUM(R68:$AQ68)*$N69/100</f>
        <v>6846.2698499999997</v>
      </c>
      <c r="S69" s="516">
        <f>SUM(S68:$AQ68)*$N69/100</f>
        <v>6575.1304500000006</v>
      </c>
      <c r="T69" s="516">
        <f>SUM(T68:$AQ68)*$N69/100</f>
        <v>6303.9910499999996</v>
      </c>
      <c r="U69" s="516">
        <f>SUM(U68:$AQ68)*$N69/100</f>
        <v>6032.8516500000005</v>
      </c>
      <c r="V69" s="516">
        <f>SUM(V68:$AQ68)*$N69/100</f>
        <v>5761.7122499999996</v>
      </c>
      <c r="W69" s="516">
        <f>SUM(W68:$AQ68)*$N69/100</f>
        <v>5490.5728500000005</v>
      </c>
      <c r="X69" s="516">
        <f>SUM(X68:$AQ68)*$N69/100</f>
        <v>5219.4334499999995</v>
      </c>
      <c r="Y69" s="516">
        <f>SUM(Y68:$AQ68)*$N69/100</f>
        <v>4948.2940499999995</v>
      </c>
      <c r="Z69" s="516">
        <f>SUM(Z68:$AQ68)*$N69/100</f>
        <v>4677.1546499999995</v>
      </c>
      <c r="AA69" s="516">
        <f>SUM(AA68:$AQ68)*$N69/100</f>
        <v>4406.0152500000004</v>
      </c>
      <c r="AB69" s="516">
        <f>SUM(AB68:$AQ68)*$N69/100</f>
        <v>4134.8758500000004</v>
      </c>
      <c r="AC69" s="516">
        <f>SUM(AC68:$AQ68)*$N69/100</f>
        <v>3863.7364500000003</v>
      </c>
      <c r="AD69" s="516">
        <f>SUM(AD68:$AQ68)*$N69/100</f>
        <v>3592.5970500000003</v>
      </c>
      <c r="AE69" s="516">
        <f>SUM(AE68:$AQ68)*$N69/100</f>
        <v>3321.4576500000003</v>
      </c>
      <c r="AF69" s="516">
        <f>SUM(AF68:$AQ68)*$N69/100</f>
        <v>3050.3182500000003</v>
      </c>
      <c r="AG69" s="516">
        <f>SUM(AG68:$AQ68)*$N69/100</f>
        <v>2779.1788500000002</v>
      </c>
      <c r="AH69" s="516">
        <f>SUM(AH68:$AQ68)*$N69/100</f>
        <v>2508.0394500000002</v>
      </c>
      <c r="AI69" s="516">
        <f>SUM(AI68:$AQ68)*$N69/100</f>
        <v>2236.9000500000002</v>
      </c>
      <c r="AJ69" s="516">
        <f>SUM(AJ68:$AQ68)*$N69/100</f>
        <v>1965.7606499999999</v>
      </c>
      <c r="AK69" s="516">
        <f>SUM(AK68:$AQ68)*$N69/100</f>
        <v>1694.6212499999999</v>
      </c>
      <c r="AL69" s="516">
        <f>SUM(AL68:$AQ68)*$N69/100</f>
        <v>1423.4818499999999</v>
      </c>
      <c r="AM69" s="516">
        <f>SUM(AM68:$AQ68)*$N69/100</f>
        <v>1152.3424499999999</v>
      </c>
      <c r="AN69" s="516">
        <f>SUM(AN68:$AQ68)*$N69/100</f>
        <v>881.20304999999996</v>
      </c>
      <c r="AO69" s="516">
        <f>SUM(AO68:$AQ68)*$N69/100</f>
        <v>610.06364999999994</v>
      </c>
      <c r="AP69" s="516">
        <f>SUM(AP68:$AQ68)*$N69/100</f>
        <v>338.92425000000003</v>
      </c>
      <c r="AQ69" s="516">
        <f>SUM(AQ68:$AQ68)*$N69/100</f>
        <v>67.784849999999992</v>
      </c>
      <c r="AR69" s="516"/>
      <c r="AS69" s="516"/>
      <c r="AT69" s="517">
        <f t="shared" si="0"/>
        <v>89882.711099999942</v>
      </c>
      <c r="AU69" s="505">
        <f t="shared" si="1"/>
        <v>0</v>
      </c>
      <c r="AV69" s="518">
        <f t="shared" si="3"/>
        <v>47652.749549999964</v>
      </c>
      <c r="AW69" s="516">
        <f t="shared" si="2"/>
        <v>89882.711099999957</v>
      </c>
      <c r="AY69" s="507"/>
    </row>
    <row r="70" spans="2:51" s="494" customFormat="1" outlineLevel="2" x14ac:dyDescent="0.25">
      <c r="B70" s="495" t="s">
        <v>316</v>
      </c>
      <c r="C70" s="496">
        <v>33</v>
      </c>
      <c r="D70" s="497" t="s">
        <v>984</v>
      </c>
      <c r="E70" s="498" t="s">
        <v>985</v>
      </c>
      <c r="F70" s="499" t="s">
        <v>986</v>
      </c>
      <c r="G70" s="499" t="s">
        <v>987</v>
      </c>
      <c r="H70" s="499" t="s">
        <v>988</v>
      </c>
      <c r="I70" s="499" t="s">
        <v>224</v>
      </c>
      <c r="J70" s="500">
        <v>2075409</v>
      </c>
      <c r="K70" s="501">
        <v>1159750</v>
      </c>
      <c r="L70" s="501"/>
      <c r="M70" s="501"/>
      <c r="N70" s="519"/>
      <c r="O70" s="519"/>
      <c r="P70" s="502"/>
      <c r="Q70" s="502" t="s">
        <v>749</v>
      </c>
      <c r="R70" s="503">
        <v>121648</v>
      </c>
      <c r="S70" s="503">
        <v>117000</v>
      </c>
      <c r="T70" s="503">
        <v>117000</v>
      </c>
      <c r="U70" s="503">
        <v>117000</v>
      </c>
      <c r="V70" s="503">
        <v>117000</v>
      </c>
      <c r="W70" s="503">
        <v>110320</v>
      </c>
      <c r="X70" s="503">
        <v>91212</v>
      </c>
      <c r="Y70" s="503">
        <v>82616</v>
      </c>
      <c r="Z70" s="503">
        <v>82616</v>
      </c>
      <c r="AA70" s="503">
        <v>82616</v>
      </c>
      <c r="AB70" s="503">
        <v>75860</v>
      </c>
      <c r="AC70" s="503">
        <v>36908</v>
      </c>
      <c r="AD70" s="503">
        <v>7954</v>
      </c>
      <c r="AE70" s="503">
        <v>0</v>
      </c>
      <c r="AF70" s="503">
        <v>0</v>
      </c>
      <c r="AG70" s="503">
        <v>0</v>
      </c>
      <c r="AH70" s="503">
        <v>0</v>
      </c>
      <c r="AI70" s="503">
        <v>0</v>
      </c>
      <c r="AJ70" s="503">
        <v>0</v>
      </c>
      <c r="AK70" s="503">
        <v>0</v>
      </c>
      <c r="AL70" s="503">
        <v>0</v>
      </c>
      <c r="AM70" s="503">
        <v>0</v>
      </c>
      <c r="AN70" s="503">
        <v>0</v>
      </c>
      <c r="AO70" s="503">
        <v>0</v>
      </c>
      <c r="AP70" s="503">
        <v>0</v>
      </c>
      <c r="AQ70" s="503">
        <v>0</v>
      </c>
      <c r="AR70" s="503"/>
      <c r="AS70" s="503"/>
      <c r="AT70" s="504">
        <f t="shared" ref="AT70:AT129" si="5">SUM(R70:AS70)</f>
        <v>1159750</v>
      </c>
      <c r="AU70" s="505">
        <f t="shared" ref="AU70:AU127" si="6">AT70-SUM(R70:AS70)</f>
        <v>0</v>
      </c>
      <c r="AV70" s="506">
        <f t="shared" si="3"/>
        <v>368570</v>
      </c>
      <c r="AW70" s="503">
        <f t="shared" si="2"/>
        <v>1159750</v>
      </c>
      <c r="AY70" s="507"/>
    </row>
    <row r="71" spans="2:51" outlineLevel="2" x14ac:dyDescent="0.25">
      <c r="B71" s="508" t="s">
        <v>316</v>
      </c>
      <c r="C71" s="509"/>
      <c r="D71" s="510" t="s">
        <v>989</v>
      </c>
      <c r="E71" s="511"/>
      <c r="F71" s="512"/>
      <c r="G71" s="512"/>
      <c r="H71" s="512"/>
      <c r="I71" s="512"/>
      <c r="J71" s="513"/>
      <c r="K71" s="514"/>
      <c r="L71" s="513" t="s">
        <v>990</v>
      </c>
      <c r="M71" s="513"/>
      <c r="N71" s="515">
        <f>SUM(O71:P71)</f>
        <v>2.2999999999999998</v>
      </c>
      <c r="O71" s="515">
        <v>2.2999999999999998</v>
      </c>
      <c r="P71" s="515">
        <f>$P$4</f>
        <v>0</v>
      </c>
      <c r="Q71" s="515" t="s">
        <v>792</v>
      </c>
      <c r="R71" s="516">
        <f>SUM(R70:$AQ70)*$N71/100</f>
        <v>26674.25</v>
      </c>
      <c r="S71" s="516">
        <f>SUM(S70:$AQ70)*$N71/100</f>
        <v>23876.345999999998</v>
      </c>
      <c r="T71" s="516">
        <f>SUM(T70:$AQ70)*$N71/100</f>
        <v>21185.345999999998</v>
      </c>
      <c r="U71" s="516">
        <f>SUM(U70:$AQ70)*$N71/100</f>
        <v>18494.345999999998</v>
      </c>
      <c r="V71" s="516">
        <f>SUM(V70:$AQ70)*$N71/100</f>
        <v>15803.345999999998</v>
      </c>
      <c r="W71" s="516">
        <f>SUM(W70:$AQ70)*$N71/100</f>
        <v>13112.345999999998</v>
      </c>
      <c r="X71" s="516">
        <f>SUM(X70:$AQ70)*$N71/100</f>
        <v>10574.985999999999</v>
      </c>
      <c r="Y71" s="516">
        <f>SUM(Y70:$AQ70)*$N71/100</f>
        <v>8477.1099999999988</v>
      </c>
      <c r="Z71" s="516">
        <f>SUM(Z70:$AQ70)*$N71/100</f>
        <v>6576.9419999999991</v>
      </c>
      <c r="AA71" s="516">
        <f>SUM(AA70:$AQ70)*$N71/100</f>
        <v>4676.7739999999994</v>
      </c>
      <c r="AB71" s="516">
        <f>SUM(AB70:$AQ70)*$N71/100</f>
        <v>2776.6059999999998</v>
      </c>
      <c r="AC71" s="516">
        <f>SUM(AC70:$AQ70)*$N71/100</f>
        <v>1031.826</v>
      </c>
      <c r="AD71" s="516">
        <f>SUM(AD70:$AQ70)*$N71/100</f>
        <v>182.94199999999998</v>
      </c>
      <c r="AE71" s="516">
        <v>0</v>
      </c>
      <c r="AF71" s="516">
        <v>0</v>
      </c>
      <c r="AG71" s="516">
        <v>0</v>
      </c>
      <c r="AH71" s="516">
        <v>0</v>
      </c>
      <c r="AI71" s="516">
        <v>0</v>
      </c>
      <c r="AJ71" s="516">
        <v>0</v>
      </c>
      <c r="AK71" s="516">
        <v>0</v>
      </c>
      <c r="AL71" s="516">
        <v>0</v>
      </c>
      <c r="AM71" s="516">
        <v>0</v>
      </c>
      <c r="AN71" s="516">
        <v>0</v>
      </c>
      <c r="AO71" s="516">
        <v>0</v>
      </c>
      <c r="AP71" s="516">
        <v>0</v>
      </c>
      <c r="AQ71" s="516">
        <v>0</v>
      </c>
      <c r="AR71" s="516"/>
      <c r="AS71" s="516"/>
      <c r="AT71" s="517">
        <f t="shared" si="5"/>
        <v>153443.166</v>
      </c>
      <c r="AU71" s="505">
        <f t="shared" si="6"/>
        <v>0</v>
      </c>
      <c r="AV71" s="518">
        <f t="shared" si="3"/>
        <v>23722.199999999997</v>
      </c>
      <c r="AW71" s="516">
        <f t="shared" ref="AW71:AW129" si="7">SUM(R71:X71,AV71)</f>
        <v>153443.16599999997</v>
      </c>
      <c r="AY71" s="507"/>
    </row>
    <row r="72" spans="2:51" s="494" customFormat="1" outlineLevel="2" x14ac:dyDescent="0.25">
      <c r="B72" s="495" t="s">
        <v>316</v>
      </c>
      <c r="C72" s="496">
        <v>34</v>
      </c>
      <c r="D72" s="497" t="s">
        <v>991</v>
      </c>
      <c r="E72" s="498" t="s">
        <v>992</v>
      </c>
      <c r="F72" s="499" t="s">
        <v>993</v>
      </c>
      <c r="G72" s="499" t="s">
        <v>994</v>
      </c>
      <c r="H72" s="499" t="s">
        <v>995</v>
      </c>
      <c r="I72" s="499" t="s">
        <v>224</v>
      </c>
      <c r="J72" s="500">
        <v>617703</v>
      </c>
      <c r="K72" s="501">
        <v>533970</v>
      </c>
      <c r="L72" s="501"/>
      <c r="M72" s="501"/>
      <c r="N72" s="519"/>
      <c r="O72" s="519"/>
      <c r="P72" s="502"/>
      <c r="Q72" s="502" t="s">
        <v>749</v>
      </c>
      <c r="R72" s="503">
        <v>20940</v>
      </c>
      <c r="S72" s="503">
        <v>20940</v>
      </c>
      <c r="T72" s="503">
        <v>20940</v>
      </c>
      <c r="U72" s="503">
        <v>20940</v>
      </c>
      <c r="V72" s="503">
        <v>20940</v>
      </c>
      <c r="W72" s="503">
        <v>20940</v>
      </c>
      <c r="X72" s="503">
        <v>20940</v>
      </c>
      <c r="Y72" s="503">
        <v>20940</v>
      </c>
      <c r="Z72" s="503">
        <v>20940</v>
      </c>
      <c r="AA72" s="503">
        <v>20940</v>
      </c>
      <c r="AB72" s="503">
        <v>20940</v>
      </c>
      <c r="AC72" s="503">
        <v>20940</v>
      </c>
      <c r="AD72" s="503">
        <v>20940</v>
      </c>
      <c r="AE72" s="503">
        <v>20940</v>
      </c>
      <c r="AF72" s="503">
        <v>20940</v>
      </c>
      <c r="AG72" s="503">
        <v>20940</v>
      </c>
      <c r="AH72" s="503">
        <v>20940</v>
      </c>
      <c r="AI72" s="503">
        <v>20940</v>
      </c>
      <c r="AJ72" s="503">
        <v>20940</v>
      </c>
      <c r="AK72" s="503">
        <v>20940</v>
      </c>
      <c r="AL72" s="503">
        <v>20940</v>
      </c>
      <c r="AM72" s="503">
        <v>20940</v>
      </c>
      <c r="AN72" s="503">
        <v>20940</v>
      </c>
      <c r="AO72" s="503">
        <v>20940</v>
      </c>
      <c r="AP72" s="503">
        <v>20940</v>
      </c>
      <c r="AQ72" s="503">
        <v>10470</v>
      </c>
      <c r="AR72" s="503"/>
      <c r="AS72" s="503"/>
      <c r="AT72" s="504">
        <f t="shared" si="5"/>
        <v>533970</v>
      </c>
      <c r="AU72" s="505">
        <f t="shared" si="6"/>
        <v>0</v>
      </c>
      <c r="AV72" s="506">
        <f t="shared" ref="AV72:AV129" si="8">SUM(Y72:AS72)</f>
        <v>387390</v>
      </c>
      <c r="AW72" s="503">
        <f t="shared" si="7"/>
        <v>533970</v>
      </c>
      <c r="AY72" s="507"/>
    </row>
    <row r="73" spans="2:51" outlineLevel="2" x14ac:dyDescent="0.25">
      <c r="B73" s="508" t="s">
        <v>316</v>
      </c>
      <c r="C73" s="509"/>
      <c r="D73" s="510"/>
      <c r="E73" s="511"/>
      <c r="F73" s="512"/>
      <c r="G73" s="512"/>
      <c r="H73" s="512"/>
      <c r="I73" s="512"/>
      <c r="J73" s="513"/>
      <c r="K73" s="514"/>
      <c r="L73" s="513" t="s">
        <v>996</v>
      </c>
      <c r="M73" s="513"/>
      <c r="N73" s="515">
        <f>SUM(O73:P73)</f>
        <v>2.7010000000000001</v>
      </c>
      <c r="O73" s="515">
        <v>2.7010000000000001</v>
      </c>
      <c r="P73" s="515">
        <f>$P$4</f>
        <v>0</v>
      </c>
      <c r="Q73" s="515" t="s">
        <v>792</v>
      </c>
      <c r="R73" s="516">
        <f>SUM(R72:$AQ72)*$N73/100</f>
        <v>14422.529699999999</v>
      </c>
      <c r="S73" s="516">
        <f>SUM(S72:$AQ72)*$N73/100</f>
        <v>13856.9403</v>
      </c>
      <c r="T73" s="516">
        <f>SUM(T72:$AQ72)*$N73/100</f>
        <v>13291.350900000001</v>
      </c>
      <c r="U73" s="516">
        <f>SUM(U72:$AQ72)*$N73/100</f>
        <v>12725.761500000001</v>
      </c>
      <c r="V73" s="516">
        <f>SUM(V72:$AQ72)*$N73/100</f>
        <v>12160.1721</v>
      </c>
      <c r="W73" s="516">
        <f>SUM(W72:$AQ72)*$N73/100</f>
        <v>11594.582700000001</v>
      </c>
      <c r="X73" s="516">
        <f>SUM(X72:$AQ72)*$N73/100</f>
        <v>11028.9933</v>
      </c>
      <c r="Y73" s="516">
        <f>SUM(Y72:$AQ72)*$N73/100</f>
        <v>10463.403899999999</v>
      </c>
      <c r="Z73" s="516">
        <f>SUM(Z72:$AQ72)*$N73/100</f>
        <v>9897.8145000000004</v>
      </c>
      <c r="AA73" s="516">
        <f>SUM(AA72:$AQ72)*$N73/100</f>
        <v>9332.2250999999997</v>
      </c>
      <c r="AB73" s="516">
        <f>SUM(AB72:$AQ72)*$N73/100</f>
        <v>8766.6357000000007</v>
      </c>
      <c r="AC73" s="516">
        <f>SUM(AC72:$AQ72)*$N73/100</f>
        <v>8201.0463</v>
      </c>
      <c r="AD73" s="516">
        <f>SUM(AD72:$AQ72)*$N73/100</f>
        <v>7635.456900000001</v>
      </c>
      <c r="AE73" s="516">
        <f>SUM(AE72:$AQ72)*$N73/100</f>
        <v>7069.8675000000003</v>
      </c>
      <c r="AF73" s="516">
        <f>SUM(AF72:$AQ72)*$N73/100</f>
        <v>6504.2781000000004</v>
      </c>
      <c r="AG73" s="516">
        <f>SUM(AG72:$AQ72)*$N73/100</f>
        <v>5938.6886999999997</v>
      </c>
      <c r="AH73" s="516">
        <f>SUM(AH72:$AQ72)*$N73/100</f>
        <v>5373.0993000000008</v>
      </c>
      <c r="AI73" s="516">
        <f>SUM(AI72:$AQ72)*$N73/100</f>
        <v>4807.5099</v>
      </c>
      <c r="AJ73" s="516">
        <f>SUM(AJ72:$AQ72)*$N73/100</f>
        <v>4241.9205000000002</v>
      </c>
      <c r="AK73" s="516">
        <f>SUM(AK72:$AQ72)*$N73/100</f>
        <v>3676.3310999999999</v>
      </c>
      <c r="AL73" s="516">
        <f>SUM(AL72:$AQ72)*$N73/100</f>
        <v>3110.7417</v>
      </c>
      <c r="AM73" s="516">
        <f>SUM(AM72:$AQ72)*$N73/100</f>
        <v>2545.1523000000002</v>
      </c>
      <c r="AN73" s="516">
        <f>SUM(AN72:$AQ72)*$N73/100</f>
        <v>1979.5629000000001</v>
      </c>
      <c r="AO73" s="516">
        <f>SUM(AO72:$AQ72)*$N73/100</f>
        <v>1413.9735000000001</v>
      </c>
      <c r="AP73" s="516">
        <f>SUM(AP72:$AQ72)*$N73/100</f>
        <v>848.38409999999999</v>
      </c>
      <c r="AQ73" s="516">
        <f>SUM(AQ72:$AQ72)*$N73/100</f>
        <v>282.79470000000003</v>
      </c>
      <c r="AR73" s="516"/>
      <c r="AS73" s="516"/>
      <c r="AT73" s="517">
        <f t="shared" si="5"/>
        <v>191169.21719999998</v>
      </c>
      <c r="AU73" s="505">
        <f t="shared" si="6"/>
        <v>0</v>
      </c>
      <c r="AV73" s="518">
        <f t="shared" si="8"/>
        <v>102088.8867</v>
      </c>
      <c r="AW73" s="516">
        <f t="shared" si="7"/>
        <v>191169.21720000001</v>
      </c>
      <c r="AY73" s="507"/>
    </row>
    <row r="74" spans="2:51" s="494" customFormat="1" outlineLevel="2" x14ac:dyDescent="0.25">
      <c r="B74" s="495" t="s">
        <v>316</v>
      </c>
      <c r="C74" s="496">
        <v>35</v>
      </c>
      <c r="D74" s="497" t="s">
        <v>997</v>
      </c>
      <c r="E74" s="498" t="s">
        <v>998</v>
      </c>
      <c r="F74" s="499" t="s">
        <v>999</v>
      </c>
      <c r="G74" s="499" t="s">
        <v>1000</v>
      </c>
      <c r="H74" s="499" t="s">
        <v>1001</v>
      </c>
      <c r="I74" s="499" t="s">
        <v>224</v>
      </c>
      <c r="J74" s="500">
        <v>131926.07</v>
      </c>
      <c r="K74" s="501">
        <v>104865.07</v>
      </c>
      <c r="L74" s="501"/>
      <c r="M74" s="501"/>
      <c r="N74" s="519"/>
      <c r="O74" s="519"/>
      <c r="P74" s="502"/>
      <c r="Q74" s="502" t="s">
        <v>749</v>
      </c>
      <c r="R74" s="503">
        <v>6772</v>
      </c>
      <c r="S74" s="503">
        <v>6772</v>
      </c>
      <c r="T74" s="503">
        <v>6772</v>
      </c>
      <c r="U74" s="503">
        <v>6772</v>
      </c>
      <c r="V74" s="503">
        <v>6772</v>
      </c>
      <c r="W74" s="503">
        <v>6772</v>
      </c>
      <c r="X74" s="503">
        <v>6772</v>
      </c>
      <c r="Y74" s="503">
        <v>6772</v>
      </c>
      <c r="Z74" s="503">
        <v>6772</v>
      </c>
      <c r="AA74" s="503">
        <v>6772</v>
      </c>
      <c r="AB74" s="503">
        <v>6772</v>
      </c>
      <c r="AC74" s="503">
        <v>6772</v>
      </c>
      <c r="AD74" s="503">
        <v>6772</v>
      </c>
      <c r="AE74" s="503">
        <v>6772</v>
      </c>
      <c r="AF74" s="503">
        <v>6772</v>
      </c>
      <c r="AG74" s="503">
        <v>3285.0699999999997</v>
      </c>
      <c r="AH74" s="503">
        <v>0</v>
      </c>
      <c r="AI74" s="503">
        <v>0</v>
      </c>
      <c r="AJ74" s="503">
        <v>0</v>
      </c>
      <c r="AK74" s="503">
        <v>0</v>
      </c>
      <c r="AL74" s="503">
        <v>0</v>
      </c>
      <c r="AM74" s="503">
        <v>0</v>
      </c>
      <c r="AN74" s="503">
        <v>0</v>
      </c>
      <c r="AO74" s="503">
        <v>0</v>
      </c>
      <c r="AP74" s="503">
        <v>0</v>
      </c>
      <c r="AQ74" s="503">
        <v>0</v>
      </c>
      <c r="AR74" s="503"/>
      <c r="AS74" s="503"/>
      <c r="AT74" s="504">
        <f t="shared" si="5"/>
        <v>104865.07</v>
      </c>
      <c r="AU74" s="505">
        <f t="shared" si="6"/>
        <v>0</v>
      </c>
      <c r="AV74" s="506">
        <f t="shared" si="8"/>
        <v>57461.07</v>
      </c>
      <c r="AW74" s="503">
        <f t="shared" si="7"/>
        <v>104865.07</v>
      </c>
      <c r="AY74" s="507"/>
    </row>
    <row r="75" spans="2:51" outlineLevel="2" x14ac:dyDescent="0.25">
      <c r="B75" s="508" t="s">
        <v>316</v>
      </c>
      <c r="C75" s="509"/>
      <c r="D75" s="510"/>
      <c r="E75" s="511"/>
      <c r="F75" s="512"/>
      <c r="G75" s="512"/>
      <c r="H75" s="512"/>
      <c r="I75" s="512"/>
      <c r="J75" s="513"/>
      <c r="K75" s="514"/>
      <c r="L75" s="513" t="s">
        <v>1002</v>
      </c>
      <c r="M75" s="513"/>
      <c r="N75" s="515">
        <f>SUM(O75:P75)</f>
        <v>2.5369999999999999</v>
      </c>
      <c r="O75" s="515">
        <v>2.5369999999999999</v>
      </c>
      <c r="P75" s="515">
        <f>$P$4</f>
        <v>0</v>
      </c>
      <c r="Q75" s="515" t="s">
        <v>792</v>
      </c>
      <c r="R75" s="516">
        <f>SUM(R74:$AQ74)*$N75/100</f>
        <v>2660.4268259</v>
      </c>
      <c r="S75" s="516">
        <f>SUM(S74:$AQ74)*$N75/100</f>
        <v>2488.6211859</v>
      </c>
      <c r="T75" s="516">
        <f>SUM(T74:$AQ74)*$N75/100</f>
        <v>2316.8155459</v>
      </c>
      <c r="U75" s="516">
        <f>SUM(U74:$AQ74)*$N75/100</f>
        <v>2145.0099058999999</v>
      </c>
      <c r="V75" s="516">
        <f>SUM(V74:$AQ74)*$N75/100</f>
        <v>1973.2042659000001</v>
      </c>
      <c r="W75" s="516">
        <f>SUM(W74:$AQ74)*$N75/100</f>
        <v>1801.3986259000001</v>
      </c>
      <c r="X75" s="516">
        <f>SUM(X74:$AQ74)*$N75/100</f>
        <v>1629.5929858999998</v>
      </c>
      <c r="Y75" s="516">
        <f>SUM(Y74:$AQ74)*$N75/100</f>
        <v>1457.7873459</v>
      </c>
      <c r="Z75" s="516">
        <f>SUM(Z74:$AQ74)*$N75/100</f>
        <v>1285.9817059</v>
      </c>
      <c r="AA75" s="516">
        <f>SUM(AA74:$AQ74)*$N75/100</f>
        <v>1114.1760658999999</v>
      </c>
      <c r="AB75" s="516">
        <f>SUM(AB74:$AQ74)*$N75/100</f>
        <v>942.37042589999999</v>
      </c>
      <c r="AC75" s="516">
        <f>SUM(AC74:$AQ74)*$N75/100</f>
        <v>770.56478589999995</v>
      </c>
      <c r="AD75" s="516">
        <f>SUM(AD74:$AQ74)*$N75/100</f>
        <v>598.75914590000002</v>
      </c>
      <c r="AE75" s="516">
        <f>SUM(AE74:$AQ74)*$N75/100</f>
        <v>426.95350589999993</v>
      </c>
      <c r="AF75" s="516">
        <f>SUM(AF74:$AQ74)*$N75/100</f>
        <v>255.1478659</v>
      </c>
      <c r="AG75" s="516">
        <f>SUM(AG74:$AQ74)*$N75/100</f>
        <v>83.342225899999988</v>
      </c>
      <c r="AH75" s="516">
        <v>0</v>
      </c>
      <c r="AI75" s="516">
        <v>0</v>
      </c>
      <c r="AJ75" s="516">
        <v>0</v>
      </c>
      <c r="AK75" s="516">
        <v>0</v>
      </c>
      <c r="AL75" s="516">
        <v>0</v>
      </c>
      <c r="AM75" s="516">
        <v>0</v>
      </c>
      <c r="AN75" s="516">
        <v>0</v>
      </c>
      <c r="AO75" s="516">
        <v>0</v>
      </c>
      <c r="AP75" s="516">
        <v>0</v>
      </c>
      <c r="AQ75" s="516">
        <v>0</v>
      </c>
      <c r="AR75" s="516"/>
      <c r="AS75" s="516"/>
      <c r="AT75" s="517">
        <f t="shared" si="5"/>
        <v>21950.152414399996</v>
      </c>
      <c r="AU75" s="505">
        <f t="shared" si="6"/>
        <v>0</v>
      </c>
      <c r="AV75" s="518">
        <f t="shared" si="8"/>
        <v>6935.0830730999996</v>
      </c>
      <c r="AW75" s="516">
        <f t="shared" si="7"/>
        <v>21950.152414399996</v>
      </c>
      <c r="AY75" s="507"/>
    </row>
    <row r="76" spans="2:51" s="494" customFormat="1" outlineLevel="2" collapsed="1" x14ac:dyDescent="0.25">
      <c r="B76" s="495" t="s">
        <v>316</v>
      </c>
      <c r="C76" s="496">
        <v>36</v>
      </c>
      <c r="D76" s="497" t="s">
        <v>1003</v>
      </c>
      <c r="E76" s="498" t="s">
        <v>1004</v>
      </c>
      <c r="F76" s="499" t="s">
        <v>1005</v>
      </c>
      <c r="G76" s="499" t="s">
        <v>1000</v>
      </c>
      <c r="H76" s="499" t="s">
        <v>1001</v>
      </c>
      <c r="I76" s="499" t="s">
        <v>224</v>
      </c>
      <c r="J76" s="500">
        <v>145332</v>
      </c>
      <c r="K76" s="501">
        <v>115568</v>
      </c>
      <c r="L76" s="501"/>
      <c r="M76" s="501"/>
      <c r="N76" s="519"/>
      <c r="O76" s="519"/>
      <c r="P76" s="502"/>
      <c r="Q76" s="502" t="s">
        <v>749</v>
      </c>
      <c r="R76" s="503">
        <v>7456</v>
      </c>
      <c r="S76" s="503">
        <v>7456</v>
      </c>
      <c r="T76" s="503">
        <v>7456</v>
      </c>
      <c r="U76" s="503">
        <v>7456</v>
      </c>
      <c r="V76" s="503">
        <v>7456</v>
      </c>
      <c r="W76" s="503">
        <v>7456</v>
      </c>
      <c r="X76" s="503">
        <v>7456</v>
      </c>
      <c r="Y76" s="503">
        <v>7456</v>
      </c>
      <c r="Z76" s="503">
        <v>7456</v>
      </c>
      <c r="AA76" s="503">
        <v>7456</v>
      </c>
      <c r="AB76" s="503">
        <v>7456</v>
      </c>
      <c r="AC76" s="503">
        <v>7456</v>
      </c>
      <c r="AD76" s="503">
        <v>7456</v>
      </c>
      <c r="AE76" s="503">
        <v>7456</v>
      </c>
      <c r="AF76" s="503">
        <v>7456</v>
      </c>
      <c r="AG76" s="503">
        <v>3728</v>
      </c>
      <c r="AH76" s="503">
        <v>0</v>
      </c>
      <c r="AI76" s="503">
        <v>0</v>
      </c>
      <c r="AJ76" s="503">
        <v>0</v>
      </c>
      <c r="AK76" s="503">
        <v>0</v>
      </c>
      <c r="AL76" s="503">
        <v>0</v>
      </c>
      <c r="AM76" s="503">
        <v>0</v>
      </c>
      <c r="AN76" s="503">
        <v>0</v>
      </c>
      <c r="AO76" s="503">
        <v>0</v>
      </c>
      <c r="AP76" s="503">
        <v>0</v>
      </c>
      <c r="AQ76" s="503">
        <v>0</v>
      </c>
      <c r="AR76" s="503"/>
      <c r="AS76" s="503"/>
      <c r="AT76" s="504">
        <f t="shared" si="5"/>
        <v>115568</v>
      </c>
      <c r="AU76" s="505">
        <f t="shared" si="6"/>
        <v>0</v>
      </c>
      <c r="AV76" s="506">
        <f t="shared" si="8"/>
        <v>63376</v>
      </c>
      <c r="AW76" s="503">
        <f t="shared" si="7"/>
        <v>115568</v>
      </c>
      <c r="AY76" s="507"/>
    </row>
    <row r="77" spans="2:51" outlineLevel="2" x14ac:dyDescent="0.25">
      <c r="B77" s="508" t="s">
        <v>316</v>
      </c>
      <c r="C77" s="509"/>
      <c r="D77" s="510" t="s">
        <v>1006</v>
      </c>
      <c r="E77" s="511"/>
      <c r="F77" s="512"/>
      <c r="G77" s="512"/>
      <c r="H77" s="512"/>
      <c r="I77" s="512"/>
      <c r="J77" s="513"/>
      <c r="K77" s="514"/>
      <c r="L77" s="513" t="s">
        <v>1002</v>
      </c>
      <c r="M77" s="513"/>
      <c r="N77" s="515">
        <f>SUM(O77:P77)</f>
        <v>2.5369999999999999</v>
      </c>
      <c r="O77" s="515">
        <v>2.5369999999999999</v>
      </c>
      <c r="P77" s="515">
        <f>$P$4</f>
        <v>0</v>
      </c>
      <c r="Q77" s="515" t="s">
        <v>792</v>
      </c>
      <c r="R77" s="516">
        <f>SUM(R76:$AQ76)*$N77/100</f>
        <v>2931.9601600000001</v>
      </c>
      <c r="S77" s="516">
        <f>SUM(S76:$AQ76)*$N77/100</f>
        <v>2742.8014399999997</v>
      </c>
      <c r="T77" s="516">
        <f>SUM(T76:$AQ76)*$N77/100</f>
        <v>2553.6427199999998</v>
      </c>
      <c r="U77" s="516">
        <f>SUM(U76:$AQ76)*$N77/100</f>
        <v>2364.4839999999999</v>
      </c>
      <c r="V77" s="516">
        <f>SUM(V76:$AQ76)*$N77/100</f>
        <v>2175.32528</v>
      </c>
      <c r="W77" s="516">
        <f>SUM(W76:$AQ76)*$N77/100</f>
        <v>1986.1665599999999</v>
      </c>
      <c r="X77" s="516">
        <f>SUM(X76:$AQ76)*$N77/100</f>
        <v>1797.0078399999998</v>
      </c>
      <c r="Y77" s="516">
        <f>SUM(Y76:$AQ76)*$N77/100</f>
        <v>1607.8491199999999</v>
      </c>
      <c r="Z77" s="516">
        <f>SUM(Z76:$AQ76)*$N77/100</f>
        <v>1418.6904000000002</v>
      </c>
      <c r="AA77" s="516">
        <f>SUM(AA76:$AQ76)*$N77/100</f>
        <v>1229.5316799999998</v>
      </c>
      <c r="AB77" s="516">
        <f>SUM(AB76:$AQ76)*$N77/100</f>
        <v>1040.3729599999999</v>
      </c>
      <c r="AC77" s="516">
        <f>SUM(AC76:$AQ76)*$N77/100</f>
        <v>851.21424000000002</v>
      </c>
      <c r="AD77" s="516">
        <f>SUM(AD76:$AQ76)*$N77/100</f>
        <v>662.05552</v>
      </c>
      <c r="AE77" s="516">
        <f>SUM(AE76:$AQ76)*$N77/100</f>
        <v>472.89679999999998</v>
      </c>
      <c r="AF77" s="516">
        <f>SUM(AF76:$AQ76)*$N77/100</f>
        <v>283.73808000000002</v>
      </c>
      <c r="AG77" s="516">
        <f>SUM(AG76:$AQ76)*$N77/100</f>
        <v>94.579359999999994</v>
      </c>
      <c r="AH77" s="516">
        <v>0</v>
      </c>
      <c r="AI77" s="516">
        <v>0</v>
      </c>
      <c r="AJ77" s="516">
        <v>0</v>
      </c>
      <c r="AK77" s="516">
        <v>0</v>
      </c>
      <c r="AL77" s="516">
        <v>0</v>
      </c>
      <c r="AM77" s="516">
        <v>0</v>
      </c>
      <c r="AN77" s="516">
        <v>0</v>
      </c>
      <c r="AO77" s="516">
        <v>0</v>
      </c>
      <c r="AP77" s="516">
        <v>0</v>
      </c>
      <c r="AQ77" s="516">
        <v>0</v>
      </c>
      <c r="AR77" s="516"/>
      <c r="AS77" s="516"/>
      <c r="AT77" s="517">
        <f t="shared" si="5"/>
        <v>24212.316159999998</v>
      </c>
      <c r="AU77" s="505">
        <f t="shared" si="6"/>
        <v>0</v>
      </c>
      <c r="AV77" s="518">
        <f t="shared" si="8"/>
        <v>7660.9281600000004</v>
      </c>
      <c r="AW77" s="516">
        <f t="shared" si="7"/>
        <v>24212.316159999998</v>
      </c>
      <c r="AY77" s="507"/>
    </row>
    <row r="78" spans="2:51" s="494" customFormat="1" outlineLevel="2" x14ac:dyDescent="0.25">
      <c r="B78" s="495" t="s">
        <v>227</v>
      </c>
      <c r="C78" s="496">
        <v>37</v>
      </c>
      <c r="D78" s="497" t="s">
        <v>1007</v>
      </c>
      <c r="E78" s="498" t="s">
        <v>1008</v>
      </c>
      <c r="F78" s="499" t="s">
        <v>1009</v>
      </c>
      <c r="G78" s="499" t="s">
        <v>1010</v>
      </c>
      <c r="H78" s="499" t="s">
        <v>1011</v>
      </c>
      <c r="I78" s="499" t="s">
        <v>224</v>
      </c>
      <c r="J78" s="500">
        <v>141294</v>
      </c>
      <c r="K78" s="501">
        <v>22311</v>
      </c>
      <c r="L78" s="501"/>
      <c r="M78" s="501"/>
      <c r="N78" s="519"/>
      <c r="O78" s="519"/>
      <c r="P78" s="502"/>
      <c r="Q78" s="502" t="s">
        <v>749</v>
      </c>
      <c r="R78" s="503">
        <v>22311</v>
      </c>
      <c r="S78" s="503">
        <v>0</v>
      </c>
      <c r="T78" s="503">
        <v>0</v>
      </c>
      <c r="U78" s="503">
        <v>0</v>
      </c>
      <c r="V78" s="503">
        <v>0</v>
      </c>
      <c r="W78" s="503">
        <v>0</v>
      </c>
      <c r="X78" s="503">
        <v>0</v>
      </c>
      <c r="Y78" s="503">
        <v>0</v>
      </c>
      <c r="Z78" s="503">
        <v>0</v>
      </c>
      <c r="AA78" s="503">
        <v>0</v>
      </c>
      <c r="AB78" s="503">
        <v>0</v>
      </c>
      <c r="AC78" s="503">
        <v>0</v>
      </c>
      <c r="AD78" s="503">
        <v>0</v>
      </c>
      <c r="AE78" s="503">
        <v>0</v>
      </c>
      <c r="AF78" s="503">
        <v>0</v>
      </c>
      <c r="AG78" s="503">
        <v>0</v>
      </c>
      <c r="AH78" s="503">
        <v>0</v>
      </c>
      <c r="AI78" s="503">
        <v>0</v>
      </c>
      <c r="AJ78" s="503">
        <v>0</v>
      </c>
      <c r="AK78" s="503">
        <v>0</v>
      </c>
      <c r="AL78" s="503">
        <v>0</v>
      </c>
      <c r="AM78" s="503">
        <v>0</v>
      </c>
      <c r="AN78" s="503">
        <v>0</v>
      </c>
      <c r="AO78" s="503">
        <v>0</v>
      </c>
      <c r="AP78" s="503">
        <v>0</v>
      </c>
      <c r="AQ78" s="503">
        <v>0</v>
      </c>
      <c r="AR78" s="503"/>
      <c r="AS78" s="503"/>
      <c r="AT78" s="504">
        <f t="shared" si="5"/>
        <v>22311</v>
      </c>
      <c r="AU78" s="505">
        <f t="shared" si="6"/>
        <v>0</v>
      </c>
      <c r="AV78" s="506">
        <f t="shared" si="8"/>
        <v>0</v>
      </c>
      <c r="AW78" s="503">
        <f t="shared" si="7"/>
        <v>22311</v>
      </c>
      <c r="AY78" s="507"/>
    </row>
    <row r="79" spans="2:51" outlineLevel="2" x14ac:dyDescent="0.25">
      <c r="B79" s="508" t="s">
        <v>227</v>
      </c>
      <c r="C79" s="509"/>
      <c r="D79" s="510"/>
      <c r="E79" s="511"/>
      <c r="F79" s="512"/>
      <c r="G79" s="512"/>
      <c r="H79" s="512"/>
      <c r="I79" s="512"/>
      <c r="J79" s="513"/>
      <c r="K79" s="514"/>
      <c r="L79" s="513">
        <v>0</v>
      </c>
      <c r="M79" s="513" t="s">
        <v>970</v>
      </c>
      <c r="N79" s="515">
        <f>SUM(O79:P79)</f>
        <v>0.25</v>
      </c>
      <c r="O79" s="515">
        <v>0.25</v>
      </c>
      <c r="P79" s="515">
        <f>$P$4</f>
        <v>0</v>
      </c>
      <c r="Q79" s="515" t="s">
        <v>792</v>
      </c>
      <c r="R79" s="516">
        <f>SUM(R78:$AQ78)*$N79/100</f>
        <v>55.777500000000003</v>
      </c>
      <c r="S79" s="516">
        <v>0</v>
      </c>
      <c r="T79" s="516">
        <v>0</v>
      </c>
      <c r="U79" s="516">
        <v>0</v>
      </c>
      <c r="V79" s="516">
        <v>0</v>
      </c>
      <c r="W79" s="516">
        <v>0</v>
      </c>
      <c r="X79" s="516">
        <v>0</v>
      </c>
      <c r="Y79" s="516">
        <v>0</v>
      </c>
      <c r="Z79" s="516">
        <v>0</v>
      </c>
      <c r="AA79" s="516">
        <v>0</v>
      </c>
      <c r="AB79" s="516">
        <v>0</v>
      </c>
      <c r="AC79" s="516">
        <v>0</v>
      </c>
      <c r="AD79" s="516">
        <v>0</v>
      </c>
      <c r="AE79" s="516">
        <v>0</v>
      </c>
      <c r="AF79" s="516">
        <v>0</v>
      </c>
      <c r="AG79" s="516">
        <v>0</v>
      </c>
      <c r="AH79" s="516">
        <v>0</v>
      </c>
      <c r="AI79" s="516">
        <v>0</v>
      </c>
      <c r="AJ79" s="516">
        <v>0</v>
      </c>
      <c r="AK79" s="516">
        <v>0</v>
      </c>
      <c r="AL79" s="516">
        <v>0</v>
      </c>
      <c r="AM79" s="516">
        <v>0</v>
      </c>
      <c r="AN79" s="516">
        <v>0</v>
      </c>
      <c r="AO79" s="516">
        <v>0</v>
      </c>
      <c r="AP79" s="516">
        <v>0</v>
      </c>
      <c r="AQ79" s="516">
        <v>0</v>
      </c>
      <c r="AR79" s="516"/>
      <c r="AS79" s="516"/>
      <c r="AT79" s="517">
        <f t="shared" si="5"/>
        <v>55.777500000000003</v>
      </c>
      <c r="AU79" s="505">
        <f t="shared" si="6"/>
        <v>0</v>
      </c>
      <c r="AV79" s="518">
        <f t="shared" si="8"/>
        <v>0</v>
      </c>
      <c r="AW79" s="516">
        <f t="shared" si="7"/>
        <v>55.777500000000003</v>
      </c>
      <c r="AY79" s="507"/>
    </row>
    <row r="80" spans="2:51" s="494" customFormat="1" outlineLevel="2" x14ac:dyDescent="0.25">
      <c r="B80" s="495" t="s">
        <v>227</v>
      </c>
      <c r="C80" s="496">
        <v>38</v>
      </c>
      <c r="D80" s="497" t="s">
        <v>1012</v>
      </c>
      <c r="E80" s="498" t="s">
        <v>1013</v>
      </c>
      <c r="F80" s="499" t="s">
        <v>1014</v>
      </c>
      <c r="G80" s="499" t="s">
        <v>1015</v>
      </c>
      <c r="H80" s="499" t="s">
        <v>1016</v>
      </c>
      <c r="I80" s="499" t="s">
        <v>224</v>
      </c>
      <c r="J80" s="500">
        <v>186392</v>
      </c>
      <c r="K80" s="501">
        <v>23512.46</v>
      </c>
      <c r="L80" s="501"/>
      <c r="M80" s="501"/>
      <c r="N80" s="519"/>
      <c r="O80" s="519"/>
      <c r="P80" s="502"/>
      <c r="Q80" s="502" t="s">
        <v>749</v>
      </c>
      <c r="R80" s="503">
        <v>8240</v>
      </c>
      <c r="S80" s="503">
        <v>8240</v>
      </c>
      <c r="T80" s="503">
        <f>8240-1208</f>
        <v>7032</v>
      </c>
      <c r="U80" s="503"/>
      <c r="V80" s="503"/>
      <c r="W80" s="503"/>
      <c r="X80" s="503"/>
      <c r="Y80" s="503"/>
      <c r="Z80" s="503"/>
      <c r="AA80" s="503"/>
      <c r="AB80" s="503"/>
      <c r="AC80" s="503"/>
      <c r="AD80" s="503"/>
      <c r="AE80" s="503"/>
      <c r="AF80" s="503"/>
      <c r="AG80" s="503">
        <v>0</v>
      </c>
      <c r="AH80" s="503">
        <v>0</v>
      </c>
      <c r="AI80" s="503">
        <v>0</v>
      </c>
      <c r="AJ80" s="503">
        <v>0</v>
      </c>
      <c r="AK80" s="503">
        <v>0</v>
      </c>
      <c r="AL80" s="503">
        <v>0</v>
      </c>
      <c r="AM80" s="503">
        <v>0</v>
      </c>
      <c r="AN80" s="503">
        <v>0</v>
      </c>
      <c r="AO80" s="503">
        <v>0</v>
      </c>
      <c r="AP80" s="503">
        <v>0</v>
      </c>
      <c r="AQ80" s="503">
        <v>0</v>
      </c>
      <c r="AR80" s="503"/>
      <c r="AS80" s="503"/>
      <c r="AT80" s="504">
        <f t="shared" si="5"/>
        <v>23512</v>
      </c>
      <c r="AU80" s="505">
        <f t="shared" si="6"/>
        <v>0</v>
      </c>
      <c r="AV80" s="506">
        <f t="shared" si="8"/>
        <v>0</v>
      </c>
      <c r="AW80" s="503">
        <f t="shared" si="7"/>
        <v>23512</v>
      </c>
      <c r="AY80" s="507"/>
    </row>
    <row r="81" spans="2:51" outlineLevel="2" x14ac:dyDescent="0.25">
      <c r="B81" s="508" t="s">
        <v>227</v>
      </c>
      <c r="C81" s="509"/>
      <c r="D81" s="510" t="s">
        <v>1017</v>
      </c>
      <c r="E81" s="511"/>
      <c r="F81" s="512"/>
      <c r="G81" s="512"/>
      <c r="H81" s="512"/>
      <c r="I81" s="512"/>
      <c r="J81" s="513"/>
      <c r="K81" s="514"/>
      <c r="L81" s="513" t="s">
        <v>1018</v>
      </c>
      <c r="M81" s="513"/>
      <c r="N81" s="515">
        <f>SUM(O81:P81)</f>
        <v>2.831</v>
      </c>
      <c r="O81" s="515">
        <v>2.831</v>
      </c>
      <c r="P81" s="515">
        <f>$P$4</f>
        <v>0</v>
      </c>
      <c r="Q81" s="515" t="s">
        <v>792</v>
      </c>
      <c r="R81" s="516">
        <f>SUM(R80:$AQ80)*$N81/100</f>
        <v>665.62471999999991</v>
      </c>
      <c r="S81" s="516">
        <f>SUM(S80:$AQ80)*$N81/100</f>
        <v>432.35032000000001</v>
      </c>
      <c r="T81" s="516">
        <f>SUM(T80:$AQ80)*$N81/100</f>
        <v>199.07592</v>
      </c>
      <c r="U81" s="516">
        <f>SUM(U80:$AQ80)*$N81/100</f>
        <v>0</v>
      </c>
      <c r="V81" s="516">
        <f>SUM(V80:$AQ80)*$N81/100</f>
        <v>0</v>
      </c>
      <c r="W81" s="516">
        <f>SUM(W80:$AQ80)*$N81/100</f>
        <v>0</v>
      </c>
      <c r="X81" s="516">
        <f>SUM(X80:$AQ80)*$N81/100</f>
        <v>0</v>
      </c>
      <c r="Y81" s="516">
        <f>SUM(Y80:$AQ80)*$N81/100</f>
        <v>0</v>
      </c>
      <c r="Z81" s="516">
        <f>SUM(Z80:$AQ80)*$N81/100</f>
        <v>0</v>
      </c>
      <c r="AA81" s="516">
        <f>SUM(AA80:$AQ80)*$N81/100</f>
        <v>0</v>
      </c>
      <c r="AB81" s="516">
        <f>SUM(AB80:$AQ80)*$N81/100</f>
        <v>0</v>
      </c>
      <c r="AC81" s="516">
        <f>SUM(AC80:$AQ80)*$N81/100</f>
        <v>0</v>
      </c>
      <c r="AD81" s="516">
        <f>SUM(AD80:$AQ80)*$N81/100</f>
        <v>0</v>
      </c>
      <c r="AE81" s="516">
        <f>SUM(AE80:$AQ80)*$N81/100</f>
        <v>0</v>
      </c>
      <c r="AF81" s="516">
        <f>SUM(AF80:$AQ80)*$N81/100</f>
        <v>0</v>
      </c>
      <c r="AG81" s="516">
        <v>0</v>
      </c>
      <c r="AH81" s="516">
        <v>0</v>
      </c>
      <c r="AI81" s="516">
        <v>0</v>
      </c>
      <c r="AJ81" s="516">
        <v>0</v>
      </c>
      <c r="AK81" s="516">
        <v>0</v>
      </c>
      <c r="AL81" s="516">
        <v>0</v>
      </c>
      <c r="AM81" s="516">
        <v>0</v>
      </c>
      <c r="AN81" s="516">
        <v>0</v>
      </c>
      <c r="AO81" s="516">
        <v>0</v>
      </c>
      <c r="AP81" s="516">
        <v>0</v>
      </c>
      <c r="AQ81" s="516">
        <v>0</v>
      </c>
      <c r="AR81" s="516"/>
      <c r="AS81" s="516"/>
      <c r="AT81" s="517">
        <f t="shared" si="5"/>
        <v>1297.0509599999998</v>
      </c>
      <c r="AU81" s="505">
        <f t="shared" si="6"/>
        <v>0</v>
      </c>
      <c r="AV81" s="518">
        <f t="shared" si="8"/>
        <v>0</v>
      </c>
      <c r="AW81" s="516">
        <f t="shared" si="7"/>
        <v>1297.0509599999998</v>
      </c>
      <c r="AY81" s="507"/>
    </row>
    <row r="82" spans="2:51" s="494" customFormat="1" outlineLevel="2" x14ac:dyDescent="0.25">
      <c r="B82" s="495" t="s">
        <v>227</v>
      </c>
      <c r="C82" s="496">
        <v>39</v>
      </c>
      <c r="D82" s="497" t="s">
        <v>1019</v>
      </c>
      <c r="E82" s="498" t="s">
        <v>1020</v>
      </c>
      <c r="F82" s="499" t="s">
        <v>1021</v>
      </c>
      <c r="G82" s="499" t="s">
        <v>1015</v>
      </c>
      <c r="H82" s="499" t="s">
        <v>1022</v>
      </c>
      <c r="I82" s="499" t="s">
        <v>224</v>
      </c>
      <c r="J82" s="500">
        <v>697002</v>
      </c>
      <c r="K82" s="501">
        <v>440232</v>
      </c>
      <c r="L82" s="501"/>
      <c r="M82" s="501"/>
      <c r="N82" s="519"/>
      <c r="O82" s="519"/>
      <c r="P82" s="502"/>
      <c r="Q82" s="502" t="s">
        <v>749</v>
      </c>
      <c r="R82" s="503">
        <v>73372</v>
      </c>
      <c r="S82" s="503">
        <v>73372</v>
      </c>
      <c r="T82" s="503">
        <v>73372</v>
      </c>
      <c r="U82" s="503">
        <v>73372</v>
      </c>
      <c r="V82" s="503">
        <v>73372</v>
      </c>
      <c r="W82" s="503">
        <v>73372</v>
      </c>
      <c r="X82" s="503">
        <v>0</v>
      </c>
      <c r="Y82" s="503">
        <v>0</v>
      </c>
      <c r="Z82" s="503">
        <v>0</v>
      </c>
      <c r="AA82" s="503">
        <v>0</v>
      </c>
      <c r="AB82" s="503">
        <v>0</v>
      </c>
      <c r="AC82" s="503">
        <v>0</v>
      </c>
      <c r="AD82" s="503">
        <v>0</v>
      </c>
      <c r="AE82" s="503">
        <v>0</v>
      </c>
      <c r="AF82" s="503">
        <v>0</v>
      </c>
      <c r="AG82" s="503">
        <v>0</v>
      </c>
      <c r="AH82" s="503">
        <v>0</v>
      </c>
      <c r="AI82" s="503">
        <v>0</v>
      </c>
      <c r="AJ82" s="503">
        <v>0</v>
      </c>
      <c r="AK82" s="503">
        <v>0</v>
      </c>
      <c r="AL82" s="503">
        <v>0</v>
      </c>
      <c r="AM82" s="503">
        <v>0</v>
      </c>
      <c r="AN82" s="503">
        <v>0</v>
      </c>
      <c r="AO82" s="503">
        <v>0</v>
      </c>
      <c r="AP82" s="503">
        <v>0</v>
      </c>
      <c r="AQ82" s="503">
        <v>0</v>
      </c>
      <c r="AR82" s="503"/>
      <c r="AS82" s="503"/>
      <c r="AT82" s="504">
        <f t="shared" si="5"/>
        <v>440232</v>
      </c>
      <c r="AU82" s="505">
        <f t="shared" si="6"/>
        <v>0</v>
      </c>
      <c r="AV82" s="506">
        <f t="shared" si="8"/>
        <v>0</v>
      </c>
      <c r="AW82" s="503">
        <f t="shared" si="7"/>
        <v>440232</v>
      </c>
      <c r="AY82" s="507"/>
    </row>
    <row r="83" spans="2:51" outlineLevel="2" x14ac:dyDescent="0.25">
      <c r="B83" s="508" t="s">
        <v>227</v>
      </c>
      <c r="C83" s="509"/>
      <c r="D83" s="510"/>
      <c r="E83" s="511"/>
      <c r="F83" s="512"/>
      <c r="G83" s="512"/>
      <c r="H83" s="512"/>
      <c r="I83" s="512"/>
      <c r="J83" s="513"/>
      <c r="K83" s="514"/>
      <c r="L83" s="513" t="s">
        <v>1018</v>
      </c>
      <c r="M83" s="513"/>
      <c r="N83" s="515">
        <f>SUM(O83:P83)</f>
        <v>2.6869999999999998</v>
      </c>
      <c r="O83" s="515">
        <v>2.6869999999999998</v>
      </c>
      <c r="P83" s="515">
        <f>$P$4</f>
        <v>0</v>
      </c>
      <c r="Q83" s="515" t="s">
        <v>792</v>
      </c>
      <c r="R83" s="516">
        <f>SUM(R82:$AQ82)*$N83/100</f>
        <v>11829.033839999998</v>
      </c>
      <c r="S83" s="516">
        <f>SUM(S82:$AQ82)*$N83/100</f>
        <v>9857.5281999999988</v>
      </c>
      <c r="T83" s="516">
        <f>SUM(T82:$AQ82)*$N83/100</f>
        <v>7886.0225599999994</v>
      </c>
      <c r="U83" s="516">
        <f>SUM(U82:$AQ82)*$N83/100</f>
        <v>5914.5169199999991</v>
      </c>
      <c r="V83" s="516">
        <f>SUM(V82:$AQ82)*$N83/100</f>
        <v>3943.0112799999997</v>
      </c>
      <c r="W83" s="516">
        <f>SUM(W82:$AQ82)*$N83/100</f>
        <v>1971.5056399999999</v>
      </c>
      <c r="X83" s="516">
        <v>0</v>
      </c>
      <c r="Y83" s="516">
        <v>0</v>
      </c>
      <c r="Z83" s="516">
        <v>0</v>
      </c>
      <c r="AA83" s="516">
        <v>0</v>
      </c>
      <c r="AB83" s="516">
        <v>0</v>
      </c>
      <c r="AC83" s="516">
        <v>0</v>
      </c>
      <c r="AD83" s="516">
        <v>0</v>
      </c>
      <c r="AE83" s="516">
        <v>0</v>
      </c>
      <c r="AF83" s="516">
        <v>0</v>
      </c>
      <c r="AG83" s="516">
        <v>0</v>
      </c>
      <c r="AH83" s="516">
        <v>0</v>
      </c>
      <c r="AI83" s="516">
        <v>0</v>
      </c>
      <c r="AJ83" s="516">
        <v>0</v>
      </c>
      <c r="AK83" s="516">
        <v>0</v>
      </c>
      <c r="AL83" s="516">
        <v>0</v>
      </c>
      <c r="AM83" s="516">
        <v>0</v>
      </c>
      <c r="AN83" s="516">
        <v>0</v>
      </c>
      <c r="AO83" s="516">
        <v>0</v>
      </c>
      <c r="AP83" s="516">
        <v>0</v>
      </c>
      <c r="AQ83" s="516">
        <v>0</v>
      </c>
      <c r="AR83" s="516"/>
      <c r="AS83" s="516"/>
      <c r="AT83" s="517">
        <f t="shared" si="5"/>
        <v>41401.618439999998</v>
      </c>
      <c r="AU83" s="505">
        <f t="shared" si="6"/>
        <v>0</v>
      </c>
      <c r="AV83" s="518">
        <f t="shared" si="8"/>
        <v>0</v>
      </c>
      <c r="AW83" s="516">
        <f t="shared" si="7"/>
        <v>41401.618439999998</v>
      </c>
      <c r="AY83" s="507"/>
    </row>
    <row r="84" spans="2:51" s="494" customFormat="1" outlineLevel="2" x14ac:dyDescent="0.25">
      <c r="B84" s="495" t="s">
        <v>227</v>
      </c>
      <c r="C84" s="496">
        <v>40</v>
      </c>
      <c r="D84" s="497" t="s">
        <v>1023</v>
      </c>
      <c r="E84" s="498" t="s">
        <v>1024</v>
      </c>
      <c r="F84" s="499" t="s">
        <v>1025</v>
      </c>
      <c r="G84" s="499" t="s">
        <v>1015</v>
      </c>
      <c r="H84" s="499" t="s">
        <v>1022</v>
      </c>
      <c r="I84" s="499" t="s">
        <v>224</v>
      </c>
      <c r="J84" s="500">
        <v>559121.98</v>
      </c>
      <c r="K84" s="501">
        <v>326575.86</v>
      </c>
      <c r="L84" s="501"/>
      <c r="M84" s="501"/>
      <c r="N84" s="519"/>
      <c r="O84" s="519"/>
      <c r="P84" s="502"/>
      <c r="Q84" s="502" t="s">
        <v>749</v>
      </c>
      <c r="R84" s="503">
        <v>58116</v>
      </c>
      <c r="S84" s="503">
        <v>58116</v>
      </c>
      <c r="T84" s="503">
        <v>58116</v>
      </c>
      <c r="U84" s="503">
        <v>58116</v>
      </c>
      <c r="V84" s="503">
        <v>58116</v>
      </c>
      <c r="W84" s="503">
        <v>35995.86</v>
      </c>
      <c r="X84" s="503">
        <v>0</v>
      </c>
      <c r="Y84" s="503">
        <v>0</v>
      </c>
      <c r="Z84" s="503">
        <v>0</v>
      </c>
      <c r="AA84" s="503">
        <v>0</v>
      </c>
      <c r="AB84" s="503">
        <v>0</v>
      </c>
      <c r="AC84" s="503">
        <v>0</v>
      </c>
      <c r="AD84" s="503">
        <v>0</v>
      </c>
      <c r="AE84" s="503">
        <v>0</v>
      </c>
      <c r="AF84" s="503">
        <v>0</v>
      </c>
      <c r="AG84" s="503">
        <v>0</v>
      </c>
      <c r="AH84" s="503">
        <v>0</v>
      </c>
      <c r="AI84" s="503">
        <v>0</v>
      </c>
      <c r="AJ84" s="503">
        <v>0</v>
      </c>
      <c r="AK84" s="503">
        <v>0</v>
      </c>
      <c r="AL84" s="503">
        <v>0</v>
      </c>
      <c r="AM84" s="503">
        <v>0</v>
      </c>
      <c r="AN84" s="503">
        <v>0</v>
      </c>
      <c r="AO84" s="503">
        <v>0</v>
      </c>
      <c r="AP84" s="503">
        <v>0</v>
      </c>
      <c r="AQ84" s="503">
        <v>0</v>
      </c>
      <c r="AR84" s="503"/>
      <c r="AS84" s="503"/>
      <c r="AT84" s="504">
        <f t="shared" si="5"/>
        <v>326575.86</v>
      </c>
      <c r="AU84" s="505">
        <f t="shared" si="6"/>
        <v>0</v>
      </c>
      <c r="AV84" s="506">
        <f t="shared" si="8"/>
        <v>0</v>
      </c>
      <c r="AW84" s="503">
        <f t="shared" si="7"/>
        <v>326575.86</v>
      </c>
      <c r="AY84" s="507"/>
    </row>
    <row r="85" spans="2:51" outlineLevel="2" x14ac:dyDescent="0.25">
      <c r="B85" s="508" t="s">
        <v>227</v>
      </c>
      <c r="C85" s="509"/>
      <c r="D85" s="510"/>
      <c r="E85" s="511"/>
      <c r="F85" s="512"/>
      <c r="G85" s="512"/>
      <c r="H85" s="512"/>
      <c r="I85" s="512"/>
      <c r="J85" s="513"/>
      <c r="K85" s="514"/>
      <c r="L85" s="513" t="s">
        <v>1018</v>
      </c>
      <c r="M85" s="513"/>
      <c r="N85" s="515">
        <f>SUM(O85:P85)</f>
        <v>2.6869999999999998</v>
      </c>
      <c r="O85" s="515">
        <v>2.6869999999999998</v>
      </c>
      <c r="P85" s="515">
        <f>$P$4</f>
        <v>0</v>
      </c>
      <c r="Q85" s="515" t="s">
        <v>792</v>
      </c>
      <c r="R85" s="516">
        <f>SUM(R84:$AQ84)*$N85/100</f>
        <v>8775.0933581999998</v>
      </c>
      <c r="S85" s="516">
        <f>SUM(S84:$AQ84)*$N85/100</f>
        <v>7213.5164381999984</v>
      </c>
      <c r="T85" s="516">
        <f>SUM(T84:$AQ84)*$N85/100</f>
        <v>5651.9395181999998</v>
      </c>
      <c r="U85" s="516">
        <f>SUM(U84:$AQ84)*$N85/100</f>
        <v>4090.3625981999994</v>
      </c>
      <c r="V85" s="516">
        <f>SUM(V84:$AQ84)*$N85/100</f>
        <v>2528.7856781999999</v>
      </c>
      <c r="W85" s="516">
        <f>SUM(W84:$AQ84)*$N85/100</f>
        <v>967.20875820000003</v>
      </c>
      <c r="X85" s="516">
        <v>0</v>
      </c>
      <c r="Y85" s="516">
        <v>0</v>
      </c>
      <c r="Z85" s="516">
        <v>0</v>
      </c>
      <c r="AA85" s="516">
        <v>0</v>
      </c>
      <c r="AB85" s="516">
        <v>0</v>
      </c>
      <c r="AC85" s="516">
        <v>0</v>
      </c>
      <c r="AD85" s="516">
        <v>0</v>
      </c>
      <c r="AE85" s="516">
        <v>0</v>
      </c>
      <c r="AF85" s="516">
        <v>0</v>
      </c>
      <c r="AG85" s="516">
        <v>0</v>
      </c>
      <c r="AH85" s="516">
        <v>0</v>
      </c>
      <c r="AI85" s="516">
        <v>0</v>
      </c>
      <c r="AJ85" s="516">
        <v>0</v>
      </c>
      <c r="AK85" s="516">
        <v>0</v>
      </c>
      <c r="AL85" s="516">
        <v>0</v>
      </c>
      <c r="AM85" s="516">
        <v>0</v>
      </c>
      <c r="AN85" s="516">
        <v>0</v>
      </c>
      <c r="AO85" s="516">
        <v>0</v>
      </c>
      <c r="AP85" s="516">
        <v>0</v>
      </c>
      <c r="AQ85" s="516">
        <v>0</v>
      </c>
      <c r="AR85" s="516"/>
      <c r="AS85" s="516"/>
      <c r="AT85" s="517">
        <f t="shared" si="5"/>
        <v>29226.906349199995</v>
      </c>
      <c r="AU85" s="505">
        <f t="shared" si="6"/>
        <v>0</v>
      </c>
      <c r="AV85" s="518">
        <f t="shared" si="8"/>
        <v>0</v>
      </c>
      <c r="AW85" s="516">
        <f t="shared" si="7"/>
        <v>29226.906349199995</v>
      </c>
      <c r="AY85" s="507"/>
    </row>
    <row r="86" spans="2:51" s="494" customFormat="1" outlineLevel="2" x14ac:dyDescent="0.25">
      <c r="B86" s="495" t="s">
        <v>316</v>
      </c>
      <c r="C86" s="496">
        <v>41</v>
      </c>
      <c r="D86" s="497" t="s">
        <v>1026</v>
      </c>
      <c r="E86" s="498" t="s">
        <v>1027</v>
      </c>
      <c r="F86" s="499" t="s">
        <v>1028</v>
      </c>
      <c r="G86" s="499" t="s">
        <v>1029</v>
      </c>
      <c r="H86" s="499" t="s">
        <v>1030</v>
      </c>
      <c r="I86" s="499" t="s">
        <v>224</v>
      </c>
      <c r="J86" s="500">
        <v>247902</v>
      </c>
      <c r="K86" s="501">
        <v>61976</v>
      </c>
      <c r="L86" s="501"/>
      <c r="M86" s="501"/>
      <c r="N86" s="519"/>
      <c r="O86" s="519"/>
      <c r="P86" s="502"/>
      <c r="Q86" s="502" t="s">
        <v>749</v>
      </c>
      <c r="R86" s="503">
        <v>61976</v>
      </c>
      <c r="S86" s="503">
        <v>0</v>
      </c>
      <c r="T86" s="503">
        <v>0</v>
      </c>
      <c r="U86" s="503">
        <v>0</v>
      </c>
      <c r="V86" s="503">
        <v>0</v>
      </c>
      <c r="W86" s="503">
        <v>0</v>
      </c>
      <c r="X86" s="503">
        <v>0</v>
      </c>
      <c r="Y86" s="503">
        <v>0</v>
      </c>
      <c r="Z86" s="503">
        <v>0</v>
      </c>
      <c r="AA86" s="503">
        <v>0</v>
      </c>
      <c r="AB86" s="503">
        <v>0</v>
      </c>
      <c r="AC86" s="503">
        <v>0</v>
      </c>
      <c r="AD86" s="503">
        <v>0</v>
      </c>
      <c r="AE86" s="503">
        <v>0</v>
      </c>
      <c r="AF86" s="503">
        <v>0</v>
      </c>
      <c r="AG86" s="503">
        <v>0</v>
      </c>
      <c r="AH86" s="503">
        <v>0</v>
      </c>
      <c r="AI86" s="503">
        <v>0</v>
      </c>
      <c r="AJ86" s="503">
        <v>0</v>
      </c>
      <c r="AK86" s="503">
        <v>0</v>
      </c>
      <c r="AL86" s="503">
        <v>0</v>
      </c>
      <c r="AM86" s="503">
        <v>0</v>
      </c>
      <c r="AN86" s="503">
        <v>0</v>
      </c>
      <c r="AO86" s="503">
        <v>0</v>
      </c>
      <c r="AP86" s="503">
        <v>0</v>
      </c>
      <c r="AQ86" s="503">
        <v>0</v>
      </c>
      <c r="AR86" s="503"/>
      <c r="AS86" s="503"/>
      <c r="AT86" s="504">
        <f t="shared" si="5"/>
        <v>61976</v>
      </c>
      <c r="AU86" s="505">
        <f t="shared" si="6"/>
        <v>0</v>
      </c>
      <c r="AV86" s="506">
        <f t="shared" si="8"/>
        <v>0</v>
      </c>
      <c r="AW86" s="503">
        <f t="shared" si="7"/>
        <v>61976</v>
      </c>
      <c r="AY86" s="507"/>
    </row>
    <row r="87" spans="2:51" outlineLevel="2" x14ac:dyDescent="0.25">
      <c r="B87" s="508" t="s">
        <v>316</v>
      </c>
      <c r="C87" s="509"/>
      <c r="D87" s="510" t="s">
        <v>1031</v>
      </c>
      <c r="E87" s="511"/>
      <c r="F87" s="512"/>
      <c r="G87" s="512"/>
      <c r="H87" s="512"/>
      <c r="I87" s="512"/>
      <c r="J87" s="513"/>
      <c r="K87" s="514"/>
      <c r="L87" s="513" t="s">
        <v>1032</v>
      </c>
      <c r="M87" s="513"/>
      <c r="N87" s="515">
        <f>SUM(O87:P87)</f>
        <v>2.7040000000000002</v>
      </c>
      <c r="O87" s="515">
        <v>2.7040000000000002</v>
      </c>
      <c r="P87" s="515">
        <f>$P$4</f>
        <v>0</v>
      </c>
      <c r="Q87" s="515" t="s">
        <v>792</v>
      </c>
      <c r="R87" s="516">
        <f>SUM(R86:$AQ86)*$N87/100</f>
        <v>1675.8310400000003</v>
      </c>
      <c r="S87" s="516">
        <f>SUM(S86:$AQ86)*$N87/100</f>
        <v>0</v>
      </c>
      <c r="T87" s="516">
        <v>0</v>
      </c>
      <c r="U87" s="516">
        <v>0</v>
      </c>
      <c r="V87" s="516">
        <v>0</v>
      </c>
      <c r="W87" s="516">
        <v>0</v>
      </c>
      <c r="X87" s="516">
        <v>0</v>
      </c>
      <c r="Y87" s="516">
        <v>0</v>
      </c>
      <c r="Z87" s="516">
        <v>0</v>
      </c>
      <c r="AA87" s="516">
        <v>0</v>
      </c>
      <c r="AB87" s="516">
        <v>0</v>
      </c>
      <c r="AC87" s="516">
        <v>0</v>
      </c>
      <c r="AD87" s="516">
        <v>0</v>
      </c>
      <c r="AE87" s="516">
        <v>0</v>
      </c>
      <c r="AF87" s="516">
        <v>0</v>
      </c>
      <c r="AG87" s="516">
        <v>0</v>
      </c>
      <c r="AH87" s="516">
        <v>0</v>
      </c>
      <c r="AI87" s="516">
        <v>0</v>
      </c>
      <c r="AJ87" s="516">
        <v>0</v>
      </c>
      <c r="AK87" s="516">
        <v>0</v>
      </c>
      <c r="AL87" s="516">
        <v>0</v>
      </c>
      <c r="AM87" s="516">
        <v>0</v>
      </c>
      <c r="AN87" s="516">
        <v>0</v>
      </c>
      <c r="AO87" s="516">
        <v>0</v>
      </c>
      <c r="AP87" s="516">
        <v>0</v>
      </c>
      <c r="AQ87" s="516">
        <v>0</v>
      </c>
      <c r="AR87" s="516"/>
      <c r="AS87" s="516"/>
      <c r="AT87" s="517">
        <f t="shared" si="5"/>
        <v>1675.8310400000003</v>
      </c>
      <c r="AU87" s="505">
        <f t="shared" si="6"/>
        <v>0</v>
      </c>
      <c r="AV87" s="518">
        <f t="shared" si="8"/>
        <v>0</v>
      </c>
      <c r="AW87" s="516">
        <f t="shared" si="7"/>
        <v>1675.8310400000003</v>
      </c>
      <c r="AY87" s="507"/>
    </row>
    <row r="88" spans="2:51" s="494" customFormat="1" outlineLevel="2" x14ac:dyDescent="0.25">
      <c r="B88" s="495" t="s">
        <v>316</v>
      </c>
      <c r="C88" s="496">
        <v>42</v>
      </c>
      <c r="D88" s="497" t="s">
        <v>1033</v>
      </c>
      <c r="E88" s="498" t="s">
        <v>1034</v>
      </c>
      <c r="F88" s="499" t="s">
        <v>1035</v>
      </c>
      <c r="G88" s="499" t="s">
        <v>1036</v>
      </c>
      <c r="H88" s="499" t="s">
        <v>1037</v>
      </c>
      <c r="I88" s="499" t="s">
        <v>224</v>
      </c>
      <c r="J88" s="500">
        <v>178121</v>
      </c>
      <c r="K88" s="501">
        <v>68283.520000000004</v>
      </c>
      <c r="L88" s="501"/>
      <c r="M88" s="501"/>
      <c r="N88" s="519"/>
      <c r="O88" s="519"/>
      <c r="P88" s="502"/>
      <c r="Q88" s="502" t="s">
        <v>749</v>
      </c>
      <c r="R88" s="503">
        <v>12500</v>
      </c>
      <c r="S88" s="503">
        <v>12500</v>
      </c>
      <c r="T88" s="503">
        <v>12500</v>
      </c>
      <c r="U88" s="503">
        <v>12500</v>
      </c>
      <c r="V88" s="503">
        <v>12500</v>
      </c>
      <c r="W88" s="503">
        <v>5783.52</v>
      </c>
      <c r="X88" s="503">
        <v>0</v>
      </c>
      <c r="Y88" s="503">
        <v>0</v>
      </c>
      <c r="Z88" s="503">
        <v>0</v>
      </c>
      <c r="AA88" s="503">
        <v>0</v>
      </c>
      <c r="AB88" s="503">
        <v>0</v>
      </c>
      <c r="AC88" s="503">
        <v>0</v>
      </c>
      <c r="AD88" s="503">
        <v>0</v>
      </c>
      <c r="AE88" s="503">
        <v>0</v>
      </c>
      <c r="AF88" s="503">
        <v>0</v>
      </c>
      <c r="AG88" s="503">
        <v>0</v>
      </c>
      <c r="AH88" s="503">
        <v>0</v>
      </c>
      <c r="AI88" s="503">
        <v>0</v>
      </c>
      <c r="AJ88" s="503">
        <v>0</v>
      </c>
      <c r="AK88" s="503">
        <v>0</v>
      </c>
      <c r="AL88" s="503">
        <v>0</v>
      </c>
      <c r="AM88" s="503">
        <v>0</v>
      </c>
      <c r="AN88" s="503">
        <v>0</v>
      </c>
      <c r="AO88" s="503">
        <v>0</v>
      </c>
      <c r="AP88" s="503">
        <v>0</v>
      </c>
      <c r="AQ88" s="503">
        <v>0</v>
      </c>
      <c r="AR88" s="503"/>
      <c r="AS88" s="503"/>
      <c r="AT88" s="504">
        <f t="shared" si="5"/>
        <v>68283.520000000004</v>
      </c>
      <c r="AU88" s="505">
        <f t="shared" si="6"/>
        <v>0</v>
      </c>
      <c r="AV88" s="506">
        <f t="shared" si="8"/>
        <v>0</v>
      </c>
      <c r="AW88" s="503">
        <f t="shared" si="7"/>
        <v>68283.520000000004</v>
      </c>
      <c r="AY88" s="507"/>
    </row>
    <row r="89" spans="2:51" outlineLevel="2" x14ac:dyDescent="0.25">
      <c r="B89" s="508" t="s">
        <v>316</v>
      </c>
      <c r="C89" s="509"/>
      <c r="D89" s="510" t="s">
        <v>1038</v>
      </c>
      <c r="E89" s="511"/>
      <c r="F89" s="512"/>
      <c r="G89" s="512"/>
      <c r="H89" s="512"/>
      <c r="I89" s="512"/>
      <c r="J89" s="513"/>
      <c r="K89" s="514"/>
      <c r="L89" s="513" t="s">
        <v>1039</v>
      </c>
      <c r="M89" s="513"/>
      <c r="N89" s="515">
        <f>SUM(O89:P89)</f>
        <v>3.0070000000000001</v>
      </c>
      <c r="O89" s="515">
        <v>3.0070000000000001</v>
      </c>
      <c r="P89" s="515">
        <f>$P$4</f>
        <v>0</v>
      </c>
      <c r="Q89" s="515" t="s">
        <v>792</v>
      </c>
      <c r="R89" s="516">
        <f>SUM(R88:$AQ88)*$N89/100</f>
        <v>2053.2854464000002</v>
      </c>
      <c r="S89" s="516">
        <f>SUM(S88:$AQ88)*$N89/100</f>
        <v>1677.4104464000002</v>
      </c>
      <c r="T89" s="516">
        <f>SUM(T88:$AQ88)*$N89/100</f>
        <v>1301.5354464000002</v>
      </c>
      <c r="U89" s="516">
        <f>SUM(U88:$AQ88)*$N89/100</f>
        <v>925.66044640000007</v>
      </c>
      <c r="V89" s="516">
        <f>SUM(V88:$AQ88)*$N89/100</f>
        <v>549.78544639999996</v>
      </c>
      <c r="W89" s="516">
        <f>SUM(W88:$AQ88)*$N89/100</f>
        <v>173.91044640000004</v>
      </c>
      <c r="X89" s="516">
        <v>0</v>
      </c>
      <c r="Y89" s="516">
        <v>0</v>
      </c>
      <c r="Z89" s="516">
        <v>0</v>
      </c>
      <c r="AA89" s="516">
        <v>0</v>
      </c>
      <c r="AB89" s="516">
        <v>0</v>
      </c>
      <c r="AC89" s="516">
        <v>0</v>
      </c>
      <c r="AD89" s="516">
        <v>0</v>
      </c>
      <c r="AE89" s="516">
        <v>0</v>
      </c>
      <c r="AF89" s="516">
        <v>0</v>
      </c>
      <c r="AG89" s="516">
        <v>0</v>
      </c>
      <c r="AH89" s="516">
        <v>0</v>
      </c>
      <c r="AI89" s="516">
        <v>0</v>
      </c>
      <c r="AJ89" s="516">
        <v>0</v>
      </c>
      <c r="AK89" s="516">
        <v>0</v>
      </c>
      <c r="AL89" s="516">
        <v>0</v>
      </c>
      <c r="AM89" s="516">
        <v>0</v>
      </c>
      <c r="AN89" s="516">
        <v>0</v>
      </c>
      <c r="AO89" s="516">
        <v>0</v>
      </c>
      <c r="AP89" s="516">
        <v>0</v>
      </c>
      <c r="AQ89" s="516">
        <v>0</v>
      </c>
      <c r="AR89" s="516"/>
      <c r="AS89" s="516"/>
      <c r="AT89" s="517">
        <f t="shared" si="5"/>
        <v>6681.5876784000011</v>
      </c>
      <c r="AU89" s="505">
        <f t="shared" si="6"/>
        <v>0</v>
      </c>
      <c r="AV89" s="518">
        <f t="shared" si="8"/>
        <v>0</v>
      </c>
      <c r="AW89" s="516">
        <f t="shared" si="7"/>
        <v>6681.5876784000011</v>
      </c>
      <c r="AY89" s="507"/>
    </row>
    <row r="90" spans="2:51" s="494" customFormat="1" outlineLevel="2" x14ac:dyDescent="0.25">
      <c r="B90" s="495" t="s">
        <v>227</v>
      </c>
      <c r="C90" s="496">
        <v>43</v>
      </c>
      <c r="D90" s="497" t="s">
        <v>1040</v>
      </c>
      <c r="E90" s="498" t="s">
        <v>1041</v>
      </c>
      <c r="F90" s="499" t="s">
        <v>1042</v>
      </c>
      <c r="G90" s="499" t="s">
        <v>1043</v>
      </c>
      <c r="H90" s="499" t="s">
        <v>1044</v>
      </c>
      <c r="I90" s="499" t="s">
        <v>224</v>
      </c>
      <c r="J90" s="500">
        <v>1230506</v>
      </c>
      <c r="K90" s="501">
        <v>715727.24</v>
      </c>
      <c r="L90" s="501"/>
      <c r="M90" s="501"/>
      <c r="N90" s="519"/>
      <c r="O90" s="519"/>
      <c r="P90" s="502"/>
      <c r="Q90" s="502" t="s">
        <v>749</v>
      </c>
      <c r="R90" s="503">
        <f>21588*4</f>
        <v>86352</v>
      </c>
      <c r="S90" s="503">
        <v>86352</v>
      </c>
      <c r="T90" s="503">
        <v>86352</v>
      </c>
      <c r="U90" s="503">
        <v>86352</v>
      </c>
      <c r="V90" s="503">
        <v>86352</v>
      </c>
      <c r="W90" s="503">
        <v>86352</v>
      </c>
      <c r="X90" s="503">
        <v>86352</v>
      </c>
      <c r="Y90" s="503">
        <v>86352</v>
      </c>
      <c r="Z90" s="503">
        <f>21588+3323</f>
        <v>24911</v>
      </c>
      <c r="AA90" s="503"/>
      <c r="AB90" s="503"/>
      <c r="AC90" s="503"/>
      <c r="AD90" s="503">
        <v>0</v>
      </c>
      <c r="AE90" s="503">
        <v>0</v>
      </c>
      <c r="AF90" s="503">
        <v>0</v>
      </c>
      <c r="AG90" s="503">
        <v>0</v>
      </c>
      <c r="AH90" s="503">
        <v>0</v>
      </c>
      <c r="AI90" s="503">
        <v>0</v>
      </c>
      <c r="AJ90" s="503">
        <v>0</v>
      </c>
      <c r="AK90" s="503">
        <v>0</v>
      </c>
      <c r="AL90" s="503">
        <v>0</v>
      </c>
      <c r="AM90" s="503">
        <v>0</v>
      </c>
      <c r="AN90" s="503">
        <v>0</v>
      </c>
      <c r="AO90" s="503">
        <v>0</v>
      </c>
      <c r="AP90" s="503">
        <v>0</v>
      </c>
      <c r="AQ90" s="503">
        <v>0</v>
      </c>
      <c r="AR90" s="503"/>
      <c r="AS90" s="503"/>
      <c r="AT90" s="504">
        <f t="shared" si="5"/>
        <v>715727</v>
      </c>
      <c r="AU90" s="505">
        <f t="shared" si="6"/>
        <v>0</v>
      </c>
      <c r="AV90" s="506">
        <f t="shared" si="8"/>
        <v>111263</v>
      </c>
      <c r="AW90" s="503">
        <f t="shared" si="7"/>
        <v>715727</v>
      </c>
      <c r="AY90" s="507"/>
    </row>
    <row r="91" spans="2:51" outlineLevel="2" x14ac:dyDescent="0.25">
      <c r="B91" s="508" t="s">
        <v>227</v>
      </c>
      <c r="C91" s="509"/>
      <c r="D91" s="510" t="s">
        <v>1045</v>
      </c>
      <c r="E91" s="511"/>
      <c r="F91" s="512"/>
      <c r="G91" s="512"/>
      <c r="H91" s="512"/>
      <c r="I91" s="512"/>
      <c r="J91" s="513"/>
      <c r="K91" s="514"/>
      <c r="L91" s="513" t="s">
        <v>1046</v>
      </c>
      <c r="M91" s="513"/>
      <c r="N91" s="515">
        <f>SUM(O91:P91)</f>
        <v>3.1779999999999999</v>
      </c>
      <c r="O91" s="515">
        <v>3.1779999999999999</v>
      </c>
      <c r="P91" s="515">
        <f>$P$4</f>
        <v>0</v>
      </c>
      <c r="Q91" s="515" t="s">
        <v>792</v>
      </c>
      <c r="R91" s="516">
        <f>SUM(R90:$AQ90)*$N91/100</f>
        <v>22745.804059999999</v>
      </c>
      <c r="S91" s="516">
        <f>SUM(S90:$AQ90)*$N91/100</f>
        <v>20001.537499999999</v>
      </c>
      <c r="T91" s="516">
        <f>SUM(T90:$AQ90)*$N91/100-2000</f>
        <v>15257.270940000002</v>
      </c>
      <c r="U91" s="516">
        <f>SUM(U90:$AQ90)*$N91/100</f>
        <v>14513.00438</v>
      </c>
      <c r="V91" s="516">
        <f>SUM(V90:$AQ90)*$N91/100</f>
        <v>11768.737819999998</v>
      </c>
      <c r="W91" s="516">
        <f>SUM(W90:$AQ90)*$N91/100</f>
        <v>9024.4712599999984</v>
      </c>
      <c r="X91" s="516">
        <f>SUM(X90:$AQ90)*$N91/100</f>
        <v>6280.2046999999993</v>
      </c>
      <c r="Y91" s="516">
        <f>SUM(Y90:$AQ90)*$N91/100</f>
        <v>3535.9381400000002</v>
      </c>
      <c r="Z91" s="516">
        <f>SUM(Z90:$AQ90)*$N91/100</f>
        <v>791.67157999999995</v>
      </c>
      <c r="AA91" s="516">
        <f>SUM(AA90:$AQ90)*$N91/100</f>
        <v>0</v>
      </c>
      <c r="AB91" s="516">
        <f>SUM(AB90:$AQ90)*$N91/100</f>
        <v>0</v>
      </c>
      <c r="AC91" s="516">
        <f>SUM(AC90:$AQ90)*$N91/100</f>
        <v>0</v>
      </c>
      <c r="AD91" s="516">
        <v>0</v>
      </c>
      <c r="AE91" s="516">
        <v>0</v>
      </c>
      <c r="AF91" s="516">
        <v>0</v>
      </c>
      <c r="AG91" s="516">
        <v>0</v>
      </c>
      <c r="AH91" s="516">
        <v>0</v>
      </c>
      <c r="AI91" s="516">
        <v>0</v>
      </c>
      <c r="AJ91" s="516">
        <v>0</v>
      </c>
      <c r="AK91" s="516">
        <v>0</v>
      </c>
      <c r="AL91" s="516">
        <v>0</v>
      </c>
      <c r="AM91" s="516">
        <v>0</v>
      </c>
      <c r="AN91" s="516">
        <v>0</v>
      </c>
      <c r="AO91" s="516">
        <v>0</v>
      </c>
      <c r="AP91" s="516">
        <v>0</v>
      </c>
      <c r="AQ91" s="516">
        <v>0</v>
      </c>
      <c r="AR91" s="516"/>
      <c r="AS91" s="516"/>
      <c r="AT91" s="517">
        <f t="shared" si="5"/>
        <v>103918.64037999998</v>
      </c>
      <c r="AU91" s="505">
        <f t="shared" si="6"/>
        <v>0</v>
      </c>
      <c r="AV91" s="518">
        <f t="shared" si="8"/>
        <v>4327.6097200000004</v>
      </c>
      <c r="AW91" s="516">
        <f t="shared" si="7"/>
        <v>103918.64038</v>
      </c>
      <c r="AY91" s="507"/>
    </row>
    <row r="92" spans="2:51" s="494" customFormat="1" outlineLevel="2" x14ac:dyDescent="0.25">
      <c r="B92" s="495" t="s">
        <v>227</v>
      </c>
      <c r="C92" s="496">
        <v>44</v>
      </c>
      <c r="D92" s="497" t="s">
        <v>1047</v>
      </c>
      <c r="E92" s="498" t="s">
        <v>1048</v>
      </c>
      <c r="F92" s="499" t="s">
        <v>1049</v>
      </c>
      <c r="G92" s="499" t="s">
        <v>1050</v>
      </c>
      <c r="H92" s="499" t="s">
        <v>1051</v>
      </c>
      <c r="I92" s="499" t="s">
        <v>224</v>
      </c>
      <c r="J92" s="500">
        <v>156436.10999999999</v>
      </c>
      <c r="K92" s="501">
        <v>45213.11</v>
      </c>
      <c r="L92" s="501"/>
      <c r="M92" s="501"/>
      <c r="N92" s="519"/>
      <c r="O92" s="519"/>
      <c r="P92" s="502"/>
      <c r="Q92" s="502" t="s">
        <v>749</v>
      </c>
      <c r="R92" s="503">
        <v>37076</v>
      </c>
      <c r="S92" s="503">
        <v>8137.11</v>
      </c>
      <c r="T92" s="503">
        <v>0</v>
      </c>
      <c r="U92" s="503">
        <v>0</v>
      </c>
      <c r="V92" s="503">
        <v>0</v>
      </c>
      <c r="W92" s="503">
        <v>0</v>
      </c>
      <c r="X92" s="503">
        <v>0</v>
      </c>
      <c r="Y92" s="503">
        <v>0</v>
      </c>
      <c r="Z92" s="503">
        <v>0</v>
      </c>
      <c r="AA92" s="503">
        <v>0</v>
      </c>
      <c r="AB92" s="503">
        <v>0</v>
      </c>
      <c r="AC92" s="503">
        <v>0</v>
      </c>
      <c r="AD92" s="503">
        <v>0</v>
      </c>
      <c r="AE92" s="503">
        <v>0</v>
      </c>
      <c r="AF92" s="503">
        <v>0</v>
      </c>
      <c r="AG92" s="503">
        <v>0</v>
      </c>
      <c r="AH92" s="503">
        <v>0</v>
      </c>
      <c r="AI92" s="503">
        <v>0</v>
      </c>
      <c r="AJ92" s="503">
        <v>0</v>
      </c>
      <c r="AK92" s="503">
        <v>0</v>
      </c>
      <c r="AL92" s="503">
        <v>0</v>
      </c>
      <c r="AM92" s="503">
        <v>0</v>
      </c>
      <c r="AN92" s="503">
        <v>0</v>
      </c>
      <c r="AO92" s="503">
        <v>0</v>
      </c>
      <c r="AP92" s="503">
        <v>0</v>
      </c>
      <c r="AQ92" s="503">
        <v>0</v>
      </c>
      <c r="AR92" s="503"/>
      <c r="AS92" s="503"/>
      <c r="AT92" s="504">
        <f t="shared" si="5"/>
        <v>45213.11</v>
      </c>
      <c r="AU92" s="505">
        <f t="shared" si="6"/>
        <v>0</v>
      </c>
      <c r="AV92" s="506">
        <f t="shared" si="8"/>
        <v>0</v>
      </c>
      <c r="AW92" s="503">
        <f t="shared" si="7"/>
        <v>45213.11</v>
      </c>
      <c r="AY92" s="507"/>
    </row>
    <row r="93" spans="2:51" outlineLevel="2" x14ac:dyDescent="0.25">
      <c r="B93" s="508" t="s">
        <v>227</v>
      </c>
      <c r="C93" s="509"/>
      <c r="D93" s="510"/>
      <c r="E93" s="511"/>
      <c r="F93" s="512"/>
      <c r="G93" s="512"/>
      <c r="H93" s="512"/>
      <c r="I93" s="512"/>
      <c r="J93" s="513"/>
      <c r="K93" s="514"/>
      <c r="L93" s="513" t="s">
        <v>1052</v>
      </c>
      <c r="M93" s="513"/>
      <c r="N93" s="515">
        <f>SUM(O93:P93)</f>
        <v>2.9620000000000002</v>
      </c>
      <c r="O93" s="515">
        <v>2.9620000000000002</v>
      </c>
      <c r="P93" s="515">
        <f>$P$4</f>
        <v>0</v>
      </c>
      <c r="Q93" s="515" t="s">
        <v>792</v>
      </c>
      <c r="R93" s="516">
        <f>SUM(R92:$AQ92)*$N93/100</f>
        <v>1339.2123182000003</v>
      </c>
      <c r="S93" s="516">
        <f>SUM(S92:$AQ92)*$N93/100</f>
        <v>241.02119819999999</v>
      </c>
      <c r="T93" s="516">
        <v>0</v>
      </c>
      <c r="U93" s="516">
        <v>0</v>
      </c>
      <c r="V93" s="516">
        <v>0</v>
      </c>
      <c r="W93" s="516">
        <v>0</v>
      </c>
      <c r="X93" s="516">
        <v>0</v>
      </c>
      <c r="Y93" s="516">
        <v>0</v>
      </c>
      <c r="Z93" s="516">
        <v>0</v>
      </c>
      <c r="AA93" s="516">
        <v>0</v>
      </c>
      <c r="AB93" s="516">
        <v>0</v>
      </c>
      <c r="AC93" s="516">
        <v>0</v>
      </c>
      <c r="AD93" s="516">
        <v>0</v>
      </c>
      <c r="AE93" s="516">
        <v>0</v>
      </c>
      <c r="AF93" s="516">
        <v>0</v>
      </c>
      <c r="AG93" s="516">
        <v>0</v>
      </c>
      <c r="AH93" s="516">
        <v>0</v>
      </c>
      <c r="AI93" s="516">
        <v>0</v>
      </c>
      <c r="AJ93" s="516">
        <v>0</v>
      </c>
      <c r="AK93" s="516">
        <v>0</v>
      </c>
      <c r="AL93" s="516">
        <v>0</v>
      </c>
      <c r="AM93" s="516">
        <v>0</v>
      </c>
      <c r="AN93" s="516">
        <v>0</v>
      </c>
      <c r="AO93" s="516">
        <v>0</v>
      </c>
      <c r="AP93" s="516">
        <v>0</v>
      </c>
      <c r="AQ93" s="516">
        <v>0</v>
      </c>
      <c r="AR93" s="516"/>
      <c r="AS93" s="516"/>
      <c r="AT93" s="517">
        <f t="shared" si="5"/>
        <v>1580.2335164000003</v>
      </c>
      <c r="AU93" s="505">
        <f t="shared" si="6"/>
        <v>0</v>
      </c>
      <c r="AV93" s="518">
        <f t="shared" si="8"/>
        <v>0</v>
      </c>
      <c r="AW93" s="516">
        <f t="shared" si="7"/>
        <v>1580.2335164000003</v>
      </c>
      <c r="AY93" s="507"/>
    </row>
    <row r="94" spans="2:51" s="494" customFormat="1" outlineLevel="2" x14ac:dyDescent="0.25">
      <c r="B94" s="495" t="s">
        <v>227</v>
      </c>
      <c r="C94" s="496">
        <v>45</v>
      </c>
      <c r="D94" s="497" t="s">
        <v>1053</v>
      </c>
      <c r="E94" s="498" t="s">
        <v>1054</v>
      </c>
      <c r="F94" s="499" t="s">
        <v>1055</v>
      </c>
      <c r="G94" s="499" t="s">
        <v>1056</v>
      </c>
      <c r="H94" s="499" t="s">
        <v>1057</v>
      </c>
      <c r="I94" s="499" t="s">
        <v>224</v>
      </c>
      <c r="J94" s="500">
        <v>90861.19</v>
      </c>
      <c r="K94" s="501">
        <v>29726.19</v>
      </c>
      <c r="L94" s="501"/>
      <c r="M94" s="501"/>
      <c r="N94" s="519"/>
      <c r="O94" s="519"/>
      <c r="P94" s="502"/>
      <c r="Q94" s="502" t="s">
        <v>749</v>
      </c>
      <c r="R94" s="503">
        <v>20380</v>
      </c>
      <c r="S94" s="503">
        <v>9346.1899999999987</v>
      </c>
      <c r="T94" s="503">
        <v>0</v>
      </c>
      <c r="U94" s="503">
        <v>0</v>
      </c>
      <c r="V94" s="503">
        <v>0</v>
      </c>
      <c r="W94" s="503">
        <v>0</v>
      </c>
      <c r="X94" s="503">
        <v>0</v>
      </c>
      <c r="Y94" s="503">
        <v>0</v>
      </c>
      <c r="Z94" s="503">
        <v>0</v>
      </c>
      <c r="AA94" s="503">
        <v>0</v>
      </c>
      <c r="AB94" s="503">
        <v>0</v>
      </c>
      <c r="AC94" s="503">
        <v>0</v>
      </c>
      <c r="AD94" s="503">
        <v>0</v>
      </c>
      <c r="AE94" s="503">
        <v>0</v>
      </c>
      <c r="AF94" s="503">
        <v>0</v>
      </c>
      <c r="AG94" s="503">
        <v>0</v>
      </c>
      <c r="AH94" s="503">
        <v>0</v>
      </c>
      <c r="AI94" s="503">
        <v>0</v>
      </c>
      <c r="AJ94" s="503">
        <v>0</v>
      </c>
      <c r="AK94" s="503">
        <v>0</v>
      </c>
      <c r="AL94" s="503">
        <v>0</v>
      </c>
      <c r="AM94" s="503">
        <v>0</v>
      </c>
      <c r="AN94" s="503">
        <v>0</v>
      </c>
      <c r="AO94" s="503">
        <v>0</v>
      </c>
      <c r="AP94" s="503">
        <v>0</v>
      </c>
      <c r="AQ94" s="503">
        <v>0</v>
      </c>
      <c r="AR94" s="503"/>
      <c r="AS94" s="503"/>
      <c r="AT94" s="504">
        <f t="shared" si="5"/>
        <v>29726.19</v>
      </c>
      <c r="AU94" s="505">
        <f t="shared" si="6"/>
        <v>0</v>
      </c>
      <c r="AV94" s="506">
        <f t="shared" si="8"/>
        <v>0</v>
      </c>
      <c r="AW94" s="503">
        <f t="shared" si="7"/>
        <v>29726.19</v>
      </c>
      <c r="AY94" s="507"/>
    </row>
    <row r="95" spans="2:51" outlineLevel="2" x14ac:dyDescent="0.25">
      <c r="B95" s="508" t="s">
        <v>227</v>
      </c>
      <c r="C95" s="509"/>
      <c r="D95" s="510" t="s">
        <v>1058</v>
      </c>
      <c r="E95" s="511"/>
      <c r="F95" s="512"/>
      <c r="G95" s="512"/>
      <c r="H95" s="512"/>
      <c r="I95" s="512"/>
      <c r="J95" s="513"/>
      <c r="K95" s="514"/>
      <c r="L95" s="513" t="s">
        <v>1059</v>
      </c>
      <c r="M95" s="513"/>
      <c r="N95" s="515">
        <f>SUM(O95:P95)</f>
        <v>3.165</v>
      </c>
      <c r="O95" s="515">
        <v>3.165</v>
      </c>
      <c r="P95" s="515">
        <f>$P$4</f>
        <v>0</v>
      </c>
      <c r="Q95" s="515" t="s">
        <v>792</v>
      </c>
      <c r="R95" s="516">
        <f>SUM(R94:$AQ94)*$N95/100</f>
        <v>940.83391349999988</v>
      </c>
      <c r="S95" s="516">
        <f>SUM(S94:$AQ94)*$N95/100</f>
        <v>295.80691349999995</v>
      </c>
      <c r="T95" s="516">
        <v>0</v>
      </c>
      <c r="U95" s="516">
        <v>0</v>
      </c>
      <c r="V95" s="516">
        <v>0</v>
      </c>
      <c r="W95" s="516">
        <v>0</v>
      </c>
      <c r="X95" s="516">
        <v>0</v>
      </c>
      <c r="Y95" s="516">
        <v>0</v>
      </c>
      <c r="Z95" s="516">
        <v>0</v>
      </c>
      <c r="AA95" s="516">
        <v>0</v>
      </c>
      <c r="AB95" s="516">
        <v>0</v>
      </c>
      <c r="AC95" s="516">
        <v>0</v>
      </c>
      <c r="AD95" s="516">
        <v>0</v>
      </c>
      <c r="AE95" s="516">
        <v>0</v>
      </c>
      <c r="AF95" s="516">
        <v>0</v>
      </c>
      <c r="AG95" s="516">
        <v>0</v>
      </c>
      <c r="AH95" s="516">
        <v>0</v>
      </c>
      <c r="AI95" s="516">
        <v>0</v>
      </c>
      <c r="AJ95" s="516">
        <v>0</v>
      </c>
      <c r="AK95" s="516">
        <v>0</v>
      </c>
      <c r="AL95" s="516">
        <v>0</v>
      </c>
      <c r="AM95" s="516">
        <v>0</v>
      </c>
      <c r="AN95" s="516">
        <v>0</v>
      </c>
      <c r="AO95" s="516">
        <v>0</v>
      </c>
      <c r="AP95" s="516">
        <v>0</v>
      </c>
      <c r="AQ95" s="516">
        <v>0</v>
      </c>
      <c r="AR95" s="516"/>
      <c r="AS95" s="516"/>
      <c r="AT95" s="517">
        <f t="shared" si="5"/>
        <v>1236.6408269999997</v>
      </c>
      <c r="AU95" s="505">
        <f t="shared" si="6"/>
        <v>0</v>
      </c>
      <c r="AV95" s="518">
        <f t="shared" si="8"/>
        <v>0</v>
      </c>
      <c r="AW95" s="516">
        <f t="shared" si="7"/>
        <v>1236.6408269999997</v>
      </c>
      <c r="AY95" s="507"/>
    </row>
    <row r="96" spans="2:51" s="494" customFormat="1" outlineLevel="2" x14ac:dyDescent="0.25">
      <c r="B96" s="495" t="s">
        <v>227</v>
      </c>
      <c r="C96" s="496">
        <v>46</v>
      </c>
      <c r="D96" s="497" t="s">
        <v>1060</v>
      </c>
      <c r="E96" s="498" t="s">
        <v>1061</v>
      </c>
      <c r="F96" s="499" t="s">
        <v>1062</v>
      </c>
      <c r="G96" s="499" t="s">
        <v>1063</v>
      </c>
      <c r="H96" s="499" t="s">
        <v>1064</v>
      </c>
      <c r="I96" s="499" t="s">
        <v>224</v>
      </c>
      <c r="J96" s="500">
        <v>496340</v>
      </c>
      <c r="K96" s="501">
        <v>362205</v>
      </c>
      <c r="L96" s="501"/>
      <c r="M96" s="501"/>
      <c r="N96" s="519"/>
      <c r="O96" s="519"/>
      <c r="P96" s="502"/>
      <c r="Q96" s="502" t="s">
        <v>749</v>
      </c>
      <c r="R96" s="503">
        <v>53660</v>
      </c>
      <c r="S96" s="503">
        <v>53660</v>
      </c>
      <c r="T96" s="503">
        <v>53660</v>
      </c>
      <c r="U96" s="503">
        <v>53660</v>
      </c>
      <c r="V96" s="503">
        <v>53660</v>
      </c>
      <c r="W96" s="503">
        <v>53660</v>
      </c>
      <c r="X96" s="503">
        <v>40245</v>
      </c>
      <c r="Y96" s="503">
        <v>0</v>
      </c>
      <c r="Z96" s="503">
        <v>0</v>
      </c>
      <c r="AA96" s="503">
        <v>0</v>
      </c>
      <c r="AB96" s="503">
        <v>0</v>
      </c>
      <c r="AC96" s="503">
        <v>0</v>
      </c>
      <c r="AD96" s="503">
        <v>0</v>
      </c>
      <c r="AE96" s="503">
        <v>0</v>
      </c>
      <c r="AF96" s="503">
        <v>0</v>
      </c>
      <c r="AG96" s="503">
        <v>0</v>
      </c>
      <c r="AH96" s="503">
        <v>0</v>
      </c>
      <c r="AI96" s="503">
        <v>0</v>
      </c>
      <c r="AJ96" s="503">
        <v>0</v>
      </c>
      <c r="AK96" s="503">
        <v>0</v>
      </c>
      <c r="AL96" s="503">
        <v>0</v>
      </c>
      <c r="AM96" s="503">
        <v>0</v>
      </c>
      <c r="AN96" s="503">
        <v>0</v>
      </c>
      <c r="AO96" s="503">
        <v>0</v>
      </c>
      <c r="AP96" s="503">
        <v>0</v>
      </c>
      <c r="AQ96" s="503">
        <v>0</v>
      </c>
      <c r="AR96" s="503"/>
      <c r="AS96" s="503"/>
      <c r="AT96" s="504">
        <f t="shared" si="5"/>
        <v>362205</v>
      </c>
      <c r="AU96" s="505">
        <f t="shared" si="6"/>
        <v>0</v>
      </c>
      <c r="AV96" s="506">
        <f t="shared" si="8"/>
        <v>0</v>
      </c>
      <c r="AW96" s="503">
        <f t="shared" si="7"/>
        <v>362205</v>
      </c>
      <c r="AY96" s="507"/>
    </row>
    <row r="97" spans="2:51" outlineLevel="2" x14ac:dyDescent="0.25">
      <c r="B97" s="508" t="s">
        <v>227</v>
      </c>
      <c r="C97" s="509"/>
      <c r="D97" s="510" t="s">
        <v>1065</v>
      </c>
      <c r="E97" s="511"/>
      <c r="F97" s="512"/>
      <c r="G97" s="512"/>
      <c r="H97" s="512"/>
      <c r="I97" s="512"/>
      <c r="J97" s="513"/>
      <c r="K97" s="514"/>
      <c r="L97" s="513" t="s">
        <v>1066</v>
      </c>
      <c r="M97" s="513"/>
      <c r="N97" s="515">
        <f>SUM(O97:P97)</f>
        <v>3.597</v>
      </c>
      <c r="O97" s="515">
        <v>3.597</v>
      </c>
      <c r="P97" s="515">
        <f>$P$4</f>
        <v>0</v>
      </c>
      <c r="Q97" s="515" t="s">
        <v>792</v>
      </c>
      <c r="R97" s="516">
        <f>SUM(R96:$AQ96)*$N97/100</f>
        <v>13028.513849999999</v>
      </c>
      <c r="S97" s="516">
        <f>SUM(S96:$AQ96)*$N97/100</f>
        <v>11098.363649999999</v>
      </c>
      <c r="T97" s="516">
        <f>SUM(T96:$AQ96)*$N97/100</f>
        <v>9168.2134499999993</v>
      </c>
      <c r="U97" s="516">
        <f>SUM(U96:$AQ96)*$N97/100</f>
        <v>7238.0632499999992</v>
      </c>
      <c r="V97" s="516">
        <f>SUM(V96:$AQ96)*$N97/100</f>
        <v>5307.9130500000001</v>
      </c>
      <c r="W97" s="516">
        <f>SUM(W96:$AQ96)*$N97/100</f>
        <v>3377.7628499999996</v>
      </c>
      <c r="X97" s="516">
        <f>SUM(X96:$AQ96)*$N97/100</f>
        <v>1447.6126499999998</v>
      </c>
      <c r="Y97" s="516">
        <v>0</v>
      </c>
      <c r="Z97" s="516">
        <v>0</v>
      </c>
      <c r="AA97" s="516">
        <v>0</v>
      </c>
      <c r="AB97" s="516">
        <v>0</v>
      </c>
      <c r="AC97" s="516">
        <v>0</v>
      </c>
      <c r="AD97" s="516">
        <v>0</v>
      </c>
      <c r="AE97" s="516">
        <v>0</v>
      </c>
      <c r="AF97" s="516">
        <v>0</v>
      </c>
      <c r="AG97" s="516">
        <v>0</v>
      </c>
      <c r="AH97" s="516">
        <v>0</v>
      </c>
      <c r="AI97" s="516">
        <v>0</v>
      </c>
      <c r="AJ97" s="516">
        <v>0</v>
      </c>
      <c r="AK97" s="516">
        <v>0</v>
      </c>
      <c r="AL97" s="516">
        <v>0</v>
      </c>
      <c r="AM97" s="516">
        <v>0</v>
      </c>
      <c r="AN97" s="516">
        <v>0</v>
      </c>
      <c r="AO97" s="516">
        <v>0</v>
      </c>
      <c r="AP97" s="516">
        <v>0</v>
      </c>
      <c r="AQ97" s="516">
        <v>0</v>
      </c>
      <c r="AR97" s="516"/>
      <c r="AS97" s="516"/>
      <c r="AT97" s="517">
        <f t="shared" si="5"/>
        <v>50666.442750000002</v>
      </c>
      <c r="AU97" s="505">
        <f t="shared" si="6"/>
        <v>0</v>
      </c>
      <c r="AV97" s="518">
        <f t="shared" si="8"/>
        <v>0</v>
      </c>
      <c r="AW97" s="516">
        <f t="shared" si="7"/>
        <v>50666.442750000002</v>
      </c>
      <c r="AY97" s="507"/>
    </row>
    <row r="98" spans="2:51" s="484" customFormat="1" outlineLevel="2" x14ac:dyDescent="0.25">
      <c r="B98" s="520" t="s">
        <v>316</v>
      </c>
      <c r="C98" s="521">
        <v>47</v>
      </c>
      <c r="D98" s="522" t="s">
        <v>1067</v>
      </c>
      <c r="E98" s="498" t="s">
        <v>1068</v>
      </c>
      <c r="F98" s="498" t="s">
        <v>1069</v>
      </c>
      <c r="G98" s="498" t="s">
        <v>1070</v>
      </c>
      <c r="H98" s="498" t="s">
        <v>1071</v>
      </c>
      <c r="I98" s="498" t="s">
        <v>224</v>
      </c>
      <c r="J98" s="500">
        <v>6469</v>
      </c>
      <c r="K98" s="501">
        <v>3480</v>
      </c>
      <c r="L98" s="501"/>
      <c r="M98" s="501"/>
      <c r="N98" s="519"/>
      <c r="O98" s="519"/>
      <c r="P98" s="502"/>
      <c r="Q98" s="502" t="s">
        <v>749</v>
      </c>
      <c r="R98" s="503">
        <f>928+305</f>
        <v>1233</v>
      </c>
      <c r="S98" s="503">
        <v>928</v>
      </c>
      <c r="T98" s="503">
        <v>928</v>
      </c>
      <c r="U98" s="503">
        <v>696</v>
      </c>
      <c r="V98" s="503">
        <v>0</v>
      </c>
      <c r="W98" s="503">
        <v>0</v>
      </c>
      <c r="X98" s="503">
        <v>0</v>
      </c>
      <c r="Y98" s="503">
        <v>0</v>
      </c>
      <c r="Z98" s="503">
        <v>0</v>
      </c>
      <c r="AA98" s="503">
        <v>0</v>
      </c>
      <c r="AB98" s="503">
        <v>0</v>
      </c>
      <c r="AC98" s="503">
        <v>0</v>
      </c>
      <c r="AD98" s="503">
        <v>0</v>
      </c>
      <c r="AE98" s="503">
        <v>0</v>
      </c>
      <c r="AF98" s="503">
        <v>0</v>
      </c>
      <c r="AG98" s="503">
        <v>0</v>
      </c>
      <c r="AH98" s="503">
        <v>0</v>
      </c>
      <c r="AI98" s="503">
        <v>0</v>
      </c>
      <c r="AJ98" s="503">
        <v>0</v>
      </c>
      <c r="AK98" s="503">
        <v>0</v>
      </c>
      <c r="AL98" s="503">
        <v>0</v>
      </c>
      <c r="AM98" s="503">
        <v>0</v>
      </c>
      <c r="AN98" s="503">
        <v>0</v>
      </c>
      <c r="AO98" s="503">
        <v>0</v>
      </c>
      <c r="AP98" s="503">
        <v>0</v>
      </c>
      <c r="AQ98" s="503">
        <v>0</v>
      </c>
      <c r="AR98" s="503"/>
      <c r="AS98" s="503"/>
      <c r="AT98" s="503">
        <f t="shared" si="5"/>
        <v>3785</v>
      </c>
      <c r="AU98" s="523">
        <f t="shared" si="6"/>
        <v>0</v>
      </c>
      <c r="AV98" s="506">
        <f t="shared" si="8"/>
        <v>0</v>
      </c>
      <c r="AW98" s="503">
        <f t="shared" si="7"/>
        <v>3785</v>
      </c>
      <c r="AY98" s="507"/>
    </row>
    <row r="99" spans="2:51" s="476" customFormat="1" outlineLevel="2" x14ac:dyDescent="0.25">
      <c r="B99" s="524" t="s">
        <v>316</v>
      </c>
      <c r="C99" s="525"/>
      <c r="D99" s="526" t="s">
        <v>1072</v>
      </c>
      <c r="E99" s="511"/>
      <c r="F99" s="511"/>
      <c r="G99" s="511"/>
      <c r="H99" s="511"/>
      <c r="I99" s="511"/>
      <c r="J99" s="513"/>
      <c r="K99" s="514"/>
      <c r="L99" s="513" t="s">
        <v>1073</v>
      </c>
      <c r="M99" s="513"/>
      <c r="N99" s="515">
        <f>SUM(O99:P99)</f>
        <v>3.5019999999999998</v>
      </c>
      <c r="O99" s="515">
        <v>3.5019999999999998</v>
      </c>
      <c r="P99" s="515">
        <f>$P$4</f>
        <v>0</v>
      </c>
      <c r="Q99" s="515" t="s">
        <v>792</v>
      </c>
      <c r="R99" s="516">
        <f>SUM(R98:$AQ98)*$N99/100</f>
        <v>132.55070000000001</v>
      </c>
      <c r="S99" s="516">
        <f>SUM(S98:$AQ98)*$N99/100</f>
        <v>89.371039999999994</v>
      </c>
      <c r="T99" s="516">
        <f>SUM(T98:$AQ98)*$N99/100</f>
        <v>56.872479999999996</v>
      </c>
      <c r="U99" s="516">
        <f>SUM(U98:$AQ98)*$N99/100</f>
        <v>24.373919999999998</v>
      </c>
      <c r="V99" s="516">
        <v>0</v>
      </c>
      <c r="W99" s="516">
        <v>0</v>
      </c>
      <c r="X99" s="516">
        <v>0</v>
      </c>
      <c r="Y99" s="516">
        <v>0</v>
      </c>
      <c r="Z99" s="516">
        <v>0</v>
      </c>
      <c r="AA99" s="516">
        <v>0</v>
      </c>
      <c r="AB99" s="516">
        <v>0</v>
      </c>
      <c r="AC99" s="516">
        <v>0</v>
      </c>
      <c r="AD99" s="516">
        <v>0</v>
      </c>
      <c r="AE99" s="516">
        <v>0</v>
      </c>
      <c r="AF99" s="516">
        <v>0</v>
      </c>
      <c r="AG99" s="516">
        <v>0</v>
      </c>
      <c r="AH99" s="516">
        <v>0</v>
      </c>
      <c r="AI99" s="516">
        <v>0</v>
      </c>
      <c r="AJ99" s="516">
        <v>0</v>
      </c>
      <c r="AK99" s="516">
        <v>0</v>
      </c>
      <c r="AL99" s="516">
        <v>0</v>
      </c>
      <c r="AM99" s="516">
        <v>0</v>
      </c>
      <c r="AN99" s="516">
        <v>0</v>
      </c>
      <c r="AO99" s="516">
        <v>0</v>
      </c>
      <c r="AP99" s="516">
        <v>0</v>
      </c>
      <c r="AQ99" s="516">
        <v>0</v>
      </c>
      <c r="AR99" s="516"/>
      <c r="AS99" s="516"/>
      <c r="AT99" s="516">
        <f t="shared" si="5"/>
        <v>303.16813999999999</v>
      </c>
      <c r="AU99" s="523">
        <f t="shared" si="6"/>
        <v>0</v>
      </c>
      <c r="AV99" s="518">
        <f t="shared" si="8"/>
        <v>0</v>
      </c>
      <c r="AW99" s="516">
        <f t="shared" si="7"/>
        <v>303.16813999999999</v>
      </c>
      <c r="AY99" s="507"/>
    </row>
    <row r="100" spans="2:51" s="494" customFormat="1" outlineLevel="2" x14ac:dyDescent="0.25">
      <c r="B100" s="495" t="s">
        <v>316</v>
      </c>
      <c r="C100" s="496">
        <v>48</v>
      </c>
      <c r="D100" s="497" t="s">
        <v>1074</v>
      </c>
      <c r="E100" s="498" t="s">
        <v>1075</v>
      </c>
      <c r="F100" s="499" t="s">
        <v>1076</v>
      </c>
      <c r="G100" s="499" t="s">
        <v>1077</v>
      </c>
      <c r="H100" s="499" t="s">
        <v>1078</v>
      </c>
      <c r="I100" s="499" t="s">
        <v>224</v>
      </c>
      <c r="J100" s="500">
        <v>503660</v>
      </c>
      <c r="K100" s="501">
        <v>424176</v>
      </c>
      <c r="L100" s="501"/>
      <c r="M100" s="501"/>
      <c r="N100" s="519"/>
      <c r="O100" s="519"/>
      <c r="P100" s="502"/>
      <c r="Q100" s="502" t="s">
        <v>749</v>
      </c>
      <c r="R100" s="503">
        <v>35348</v>
      </c>
      <c r="S100" s="503">
        <v>35348</v>
      </c>
      <c r="T100" s="503">
        <v>35348</v>
      </c>
      <c r="U100" s="503">
        <v>35348</v>
      </c>
      <c r="V100" s="503">
        <v>35348</v>
      </c>
      <c r="W100" s="503">
        <v>35348</v>
      </c>
      <c r="X100" s="503">
        <v>35348</v>
      </c>
      <c r="Y100" s="503">
        <v>35348</v>
      </c>
      <c r="Z100" s="503">
        <v>35348</v>
      </c>
      <c r="AA100" s="503">
        <v>35348</v>
      </c>
      <c r="AB100" s="503">
        <v>35348</v>
      </c>
      <c r="AC100" s="503">
        <v>35348</v>
      </c>
      <c r="AD100" s="503">
        <v>0</v>
      </c>
      <c r="AE100" s="503">
        <v>0</v>
      </c>
      <c r="AF100" s="503">
        <v>0</v>
      </c>
      <c r="AG100" s="503">
        <v>0</v>
      </c>
      <c r="AH100" s="503">
        <v>0</v>
      </c>
      <c r="AI100" s="503">
        <v>0</v>
      </c>
      <c r="AJ100" s="503">
        <v>0</v>
      </c>
      <c r="AK100" s="503">
        <v>0</v>
      </c>
      <c r="AL100" s="503">
        <v>0</v>
      </c>
      <c r="AM100" s="503">
        <v>0</v>
      </c>
      <c r="AN100" s="503">
        <v>0</v>
      </c>
      <c r="AO100" s="503">
        <v>0</v>
      </c>
      <c r="AP100" s="503">
        <v>0</v>
      </c>
      <c r="AQ100" s="503">
        <v>0</v>
      </c>
      <c r="AR100" s="503"/>
      <c r="AS100" s="503"/>
      <c r="AT100" s="504">
        <f t="shared" si="5"/>
        <v>424176</v>
      </c>
      <c r="AU100" s="505">
        <f t="shared" si="6"/>
        <v>0</v>
      </c>
      <c r="AV100" s="506">
        <f t="shared" si="8"/>
        <v>176740</v>
      </c>
      <c r="AW100" s="503">
        <f t="shared" si="7"/>
        <v>424176</v>
      </c>
      <c r="AY100" s="507"/>
    </row>
    <row r="101" spans="2:51" outlineLevel="2" x14ac:dyDescent="0.25">
      <c r="B101" s="508" t="s">
        <v>316</v>
      </c>
      <c r="C101" s="509"/>
      <c r="D101" s="510" t="s">
        <v>1079</v>
      </c>
      <c r="E101" s="511"/>
      <c r="F101" s="512"/>
      <c r="G101" s="512"/>
      <c r="H101" s="512"/>
      <c r="I101" s="512"/>
      <c r="J101" s="513"/>
      <c r="K101" s="514"/>
      <c r="L101" s="513">
        <v>0</v>
      </c>
      <c r="M101" s="513"/>
      <c r="N101" s="515">
        <f>SUM(O101:P101)</f>
        <v>3.41</v>
      </c>
      <c r="O101" s="515">
        <v>3.41</v>
      </c>
      <c r="P101" s="515">
        <f>$P$4</f>
        <v>0</v>
      </c>
      <c r="Q101" s="515" t="s">
        <v>792</v>
      </c>
      <c r="R101" s="516">
        <f>SUM(R100:$AQ100)*$N101/100</f>
        <v>14464.401600000001</v>
      </c>
      <c r="S101" s="516">
        <f>SUM(S100:$AQ100)*$N101/100</f>
        <v>13259.034799999999</v>
      </c>
      <c r="T101" s="516">
        <f>SUM(T100:$AQ100)*$N101/100</f>
        <v>12053.668</v>
      </c>
      <c r="U101" s="516">
        <f>SUM(U100:$AQ100)*$N101/100</f>
        <v>10848.301200000002</v>
      </c>
      <c r="V101" s="516">
        <f>SUM(V100:$AQ100)*$N101/100</f>
        <v>9642.9344000000001</v>
      </c>
      <c r="W101" s="516">
        <f>SUM(W100:$AQ100)*$N101/100</f>
        <v>8437.5676000000003</v>
      </c>
      <c r="X101" s="516">
        <f>SUM(X100:$AQ100)*$N101/100</f>
        <v>7232.2008000000005</v>
      </c>
      <c r="Y101" s="516">
        <f>SUM(Y100:$AQ100)*$N101/100</f>
        <v>6026.8339999999998</v>
      </c>
      <c r="Z101" s="516">
        <f>SUM(Z100:$AQ100)*$N101/100</f>
        <v>4821.4672</v>
      </c>
      <c r="AA101" s="516">
        <f>SUM(AA100:$AQ100)*$N101/100</f>
        <v>3616.1004000000003</v>
      </c>
      <c r="AB101" s="516">
        <f>SUM(AB100:$AQ100)*$N101/100</f>
        <v>2410.7336</v>
      </c>
      <c r="AC101" s="516">
        <f>SUM(AC100:$AQ100)*$N101/100</f>
        <v>1205.3668</v>
      </c>
      <c r="AD101" s="516">
        <v>0</v>
      </c>
      <c r="AE101" s="516">
        <v>0</v>
      </c>
      <c r="AF101" s="516">
        <v>0</v>
      </c>
      <c r="AG101" s="516">
        <v>0</v>
      </c>
      <c r="AH101" s="516">
        <v>0</v>
      </c>
      <c r="AI101" s="516">
        <v>0</v>
      </c>
      <c r="AJ101" s="516">
        <v>0</v>
      </c>
      <c r="AK101" s="516">
        <v>0</v>
      </c>
      <c r="AL101" s="516">
        <v>0</v>
      </c>
      <c r="AM101" s="516">
        <v>0</v>
      </c>
      <c r="AN101" s="516">
        <v>0</v>
      </c>
      <c r="AO101" s="516">
        <v>0</v>
      </c>
      <c r="AP101" s="516">
        <v>0</v>
      </c>
      <c r="AQ101" s="516">
        <v>0</v>
      </c>
      <c r="AR101" s="516"/>
      <c r="AS101" s="516"/>
      <c r="AT101" s="517">
        <f t="shared" si="5"/>
        <v>94018.610400000005</v>
      </c>
      <c r="AU101" s="505">
        <f t="shared" si="6"/>
        <v>0</v>
      </c>
      <c r="AV101" s="518">
        <f t="shared" si="8"/>
        <v>18080.502</v>
      </c>
      <c r="AW101" s="516">
        <f t="shared" si="7"/>
        <v>94018.610400000005</v>
      </c>
      <c r="AY101" s="507"/>
    </row>
    <row r="102" spans="2:51" s="494" customFormat="1" outlineLevel="2" x14ac:dyDescent="0.25">
      <c r="B102" s="495" t="s">
        <v>316</v>
      </c>
      <c r="C102" s="496">
        <v>49</v>
      </c>
      <c r="D102" s="497" t="s">
        <v>1074</v>
      </c>
      <c r="E102" s="498" t="s">
        <v>1080</v>
      </c>
      <c r="F102" s="499" t="s">
        <v>1081</v>
      </c>
      <c r="G102" s="499" t="s">
        <v>1077</v>
      </c>
      <c r="H102" s="499" t="s">
        <v>1082</v>
      </c>
      <c r="I102" s="499" t="s">
        <v>224</v>
      </c>
      <c r="J102" s="500">
        <v>300000</v>
      </c>
      <c r="K102" s="501">
        <v>227052</v>
      </c>
      <c r="L102" s="501"/>
      <c r="M102" s="501"/>
      <c r="N102" s="519"/>
      <c r="O102" s="519"/>
      <c r="P102" s="502"/>
      <c r="Q102" s="502" t="s">
        <v>749</v>
      </c>
      <c r="R102" s="503">
        <v>32436</v>
      </c>
      <c r="S102" s="503">
        <v>32436</v>
      </c>
      <c r="T102" s="503">
        <v>32436</v>
      </c>
      <c r="U102" s="503">
        <v>32436</v>
      </c>
      <c r="V102" s="503">
        <v>32436</v>
      </c>
      <c r="W102" s="503">
        <v>32436</v>
      </c>
      <c r="X102" s="503">
        <v>32436</v>
      </c>
      <c r="Y102" s="503">
        <v>0</v>
      </c>
      <c r="Z102" s="503">
        <v>0</v>
      </c>
      <c r="AA102" s="503">
        <v>0</v>
      </c>
      <c r="AB102" s="503">
        <v>0</v>
      </c>
      <c r="AC102" s="503">
        <v>0</v>
      </c>
      <c r="AD102" s="503">
        <v>0</v>
      </c>
      <c r="AE102" s="503">
        <v>0</v>
      </c>
      <c r="AF102" s="503">
        <v>0</v>
      </c>
      <c r="AG102" s="503">
        <v>0</v>
      </c>
      <c r="AH102" s="503">
        <v>0</v>
      </c>
      <c r="AI102" s="503">
        <v>0</v>
      </c>
      <c r="AJ102" s="503">
        <v>0</v>
      </c>
      <c r="AK102" s="503">
        <v>0</v>
      </c>
      <c r="AL102" s="503">
        <v>0</v>
      </c>
      <c r="AM102" s="503">
        <v>0</v>
      </c>
      <c r="AN102" s="503">
        <v>0</v>
      </c>
      <c r="AO102" s="503">
        <v>0</v>
      </c>
      <c r="AP102" s="503">
        <v>0</v>
      </c>
      <c r="AQ102" s="503">
        <v>0</v>
      </c>
      <c r="AR102" s="503"/>
      <c r="AS102" s="503"/>
      <c r="AT102" s="504">
        <f t="shared" si="5"/>
        <v>227052</v>
      </c>
      <c r="AU102" s="505">
        <f t="shared" si="6"/>
        <v>0</v>
      </c>
      <c r="AV102" s="506">
        <f t="shared" si="8"/>
        <v>0</v>
      </c>
      <c r="AW102" s="503">
        <f t="shared" si="7"/>
        <v>227052</v>
      </c>
      <c r="AY102" s="507"/>
    </row>
    <row r="103" spans="2:51" outlineLevel="2" x14ac:dyDescent="0.25">
      <c r="B103" s="508" t="s">
        <v>316</v>
      </c>
      <c r="C103" s="509"/>
      <c r="D103" s="510" t="s">
        <v>1083</v>
      </c>
      <c r="E103" s="511"/>
      <c r="F103" s="512"/>
      <c r="G103" s="512"/>
      <c r="H103" s="512"/>
      <c r="I103" s="512"/>
      <c r="J103" s="513"/>
      <c r="K103" s="514"/>
      <c r="L103" s="513">
        <v>0</v>
      </c>
      <c r="M103" s="513"/>
      <c r="N103" s="515">
        <f>SUM(O103:P103)</f>
        <v>3.2160000000000002</v>
      </c>
      <c r="O103" s="515">
        <v>3.2160000000000002</v>
      </c>
      <c r="P103" s="515">
        <f>$P$4</f>
        <v>0</v>
      </c>
      <c r="Q103" s="515" t="s">
        <v>792</v>
      </c>
      <c r="R103" s="516">
        <f>SUM(R102:$AQ102)*$N103/100</f>
        <v>7301.9923200000012</v>
      </c>
      <c r="S103" s="516">
        <f>SUM(S102:$AQ102)*$N103/100</f>
        <v>6258.8505599999999</v>
      </c>
      <c r="T103" s="516">
        <f>SUM(T102:$AQ102)*$N103/100</f>
        <v>5215.7088000000003</v>
      </c>
      <c r="U103" s="516">
        <f>SUM(U102:$AQ102)*$N103/100</f>
        <v>4172.5670399999999</v>
      </c>
      <c r="V103" s="516">
        <f>SUM(V102:$AQ102)*$N103/100</f>
        <v>3129.4252799999999</v>
      </c>
      <c r="W103" s="516">
        <f>SUM(W102:$AQ102)*$N103/100</f>
        <v>2086.28352</v>
      </c>
      <c r="X103" s="516">
        <f>SUM(X102:$AQ102)*$N103/100</f>
        <v>1043.14176</v>
      </c>
      <c r="Y103" s="516">
        <v>0</v>
      </c>
      <c r="Z103" s="516">
        <v>0</v>
      </c>
      <c r="AA103" s="516">
        <v>0</v>
      </c>
      <c r="AB103" s="516">
        <v>0</v>
      </c>
      <c r="AC103" s="516">
        <v>0</v>
      </c>
      <c r="AD103" s="516">
        <v>0</v>
      </c>
      <c r="AE103" s="516">
        <v>0</v>
      </c>
      <c r="AF103" s="516">
        <v>0</v>
      </c>
      <c r="AG103" s="516">
        <v>0</v>
      </c>
      <c r="AH103" s="516">
        <v>0</v>
      </c>
      <c r="AI103" s="516">
        <v>0</v>
      </c>
      <c r="AJ103" s="516">
        <v>0</v>
      </c>
      <c r="AK103" s="516">
        <v>0</v>
      </c>
      <c r="AL103" s="516">
        <v>0</v>
      </c>
      <c r="AM103" s="516">
        <v>0</v>
      </c>
      <c r="AN103" s="516">
        <v>0</v>
      </c>
      <c r="AO103" s="516">
        <v>0</v>
      </c>
      <c r="AP103" s="516">
        <v>0</v>
      </c>
      <c r="AQ103" s="516">
        <v>0</v>
      </c>
      <c r="AR103" s="516"/>
      <c r="AS103" s="516"/>
      <c r="AT103" s="517">
        <f t="shared" si="5"/>
        <v>29207.969279999998</v>
      </c>
      <c r="AU103" s="505">
        <f t="shared" si="6"/>
        <v>0</v>
      </c>
      <c r="AV103" s="518">
        <f t="shared" si="8"/>
        <v>0</v>
      </c>
      <c r="AW103" s="516">
        <f t="shared" si="7"/>
        <v>29207.969279999998</v>
      </c>
      <c r="AY103" s="507"/>
    </row>
    <row r="104" spans="2:51" s="494" customFormat="1" outlineLevel="2" x14ac:dyDescent="0.25">
      <c r="B104" s="495" t="s">
        <v>227</v>
      </c>
      <c r="C104" s="496">
        <v>50</v>
      </c>
      <c r="D104" s="497" t="s">
        <v>1084</v>
      </c>
      <c r="E104" s="498" t="s">
        <v>1085</v>
      </c>
      <c r="F104" s="499" t="s">
        <v>1086</v>
      </c>
      <c r="G104" s="499" t="s">
        <v>1087</v>
      </c>
      <c r="H104" s="499" t="s">
        <v>1088</v>
      </c>
      <c r="I104" s="499" t="s">
        <v>224</v>
      </c>
      <c r="J104" s="500">
        <v>292889</v>
      </c>
      <c r="K104" s="501">
        <v>173884.25</v>
      </c>
      <c r="L104" s="501"/>
      <c r="M104" s="501"/>
      <c r="N104" s="519"/>
      <c r="O104" s="519"/>
      <c r="P104" s="502"/>
      <c r="Q104" s="502" t="s">
        <v>749</v>
      </c>
      <c r="R104" s="503">
        <v>20200</v>
      </c>
      <c r="S104" s="503">
        <v>20200</v>
      </c>
      <c r="T104" s="503">
        <v>20200</v>
      </c>
      <c r="U104" s="503">
        <v>20200</v>
      </c>
      <c r="V104" s="503">
        <v>20200</v>
      </c>
      <c r="W104" s="503">
        <v>20200</v>
      </c>
      <c r="X104" s="503">
        <v>20200</v>
      </c>
      <c r="Y104" s="503">
        <v>20200</v>
      </c>
      <c r="Z104" s="503">
        <f>20200-7916</f>
        <v>12284</v>
      </c>
      <c r="AA104" s="503"/>
      <c r="AB104" s="503"/>
      <c r="AC104" s="503"/>
      <c r="AD104" s="503">
        <v>0</v>
      </c>
      <c r="AE104" s="503">
        <v>0</v>
      </c>
      <c r="AF104" s="503">
        <v>0</v>
      </c>
      <c r="AG104" s="503">
        <v>0</v>
      </c>
      <c r="AH104" s="503">
        <v>0</v>
      </c>
      <c r="AI104" s="503">
        <v>0</v>
      </c>
      <c r="AJ104" s="503">
        <v>0</v>
      </c>
      <c r="AK104" s="503">
        <v>0</v>
      </c>
      <c r="AL104" s="503">
        <v>0</v>
      </c>
      <c r="AM104" s="503">
        <v>0</v>
      </c>
      <c r="AN104" s="503">
        <v>0</v>
      </c>
      <c r="AO104" s="503">
        <v>0</v>
      </c>
      <c r="AP104" s="503">
        <v>0</v>
      </c>
      <c r="AQ104" s="503">
        <v>0</v>
      </c>
      <c r="AR104" s="503"/>
      <c r="AS104" s="503"/>
      <c r="AT104" s="504">
        <f t="shared" si="5"/>
        <v>173884</v>
      </c>
      <c r="AU104" s="505">
        <f t="shared" si="6"/>
        <v>0</v>
      </c>
      <c r="AV104" s="506">
        <f t="shared" si="8"/>
        <v>32484</v>
      </c>
      <c r="AW104" s="503">
        <f t="shared" si="7"/>
        <v>173884</v>
      </c>
      <c r="AY104" s="507"/>
    </row>
    <row r="105" spans="2:51" outlineLevel="2" x14ac:dyDescent="0.25">
      <c r="B105" s="508" t="s">
        <v>227</v>
      </c>
      <c r="C105" s="509"/>
      <c r="D105" s="510" t="s">
        <v>1089</v>
      </c>
      <c r="E105" s="511"/>
      <c r="F105" s="512"/>
      <c r="G105" s="512"/>
      <c r="H105" s="512"/>
      <c r="I105" s="512"/>
      <c r="J105" s="513"/>
      <c r="K105" s="514"/>
      <c r="L105" s="513">
        <v>0</v>
      </c>
      <c r="M105" s="513"/>
      <c r="N105" s="515">
        <f>SUM(O105:P105)</f>
        <v>3.41</v>
      </c>
      <c r="O105" s="515">
        <v>3.41</v>
      </c>
      <c r="P105" s="515">
        <f>$P$4</f>
        <v>0</v>
      </c>
      <c r="Q105" s="515" t="s">
        <v>792</v>
      </c>
      <c r="R105" s="516">
        <f>SUM(R104:$AQ104)*$N105/100</f>
        <v>5929.4444000000003</v>
      </c>
      <c r="S105" s="516">
        <f>SUM(S104:$AQ104)*$N105/100</f>
        <v>5240.6243999999997</v>
      </c>
      <c r="T105" s="516">
        <f>SUM(T104:$AQ104)*$N105/100</f>
        <v>4551.8044</v>
      </c>
      <c r="U105" s="516">
        <f>SUM(U104:$AQ104)*$N105/100</f>
        <v>3862.9843999999998</v>
      </c>
      <c r="V105" s="516">
        <f>SUM(V104:$AQ104)*$N105/100</f>
        <v>3174.1644000000001</v>
      </c>
      <c r="W105" s="516">
        <f>SUM(W104:$AQ104)*$N105/100</f>
        <v>2485.3444</v>
      </c>
      <c r="X105" s="516">
        <f>SUM(X104:$AQ104)*$N105/100</f>
        <v>1796.5244</v>
      </c>
      <c r="Y105" s="516">
        <f>SUM(Y104:$AQ104)*$N105/100</f>
        <v>1107.7044000000001</v>
      </c>
      <c r="Z105" s="516">
        <f>SUM(Z104:$AQ104)*$N105/100</f>
        <v>418.88440000000003</v>
      </c>
      <c r="AA105" s="516">
        <f>SUM(AA104:$AQ104)*$N105/100</f>
        <v>0</v>
      </c>
      <c r="AB105" s="516">
        <f>SUM(AB104:$AQ104)*$N105/100</f>
        <v>0</v>
      </c>
      <c r="AC105" s="516">
        <f>SUM(AC104:$AQ104)*$N105/100</f>
        <v>0</v>
      </c>
      <c r="AD105" s="516">
        <v>0</v>
      </c>
      <c r="AE105" s="516">
        <v>0</v>
      </c>
      <c r="AF105" s="516">
        <v>0</v>
      </c>
      <c r="AG105" s="516">
        <v>0</v>
      </c>
      <c r="AH105" s="516">
        <v>0</v>
      </c>
      <c r="AI105" s="516">
        <v>0</v>
      </c>
      <c r="AJ105" s="516">
        <v>0</v>
      </c>
      <c r="AK105" s="516">
        <v>0</v>
      </c>
      <c r="AL105" s="516">
        <v>0</v>
      </c>
      <c r="AM105" s="516">
        <v>0</v>
      </c>
      <c r="AN105" s="516">
        <v>0</v>
      </c>
      <c r="AO105" s="516">
        <v>0</v>
      </c>
      <c r="AP105" s="516">
        <v>0</v>
      </c>
      <c r="AQ105" s="516">
        <v>0</v>
      </c>
      <c r="AR105" s="516"/>
      <c r="AS105" s="516"/>
      <c r="AT105" s="517">
        <f t="shared" si="5"/>
        <v>28567.479600000002</v>
      </c>
      <c r="AU105" s="505">
        <f t="shared" si="6"/>
        <v>0</v>
      </c>
      <c r="AV105" s="518">
        <f t="shared" si="8"/>
        <v>1526.5888</v>
      </c>
      <c r="AW105" s="516">
        <f t="shared" si="7"/>
        <v>28567.479600000006</v>
      </c>
      <c r="AY105" s="507"/>
    </row>
    <row r="106" spans="2:51" s="494" customFormat="1" outlineLevel="2" x14ac:dyDescent="0.25">
      <c r="B106" s="495" t="s">
        <v>316</v>
      </c>
      <c r="C106" s="496">
        <v>51</v>
      </c>
      <c r="D106" s="497" t="s">
        <v>1090</v>
      </c>
      <c r="E106" s="498" t="s">
        <v>1091</v>
      </c>
      <c r="F106" s="499" t="s">
        <v>1092</v>
      </c>
      <c r="G106" s="499" t="s">
        <v>1093</v>
      </c>
      <c r="H106" s="499" t="s">
        <v>988</v>
      </c>
      <c r="I106" s="499" t="s">
        <v>224</v>
      </c>
      <c r="J106" s="500">
        <v>495501</v>
      </c>
      <c r="K106" s="501">
        <v>434650</v>
      </c>
      <c r="L106" s="501"/>
      <c r="M106" s="501"/>
      <c r="N106" s="519"/>
      <c r="O106" s="519"/>
      <c r="P106" s="502"/>
      <c r="Q106" s="502" t="s">
        <v>749</v>
      </c>
      <c r="R106" s="503">
        <v>34772</v>
      </c>
      <c r="S106" s="503">
        <v>34772</v>
      </c>
      <c r="T106" s="503">
        <v>34772</v>
      </c>
      <c r="U106" s="503">
        <v>34772</v>
      </c>
      <c r="V106" s="503">
        <v>34772</v>
      </c>
      <c r="W106" s="503">
        <v>34772</v>
      </c>
      <c r="X106" s="503">
        <v>34772</v>
      </c>
      <c r="Y106" s="503">
        <v>34772</v>
      </c>
      <c r="Z106" s="503">
        <v>34772</v>
      </c>
      <c r="AA106" s="503">
        <v>34772</v>
      </c>
      <c r="AB106" s="503">
        <v>34772</v>
      </c>
      <c r="AC106" s="503">
        <v>34772</v>
      </c>
      <c r="AD106" s="503">
        <v>17386</v>
      </c>
      <c r="AE106" s="503">
        <v>0</v>
      </c>
      <c r="AF106" s="503">
        <v>0</v>
      </c>
      <c r="AG106" s="503">
        <v>0</v>
      </c>
      <c r="AH106" s="503">
        <v>0</v>
      </c>
      <c r="AI106" s="503">
        <v>0</v>
      </c>
      <c r="AJ106" s="503">
        <v>0</v>
      </c>
      <c r="AK106" s="503">
        <v>0</v>
      </c>
      <c r="AL106" s="503">
        <v>0</v>
      </c>
      <c r="AM106" s="503">
        <v>0</v>
      </c>
      <c r="AN106" s="503">
        <v>0</v>
      </c>
      <c r="AO106" s="503">
        <v>0</v>
      </c>
      <c r="AP106" s="503">
        <v>0</v>
      </c>
      <c r="AQ106" s="503">
        <v>0</v>
      </c>
      <c r="AR106" s="503"/>
      <c r="AS106" s="503"/>
      <c r="AT106" s="504">
        <f t="shared" si="5"/>
        <v>434650</v>
      </c>
      <c r="AU106" s="505">
        <f t="shared" si="6"/>
        <v>0</v>
      </c>
      <c r="AV106" s="506">
        <f t="shared" si="8"/>
        <v>191246</v>
      </c>
      <c r="AW106" s="503">
        <f t="shared" si="7"/>
        <v>434650</v>
      </c>
      <c r="AY106" s="507"/>
    </row>
    <row r="107" spans="2:51" outlineLevel="2" x14ac:dyDescent="0.25">
      <c r="B107" s="508" t="s">
        <v>316</v>
      </c>
      <c r="C107" s="509"/>
      <c r="D107" s="510" t="s">
        <v>1094</v>
      </c>
      <c r="E107" s="511"/>
      <c r="F107" s="512"/>
      <c r="G107" s="512"/>
      <c r="H107" s="512"/>
      <c r="I107" s="512"/>
      <c r="J107" s="513"/>
      <c r="K107" s="514"/>
      <c r="L107" s="513" t="s">
        <v>1095</v>
      </c>
      <c r="M107" s="513"/>
      <c r="N107" s="515">
        <f>SUM(O107:P107)</f>
        <v>3.4969999999999999</v>
      </c>
      <c r="O107" s="515">
        <v>3.4969999999999999</v>
      </c>
      <c r="P107" s="515">
        <f>$P$4</f>
        <v>0</v>
      </c>
      <c r="Q107" s="515" t="s">
        <v>792</v>
      </c>
      <c r="R107" s="516">
        <f>SUM(R106:$AQ106)*$N107/100</f>
        <v>15199.710500000001</v>
      </c>
      <c r="S107" s="516">
        <f>SUM(S106:$AQ106)*$N107/100</f>
        <v>13983.73366</v>
      </c>
      <c r="T107" s="516">
        <f>SUM(T106:$AQ106)*$N107/100</f>
        <v>12767.756820000001</v>
      </c>
      <c r="U107" s="516">
        <f>SUM(U106:$AQ106)*$N107/100</f>
        <v>11551.779979999999</v>
      </c>
      <c r="V107" s="516">
        <f>SUM(V106:$AQ106)*$N107/100</f>
        <v>10335.80314</v>
      </c>
      <c r="W107" s="516">
        <f>SUM(W106:$AQ106)*$N107/100</f>
        <v>9119.8263000000006</v>
      </c>
      <c r="X107" s="516">
        <f>SUM(X106:$AQ106)*$N107/100</f>
        <v>7903.8494600000004</v>
      </c>
      <c r="Y107" s="516">
        <f>SUM(Y106:$AQ106)*$N107/100</f>
        <v>6687.8726200000001</v>
      </c>
      <c r="Z107" s="516">
        <f>SUM(Z106:$AQ106)*$N107/100</f>
        <v>5471.8957799999998</v>
      </c>
      <c r="AA107" s="516">
        <f>SUM(AA106:$AQ106)*$N107/100</f>
        <v>4255.9189399999996</v>
      </c>
      <c r="AB107" s="516">
        <f>SUM(AB106:$AQ106)*$N107/100</f>
        <v>3039.9420999999998</v>
      </c>
      <c r="AC107" s="516">
        <f>SUM(AC106:$AQ106)*$N107/100</f>
        <v>1823.9652599999999</v>
      </c>
      <c r="AD107" s="516">
        <f>SUM(AD106:$AQ106)*$N107/100</f>
        <v>607.98842000000002</v>
      </c>
      <c r="AE107" s="516">
        <v>0</v>
      </c>
      <c r="AF107" s="516">
        <v>0</v>
      </c>
      <c r="AG107" s="516">
        <v>0</v>
      </c>
      <c r="AH107" s="516">
        <v>0</v>
      </c>
      <c r="AI107" s="516">
        <v>0</v>
      </c>
      <c r="AJ107" s="516">
        <v>0</v>
      </c>
      <c r="AK107" s="516">
        <v>0</v>
      </c>
      <c r="AL107" s="516">
        <v>0</v>
      </c>
      <c r="AM107" s="516">
        <v>0</v>
      </c>
      <c r="AN107" s="516">
        <v>0</v>
      </c>
      <c r="AO107" s="516">
        <v>0</v>
      </c>
      <c r="AP107" s="516">
        <v>0</v>
      </c>
      <c r="AQ107" s="516">
        <v>0</v>
      </c>
      <c r="AR107" s="516"/>
      <c r="AS107" s="516"/>
      <c r="AT107" s="517">
        <f t="shared" si="5"/>
        <v>102750.04298</v>
      </c>
      <c r="AU107" s="505">
        <f t="shared" si="6"/>
        <v>0</v>
      </c>
      <c r="AV107" s="518">
        <f t="shared" si="8"/>
        <v>21887.583120000003</v>
      </c>
      <c r="AW107" s="516">
        <f t="shared" si="7"/>
        <v>102750.04298</v>
      </c>
      <c r="AY107" s="507"/>
    </row>
    <row r="108" spans="2:51" s="484" customFormat="1" outlineLevel="1" x14ac:dyDescent="0.25">
      <c r="B108" s="520" t="s">
        <v>227</v>
      </c>
      <c r="C108" s="521">
        <v>52</v>
      </c>
      <c r="D108" s="522" t="s">
        <v>1096</v>
      </c>
      <c r="E108" s="498" t="s">
        <v>1097</v>
      </c>
      <c r="F108" s="498" t="s">
        <v>1098</v>
      </c>
      <c r="G108" s="527">
        <v>45159</v>
      </c>
      <c r="H108" s="498" t="s">
        <v>1099</v>
      </c>
      <c r="I108" s="498" t="s">
        <v>224</v>
      </c>
      <c r="J108" s="500">
        <v>165176</v>
      </c>
      <c r="K108" s="501">
        <v>118549.93</v>
      </c>
      <c r="L108" s="501"/>
      <c r="M108" s="501"/>
      <c r="N108" s="519"/>
      <c r="O108" s="519"/>
      <c r="P108" s="502"/>
      <c r="Q108" s="502" t="s">
        <v>749</v>
      </c>
      <c r="R108" s="503">
        <v>31084</v>
      </c>
      <c r="S108" s="503">
        <v>31084</v>
      </c>
      <c r="T108" s="503">
        <v>31084</v>
      </c>
      <c r="U108" s="503">
        <f>31084-5786</f>
        <v>25298</v>
      </c>
      <c r="V108" s="503"/>
      <c r="W108" s="503"/>
      <c r="X108" s="503"/>
      <c r="Y108" s="503"/>
      <c r="Z108" s="503"/>
      <c r="AA108" s="503"/>
      <c r="AB108" s="503"/>
      <c r="AC108" s="503"/>
      <c r="AD108" s="503"/>
      <c r="AE108" s="503"/>
      <c r="AF108" s="503"/>
      <c r="AG108" s="503"/>
      <c r="AH108" s="503"/>
      <c r="AI108" s="503"/>
      <c r="AJ108" s="503"/>
      <c r="AK108" s="503"/>
      <c r="AL108" s="503"/>
      <c r="AM108" s="503"/>
      <c r="AN108" s="503"/>
      <c r="AO108" s="503"/>
      <c r="AP108" s="503"/>
      <c r="AQ108" s="503"/>
      <c r="AR108" s="503"/>
      <c r="AS108" s="503"/>
      <c r="AT108" s="504">
        <f t="shared" si="5"/>
        <v>118550</v>
      </c>
      <c r="AU108" s="505">
        <f t="shared" si="6"/>
        <v>0</v>
      </c>
      <c r="AV108" s="506">
        <f t="shared" si="8"/>
        <v>0</v>
      </c>
      <c r="AW108" s="503">
        <f t="shared" si="7"/>
        <v>118550</v>
      </c>
      <c r="AY108" s="507"/>
    </row>
    <row r="109" spans="2:51" s="476" customFormat="1" outlineLevel="1" x14ac:dyDescent="0.25">
      <c r="B109" s="524" t="s">
        <v>227</v>
      </c>
      <c r="C109" s="525"/>
      <c r="D109" s="526" t="s">
        <v>1100</v>
      </c>
      <c r="E109" s="511"/>
      <c r="F109" s="511"/>
      <c r="G109" s="511"/>
      <c r="H109" s="511"/>
      <c r="I109" s="511"/>
      <c r="J109" s="513"/>
      <c r="K109" s="514"/>
      <c r="L109" s="513" t="s">
        <v>1101</v>
      </c>
      <c r="M109" s="513"/>
      <c r="N109" s="515">
        <f>SUM(O109:P109)</f>
        <v>3.1520000000000001</v>
      </c>
      <c r="O109" s="515">
        <v>3.1520000000000001</v>
      </c>
      <c r="P109" s="515">
        <f>$P$4</f>
        <v>0</v>
      </c>
      <c r="Q109" s="515" t="s">
        <v>792</v>
      </c>
      <c r="R109" s="516">
        <f>SUM(R108:$AQ108)*$N109/100</f>
        <v>3736.6960000000004</v>
      </c>
      <c r="S109" s="516">
        <f>SUM(S108:$AQ108)*$N109/100</f>
        <v>2756.92832</v>
      </c>
      <c r="T109" s="516">
        <f>SUM(T108:$AQ108)*$N109/100</f>
        <v>1777.1606400000001</v>
      </c>
      <c r="U109" s="516">
        <f>SUM(U108:$AQ108)*$N109/100</f>
        <v>797.39296000000002</v>
      </c>
      <c r="V109" s="516"/>
      <c r="W109" s="516"/>
      <c r="X109" s="516"/>
      <c r="Y109" s="516"/>
      <c r="Z109" s="516"/>
      <c r="AA109" s="516"/>
      <c r="AB109" s="516"/>
      <c r="AC109" s="516"/>
      <c r="AD109" s="516"/>
      <c r="AE109" s="516"/>
      <c r="AF109" s="516"/>
      <c r="AG109" s="516"/>
      <c r="AH109" s="516"/>
      <c r="AI109" s="516"/>
      <c r="AJ109" s="516"/>
      <c r="AK109" s="516"/>
      <c r="AL109" s="516"/>
      <c r="AM109" s="516"/>
      <c r="AN109" s="516"/>
      <c r="AO109" s="516"/>
      <c r="AP109" s="516"/>
      <c r="AQ109" s="516"/>
      <c r="AR109" s="516"/>
      <c r="AS109" s="516"/>
      <c r="AT109" s="517">
        <f t="shared" si="5"/>
        <v>9068.1779200000001</v>
      </c>
      <c r="AU109" s="505">
        <f t="shared" si="6"/>
        <v>0</v>
      </c>
      <c r="AV109" s="518">
        <f t="shared" si="8"/>
        <v>0</v>
      </c>
      <c r="AW109" s="516">
        <f t="shared" si="7"/>
        <v>9068.1779200000001</v>
      </c>
      <c r="AY109" s="507"/>
    </row>
    <row r="110" spans="2:51" s="484" customFormat="1" outlineLevel="1" x14ac:dyDescent="0.25">
      <c r="B110" s="520" t="s">
        <v>227</v>
      </c>
      <c r="C110" s="521">
        <v>53</v>
      </c>
      <c r="D110" s="522" t="s">
        <v>1102</v>
      </c>
      <c r="E110" s="498" t="s">
        <v>1103</v>
      </c>
      <c r="F110" s="498" t="s">
        <v>1104</v>
      </c>
      <c r="G110" s="527">
        <v>45215</v>
      </c>
      <c r="H110" s="527">
        <v>49572</v>
      </c>
      <c r="I110" s="498" t="s">
        <v>224</v>
      </c>
      <c r="J110" s="500">
        <v>345038</v>
      </c>
      <c r="K110" s="501">
        <v>284822</v>
      </c>
      <c r="L110" s="501"/>
      <c r="M110" s="501"/>
      <c r="N110" s="519"/>
      <c r="O110" s="519"/>
      <c r="P110" s="502"/>
      <c r="Q110" s="502" t="s">
        <v>749</v>
      </c>
      <c r="R110" s="503">
        <f t="shared" ref="R110:Z110" si="9">7527*4</f>
        <v>30108</v>
      </c>
      <c r="S110" s="503">
        <f t="shared" si="9"/>
        <v>30108</v>
      </c>
      <c r="T110" s="503">
        <f t="shared" si="9"/>
        <v>30108</v>
      </c>
      <c r="U110" s="503">
        <f t="shared" si="9"/>
        <v>30108</v>
      </c>
      <c r="V110" s="503">
        <f t="shared" si="9"/>
        <v>30108</v>
      </c>
      <c r="W110" s="503">
        <f t="shared" si="9"/>
        <v>30108</v>
      </c>
      <c r="X110" s="503">
        <f t="shared" si="9"/>
        <v>30108</v>
      </c>
      <c r="Y110" s="503">
        <f t="shared" si="9"/>
        <v>30108</v>
      </c>
      <c r="Z110" s="503">
        <f t="shared" si="9"/>
        <v>30108</v>
      </c>
      <c r="AA110" s="503">
        <f>7527*2+7508-8712</f>
        <v>13850</v>
      </c>
      <c r="AB110" s="503"/>
      <c r="AC110" s="503"/>
      <c r="AD110" s="503"/>
      <c r="AE110" s="503"/>
      <c r="AF110" s="503"/>
      <c r="AG110" s="503"/>
      <c r="AH110" s="503"/>
      <c r="AI110" s="503"/>
      <c r="AJ110" s="503"/>
      <c r="AK110" s="503"/>
      <c r="AL110" s="503"/>
      <c r="AM110" s="503"/>
      <c r="AN110" s="503"/>
      <c r="AO110" s="503"/>
      <c r="AP110" s="503"/>
      <c r="AQ110" s="503"/>
      <c r="AR110" s="503"/>
      <c r="AS110" s="503"/>
      <c r="AT110" s="504">
        <f t="shared" si="5"/>
        <v>284822</v>
      </c>
      <c r="AU110" s="505">
        <f t="shared" si="6"/>
        <v>0</v>
      </c>
      <c r="AV110" s="506">
        <f t="shared" si="8"/>
        <v>74066</v>
      </c>
      <c r="AW110" s="503">
        <f t="shared" si="7"/>
        <v>284822</v>
      </c>
      <c r="AY110" s="507"/>
    </row>
    <row r="111" spans="2:51" s="476" customFormat="1" outlineLevel="1" x14ac:dyDescent="0.25">
      <c r="B111" s="524" t="s">
        <v>227</v>
      </c>
      <c r="C111" s="525"/>
      <c r="D111" s="526" t="s">
        <v>1105</v>
      </c>
      <c r="E111" s="511"/>
      <c r="F111" s="511"/>
      <c r="G111" s="511"/>
      <c r="H111" s="511"/>
      <c r="I111" s="511"/>
      <c r="J111" s="513"/>
      <c r="K111" s="514"/>
      <c r="L111" s="513"/>
      <c r="M111" s="513"/>
      <c r="N111" s="515">
        <f>SUM(O111:P111)</f>
        <v>3.294</v>
      </c>
      <c r="O111" s="515">
        <v>3.294</v>
      </c>
      <c r="P111" s="515"/>
      <c r="Q111" s="515" t="s">
        <v>792</v>
      </c>
      <c r="R111" s="516">
        <f>SUM(R110:$AQ110)*$N111/100</f>
        <v>9382.0366800000011</v>
      </c>
      <c r="S111" s="516">
        <f>SUM(S110:$AQ110)*$N111/100</f>
        <v>8390.27916</v>
      </c>
      <c r="T111" s="516">
        <f>SUM(T110:$AQ110)*$N111/100</f>
        <v>7398.5216399999999</v>
      </c>
      <c r="U111" s="516">
        <f>SUM(U110:$AQ110)*$N111/100</f>
        <v>6406.7641199999998</v>
      </c>
      <c r="V111" s="516">
        <f>SUM(V110:$AQ110)*$N111/100</f>
        <v>5415.0066000000006</v>
      </c>
      <c r="W111" s="516">
        <f>SUM(W110:$AQ110)*$N111/100</f>
        <v>4423.2490799999996</v>
      </c>
      <c r="X111" s="516">
        <f>SUM(X110:$AQ110)*$N111/100</f>
        <v>3431.4915600000004</v>
      </c>
      <c r="Y111" s="516">
        <f>SUM(Y110:$AQ110)*$N111/100</f>
        <v>2439.7340400000003</v>
      </c>
      <c r="Z111" s="516">
        <f>SUM(Z110:$AQ110)*$N111/100</f>
        <v>1447.9765199999999</v>
      </c>
      <c r="AA111" s="516">
        <f>SUM(AA110:$AQ110)*$N111/100</f>
        <v>456.21899999999999</v>
      </c>
      <c r="AB111" s="516"/>
      <c r="AC111" s="516"/>
      <c r="AD111" s="516"/>
      <c r="AE111" s="516"/>
      <c r="AF111" s="516"/>
      <c r="AG111" s="516"/>
      <c r="AH111" s="516"/>
      <c r="AI111" s="516"/>
      <c r="AJ111" s="516"/>
      <c r="AK111" s="516"/>
      <c r="AL111" s="516"/>
      <c r="AM111" s="516"/>
      <c r="AN111" s="516"/>
      <c r="AO111" s="516"/>
      <c r="AP111" s="516"/>
      <c r="AQ111" s="516"/>
      <c r="AR111" s="516"/>
      <c r="AS111" s="516"/>
      <c r="AT111" s="517">
        <f t="shared" si="5"/>
        <v>49191.278400000003</v>
      </c>
      <c r="AU111" s="505">
        <f t="shared" si="6"/>
        <v>0</v>
      </c>
      <c r="AV111" s="518">
        <f t="shared" si="8"/>
        <v>4343.9295600000005</v>
      </c>
      <c r="AW111" s="516">
        <f t="shared" si="7"/>
        <v>49191.27840000001</v>
      </c>
      <c r="AY111" s="507"/>
    </row>
    <row r="112" spans="2:51" s="484" customFormat="1" outlineLevel="1" x14ac:dyDescent="0.25">
      <c r="B112" s="520" t="s">
        <v>227</v>
      </c>
      <c r="C112" s="521">
        <v>54</v>
      </c>
      <c r="D112" s="522" t="s">
        <v>1106</v>
      </c>
      <c r="E112" s="498" t="s">
        <v>1107</v>
      </c>
      <c r="F112" s="498" t="s">
        <v>1108</v>
      </c>
      <c r="G112" s="527">
        <v>45561</v>
      </c>
      <c r="H112" s="527">
        <v>49207</v>
      </c>
      <c r="I112" s="498" t="s">
        <v>224</v>
      </c>
      <c r="J112" s="500">
        <v>729424</v>
      </c>
      <c r="K112" s="501">
        <v>689994</v>
      </c>
      <c r="L112" s="501"/>
      <c r="M112" s="501"/>
      <c r="N112" s="519"/>
      <c r="O112" s="519"/>
      <c r="P112" s="502"/>
      <c r="Q112" s="502" t="s">
        <v>749</v>
      </c>
      <c r="R112" s="503">
        <f>19715*4</f>
        <v>78860</v>
      </c>
      <c r="S112" s="503">
        <f t="shared" ref="S112:Y112" si="10">19715*4</f>
        <v>78860</v>
      </c>
      <c r="T112" s="503">
        <f t="shared" si="10"/>
        <v>78860</v>
      </c>
      <c r="U112" s="503">
        <f t="shared" si="10"/>
        <v>78860</v>
      </c>
      <c r="V112" s="503">
        <f t="shared" si="10"/>
        <v>78860</v>
      </c>
      <c r="W112" s="503">
        <f t="shared" si="10"/>
        <v>78860</v>
      </c>
      <c r="X112" s="503">
        <f t="shared" si="10"/>
        <v>78860</v>
      </c>
      <c r="Y112" s="503">
        <f t="shared" si="10"/>
        <v>78860</v>
      </c>
      <c r="Z112" s="503">
        <v>59114</v>
      </c>
      <c r="AA112" s="503"/>
      <c r="AB112" s="503"/>
      <c r="AC112" s="503"/>
      <c r="AD112" s="503"/>
      <c r="AE112" s="503"/>
      <c r="AF112" s="503"/>
      <c r="AG112" s="503"/>
      <c r="AH112" s="503"/>
      <c r="AI112" s="503"/>
      <c r="AJ112" s="503"/>
      <c r="AK112" s="503"/>
      <c r="AL112" s="503"/>
      <c r="AM112" s="503"/>
      <c r="AN112" s="503"/>
      <c r="AO112" s="503"/>
      <c r="AP112" s="503"/>
      <c r="AQ112" s="503"/>
      <c r="AR112" s="503"/>
      <c r="AS112" s="503"/>
      <c r="AT112" s="504">
        <f t="shared" si="5"/>
        <v>689994</v>
      </c>
      <c r="AU112" s="505">
        <f t="shared" si="6"/>
        <v>0</v>
      </c>
      <c r="AV112" s="506">
        <f t="shared" si="8"/>
        <v>137974</v>
      </c>
      <c r="AW112" s="503">
        <f t="shared" si="7"/>
        <v>689994</v>
      </c>
      <c r="AY112" s="507"/>
    </row>
    <row r="113" spans="2:51" s="476" customFormat="1" ht="14.25" customHeight="1" outlineLevel="1" x14ac:dyDescent="0.25">
      <c r="B113" s="524" t="s">
        <v>227</v>
      </c>
      <c r="C113" s="525"/>
      <c r="D113" s="526" t="s">
        <v>1109</v>
      </c>
      <c r="E113" s="511"/>
      <c r="F113" s="511"/>
      <c r="G113" s="511"/>
      <c r="H113" s="511"/>
      <c r="I113" s="511"/>
      <c r="J113" s="513"/>
      <c r="K113" s="514"/>
      <c r="L113" s="513" t="s">
        <v>1110</v>
      </c>
      <c r="M113" s="513"/>
      <c r="N113" s="515">
        <f>SUM(O113:P113)</f>
        <v>3.379</v>
      </c>
      <c r="O113" s="515">
        <v>3.379</v>
      </c>
      <c r="P113" s="515">
        <f>$P$4</f>
        <v>0</v>
      </c>
      <c r="Q113" s="515" t="s">
        <v>792</v>
      </c>
      <c r="R113" s="516">
        <f>SUM(R112:$AQ112)*$N113/100</f>
        <v>23314.897259999998</v>
      </c>
      <c r="S113" s="516">
        <f>SUM(S112:$AQ112)*$N113/100</f>
        <v>20650.217860000001</v>
      </c>
      <c r="T113" s="516">
        <f>SUM(T112:$AQ112)*$N113/100</f>
        <v>17985.53846</v>
      </c>
      <c r="U113" s="516">
        <f>SUM(U112:$AQ112)*$N113/100</f>
        <v>15320.859059999999</v>
      </c>
      <c r="V113" s="516">
        <f>SUM(V112:$AQ112)*$N113/100</f>
        <v>12656.17966</v>
      </c>
      <c r="W113" s="516">
        <f>SUM(W112:$AQ112)*$N113/100</f>
        <v>9991.5002599999989</v>
      </c>
      <c r="X113" s="516">
        <f>SUM(X112:$AQ112)*$N113/100</f>
        <v>7326.8208599999998</v>
      </c>
      <c r="Y113" s="516">
        <f>SUM(Y112:$AQ112)*$N113/100</f>
        <v>4662.1414599999998</v>
      </c>
      <c r="Z113" s="516">
        <f>SUM(Z112:$AQ112)*$N113/100</f>
        <v>1997.4620600000001</v>
      </c>
      <c r="AA113" s="516"/>
      <c r="AB113" s="516"/>
      <c r="AC113" s="516"/>
      <c r="AD113" s="516"/>
      <c r="AE113" s="516"/>
      <c r="AF113" s="516"/>
      <c r="AG113" s="516"/>
      <c r="AH113" s="516"/>
      <c r="AI113" s="516"/>
      <c r="AJ113" s="516"/>
      <c r="AK113" s="516"/>
      <c r="AL113" s="516"/>
      <c r="AM113" s="516"/>
      <c r="AN113" s="516"/>
      <c r="AO113" s="516"/>
      <c r="AP113" s="516"/>
      <c r="AQ113" s="516"/>
      <c r="AR113" s="516"/>
      <c r="AS113" s="516"/>
      <c r="AT113" s="517">
        <f t="shared" si="5"/>
        <v>113905.61694000001</v>
      </c>
      <c r="AU113" s="505">
        <f t="shared" si="6"/>
        <v>0</v>
      </c>
      <c r="AV113" s="518">
        <f t="shared" si="8"/>
        <v>6659.6035199999997</v>
      </c>
      <c r="AW113" s="516">
        <f t="shared" si="7"/>
        <v>113905.61694000001</v>
      </c>
      <c r="AY113" s="507"/>
    </row>
    <row r="114" spans="2:51" s="476" customFormat="1" outlineLevel="1" x14ac:dyDescent="0.25">
      <c r="B114" s="520" t="s">
        <v>227</v>
      </c>
      <c r="C114" s="521">
        <v>55</v>
      </c>
      <c r="D114" s="522" t="s">
        <v>452</v>
      </c>
      <c r="E114" s="498" t="s">
        <v>1111</v>
      </c>
      <c r="F114" s="498" t="s">
        <v>1112</v>
      </c>
      <c r="G114" s="527">
        <v>45616</v>
      </c>
      <c r="H114" s="527">
        <v>47411</v>
      </c>
      <c r="I114" s="498" t="s">
        <v>224</v>
      </c>
      <c r="J114" s="500">
        <v>123379.93</v>
      </c>
      <c r="K114" s="501">
        <v>59450.57</v>
      </c>
      <c r="L114" s="500"/>
      <c r="M114" s="500"/>
      <c r="N114" s="528"/>
      <c r="O114" s="528"/>
      <c r="P114" s="529"/>
      <c r="Q114" s="502" t="s">
        <v>749</v>
      </c>
      <c r="R114" s="503">
        <f>6494*4</f>
        <v>25976</v>
      </c>
      <c r="S114" s="503">
        <f>6494*4</f>
        <v>25976</v>
      </c>
      <c r="T114" s="503">
        <f>6494*4-18477</f>
        <v>7499</v>
      </c>
      <c r="U114" s="503">
        <v>0</v>
      </c>
      <c r="V114" s="503">
        <v>0</v>
      </c>
      <c r="W114" s="503">
        <v>0</v>
      </c>
      <c r="X114" s="503">
        <v>0</v>
      </c>
      <c r="Y114" s="503"/>
      <c r="Z114" s="503"/>
      <c r="AA114" s="503"/>
      <c r="AB114" s="503"/>
      <c r="AC114" s="503"/>
      <c r="AD114" s="503"/>
      <c r="AE114" s="503"/>
      <c r="AF114" s="503"/>
      <c r="AG114" s="503"/>
      <c r="AH114" s="503"/>
      <c r="AI114" s="503"/>
      <c r="AJ114" s="503"/>
      <c r="AK114" s="503"/>
      <c r="AL114" s="503"/>
      <c r="AM114" s="503"/>
      <c r="AN114" s="503"/>
      <c r="AO114" s="503"/>
      <c r="AP114" s="503"/>
      <c r="AQ114" s="503"/>
      <c r="AR114" s="503"/>
      <c r="AS114" s="503"/>
      <c r="AT114" s="503">
        <f t="shared" si="5"/>
        <v>59451</v>
      </c>
      <c r="AU114" s="523">
        <f t="shared" si="6"/>
        <v>0</v>
      </c>
      <c r="AV114" s="506">
        <f t="shared" si="8"/>
        <v>0</v>
      </c>
      <c r="AW114" s="503">
        <f t="shared" si="7"/>
        <v>59451</v>
      </c>
      <c r="AY114" s="507"/>
    </row>
    <row r="115" spans="2:51" s="476" customFormat="1" outlineLevel="1" x14ac:dyDescent="0.25">
      <c r="B115" s="524" t="s">
        <v>227</v>
      </c>
      <c r="C115" s="530"/>
      <c r="D115" s="526"/>
      <c r="E115" s="511"/>
      <c r="F115" s="511"/>
      <c r="G115" s="511"/>
      <c r="H115" s="511"/>
      <c r="I115" s="511"/>
      <c r="J115" s="513"/>
      <c r="K115" s="514"/>
      <c r="L115" s="513" t="s">
        <v>1113</v>
      </c>
      <c r="M115" s="513"/>
      <c r="N115" s="515">
        <f>SUM(O115:P115)</f>
        <v>3.177</v>
      </c>
      <c r="O115" s="515">
        <v>3.177</v>
      </c>
      <c r="P115" s="515">
        <f>$P$4</f>
        <v>0</v>
      </c>
      <c r="Q115" s="515" t="s">
        <v>792</v>
      </c>
      <c r="R115" s="516">
        <f>SUM(R114:$AQ114)*$N115/100</f>
        <v>1888.7582699999998</v>
      </c>
      <c r="S115" s="516">
        <f>SUM(S114:$AQ114)*$N115/100</f>
        <v>1063.5007499999999</v>
      </c>
      <c r="T115" s="516">
        <f>SUM(T114:$AQ114)*$N115/100</f>
        <v>238.24323000000001</v>
      </c>
      <c r="U115" s="516">
        <v>0</v>
      </c>
      <c r="V115" s="516">
        <v>0</v>
      </c>
      <c r="W115" s="516">
        <v>0</v>
      </c>
      <c r="X115" s="516">
        <v>0</v>
      </c>
      <c r="Y115" s="516"/>
      <c r="Z115" s="516"/>
      <c r="AA115" s="516"/>
      <c r="AB115" s="516"/>
      <c r="AC115" s="516"/>
      <c r="AD115" s="516"/>
      <c r="AE115" s="516"/>
      <c r="AF115" s="516"/>
      <c r="AG115" s="516"/>
      <c r="AH115" s="516"/>
      <c r="AI115" s="516"/>
      <c r="AJ115" s="516"/>
      <c r="AK115" s="516"/>
      <c r="AL115" s="516"/>
      <c r="AM115" s="516"/>
      <c r="AN115" s="516"/>
      <c r="AO115" s="516"/>
      <c r="AP115" s="516"/>
      <c r="AQ115" s="516"/>
      <c r="AR115" s="516"/>
      <c r="AS115" s="516"/>
      <c r="AT115" s="516">
        <f t="shared" si="5"/>
        <v>3190.5022499999995</v>
      </c>
      <c r="AU115" s="523">
        <f t="shared" si="6"/>
        <v>0</v>
      </c>
      <c r="AV115" s="518">
        <f t="shared" si="8"/>
        <v>0</v>
      </c>
      <c r="AW115" s="516">
        <f t="shared" si="7"/>
        <v>3190.5022499999995</v>
      </c>
      <c r="AY115" s="507"/>
    </row>
    <row r="116" spans="2:51" s="543" customFormat="1" x14ac:dyDescent="0.25">
      <c r="B116" s="531" t="s">
        <v>316</v>
      </c>
      <c r="C116" s="532">
        <v>56</v>
      </c>
      <c r="D116" s="533" t="s">
        <v>1114</v>
      </c>
      <c r="E116" s="534" t="s">
        <v>1115</v>
      </c>
      <c r="F116" s="534" t="s">
        <v>1116</v>
      </c>
      <c r="G116" s="535">
        <v>45915</v>
      </c>
      <c r="H116" s="535">
        <v>47715</v>
      </c>
      <c r="I116" s="534" t="s">
        <v>224</v>
      </c>
      <c r="J116" s="536">
        <v>223584</v>
      </c>
      <c r="K116" s="537"/>
      <c r="L116" s="536"/>
      <c r="M116" s="536"/>
      <c r="N116" s="528"/>
      <c r="O116" s="528"/>
      <c r="P116" s="538"/>
      <c r="Q116" s="539" t="s">
        <v>749</v>
      </c>
      <c r="R116" s="540">
        <f>13152*2</f>
        <v>26304</v>
      </c>
      <c r="S116" s="540">
        <f>13152*4</f>
        <v>52608</v>
      </c>
      <c r="T116" s="540">
        <f t="shared" ref="T116:U116" si="11">13152*4</f>
        <v>52608</v>
      </c>
      <c r="U116" s="540">
        <f t="shared" si="11"/>
        <v>52608</v>
      </c>
      <c r="V116" s="540">
        <f>13152*3</f>
        <v>39456</v>
      </c>
      <c r="W116" s="541">
        <v>0</v>
      </c>
      <c r="X116" s="541">
        <v>0</v>
      </c>
      <c r="Y116" s="540"/>
      <c r="Z116" s="540"/>
      <c r="AA116" s="540"/>
      <c r="AB116" s="540"/>
      <c r="AC116" s="540"/>
      <c r="AD116" s="540"/>
      <c r="AE116" s="540"/>
      <c r="AF116" s="540"/>
      <c r="AG116" s="540"/>
      <c r="AH116" s="540"/>
      <c r="AI116" s="540"/>
      <c r="AJ116" s="540"/>
      <c r="AK116" s="540"/>
      <c r="AL116" s="540"/>
      <c r="AM116" s="540"/>
      <c r="AN116" s="540"/>
      <c r="AO116" s="540"/>
      <c r="AP116" s="540"/>
      <c r="AQ116" s="540"/>
      <c r="AR116" s="540"/>
      <c r="AS116" s="540"/>
      <c r="AT116" s="540">
        <f t="shared" si="5"/>
        <v>223584</v>
      </c>
      <c r="AU116" s="542">
        <f t="shared" si="6"/>
        <v>0</v>
      </c>
      <c r="AV116" s="541">
        <f t="shared" si="8"/>
        <v>0</v>
      </c>
      <c r="AW116" s="540">
        <f t="shared" si="7"/>
        <v>223584</v>
      </c>
      <c r="AY116" s="544"/>
    </row>
    <row r="117" spans="2:51" s="543" customFormat="1" x14ac:dyDescent="0.25">
      <c r="B117" s="545" t="s">
        <v>316</v>
      </c>
      <c r="C117" s="546"/>
      <c r="D117" s="547" t="s">
        <v>1117</v>
      </c>
      <c r="E117" s="548"/>
      <c r="F117" s="548"/>
      <c r="G117" s="548"/>
      <c r="H117" s="548"/>
      <c r="I117" s="548"/>
      <c r="J117" s="549"/>
      <c r="K117" s="514"/>
      <c r="L117" s="549"/>
      <c r="M117" s="549"/>
      <c r="N117" s="515">
        <f>SUM(O117:P117)</f>
        <v>2.8180000000000001</v>
      </c>
      <c r="O117" s="515">
        <v>2.8180000000000001</v>
      </c>
      <c r="P117" s="550">
        <f>$P$4</f>
        <v>0</v>
      </c>
      <c r="Q117" s="550" t="s">
        <v>792</v>
      </c>
      <c r="R117" s="551">
        <f>SUM(R116:$AQ116)*$N117/100</f>
        <v>6300.5971200000004</v>
      </c>
      <c r="S117" s="551">
        <f>SUM(S116:$AQ116)*$N117/100</f>
        <v>5559.3504000000003</v>
      </c>
      <c r="T117" s="551">
        <f>SUM(T116:$AQ116)*$N117/100</f>
        <v>4076.8569600000001</v>
      </c>
      <c r="U117" s="551">
        <f>SUM(U116:$AQ116)*$N117/100</f>
        <v>2594.3635200000003</v>
      </c>
      <c r="V117" s="551">
        <f>SUM(V116:$AQ116)*$N117/100</f>
        <v>1111.8700799999999</v>
      </c>
      <c r="W117" s="552">
        <v>0</v>
      </c>
      <c r="X117" s="552">
        <v>0</v>
      </c>
      <c r="Y117" s="551"/>
      <c r="Z117" s="551"/>
      <c r="AA117" s="551"/>
      <c r="AB117" s="551"/>
      <c r="AC117" s="551"/>
      <c r="AD117" s="551"/>
      <c r="AE117" s="551"/>
      <c r="AF117" s="551"/>
      <c r="AG117" s="551"/>
      <c r="AH117" s="551"/>
      <c r="AI117" s="551"/>
      <c r="AJ117" s="551"/>
      <c r="AK117" s="551"/>
      <c r="AL117" s="551"/>
      <c r="AM117" s="551"/>
      <c r="AN117" s="551"/>
      <c r="AO117" s="551"/>
      <c r="AP117" s="551"/>
      <c r="AQ117" s="551"/>
      <c r="AR117" s="551"/>
      <c r="AS117" s="551"/>
      <c r="AT117" s="551">
        <f t="shared" si="5"/>
        <v>19643.038080000002</v>
      </c>
      <c r="AU117" s="542">
        <f t="shared" si="6"/>
        <v>0</v>
      </c>
      <c r="AV117" s="552">
        <f t="shared" si="8"/>
        <v>0</v>
      </c>
      <c r="AW117" s="551">
        <f t="shared" si="7"/>
        <v>19643.038080000002</v>
      </c>
      <c r="AY117" s="544"/>
    </row>
    <row r="118" spans="2:51" s="543" customFormat="1" x14ac:dyDescent="0.25">
      <c r="B118" s="531" t="s">
        <v>316</v>
      </c>
      <c r="C118" s="532">
        <v>57</v>
      </c>
      <c r="D118" s="533" t="s">
        <v>1118</v>
      </c>
      <c r="E118" s="534" t="s">
        <v>1119</v>
      </c>
      <c r="F118" s="534" t="s">
        <v>1120</v>
      </c>
      <c r="G118" s="535">
        <v>45922</v>
      </c>
      <c r="H118" s="535">
        <v>51399</v>
      </c>
      <c r="I118" s="534" t="s">
        <v>224</v>
      </c>
      <c r="J118" s="536">
        <v>2691272</v>
      </c>
      <c r="K118" s="537"/>
      <c r="L118" s="536"/>
      <c r="M118" s="536"/>
      <c r="N118" s="528"/>
      <c r="O118" s="528"/>
      <c r="P118" s="538"/>
      <c r="Q118" s="539" t="s">
        <v>749</v>
      </c>
      <c r="R118" s="540">
        <v>390462</v>
      </c>
      <c r="S118" s="540"/>
      <c r="T118" s="540">
        <f>52771*4</f>
        <v>211084</v>
      </c>
      <c r="U118" s="540">
        <f t="shared" ref="U118:AC118" si="12">52771*4</f>
        <v>211084</v>
      </c>
      <c r="V118" s="540">
        <f t="shared" si="12"/>
        <v>211084</v>
      </c>
      <c r="W118" s="540">
        <f t="shared" si="12"/>
        <v>211084</v>
      </c>
      <c r="X118" s="540">
        <f t="shared" si="12"/>
        <v>211084</v>
      </c>
      <c r="Y118" s="540">
        <f t="shared" si="12"/>
        <v>211084</v>
      </c>
      <c r="Z118" s="540">
        <f t="shared" si="12"/>
        <v>211084</v>
      </c>
      <c r="AA118" s="540">
        <f t="shared" si="12"/>
        <v>211084</v>
      </c>
      <c r="AB118" s="540">
        <f t="shared" si="12"/>
        <v>211084</v>
      </c>
      <c r="AC118" s="540">
        <f t="shared" si="12"/>
        <v>211084</v>
      </c>
      <c r="AD118" s="540">
        <f>52771*4-21114</f>
        <v>189970</v>
      </c>
      <c r="AE118" s="540">
        <f>52771*4-211084</f>
        <v>0</v>
      </c>
      <c r="AF118" s="540">
        <f>52771*3-158313</f>
        <v>0</v>
      </c>
      <c r="AG118" s="540"/>
      <c r="AH118" s="540"/>
      <c r="AI118" s="540"/>
      <c r="AJ118" s="540"/>
      <c r="AK118" s="540"/>
      <c r="AL118" s="540"/>
      <c r="AM118" s="540"/>
      <c r="AN118" s="540"/>
      <c r="AO118" s="540"/>
      <c r="AP118" s="540"/>
      <c r="AQ118" s="540"/>
      <c r="AR118" s="540"/>
      <c r="AS118" s="540"/>
      <c r="AT118" s="540">
        <f t="shared" si="5"/>
        <v>2691272</v>
      </c>
      <c r="AU118" s="542">
        <f t="shared" si="6"/>
        <v>0</v>
      </c>
      <c r="AV118" s="541">
        <f t="shared" si="8"/>
        <v>1245390</v>
      </c>
      <c r="AW118" s="540">
        <f t="shared" si="7"/>
        <v>2691272</v>
      </c>
      <c r="AX118" s="553"/>
      <c r="AY118" s="544"/>
    </row>
    <row r="119" spans="2:51" s="543" customFormat="1" x14ac:dyDescent="0.25">
      <c r="B119" s="545" t="s">
        <v>316</v>
      </c>
      <c r="C119" s="546"/>
      <c r="D119" s="547" t="s">
        <v>1121</v>
      </c>
      <c r="E119" s="548"/>
      <c r="F119" s="548"/>
      <c r="G119" s="548"/>
      <c r="H119" s="548"/>
      <c r="I119" s="548"/>
      <c r="J119" s="548"/>
      <c r="K119" s="514"/>
      <c r="L119" s="549"/>
      <c r="M119" s="549"/>
      <c r="N119" s="515">
        <f>SUM(O119:P119)</f>
        <v>3.282</v>
      </c>
      <c r="O119" s="515">
        <v>3.282</v>
      </c>
      <c r="P119" s="550">
        <f>$P$4</f>
        <v>0</v>
      </c>
      <c r="Q119" s="550" t="s">
        <v>792</v>
      </c>
      <c r="R119" s="551">
        <f>SUM(R118:$AQ118)*$N119/100/4</f>
        <v>22081.886760000001</v>
      </c>
      <c r="S119" s="551">
        <f>SUM(S118:$AQ118)*$N119/100</f>
        <v>75512.584199999998</v>
      </c>
      <c r="T119" s="551">
        <f>SUM(T118:$AQ118)*$N119/100-5000</f>
        <v>70512.584199999998</v>
      </c>
      <c r="U119" s="551">
        <f>SUM(U118:$AQ118)*$N119/100</f>
        <v>68584.807319999993</v>
      </c>
      <c r="V119" s="551">
        <f>SUM(V118:$AQ118)*$N119/100</f>
        <v>61657.030439999995</v>
      </c>
      <c r="W119" s="551">
        <f>SUM(W118:$AQ118)*$N119/100</f>
        <v>54729.253559999997</v>
      </c>
      <c r="X119" s="551">
        <f>SUM(X118:$AQ118)*$N119/100</f>
        <v>47801.476679999992</v>
      </c>
      <c r="Y119" s="551">
        <f>SUM(Y118:$AQ118)*$N119/100</f>
        <v>40873.699800000002</v>
      </c>
      <c r="Z119" s="551">
        <f>SUM(Z118:$AQ118)*$N119/100</f>
        <v>33945.922919999997</v>
      </c>
      <c r="AA119" s="551">
        <f>SUM(AA118:$AQ118)*$N119/100</f>
        <v>27018.14604</v>
      </c>
      <c r="AB119" s="551">
        <f>SUM(AB118:$AQ118)*$N119/100</f>
        <v>20090.369159999998</v>
      </c>
      <c r="AC119" s="551">
        <f>SUM(AC118:$AQ118)*$N119/100</f>
        <v>13162.592280000001</v>
      </c>
      <c r="AD119" s="551">
        <f>SUM(AD118:$AQ118)*$N119/100</f>
        <v>6234.8154000000004</v>
      </c>
      <c r="AE119" s="551">
        <f>SUM(AE118:$AQ118)*$N119/100</f>
        <v>0</v>
      </c>
      <c r="AF119" s="551">
        <f>SUM(AF118:$AQ118)*$N119/100</f>
        <v>0</v>
      </c>
      <c r="AG119" s="551">
        <f>SUM(AG118:$AQ118)*$N119/100</f>
        <v>0</v>
      </c>
      <c r="AH119" s="551"/>
      <c r="AI119" s="551"/>
      <c r="AJ119" s="551"/>
      <c r="AK119" s="551"/>
      <c r="AL119" s="551"/>
      <c r="AM119" s="551"/>
      <c r="AN119" s="551"/>
      <c r="AO119" s="551"/>
      <c r="AP119" s="551"/>
      <c r="AQ119" s="551"/>
      <c r="AR119" s="551"/>
      <c r="AS119" s="551"/>
      <c r="AT119" s="551">
        <f t="shared" si="5"/>
        <v>542205.16875999991</v>
      </c>
      <c r="AU119" s="542">
        <f t="shared" si="6"/>
        <v>0</v>
      </c>
      <c r="AV119" s="552">
        <f t="shared" si="8"/>
        <v>141325.54560000001</v>
      </c>
      <c r="AW119" s="551">
        <f t="shared" si="7"/>
        <v>542205.16876000003</v>
      </c>
      <c r="AY119" s="544"/>
    </row>
    <row r="120" spans="2:51" s="543" customFormat="1" x14ac:dyDescent="0.25">
      <c r="B120" s="531" t="s">
        <v>227</v>
      </c>
      <c r="C120" s="532">
        <v>58</v>
      </c>
      <c r="D120" s="533" t="s">
        <v>530</v>
      </c>
      <c r="E120" s="534" t="s">
        <v>1122</v>
      </c>
      <c r="F120" s="534" t="s">
        <v>1123</v>
      </c>
      <c r="G120" s="535">
        <v>45992</v>
      </c>
      <c r="H120" s="535">
        <v>49633</v>
      </c>
      <c r="I120" s="534" t="s">
        <v>224</v>
      </c>
      <c r="J120" s="536">
        <v>231105</v>
      </c>
      <c r="K120" s="537"/>
      <c r="L120" s="536"/>
      <c r="M120" s="536"/>
      <c r="N120" s="538"/>
      <c r="O120" s="538"/>
      <c r="P120" s="538"/>
      <c r="Q120" s="539" t="s">
        <v>749</v>
      </c>
      <c r="R120" s="540">
        <f>6082*2</f>
        <v>12164</v>
      </c>
      <c r="S120" s="540">
        <f>6082*4</f>
        <v>24328</v>
      </c>
      <c r="T120" s="540">
        <f t="shared" ref="T120:Z120" si="13">6082*4</f>
        <v>24328</v>
      </c>
      <c r="U120" s="540">
        <f t="shared" si="13"/>
        <v>24328</v>
      </c>
      <c r="V120" s="540">
        <f t="shared" si="13"/>
        <v>24328</v>
      </c>
      <c r="W120" s="540">
        <f t="shared" si="13"/>
        <v>24328</v>
      </c>
      <c r="X120" s="540">
        <f t="shared" si="13"/>
        <v>24328</v>
      </c>
      <c r="Y120" s="540">
        <f t="shared" si="13"/>
        <v>24328</v>
      </c>
      <c r="Z120" s="540">
        <f t="shared" si="13"/>
        <v>24328</v>
      </c>
      <c r="AA120" s="540">
        <f>6082*3+6071</f>
        <v>24317</v>
      </c>
      <c r="AB120" s="540"/>
      <c r="AC120" s="540"/>
      <c r="AD120" s="540"/>
      <c r="AE120" s="540"/>
      <c r="AF120" s="540"/>
      <c r="AG120" s="540"/>
      <c r="AH120" s="540"/>
      <c r="AI120" s="540"/>
      <c r="AJ120" s="540"/>
      <c r="AK120" s="540"/>
      <c r="AL120" s="540"/>
      <c r="AM120" s="540"/>
      <c r="AN120" s="540"/>
      <c r="AO120" s="540"/>
      <c r="AP120" s="540"/>
      <c r="AQ120" s="540"/>
      <c r="AR120" s="540"/>
      <c r="AS120" s="540"/>
      <c r="AT120" s="540">
        <f>SUM(R120:AS120)</f>
        <v>231105</v>
      </c>
      <c r="AU120" s="542"/>
      <c r="AV120" s="541">
        <f>SUM(Y120:AS120)</f>
        <v>72973</v>
      </c>
      <c r="AW120" s="540">
        <f>SUM(R120:X120,AV120)</f>
        <v>231105</v>
      </c>
      <c r="AX120" s="553"/>
      <c r="AY120" s="544"/>
    </row>
    <row r="121" spans="2:51" s="543" customFormat="1" x14ac:dyDescent="0.25">
      <c r="B121" s="545" t="s">
        <v>227</v>
      </c>
      <c r="C121" s="546"/>
      <c r="D121" s="547"/>
      <c r="E121" s="548"/>
      <c r="F121" s="548"/>
      <c r="G121" s="548"/>
      <c r="H121" s="548"/>
      <c r="I121" s="548"/>
      <c r="J121" s="548"/>
      <c r="K121" s="514"/>
      <c r="L121" s="549"/>
      <c r="M121" s="549"/>
      <c r="N121" s="550">
        <f>SUM(O121:P121)</f>
        <v>3.0670000000000002</v>
      </c>
      <c r="O121" s="550">
        <v>3.0670000000000002</v>
      </c>
      <c r="P121" s="550">
        <f>$P$4</f>
        <v>0</v>
      </c>
      <c r="Q121" s="550" t="s">
        <v>792</v>
      </c>
      <c r="R121" s="551">
        <f>SUM(R120:$AQ120)*$N121/100</f>
        <v>7087.99035</v>
      </c>
      <c r="S121" s="551">
        <f>SUM(S120:$AQ120)*$N121/100</f>
        <v>6714.92047</v>
      </c>
      <c r="T121" s="551">
        <f>SUM(T120:$AQ120)*$N121/100</f>
        <v>5968.78071</v>
      </c>
      <c r="U121" s="551">
        <f>SUM(U120:$AQ120)*$N121/100</f>
        <v>5222.64095</v>
      </c>
      <c r="V121" s="551">
        <f>SUM(V120:$AQ120)*$N121/100</f>
        <v>4476.50119</v>
      </c>
      <c r="W121" s="551">
        <f>SUM(W120:$AQ120)*$N121/100</f>
        <v>3730.3614300000004</v>
      </c>
      <c r="X121" s="551">
        <f>SUM(X120:$AQ120)*$N121/100</f>
        <v>2984.2216700000004</v>
      </c>
      <c r="Y121" s="551">
        <f>SUM(Y120:$AQ120)*$N121/100</f>
        <v>2238.0819100000003</v>
      </c>
      <c r="Z121" s="551">
        <f>SUM(Z120:$AQ120)*$N121/100</f>
        <v>1491.9421499999999</v>
      </c>
      <c r="AA121" s="551">
        <f>SUM(AA120:$AQ120)*$N121/100</f>
        <v>745.80239000000006</v>
      </c>
      <c r="AB121" s="551"/>
      <c r="AC121" s="551"/>
      <c r="AD121" s="551"/>
      <c r="AE121" s="551"/>
      <c r="AF121" s="551"/>
      <c r="AG121" s="551"/>
      <c r="AH121" s="551"/>
      <c r="AI121" s="551"/>
      <c r="AJ121" s="551"/>
      <c r="AK121" s="551"/>
      <c r="AL121" s="551"/>
      <c r="AM121" s="551"/>
      <c r="AN121" s="551"/>
      <c r="AO121" s="551"/>
      <c r="AP121" s="551"/>
      <c r="AQ121" s="551"/>
      <c r="AR121" s="551"/>
      <c r="AS121" s="551"/>
      <c r="AT121" s="551">
        <f>SUM(R121:AS121)</f>
        <v>40661.243219999997</v>
      </c>
      <c r="AU121" s="542"/>
      <c r="AV121" s="552">
        <f>SUM(Y121:AS121)</f>
        <v>4475.8264500000005</v>
      </c>
      <c r="AW121" s="551">
        <f>SUM(R121:X121,AV121)</f>
        <v>40661.243219999997</v>
      </c>
      <c r="AY121" s="544"/>
    </row>
    <row r="122" spans="2:51" s="543" customFormat="1" x14ac:dyDescent="0.25">
      <c r="B122" s="531" t="s">
        <v>316</v>
      </c>
      <c r="C122" s="532">
        <v>59</v>
      </c>
      <c r="D122" s="533" t="s">
        <v>1124</v>
      </c>
      <c r="E122" s="534" t="s">
        <v>1125</v>
      </c>
      <c r="F122" s="534" t="s">
        <v>1126</v>
      </c>
      <c r="G122" s="535">
        <v>46006</v>
      </c>
      <c r="H122" s="535">
        <v>50729</v>
      </c>
      <c r="I122" s="534" t="s">
        <v>224</v>
      </c>
      <c r="J122" s="536">
        <v>512760</v>
      </c>
      <c r="K122" s="537"/>
      <c r="L122" s="536"/>
      <c r="M122" s="536"/>
      <c r="N122" s="538"/>
      <c r="O122" s="538"/>
      <c r="P122" s="538"/>
      <c r="Q122" s="539" t="s">
        <v>749</v>
      </c>
      <c r="R122" s="540">
        <f>10256*2</f>
        <v>20512</v>
      </c>
      <c r="S122" s="540">
        <f>10256*4</f>
        <v>41024</v>
      </c>
      <c r="T122" s="540">
        <f t="shared" ref="T122:AC122" si="14">10256*4</f>
        <v>41024</v>
      </c>
      <c r="U122" s="540">
        <f t="shared" si="14"/>
        <v>41024</v>
      </c>
      <c r="V122" s="540">
        <f t="shared" si="14"/>
        <v>41024</v>
      </c>
      <c r="W122" s="540">
        <f t="shared" si="14"/>
        <v>41024</v>
      </c>
      <c r="X122" s="540">
        <f t="shared" si="14"/>
        <v>41024</v>
      </c>
      <c r="Y122" s="540">
        <f t="shared" si="14"/>
        <v>41024</v>
      </c>
      <c r="Z122" s="540">
        <f t="shared" si="14"/>
        <v>41024</v>
      </c>
      <c r="AA122" s="540">
        <f t="shared" si="14"/>
        <v>41024</v>
      </c>
      <c r="AB122" s="540">
        <f t="shared" si="14"/>
        <v>41024</v>
      </c>
      <c r="AC122" s="540">
        <f t="shared" si="14"/>
        <v>41024</v>
      </c>
      <c r="AD122" s="540">
        <v>40984</v>
      </c>
      <c r="AE122" s="540"/>
      <c r="AF122" s="540"/>
      <c r="AG122" s="540"/>
      <c r="AH122" s="540"/>
      <c r="AI122" s="540"/>
      <c r="AJ122" s="540"/>
      <c r="AK122" s="540"/>
      <c r="AL122" s="540"/>
      <c r="AM122" s="540"/>
      <c r="AN122" s="540"/>
      <c r="AO122" s="540"/>
      <c r="AP122" s="540"/>
      <c r="AQ122" s="540"/>
      <c r="AR122" s="540"/>
      <c r="AS122" s="540"/>
      <c r="AT122" s="540">
        <f>SUM(R122:AS122)</f>
        <v>512760</v>
      </c>
      <c r="AU122" s="542">
        <f>AT122-SUM(R122:AS122)</f>
        <v>0</v>
      </c>
      <c r="AV122" s="541">
        <f>SUM(Y122:AS122)</f>
        <v>246104</v>
      </c>
      <c r="AW122" s="540">
        <f>SUM(R122:X122,AV122)</f>
        <v>512760</v>
      </c>
      <c r="AX122" s="553"/>
      <c r="AY122" s="544"/>
    </row>
    <row r="123" spans="2:51" s="543" customFormat="1" x14ac:dyDescent="0.25">
      <c r="B123" s="545" t="s">
        <v>316</v>
      </c>
      <c r="C123" s="546"/>
      <c r="D123" s="547"/>
      <c r="E123" s="548"/>
      <c r="F123" s="548"/>
      <c r="G123" s="548"/>
      <c r="H123" s="548"/>
      <c r="I123" s="548"/>
      <c r="J123" s="548"/>
      <c r="K123" s="514"/>
      <c r="L123" s="549"/>
      <c r="M123" s="549"/>
      <c r="N123" s="550">
        <f>SUM(O123:P123)</f>
        <v>3.2869999999999999</v>
      </c>
      <c r="O123" s="550">
        <v>3.2869999999999999</v>
      </c>
      <c r="P123" s="550">
        <f>$P$4</f>
        <v>0</v>
      </c>
      <c r="Q123" s="550" t="s">
        <v>792</v>
      </c>
      <c r="R123" s="551">
        <f>SUM(R122:$AQ122)*$N123/100</f>
        <v>16854.421199999997</v>
      </c>
      <c r="S123" s="551">
        <f>SUM(S122:$AQ122)*$N123/100</f>
        <v>16180.19176</v>
      </c>
      <c r="T123" s="551">
        <f>SUM(T122:$AQ122)*$N123/100</f>
        <v>14831.73288</v>
      </c>
      <c r="U123" s="551">
        <f>SUM(U122:$AQ122)*$N123/100</f>
        <v>13483.273999999999</v>
      </c>
      <c r="V123" s="551">
        <f>SUM(V122:$AQ122)*$N123/100</f>
        <v>12134.815119999999</v>
      </c>
      <c r="W123" s="551">
        <f>SUM(W122:$AQ122)*$N123/100</f>
        <v>10786.356240000001</v>
      </c>
      <c r="X123" s="551">
        <f>SUM(X122:$AQ122)*$N123/100</f>
        <v>9437.8973600000008</v>
      </c>
      <c r="Y123" s="551">
        <f>SUM(Y122:$AQ122)*$N123/100</f>
        <v>8089.4384799999998</v>
      </c>
      <c r="Z123" s="551">
        <f>SUM(Z122:$AQ122)*$N123/100</f>
        <v>6740.9795999999997</v>
      </c>
      <c r="AA123" s="551">
        <f>SUM(AA122:$AQ122)*$N123/100</f>
        <v>5392.5207200000004</v>
      </c>
      <c r="AB123" s="551">
        <f>SUM(AB122:$AQ122)*$N123/100</f>
        <v>4044.0618400000003</v>
      </c>
      <c r="AC123" s="551">
        <f>SUM(AC122:$AQ122)*$N123/100</f>
        <v>2695.6029599999997</v>
      </c>
      <c r="AD123" s="551">
        <f>SUM(AD122:$AQ122)*$N123/100</f>
        <v>1347.14408</v>
      </c>
      <c r="AE123" s="551">
        <f>SUM(AE122:$AQ122)*$N123/100</f>
        <v>0</v>
      </c>
      <c r="AF123" s="551">
        <f>SUM(AF122:$AQ122)*$N123/100</f>
        <v>0</v>
      </c>
      <c r="AG123" s="551">
        <f>SUM(AG122:$AQ122)*$N123/100</f>
        <v>0</v>
      </c>
      <c r="AH123" s="551">
        <f>SUM(AH122:$AQ122)*$N123/100</f>
        <v>0</v>
      </c>
      <c r="AI123" s="551">
        <f>SUM(AI122:$AQ122)*$N123/100</f>
        <v>0</v>
      </c>
      <c r="AJ123" s="551">
        <f>SUM(AJ122:$AQ122)*$N123/100</f>
        <v>0</v>
      </c>
      <c r="AK123" s="551"/>
      <c r="AL123" s="551"/>
      <c r="AM123" s="551"/>
      <c r="AN123" s="551"/>
      <c r="AO123" s="551"/>
      <c r="AP123" s="551"/>
      <c r="AQ123" s="551"/>
      <c r="AR123" s="551"/>
      <c r="AS123" s="551"/>
      <c r="AT123" s="551">
        <f>SUM(R123:AS123)</f>
        <v>122018.43623999998</v>
      </c>
      <c r="AU123" s="542">
        <f>AT123-SUM(R123:AS123)</f>
        <v>0</v>
      </c>
      <c r="AV123" s="552">
        <f>SUM(Y123:AS123)</f>
        <v>28309.74768</v>
      </c>
      <c r="AW123" s="551">
        <f>SUM(R123:X123,AV123)</f>
        <v>122018.43623999998</v>
      </c>
      <c r="AY123" s="544"/>
    </row>
    <row r="124" spans="2:51" s="484" customFormat="1" x14ac:dyDescent="0.25">
      <c r="B124" s="520" t="s">
        <v>227</v>
      </c>
      <c r="C124" s="521">
        <v>60</v>
      </c>
      <c r="D124" s="522" t="s">
        <v>1127</v>
      </c>
      <c r="E124" s="498" t="s">
        <v>1128</v>
      </c>
      <c r="F124" s="498"/>
      <c r="G124" s="498">
        <v>2026</v>
      </c>
      <c r="H124" s="498">
        <v>2045</v>
      </c>
      <c r="I124" s="498" t="s">
        <v>224</v>
      </c>
      <c r="J124" s="500">
        <v>7004719.1600000001</v>
      </c>
      <c r="K124" s="501"/>
      <c r="L124" s="501"/>
      <c r="M124" s="501"/>
      <c r="N124" s="502"/>
      <c r="O124" s="502"/>
      <c r="P124" s="502"/>
      <c r="Q124" s="502" t="s">
        <v>749</v>
      </c>
      <c r="R124" s="503"/>
      <c r="S124" s="503">
        <f>$J$124/18/2</f>
        <v>194575.53222222222</v>
      </c>
      <c r="T124" s="503">
        <f>$J$124/18</f>
        <v>389151.06444444443</v>
      </c>
      <c r="U124" s="503">
        <f t="shared" ref="U124:AJ124" si="15">$J$124/18</f>
        <v>389151.06444444443</v>
      </c>
      <c r="V124" s="503">
        <f t="shared" si="15"/>
        <v>389151.06444444443</v>
      </c>
      <c r="W124" s="503">
        <f t="shared" si="15"/>
        <v>389151.06444444443</v>
      </c>
      <c r="X124" s="503">
        <f t="shared" si="15"/>
        <v>389151.06444444443</v>
      </c>
      <c r="Y124" s="503">
        <f t="shared" si="15"/>
        <v>389151.06444444443</v>
      </c>
      <c r="Z124" s="503">
        <f t="shared" si="15"/>
        <v>389151.06444444443</v>
      </c>
      <c r="AA124" s="503">
        <f t="shared" si="15"/>
        <v>389151.06444444443</v>
      </c>
      <c r="AB124" s="503">
        <f t="shared" si="15"/>
        <v>389151.06444444443</v>
      </c>
      <c r="AC124" s="503">
        <f t="shared" si="15"/>
        <v>389151.06444444443</v>
      </c>
      <c r="AD124" s="503">
        <f t="shared" si="15"/>
        <v>389151.06444444443</v>
      </c>
      <c r="AE124" s="503">
        <f t="shared" si="15"/>
        <v>389151.06444444443</v>
      </c>
      <c r="AF124" s="503">
        <f t="shared" si="15"/>
        <v>389151.06444444443</v>
      </c>
      <c r="AG124" s="503">
        <f t="shared" si="15"/>
        <v>389151.06444444443</v>
      </c>
      <c r="AH124" s="503">
        <f t="shared" si="15"/>
        <v>389151.06444444443</v>
      </c>
      <c r="AI124" s="503">
        <f t="shared" si="15"/>
        <v>389151.06444444443</v>
      </c>
      <c r="AJ124" s="503">
        <f t="shared" si="15"/>
        <v>389151.06444444443</v>
      </c>
      <c r="AK124" s="503">
        <f>$J$124/18/2</f>
        <v>194575.53222222222</v>
      </c>
      <c r="AL124" s="503"/>
      <c r="AM124" s="503"/>
      <c r="AN124" s="503"/>
      <c r="AO124" s="503"/>
      <c r="AP124" s="503"/>
      <c r="AQ124" s="503"/>
      <c r="AR124" s="503"/>
      <c r="AS124" s="503"/>
      <c r="AT124" s="503">
        <f t="shared" si="5"/>
        <v>7004719.1599999992</v>
      </c>
      <c r="AU124" s="554">
        <f t="shared" si="6"/>
        <v>0</v>
      </c>
      <c r="AV124" s="506">
        <f t="shared" si="8"/>
        <v>4864388.305555556</v>
      </c>
      <c r="AW124" s="503">
        <f t="shared" si="7"/>
        <v>7004719.1600000001</v>
      </c>
      <c r="AY124" s="555"/>
    </row>
    <row r="125" spans="2:51" s="484" customFormat="1" x14ac:dyDescent="0.25">
      <c r="B125" s="556" t="s">
        <v>227</v>
      </c>
      <c r="C125" s="530"/>
      <c r="D125" s="526"/>
      <c r="E125" s="511"/>
      <c r="F125" s="511"/>
      <c r="G125" s="511"/>
      <c r="H125" s="511"/>
      <c r="I125" s="511"/>
      <c r="J125" s="513"/>
      <c r="K125" s="557"/>
      <c r="L125" s="557"/>
      <c r="M125" s="557"/>
      <c r="N125" s="558">
        <f>SUM(O125:P125)</f>
        <v>2</v>
      </c>
      <c r="O125" s="558">
        <v>2</v>
      </c>
      <c r="P125" s="558">
        <f>$P$4</f>
        <v>0</v>
      </c>
      <c r="Q125" s="558" t="s">
        <v>792</v>
      </c>
      <c r="R125" s="516">
        <v>96710.43</v>
      </c>
      <c r="S125" s="516">
        <f>SUM(S124:$AQ124)*$N125/100-90000</f>
        <v>50094.383199999982</v>
      </c>
      <c r="T125" s="516">
        <f>SUM(T124:$AQ124)*$N125/100-80000</f>
        <v>56202.872555555543</v>
      </c>
      <c r="U125" s="516">
        <f>SUM(U124:$AQ124)*$N125/100</f>
        <v>128419.85126666665</v>
      </c>
      <c r="V125" s="516">
        <f>SUM(V124:$AQ124)*$N125/100</f>
        <v>120636.82997777777</v>
      </c>
      <c r="W125" s="516">
        <f>SUM(W124:$AQ124)*$N125/100</f>
        <v>112853.80868888888</v>
      </c>
      <c r="X125" s="516">
        <f>SUM(X124:$AQ124)*$N125/100</f>
        <v>105070.7874</v>
      </c>
      <c r="Y125" s="516">
        <f>SUM(Y124:$AQ124)*$N125/100</f>
        <v>97287.766111111123</v>
      </c>
      <c r="Z125" s="516">
        <f>SUM(Z124:$AQ124)*$N125/100</f>
        <v>89504.74482222223</v>
      </c>
      <c r="AA125" s="516">
        <f>SUM(AA124:$AQ124)*$N125/100</f>
        <v>81721.723533333337</v>
      </c>
      <c r="AB125" s="516">
        <f>SUM(AB124:$AQ124)*$N125/100</f>
        <v>73938.702244444459</v>
      </c>
      <c r="AC125" s="516">
        <f>SUM(AC124:$AQ124)*$N125/100</f>
        <v>66155.680955555566</v>
      </c>
      <c r="AD125" s="516">
        <f>SUM(AD124:$AQ124)*$N125/100</f>
        <v>58372.659666666666</v>
      </c>
      <c r="AE125" s="516">
        <f>SUM(AE124:$AQ124)*$N125/100</f>
        <v>50589.638377777774</v>
      </c>
      <c r="AF125" s="516">
        <f>SUM(AF124:$AQ124)*$N125/100</f>
        <v>42806.617088888881</v>
      </c>
      <c r="AG125" s="516">
        <f>SUM(AG124:$AQ124)*$N125/100</f>
        <v>35023.595800000003</v>
      </c>
      <c r="AH125" s="516">
        <f>SUM(AH124:$AQ124)*$N125/100</f>
        <v>27240.574511111114</v>
      </c>
      <c r="AI125" s="516">
        <f>SUM(AI124:$AQ124)*$N125/100</f>
        <v>19457.553222222221</v>
      </c>
      <c r="AJ125" s="516">
        <f>SUM(AJ124:$AQ124)*$N125/100</f>
        <v>11674.531933333334</v>
      </c>
      <c r="AK125" s="516">
        <f>SUM(AK124:$AQ124)*$N125/100</f>
        <v>3891.5106444444446</v>
      </c>
      <c r="AL125" s="516"/>
      <c r="AM125" s="516"/>
      <c r="AN125" s="516"/>
      <c r="AO125" s="516"/>
      <c r="AP125" s="516"/>
      <c r="AQ125" s="516"/>
      <c r="AR125" s="516"/>
      <c r="AS125" s="516"/>
      <c r="AT125" s="516">
        <f t="shared" si="5"/>
        <v>1327654.2620000001</v>
      </c>
      <c r="AU125" s="559">
        <f t="shared" si="6"/>
        <v>0</v>
      </c>
      <c r="AV125" s="518">
        <f t="shared" si="8"/>
        <v>657665.29891111131</v>
      </c>
      <c r="AW125" s="516">
        <f t="shared" si="7"/>
        <v>1327654.2620000001</v>
      </c>
      <c r="AY125" s="555"/>
    </row>
    <row r="126" spans="2:51" s="484" customFormat="1" x14ac:dyDescent="0.25">
      <c r="B126" s="520" t="s">
        <v>227</v>
      </c>
      <c r="C126" s="521">
        <v>61</v>
      </c>
      <c r="D126" s="522" t="s">
        <v>1129</v>
      </c>
      <c r="E126" s="498" t="s">
        <v>1130</v>
      </c>
      <c r="F126" s="498"/>
      <c r="G126" s="498">
        <v>2026</v>
      </c>
      <c r="H126" s="498">
        <v>2036</v>
      </c>
      <c r="I126" s="498" t="s">
        <v>224</v>
      </c>
      <c r="J126" s="500">
        <v>1514893.8</v>
      </c>
      <c r="K126" s="501"/>
      <c r="L126" s="501"/>
      <c r="M126" s="501"/>
      <c r="N126" s="502"/>
      <c r="O126" s="502"/>
      <c r="P126" s="502"/>
      <c r="Q126" s="502" t="s">
        <v>749</v>
      </c>
      <c r="R126" s="503"/>
      <c r="S126" s="503">
        <f>$J$126/8/2</f>
        <v>94680.862500000003</v>
      </c>
      <c r="T126" s="503">
        <f>$J$126/8</f>
        <v>189361.72500000001</v>
      </c>
      <c r="U126" s="503">
        <f t="shared" ref="U126:Z126" si="16">$J$126/8</f>
        <v>189361.72500000001</v>
      </c>
      <c r="V126" s="503">
        <f t="shared" si="16"/>
        <v>189361.72500000001</v>
      </c>
      <c r="W126" s="503">
        <f t="shared" si="16"/>
        <v>189361.72500000001</v>
      </c>
      <c r="X126" s="503">
        <f t="shared" si="16"/>
        <v>189361.72500000001</v>
      </c>
      <c r="Y126" s="503">
        <f t="shared" si="16"/>
        <v>189361.72500000001</v>
      </c>
      <c r="Z126" s="503">
        <f t="shared" si="16"/>
        <v>189361.72500000001</v>
      </c>
      <c r="AA126" s="503">
        <f>$J$126/8/2</f>
        <v>94680.862500000003</v>
      </c>
      <c r="AB126" s="503"/>
      <c r="AC126" s="503"/>
      <c r="AD126" s="503"/>
      <c r="AE126" s="503"/>
      <c r="AF126" s="503"/>
      <c r="AG126" s="503"/>
      <c r="AH126" s="503"/>
      <c r="AI126" s="503"/>
      <c r="AJ126" s="503"/>
      <c r="AK126" s="503"/>
      <c r="AL126" s="503"/>
      <c r="AM126" s="503"/>
      <c r="AN126" s="503"/>
      <c r="AO126" s="503"/>
      <c r="AP126" s="503"/>
      <c r="AQ126" s="503"/>
      <c r="AR126" s="503"/>
      <c r="AS126" s="503"/>
      <c r="AT126" s="503">
        <f t="shared" si="5"/>
        <v>1514893.8</v>
      </c>
      <c r="AU126" s="554">
        <f t="shared" si="6"/>
        <v>0</v>
      </c>
      <c r="AV126" s="506">
        <f t="shared" si="8"/>
        <v>473404.3125</v>
      </c>
      <c r="AW126" s="503">
        <f t="shared" si="7"/>
        <v>1514893.7999999998</v>
      </c>
      <c r="AY126" s="555"/>
    </row>
    <row r="127" spans="2:51" s="484" customFormat="1" x14ac:dyDescent="0.25">
      <c r="B127" s="556" t="s">
        <v>227</v>
      </c>
      <c r="C127" s="530"/>
      <c r="D127" s="526"/>
      <c r="E127" s="511"/>
      <c r="F127" s="511"/>
      <c r="G127" s="511"/>
      <c r="H127" s="511"/>
      <c r="I127" s="511"/>
      <c r="J127" s="513"/>
      <c r="K127" s="557"/>
      <c r="L127" s="557"/>
      <c r="M127" s="557"/>
      <c r="N127" s="558">
        <f>SUM(O127:P127)</f>
        <v>2</v>
      </c>
      <c r="O127" s="558">
        <v>2</v>
      </c>
      <c r="P127" s="558">
        <f>$P$4</f>
        <v>0</v>
      </c>
      <c r="Q127" s="558" t="s">
        <v>792</v>
      </c>
      <c r="R127" s="516">
        <v>16289.407000000003</v>
      </c>
      <c r="S127" s="516">
        <f>SUM(S126:$AQ126)*$N127/100-8000</f>
        <v>22297.876</v>
      </c>
      <c r="T127" s="516">
        <f>SUM(T126:$AQ126)*$N127/100-10000</f>
        <v>18404.258750000005</v>
      </c>
      <c r="U127" s="516">
        <f>SUM(U126:$AQ126)*$N127/100-7000</f>
        <v>17617.024250000002</v>
      </c>
      <c r="V127" s="516">
        <f>SUM(V126:$AQ126)*$N127/100-4000</f>
        <v>16829.78975</v>
      </c>
      <c r="W127" s="516">
        <f>SUM(W126:$AQ126)*$N127/100-2000</f>
        <v>15042.555250000001</v>
      </c>
      <c r="X127" s="516">
        <f>SUM(X126:$AQ126)*$N127/100</f>
        <v>13255.320750000003</v>
      </c>
      <c r="Y127" s="516">
        <f>SUM(Y126:$AQ126)*$N127/100</f>
        <v>9468.0862500000003</v>
      </c>
      <c r="Z127" s="516">
        <f>SUM(Z126:$AQ126)*$N127/100</f>
        <v>5680.8517500000007</v>
      </c>
      <c r="AA127" s="516">
        <f>SUM(AA126:$AQ126)*$N127/100</f>
        <v>1893.61725</v>
      </c>
      <c r="AB127" s="516"/>
      <c r="AC127" s="516"/>
      <c r="AD127" s="516"/>
      <c r="AE127" s="516"/>
      <c r="AF127" s="516"/>
      <c r="AG127" s="516"/>
      <c r="AH127" s="516"/>
      <c r="AI127" s="516"/>
      <c r="AJ127" s="516"/>
      <c r="AK127" s="516"/>
      <c r="AL127" s="516"/>
      <c r="AM127" s="516"/>
      <c r="AN127" s="516"/>
      <c r="AO127" s="516"/>
      <c r="AP127" s="516"/>
      <c r="AQ127" s="516"/>
      <c r="AR127" s="516"/>
      <c r="AS127" s="516"/>
      <c r="AT127" s="516">
        <f t="shared" si="5"/>
        <v>136778.78700000001</v>
      </c>
      <c r="AU127" s="559">
        <f t="shared" si="6"/>
        <v>0</v>
      </c>
      <c r="AV127" s="518">
        <f t="shared" si="8"/>
        <v>17042.555250000001</v>
      </c>
      <c r="AW127" s="516">
        <f t="shared" si="7"/>
        <v>136778.78700000001</v>
      </c>
      <c r="AY127" s="555"/>
    </row>
    <row r="128" spans="2:51" s="484" customFormat="1" x14ac:dyDescent="0.25">
      <c r="B128" s="520" t="s">
        <v>227</v>
      </c>
      <c r="C128" s="521">
        <v>62</v>
      </c>
      <c r="D128" s="522" t="s">
        <v>1131</v>
      </c>
      <c r="E128" s="560" t="s">
        <v>1130</v>
      </c>
      <c r="F128" s="498"/>
      <c r="G128" s="498">
        <v>2026</v>
      </c>
      <c r="H128" s="498">
        <v>2031</v>
      </c>
      <c r="I128" s="498" t="s">
        <v>224</v>
      </c>
      <c r="J128" s="500">
        <v>240428</v>
      </c>
      <c r="K128" s="501"/>
      <c r="L128" s="501"/>
      <c r="M128" s="501"/>
      <c r="N128" s="502"/>
      <c r="O128" s="502"/>
      <c r="P128" s="502"/>
      <c r="Q128" s="502" t="s">
        <v>749</v>
      </c>
      <c r="R128" s="503"/>
      <c r="S128" s="503">
        <f>$J$128/5</f>
        <v>48085.599999999999</v>
      </c>
      <c r="T128" s="503">
        <f t="shared" ref="T128:W128" si="17">$J$128/5</f>
        <v>48085.599999999999</v>
      </c>
      <c r="U128" s="503">
        <f t="shared" si="17"/>
        <v>48085.599999999999</v>
      </c>
      <c r="V128" s="503">
        <f t="shared" si="17"/>
        <v>48085.599999999999</v>
      </c>
      <c r="W128" s="503">
        <f t="shared" si="17"/>
        <v>48085.599999999999</v>
      </c>
      <c r="X128" s="503"/>
      <c r="Y128" s="503"/>
      <c r="Z128" s="503"/>
      <c r="AA128" s="503"/>
      <c r="AB128" s="503"/>
      <c r="AC128" s="503"/>
      <c r="AD128" s="503"/>
      <c r="AE128" s="503"/>
      <c r="AF128" s="503"/>
      <c r="AG128" s="503"/>
      <c r="AH128" s="503"/>
      <c r="AI128" s="503"/>
      <c r="AJ128" s="503"/>
      <c r="AK128" s="503"/>
      <c r="AL128" s="503"/>
      <c r="AM128" s="503"/>
      <c r="AN128" s="503"/>
      <c r="AO128" s="503"/>
      <c r="AP128" s="503"/>
      <c r="AQ128" s="503"/>
      <c r="AR128" s="503"/>
      <c r="AS128" s="503"/>
      <c r="AT128" s="503">
        <f t="shared" si="5"/>
        <v>240428</v>
      </c>
      <c r="AU128" s="554"/>
      <c r="AV128" s="506">
        <f t="shared" si="8"/>
        <v>0</v>
      </c>
      <c r="AW128" s="503">
        <f t="shared" si="7"/>
        <v>240428</v>
      </c>
      <c r="AY128" s="555"/>
    </row>
    <row r="129" spans="2:51" s="484" customFormat="1" x14ac:dyDescent="0.25">
      <c r="B129" s="556" t="s">
        <v>227</v>
      </c>
      <c r="C129" s="530"/>
      <c r="D129" s="526" t="s">
        <v>1132</v>
      </c>
      <c r="E129" s="526"/>
      <c r="F129" s="526"/>
      <c r="G129" s="526"/>
      <c r="H129" s="526"/>
      <c r="I129" s="526"/>
      <c r="J129" s="557"/>
      <c r="K129" s="557"/>
      <c r="L129" s="557"/>
      <c r="M129" s="557"/>
      <c r="N129" s="558">
        <f>SUM(O129:P129)</f>
        <v>2</v>
      </c>
      <c r="O129" s="558">
        <v>2</v>
      </c>
      <c r="P129" s="558">
        <f>$P$4</f>
        <v>0</v>
      </c>
      <c r="Q129" s="558" t="s">
        <v>792</v>
      </c>
      <c r="R129" s="516">
        <v>7212.8520000000062</v>
      </c>
      <c r="S129" s="516">
        <f>SUM(S128:$AQ128)*$N129/100</f>
        <v>4808.5600000000004</v>
      </c>
      <c r="T129" s="516">
        <f>SUM(T128:$AQ128)*$N129/100</f>
        <v>3846.848</v>
      </c>
      <c r="U129" s="516">
        <f>SUM(U128:$AQ128)*$N129/100</f>
        <v>2885.136</v>
      </c>
      <c r="V129" s="516">
        <f>SUM(V128:$AQ128)*$N129/100</f>
        <v>1923.424</v>
      </c>
      <c r="W129" s="516">
        <f>SUM(W128:$AQ128)*$N129/100</f>
        <v>961.71199999999999</v>
      </c>
      <c r="X129" s="516"/>
      <c r="Y129" s="516"/>
      <c r="Z129" s="516"/>
      <c r="AA129" s="516"/>
      <c r="AB129" s="516"/>
      <c r="AC129" s="516"/>
      <c r="AD129" s="516"/>
      <c r="AE129" s="516"/>
      <c r="AF129" s="516"/>
      <c r="AG129" s="516"/>
      <c r="AH129" s="516"/>
      <c r="AI129" s="516"/>
      <c r="AJ129" s="516"/>
      <c r="AK129" s="516"/>
      <c r="AL129" s="516"/>
      <c r="AM129" s="516"/>
      <c r="AN129" s="516"/>
      <c r="AO129" s="516"/>
      <c r="AP129" s="516"/>
      <c r="AQ129" s="516"/>
      <c r="AR129" s="516"/>
      <c r="AS129" s="516"/>
      <c r="AT129" s="516">
        <f t="shared" si="5"/>
        <v>21638.532000000007</v>
      </c>
      <c r="AU129" s="559"/>
      <c r="AV129" s="518">
        <f t="shared" si="8"/>
        <v>0</v>
      </c>
      <c r="AW129" s="516">
        <f t="shared" si="7"/>
        <v>21638.532000000007</v>
      </c>
      <c r="AY129" s="555"/>
    </row>
    <row r="131" spans="2:51" hidden="1" outlineLevel="1" x14ac:dyDescent="0.25">
      <c r="J131" s="555">
        <f>SUM(J6:J129)</f>
        <v>79256922.339999989</v>
      </c>
      <c r="K131" s="561"/>
      <c r="L131" s="561"/>
      <c r="M131" s="561"/>
      <c r="N131" s="562"/>
      <c r="O131" s="562"/>
      <c r="P131" s="562"/>
      <c r="Q131" s="562"/>
      <c r="R131" s="561"/>
      <c r="S131" s="561"/>
      <c r="T131" s="561"/>
      <c r="U131" s="561"/>
      <c r="V131" s="561"/>
      <c r="W131" s="561"/>
      <c r="X131" s="561"/>
      <c r="Y131" s="561"/>
      <c r="Z131" s="561"/>
      <c r="AA131" s="561"/>
      <c r="AB131" s="561"/>
      <c r="AC131" s="561"/>
      <c r="AD131" s="561"/>
      <c r="AE131" s="561"/>
      <c r="AF131" s="561"/>
      <c r="AG131" s="561"/>
      <c r="AH131" s="561"/>
      <c r="AI131" s="561"/>
      <c r="AJ131" s="561"/>
      <c r="AK131" s="561"/>
      <c r="AL131" s="561"/>
      <c r="AM131" s="561"/>
      <c r="AN131" s="561"/>
      <c r="AO131" s="561"/>
      <c r="AP131" s="561"/>
      <c r="AQ131" s="561"/>
      <c r="AR131" s="561"/>
      <c r="AS131" s="561"/>
      <c r="AT131" s="561"/>
      <c r="AU131" s="563">
        <f t="shared" ref="AU131:AU134" si="18">AT131-SUM(R131:AS131)</f>
        <v>0</v>
      </c>
      <c r="AV131" s="561">
        <f>SUM(X131:AS131)</f>
        <v>0</v>
      </c>
      <c r="AW131" s="561">
        <f>SUM(R131:W131,AV131)</f>
        <v>0</v>
      </c>
      <c r="AY131" s="507"/>
    </row>
    <row r="132" spans="2:51" s="494" customFormat="1" collapsed="1" x14ac:dyDescent="0.25">
      <c r="E132" s="484"/>
      <c r="H132" s="564"/>
      <c r="I132" s="565"/>
      <c r="J132" s="507"/>
      <c r="K132" s="507">
        <f>SUM(K6:K129)</f>
        <v>44352623.920000002</v>
      </c>
      <c r="L132" s="507"/>
      <c r="M132" s="507"/>
      <c r="N132" s="566">
        <f>AVERAGE(N7:N129)</f>
        <v>2.708338709677419</v>
      </c>
      <c r="O132" s="507"/>
      <c r="P132" s="561"/>
      <c r="Q132" s="567" t="s">
        <v>749</v>
      </c>
      <c r="R132" s="503">
        <f t="shared" ref="R132:AG133" si="19">SUMIF($Q$6:$Q$129,$Q132,R$6:R$129)</f>
        <v>3907497.16</v>
      </c>
      <c r="S132" s="503">
        <f t="shared" si="19"/>
        <v>3754664.4547222219</v>
      </c>
      <c r="T132" s="503">
        <f t="shared" si="19"/>
        <v>4196544.5494444445</v>
      </c>
      <c r="U132" s="503">
        <f t="shared" si="19"/>
        <v>4118450.5494444449</v>
      </c>
      <c r="V132" s="503">
        <f t="shared" si="19"/>
        <v>4050937.5494444449</v>
      </c>
      <c r="W132" s="503">
        <f t="shared" si="19"/>
        <v>3964479.2094444446</v>
      </c>
      <c r="X132" s="503">
        <f t="shared" si="19"/>
        <v>3257766.4994444447</v>
      </c>
      <c r="Y132" s="503">
        <f t="shared" si="19"/>
        <v>3095034.5394444447</v>
      </c>
      <c r="Z132" s="503">
        <f t="shared" si="19"/>
        <v>2725299.5494444445</v>
      </c>
      <c r="AA132" s="503">
        <f t="shared" si="19"/>
        <v>2426730.6869444442</v>
      </c>
      <c r="AB132" s="503">
        <f t="shared" si="19"/>
        <v>2187335.7744444446</v>
      </c>
      <c r="AC132" s="503">
        <f t="shared" si="19"/>
        <v>2076523.0644444444</v>
      </c>
      <c r="AD132" s="503">
        <f t="shared" si="19"/>
        <v>1941165.0644444444</v>
      </c>
      <c r="AE132" s="503">
        <f t="shared" si="19"/>
        <v>1638083.0644444444</v>
      </c>
      <c r="AF132" s="503">
        <f t="shared" si="19"/>
        <v>1597033.1044444444</v>
      </c>
      <c r="AG132" s="503">
        <f t="shared" si="19"/>
        <v>1580512.1344444444</v>
      </c>
      <c r="AH132" s="503">
        <f t="shared" ref="AH132:AS133" si="20">SUMIF($Q$6:$Q$129,$Q132,AH$6:AH$129)</f>
        <v>1573499.0644444444</v>
      </c>
      <c r="AI132" s="503">
        <f t="shared" si="20"/>
        <v>1573499.0644444444</v>
      </c>
      <c r="AJ132" s="503">
        <f t="shared" si="20"/>
        <v>1573499.0644444444</v>
      </c>
      <c r="AK132" s="503">
        <f t="shared" si="20"/>
        <v>1378923.5322222223</v>
      </c>
      <c r="AL132" s="503">
        <f t="shared" si="20"/>
        <v>1184348</v>
      </c>
      <c r="AM132" s="503">
        <f t="shared" si="20"/>
        <v>1184348</v>
      </c>
      <c r="AN132" s="503">
        <f t="shared" si="20"/>
        <v>867315.83000000007</v>
      </c>
      <c r="AO132" s="503">
        <f t="shared" si="20"/>
        <v>452632</v>
      </c>
      <c r="AP132" s="503">
        <f t="shared" si="20"/>
        <v>409981</v>
      </c>
      <c r="AQ132" s="503">
        <f t="shared" si="20"/>
        <v>55587.92</v>
      </c>
      <c r="AR132" s="503">
        <f t="shared" si="20"/>
        <v>0</v>
      </c>
      <c r="AS132" s="503">
        <f t="shared" si="20"/>
        <v>0</v>
      </c>
      <c r="AT132" s="503">
        <f>SUM(R132:AS132)</f>
        <v>56771690.430000007</v>
      </c>
      <c r="AU132" s="563">
        <f t="shared" si="18"/>
        <v>0</v>
      </c>
      <c r="AV132" s="503">
        <f t="shared" ref="AV132:AV134" si="21">SUM(Y132:AS132)</f>
        <v>29521350.458055563</v>
      </c>
      <c r="AW132" s="503">
        <f t="shared" ref="AW132:AW134" si="22">SUM(R132:X132,AV132)</f>
        <v>56771690.430000007</v>
      </c>
      <c r="AY132" s="507"/>
    </row>
    <row r="133" spans="2:51" x14ac:dyDescent="0.25">
      <c r="H133" s="564"/>
      <c r="J133" s="507"/>
      <c r="K133" s="480"/>
      <c r="L133" s="480"/>
      <c r="M133" s="480"/>
      <c r="N133" s="480"/>
      <c r="O133" s="480"/>
      <c r="P133" s="561"/>
      <c r="Q133" s="568" t="s">
        <v>792</v>
      </c>
      <c r="R133" s="516">
        <f t="shared" si="19"/>
        <v>1402431.3806191001</v>
      </c>
      <c r="S133" s="516">
        <f t="shared" si="19"/>
        <v>1326371.9640190999</v>
      </c>
      <c r="T133" s="516">
        <f t="shared" si="19"/>
        <v>1204188.6874929557</v>
      </c>
      <c r="U133" s="516">
        <f t="shared" si="19"/>
        <v>1203935.5528940668</v>
      </c>
      <c r="V133" s="516">
        <f t="shared" si="19"/>
        <v>1096793.2819751778</v>
      </c>
      <c r="W133" s="516">
        <f t="shared" si="19"/>
        <v>990587.25178628915</v>
      </c>
      <c r="X133" s="516">
        <f t="shared" si="19"/>
        <v>887124.00427279994</v>
      </c>
      <c r="Y133" s="516">
        <f t="shared" si="19"/>
        <v>799044.85845391126</v>
      </c>
      <c r="Z133" s="516">
        <f t="shared" si="19"/>
        <v>715862.11603332229</v>
      </c>
      <c r="AA133" s="516">
        <f t="shared" si="19"/>
        <v>642680.29552443337</v>
      </c>
      <c r="AB133" s="516">
        <f t="shared" si="19"/>
        <v>577568.22167554428</v>
      </c>
      <c r="AC133" s="516">
        <f t="shared" si="19"/>
        <v>518304.54470665567</v>
      </c>
      <c r="AD133" s="516">
        <f t="shared" si="19"/>
        <v>461661.42077776662</v>
      </c>
      <c r="AE133" s="516">
        <f t="shared" si="19"/>
        <v>409072.54682887776</v>
      </c>
      <c r="AF133" s="516">
        <f t="shared" si="19"/>
        <v>366042.87229998887</v>
      </c>
      <c r="AG133" s="516">
        <f t="shared" si="19"/>
        <v>324080.84477909998</v>
      </c>
      <c r="AH133" s="516">
        <f t="shared" si="20"/>
        <v>282569.87398431113</v>
      </c>
      <c r="AI133" s="516">
        <f t="shared" si="20"/>
        <v>241236.82477542217</v>
      </c>
      <c r="AJ133" s="516">
        <f t="shared" si="20"/>
        <v>199903.77556653335</v>
      </c>
      <c r="AK133" s="516">
        <f t="shared" si="20"/>
        <v>158570.72635764442</v>
      </c>
      <c r="AL133" s="516">
        <f t="shared" si="20"/>
        <v>121129.18779319999</v>
      </c>
      <c r="AM133" s="516">
        <f t="shared" si="20"/>
        <v>87579.159873199984</v>
      </c>
      <c r="AN133" s="516">
        <f t="shared" si="20"/>
        <v>54029.131953199991</v>
      </c>
      <c r="AO133" s="516">
        <f t="shared" si="20"/>
        <v>29303.884686399997</v>
      </c>
      <c r="AP133" s="516">
        <f t="shared" si="20"/>
        <v>15006.094726399999</v>
      </c>
      <c r="AQ133" s="516">
        <f t="shared" si="20"/>
        <v>1749.3202464000001</v>
      </c>
      <c r="AR133" s="516">
        <f t="shared" si="20"/>
        <v>0</v>
      </c>
      <c r="AS133" s="516">
        <f t="shared" si="20"/>
        <v>0</v>
      </c>
      <c r="AT133" s="516">
        <f>SUM(R133:AS133)</f>
        <v>14116827.824101804</v>
      </c>
      <c r="AU133" s="563">
        <f t="shared" si="18"/>
        <v>0</v>
      </c>
      <c r="AV133" s="516">
        <f t="shared" si="21"/>
        <v>6005395.7010423113</v>
      </c>
      <c r="AW133" s="516">
        <f t="shared" si="22"/>
        <v>14116827.824101802</v>
      </c>
      <c r="AY133" s="507"/>
    </row>
    <row r="134" spans="2:51" s="484" customFormat="1" x14ac:dyDescent="0.25">
      <c r="H134" s="564"/>
      <c r="J134" s="507"/>
      <c r="O134" s="555"/>
      <c r="P134" s="561"/>
      <c r="Q134" s="567" t="s">
        <v>1133</v>
      </c>
      <c r="R134" s="569">
        <f t="shared" ref="R134:AS134" si="23">SUM(R132:R133)</f>
        <v>5309928.5406191004</v>
      </c>
      <c r="S134" s="569">
        <f>SUM(S132:S133)</f>
        <v>5081036.4187413221</v>
      </c>
      <c r="T134" s="569">
        <f t="shared" si="23"/>
        <v>5400733.2369374</v>
      </c>
      <c r="U134" s="569">
        <f t="shared" si="23"/>
        <v>5322386.1023385115</v>
      </c>
      <c r="V134" s="569">
        <f t="shared" si="23"/>
        <v>5147730.8314196225</v>
      </c>
      <c r="W134" s="569">
        <f t="shared" si="23"/>
        <v>4955066.4612307334</v>
      </c>
      <c r="X134" s="569">
        <f t="shared" si="23"/>
        <v>4144890.5037172446</v>
      </c>
      <c r="Y134" s="569">
        <f t="shared" si="23"/>
        <v>3894079.397898356</v>
      </c>
      <c r="Z134" s="569">
        <f t="shared" si="23"/>
        <v>3441161.6654777667</v>
      </c>
      <c r="AA134" s="569">
        <f t="shared" si="23"/>
        <v>3069410.9824688775</v>
      </c>
      <c r="AB134" s="569">
        <f t="shared" si="23"/>
        <v>2764903.9961199891</v>
      </c>
      <c r="AC134" s="569">
        <f t="shared" si="23"/>
        <v>2594827.6091510998</v>
      </c>
      <c r="AD134" s="569">
        <f t="shared" si="23"/>
        <v>2402826.4852222111</v>
      </c>
      <c r="AE134" s="569">
        <f t="shared" si="23"/>
        <v>2047155.6112733223</v>
      </c>
      <c r="AF134" s="569">
        <f t="shared" si="23"/>
        <v>1963075.9767444334</v>
      </c>
      <c r="AG134" s="569">
        <f t="shared" si="23"/>
        <v>1904592.9792235445</v>
      </c>
      <c r="AH134" s="569">
        <f t="shared" si="23"/>
        <v>1856068.9384287554</v>
      </c>
      <c r="AI134" s="569">
        <f t="shared" si="23"/>
        <v>1814735.8892198666</v>
      </c>
      <c r="AJ134" s="569">
        <f t="shared" si="23"/>
        <v>1773402.8400109778</v>
      </c>
      <c r="AK134" s="569">
        <f t="shared" si="23"/>
        <v>1537494.2585798667</v>
      </c>
      <c r="AL134" s="569">
        <f t="shared" si="23"/>
        <v>1305477.1877931999</v>
      </c>
      <c r="AM134" s="569">
        <f t="shared" si="23"/>
        <v>1271927.1598731999</v>
      </c>
      <c r="AN134" s="569">
        <f t="shared" si="23"/>
        <v>921344.96195320005</v>
      </c>
      <c r="AO134" s="569">
        <f t="shared" si="23"/>
        <v>481935.88468640001</v>
      </c>
      <c r="AP134" s="569">
        <f t="shared" si="23"/>
        <v>424987.09472639998</v>
      </c>
      <c r="AQ134" s="569">
        <f t="shared" si="23"/>
        <v>57337.240246399997</v>
      </c>
      <c r="AR134" s="569">
        <f t="shared" si="23"/>
        <v>0</v>
      </c>
      <c r="AS134" s="569">
        <f t="shared" si="23"/>
        <v>0</v>
      </c>
      <c r="AT134" s="569">
        <f>SUM(R134:AS134)</f>
        <v>70888518.254101783</v>
      </c>
      <c r="AU134" s="563">
        <f t="shared" si="18"/>
        <v>0</v>
      </c>
      <c r="AV134" s="569">
        <f t="shared" si="21"/>
        <v>35526746.159097865</v>
      </c>
      <c r="AW134" s="569">
        <f t="shared" si="22"/>
        <v>70888518.254101798</v>
      </c>
      <c r="AY134" s="507"/>
    </row>
    <row r="135" spans="2:51" x14ac:dyDescent="0.25">
      <c r="K135" s="484"/>
      <c r="R135" s="570"/>
      <c r="S135" s="570"/>
      <c r="T135" s="570"/>
      <c r="U135" s="570"/>
      <c r="V135" s="570"/>
      <c r="W135" s="570"/>
      <c r="X135" s="570"/>
      <c r="Y135" s="571"/>
      <c r="Z135" s="571"/>
      <c r="AA135" s="571"/>
      <c r="AB135" s="571"/>
      <c r="AC135" s="571"/>
      <c r="AD135" s="571"/>
      <c r="AE135" s="571"/>
      <c r="AF135" s="571"/>
      <c r="AG135" s="571"/>
      <c r="AH135" s="571"/>
      <c r="AI135" s="571"/>
      <c r="AJ135" s="571"/>
      <c r="AK135" s="571"/>
      <c r="AL135" s="571"/>
      <c r="AM135" s="571"/>
      <c r="AN135" s="571"/>
      <c r="AO135" s="571"/>
      <c r="AP135" s="571"/>
      <c r="AQ135" s="571"/>
      <c r="AR135" s="571"/>
      <c r="AS135" s="571"/>
      <c r="AT135" s="571"/>
      <c r="AU135" s="571"/>
      <c r="AV135" s="571"/>
      <c r="AW135" s="571"/>
      <c r="AY135" s="507"/>
    </row>
    <row r="136" spans="2:51" ht="15.75" x14ac:dyDescent="0.25">
      <c r="C136" s="481" t="s">
        <v>1134</v>
      </c>
      <c r="J136" s="572"/>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73"/>
      <c r="AO136" s="573"/>
      <c r="AP136" s="573"/>
      <c r="AQ136" s="573"/>
      <c r="AR136" s="573"/>
      <c r="AS136" s="573"/>
      <c r="AT136" s="573"/>
      <c r="AU136" s="573"/>
      <c r="AV136" s="573"/>
      <c r="AW136" s="573"/>
    </row>
    <row r="137" spans="2:51" ht="60" x14ac:dyDescent="0.25">
      <c r="C137" s="488" t="s">
        <v>291</v>
      </c>
      <c r="D137" s="488" t="s">
        <v>1135</v>
      </c>
      <c r="E137" s="488" t="s">
        <v>1136</v>
      </c>
      <c r="F137" s="488" t="s">
        <v>1137</v>
      </c>
      <c r="G137" s="488" t="s">
        <v>771</v>
      </c>
      <c r="H137" s="488" t="s">
        <v>772</v>
      </c>
      <c r="I137" s="488" t="s">
        <v>773</v>
      </c>
      <c r="J137" s="490" t="s">
        <v>1138</v>
      </c>
      <c r="K137" s="490" t="s">
        <v>775</v>
      </c>
      <c r="L137" s="490" t="s">
        <v>776</v>
      </c>
      <c r="M137" s="490" t="s">
        <v>777</v>
      </c>
      <c r="N137" s="490" t="s">
        <v>778</v>
      </c>
      <c r="O137" s="490" t="s">
        <v>779</v>
      </c>
      <c r="P137" s="490" t="s">
        <v>780</v>
      </c>
      <c r="Q137" s="490" t="s">
        <v>781</v>
      </c>
      <c r="R137" s="489">
        <v>2026</v>
      </c>
      <c r="S137" s="489">
        <v>2027</v>
      </c>
      <c r="T137" s="489">
        <v>2028</v>
      </c>
      <c r="U137" s="489">
        <v>2029</v>
      </c>
      <c r="V137" s="489">
        <v>2030</v>
      </c>
      <c r="W137" s="489">
        <v>2031</v>
      </c>
      <c r="X137" s="489">
        <v>2032</v>
      </c>
      <c r="Y137" s="489">
        <v>2033</v>
      </c>
      <c r="Z137" s="489">
        <v>2034</v>
      </c>
      <c r="AA137" s="489">
        <v>2035</v>
      </c>
      <c r="AB137" s="489">
        <v>2036</v>
      </c>
      <c r="AC137" s="489">
        <v>2037</v>
      </c>
      <c r="AD137" s="489">
        <v>2038</v>
      </c>
      <c r="AE137" s="489">
        <v>2039</v>
      </c>
      <c r="AF137" s="489">
        <v>2040</v>
      </c>
      <c r="AG137" s="489">
        <v>2041</v>
      </c>
      <c r="AH137" s="489">
        <v>2042</v>
      </c>
      <c r="AI137" s="489">
        <v>2043</v>
      </c>
      <c r="AJ137" s="489">
        <v>2044</v>
      </c>
      <c r="AK137" s="489">
        <v>2045</v>
      </c>
      <c r="AL137" s="489">
        <v>2046</v>
      </c>
      <c r="AM137" s="489">
        <v>2047</v>
      </c>
      <c r="AN137" s="489">
        <v>2048</v>
      </c>
      <c r="AO137" s="489">
        <v>2049</v>
      </c>
      <c r="AP137" s="489">
        <v>2050</v>
      </c>
      <c r="AQ137" s="489">
        <v>2051</v>
      </c>
      <c r="AR137" s="489">
        <v>2052</v>
      </c>
      <c r="AS137" s="489">
        <v>2053</v>
      </c>
      <c r="AT137" s="488" t="s">
        <v>782</v>
      </c>
      <c r="AV137" s="487" t="s">
        <v>783</v>
      </c>
      <c r="AW137" s="488" t="s">
        <v>784</v>
      </c>
    </row>
    <row r="138" spans="2:51" s="494" customFormat="1" x14ac:dyDescent="0.25">
      <c r="B138" s="495"/>
      <c r="C138" s="496">
        <v>1</v>
      </c>
      <c r="D138" s="497" t="s">
        <v>1139</v>
      </c>
      <c r="E138" s="498" t="s">
        <v>1140</v>
      </c>
      <c r="F138" s="497"/>
      <c r="G138" s="499">
        <v>3.2017000000000002</v>
      </c>
      <c r="H138" s="499">
        <v>3.2031999999999998</v>
      </c>
      <c r="I138" s="499" t="s">
        <v>224</v>
      </c>
      <c r="J138" s="500">
        <v>129553</v>
      </c>
      <c r="K138" s="501"/>
      <c r="L138" s="501"/>
      <c r="M138" s="501"/>
      <c r="N138" s="502"/>
      <c r="O138" s="502"/>
      <c r="P138" s="502"/>
      <c r="Q138" s="574" t="s">
        <v>749</v>
      </c>
      <c r="R138" s="503">
        <v>8936</v>
      </c>
      <c r="S138" s="503">
        <v>8936</v>
      </c>
      <c r="T138" s="503">
        <v>8936</v>
      </c>
      <c r="U138" s="503">
        <v>8936</v>
      </c>
      <c r="V138" s="503">
        <v>8936</v>
      </c>
      <c r="W138" s="503">
        <v>8936</v>
      </c>
      <c r="X138" s="503">
        <v>2234</v>
      </c>
      <c r="Y138" s="503"/>
      <c r="Z138" s="503"/>
      <c r="AA138" s="503"/>
      <c r="AB138" s="503"/>
      <c r="AC138" s="503"/>
      <c r="AD138" s="503"/>
      <c r="AE138" s="503"/>
      <c r="AF138" s="503"/>
      <c r="AG138" s="503"/>
      <c r="AH138" s="503"/>
      <c r="AI138" s="503"/>
      <c r="AJ138" s="503"/>
      <c r="AK138" s="503"/>
      <c r="AL138" s="503"/>
      <c r="AM138" s="503"/>
      <c r="AN138" s="503"/>
      <c r="AO138" s="503"/>
      <c r="AP138" s="503"/>
      <c r="AQ138" s="503"/>
      <c r="AR138" s="503"/>
      <c r="AS138" s="503"/>
      <c r="AT138" s="503">
        <f t="shared" ref="AT138:AT144" si="24">SUM(R138:AS138)</f>
        <v>55850</v>
      </c>
      <c r="AU138" s="575"/>
      <c r="AV138" s="506">
        <f>SUM(Y138:AS138)</f>
        <v>0</v>
      </c>
      <c r="AW138" s="503">
        <f>SUM(R138:X138,AV138)</f>
        <v>55850</v>
      </c>
    </row>
    <row r="139" spans="2:51" x14ac:dyDescent="0.25">
      <c r="B139" s="508"/>
      <c r="C139" s="509"/>
      <c r="D139" s="512"/>
      <c r="E139" s="511"/>
      <c r="F139" s="512"/>
      <c r="G139" s="512"/>
      <c r="H139" s="512"/>
      <c r="I139" s="512"/>
      <c r="J139" s="513"/>
      <c r="K139" s="513"/>
      <c r="L139" s="513"/>
      <c r="M139" s="513"/>
      <c r="N139" s="515">
        <f>SUM(O139:P139)</f>
        <v>2.25</v>
      </c>
      <c r="O139" s="515">
        <v>2</v>
      </c>
      <c r="P139" s="515">
        <v>0.25</v>
      </c>
      <c r="Q139" s="576" t="s">
        <v>792</v>
      </c>
      <c r="R139" s="516">
        <v>1680.5264999999999</v>
      </c>
      <c r="S139" s="516">
        <f>SUM(S138:$AQ138)*$N139/100</f>
        <v>1055.5650000000001</v>
      </c>
      <c r="T139" s="516">
        <f>SUM(T138:$AQ138)*$N139/100</f>
        <v>854.505</v>
      </c>
      <c r="U139" s="516">
        <f>SUM(U138:$AQ138)*$N139/100</f>
        <v>653.44500000000005</v>
      </c>
      <c r="V139" s="516">
        <f>SUM(V138:$AQ138)*$N139/100</f>
        <v>452.38499999999999</v>
      </c>
      <c r="W139" s="516">
        <f>SUM(W138:$AQ138)*$N139/100</f>
        <v>251.32499999999999</v>
      </c>
      <c r="X139" s="516">
        <f>SUM(X138:$AQ138)*$N139/100</f>
        <v>50.265000000000001</v>
      </c>
      <c r="Y139" s="516"/>
      <c r="Z139" s="516"/>
      <c r="AA139" s="516"/>
      <c r="AB139" s="516"/>
      <c r="AC139" s="516"/>
      <c r="AD139" s="516"/>
      <c r="AE139" s="516"/>
      <c r="AF139" s="516"/>
      <c r="AG139" s="516"/>
      <c r="AH139" s="516"/>
      <c r="AI139" s="516"/>
      <c r="AJ139" s="516"/>
      <c r="AK139" s="516"/>
      <c r="AL139" s="516"/>
      <c r="AM139" s="516"/>
      <c r="AN139" s="516"/>
      <c r="AO139" s="516"/>
      <c r="AP139" s="516"/>
      <c r="AQ139" s="516"/>
      <c r="AR139" s="516"/>
      <c r="AS139" s="516"/>
      <c r="AT139" s="516">
        <f t="shared" si="24"/>
        <v>4998.0165000000006</v>
      </c>
      <c r="AU139" s="577"/>
      <c r="AV139" s="518">
        <f t="shared" ref="AV139:AV144" si="25">SUM(Y139:AS139)</f>
        <v>0</v>
      </c>
      <c r="AW139" s="516">
        <f t="shared" ref="AW139:AW144" si="26">SUM(R139:X139,AV139)</f>
        <v>4998.0165000000006</v>
      </c>
    </row>
    <row r="140" spans="2:51" s="494" customFormat="1" x14ac:dyDescent="0.25">
      <c r="B140" s="495"/>
      <c r="C140" s="496">
        <v>2</v>
      </c>
      <c r="D140" s="497" t="s">
        <v>1139</v>
      </c>
      <c r="E140" s="498" t="s">
        <v>1141</v>
      </c>
      <c r="F140" s="497"/>
      <c r="G140" s="578">
        <v>44655</v>
      </c>
      <c r="H140" s="578">
        <v>55598</v>
      </c>
      <c r="I140" s="499" t="s">
        <v>224</v>
      </c>
      <c r="J140" s="500">
        <v>2209678</v>
      </c>
      <c r="K140" s="501"/>
      <c r="L140" s="501"/>
      <c r="M140" s="501"/>
      <c r="N140" s="502"/>
      <c r="O140" s="502"/>
      <c r="P140" s="502"/>
      <c r="Q140" s="574" t="s">
        <v>749</v>
      </c>
      <c r="R140" s="503">
        <v>81588</v>
      </c>
      <c r="S140" s="503">
        <v>81588</v>
      </c>
      <c r="T140" s="503">
        <v>81588</v>
      </c>
      <c r="U140" s="503">
        <v>81588</v>
      </c>
      <c r="V140" s="503">
        <v>81588</v>
      </c>
      <c r="W140" s="503">
        <v>81588</v>
      </c>
      <c r="X140" s="503">
        <v>81588</v>
      </c>
      <c r="Y140" s="503">
        <v>81588</v>
      </c>
      <c r="Z140" s="503">
        <v>81588</v>
      </c>
      <c r="AA140" s="503">
        <v>81588</v>
      </c>
      <c r="AB140" s="503">
        <v>81588</v>
      </c>
      <c r="AC140" s="503">
        <v>81588</v>
      </c>
      <c r="AD140" s="503">
        <v>81588</v>
      </c>
      <c r="AE140" s="503">
        <v>81588</v>
      </c>
      <c r="AF140" s="503">
        <v>81588</v>
      </c>
      <c r="AG140" s="503">
        <v>81588</v>
      </c>
      <c r="AH140" s="503">
        <v>81588</v>
      </c>
      <c r="AI140" s="503">
        <v>81588</v>
      </c>
      <c r="AJ140" s="503">
        <v>81588</v>
      </c>
      <c r="AK140" s="503">
        <v>81588</v>
      </c>
      <c r="AL140" s="503">
        <v>81588</v>
      </c>
      <c r="AM140" s="503">
        <v>81588</v>
      </c>
      <c r="AN140" s="503">
        <v>81588</v>
      </c>
      <c r="AO140" s="503">
        <v>81588</v>
      </c>
      <c r="AP140" s="503">
        <v>81588</v>
      </c>
      <c r="AQ140" s="503">
        <v>81588</v>
      </c>
      <c r="AR140" s="503">
        <v>81588</v>
      </c>
      <c r="AS140" s="503">
        <v>20400</v>
      </c>
      <c r="AT140" s="503">
        <f t="shared" si="24"/>
        <v>2223276</v>
      </c>
      <c r="AU140" s="575"/>
      <c r="AV140" s="506">
        <f t="shared" si="25"/>
        <v>1652160</v>
      </c>
      <c r="AW140" s="503">
        <f t="shared" si="26"/>
        <v>2223276</v>
      </c>
    </row>
    <row r="141" spans="2:51" x14ac:dyDescent="0.25">
      <c r="B141" s="508"/>
      <c r="C141" s="509"/>
      <c r="D141" s="512"/>
      <c r="E141" s="511"/>
      <c r="F141" s="512"/>
      <c r="G141" s="512"/>
      <c r="H141" s="512"/>
      <c r="I141" s="512"/>
      <c r="J141" s="513"/>
      <c r="K141" s="513"/>
      <c r="L141" s="513"/>
      <c r="M141" s="513"/>
      <c r="N141" s="515">
        <f>SUM(O141:P141)</f>
        <v>2.25</v>
      </c>
      <c r="O141" s="515">
        <v>2</v>
      </c>
      <c r="P141" s="515">
        <v>0.25</v>
      </c>
      <c r="Q141" s="576" t="s">
        <v>792</v>
      </c>
      <c r="R141" s="516">
        <v>66876.142079999991</v>
      </c>
      <c r="S141" s="516">
        <f>SUM(S140:$AS140)*$N141/100</f>
        <v>48187.98</v>
      </c>
      <c r="T141" s="516">
        <f>SUM(T140:$AS140)*$N141/100</f>
        <v>46352.25</v>
      </c>
      <c r="U141" s="516">
        <f>SUM(U140:$AS140)*$N141/100</f>
        <v>44516.52</v>
      </c>
      <c r="V141" s="516">
        <f>SUM(V140:$AS140)*$N141/100</f>
        <v>42680.79</v>
      </c>
      <c r="W141" s="516">
        <f>SUM(W140:$AS140)*$N141/100</f>
        <v>40845.06</v>
      </c>
      <c r="X141" s="516">
        <f>SUM(X140:$AS140)*$N141/100</f>
        <v>39009.33</v>
      </c>
      <c r="Y141" s="516">
        <f>SUM(Y140:$AS140)*$N141/100</f>
        <v>37173.599999999999</v>
      </c>
      <c r="Z141" s="516">
        <f>SUM(Z140:$AS140)*$N141/100</f>
        <v>35337.870000000003</v>
      </c>
      <c r="AA141" s="516">
        <f>SUM(AA140:$AS140)*$N141/100</f>
        <v>33502.14</v>
      </c>
      <c r="AB141" s="516">
        <f>SUM(AB140:$AS140)*$N141/100</f>
        <v>31666.41</v>
      </c>
      <c r="AC141" s="516">
        <f>SUM(AC140:$AS140)*$N141/100</f>
        <v>29830.68</v>
      </c>
      <c r="AD141" s="516">
        <f>SUM(AD140:$AS140)*$N141/100</f>
        <v>27994.95</v>
      </c>
      <c r="AE141" s="516">
        <f>SUM(AE140:$AS140)*$N141/100</f>
        <v>26159.22</v>
      </c>
      <c r="AF141" s="516">
        <f>SUM(AF140:$AS140)*$N141/100</f>
        <v>24323.49</v>
      </c>
      <c r="AG141" s="516">
        <f>SUM(AG140:$AS140)*$N141/100</f>
        <v>22487.759999999998</v>
      </c>
      <c r="AH141" s="516">
        <f>SUM(AH140:$AS140)*$N141/100</f>
        <v>20652.03</v>
      </c>
      <c r="AI141" s="516">
        <f>SUM(AI140:$AS140)*$N141/100</f>
        <v>18816.3</v>
      </c>
      <c r="AJ141" s="516">
        <f>SUM(AJ140:$AS140)*$N141/100</f>
        <v>16980.57</v>
      </c>
      <c r="AK141" s="516">
        <f>SUM(AK140:$AS140)*$N141/100</f>
        <v>15144.84</v>
      </c>
      <c r="AL141" s="516">
        <f>SUM(AL140:$AS140)*$N141/100</f>
        <v>13309.11</v>
      </c>
      <c r="AM141" s="516">
        <f>SUM(AM140:$AS140)*$N141/100</f>
        <v>11473.38</v>
      </c>
      <c r="AN141" s="516">
        <f>SUM(AN140:$AS140)*$N141/100</f>
        <v>9637.65</v>
      </c>
      <c r="AO141" s="516">
        <f>SUM(AO140:$AS140)*$N141/100</f>
        <v>7801.92</v>
      </c>
      <c r="AP141" s="516">
        <f>SUM(AP140:$AS140)*$N141/100</f>
        <v>5966.19</v>
      </c>
      <c r="AQ141" s="516">
        <f>SUM(AQ140:$AS140)*$N141/100</f>
        <v>4130.46</v>
      </c>
      <c r="AR141" s="516">
        <f>SUM(AR140:$AS140)*$N141/100</f>
        <v>2294.73</v>
      </c>
      <c r="AS141" s="516">
        <f>SUM(AS140:$AS140)*$N141/100</f>
        <v>459</v>
      </c>
      <c r="AT141" s="516">
        <f t="shared" si="24"/>
        <v>723610.37207999988</v>
      </c>
      <c r="AU141" s="505"/>
      <c r="AV141" s="518">
        <f t="shared" si="25"/>
        <v>395142.30000000005</v>
      </c>
      <c r="AW141" s="516">
        <f t="shared" si="26"/>
        <v>723610.37208000012</v>
      </c>
    </row>
    <row r="142" spans="2:51" s="484" customFormat="1" x14ac:dyDescent="0.25">
      <c r="B142" s="520"/>
      <c r="C142" s="521">
        <v>3</v>
      </c>
      <c r="D142" s="522" t="s">
        <v>1139</v>
      </c>
      <c r="E142" s="522"/>
      <c r="F142" s="522"/>
      <c r="G142" s="527" t="s">
        <v>1130</v>
      </c>
      <c r="H142" s="527">
        <v>49572</v>
      </c>
      <c r="I142" s="498" t="s">
        <v>224</v>
      </c>
      <c r="J142" s="500">
        <v>801681</v>
      </c>
      <c r="K142" s="501"/>
      <c r="L142" s="501"/>
      <c r="M142" s="501"/>
      <c r="N142" s="502"/>
      <c r="O142" s="502"/>
      <c r="P142" s="502"/>
      <c r="Q142" s="574" t="s">
        <v>749</v>
      </c>
      <c r="R142" s="503"/>
      <c r="S142" s="503">
        <f t="shared" ref="S142:AB142" si="27">$J$142/40*4</f>
        <v>80168.100000000006</v>
      </c>
      <c r="T142" s="503">
        <f t="shared" si="27"/>
        <v>80168.100000000006</v>
      </c>
      <c r="U142" s="503">
        <f t="shared" si="27"/>
        <v>80168.100000000006</v>
      </c>
      <c r="V142" s="503">
        <f t="shared" si="27"/>
        <v>80168.100000000006</v>
      </c>
      <c r="W142" s="503">
        <f t="shared" si="27"/>
        <v>80168.100000000006</v>
      </c>
      <c r="X142" s="503">
        <f t="shared" si="27"/>
        <v>80168.100000000006</v>
      </c>
      <c r="Y142" s="503">
        <f t="shared" si="27"/>
        <v>80168.100000000006</v>
      </c>
      <c r="Z142" s="503">
        <f t="shared" si="27"/>
        <v>80168.100000000006</v>
      </c>
      <c r="AA142" s="503">
        <f t="shared" si="27"/>
        <v>80168.100000000006</v>
      </c>
      <c r="AB142" s="503">
        <f t="shared" si="27"/>
        <v>80168.100000000006</v>
      </c>
      <c r="AC142" s="503"/>
      <c r="AD142" s="503"/>
      <c r="AE142" s="503"/>
      <c r="AF142" s="503"/>
      <c r="AG142" s="503"/>
      <c r="AH142" s="503"/>
      <c r="AI142" s="503"/>
      <c r="AJ142" s="503"/>
      <c r="AK142" s="503"/>
      <c r="AL142" s="503"/>
      <c r="AM142" s="503"/>
      <c r="AN142" s="503"/>
      <c r="AO142" s="503"/>
      <c r="AP142" s="503"/>
      <c r="AQ142" s="503"/>
      <c r="AR142" s="503"/>
      <c r="AS142" s="503"/>
      <c r="AT142" s="503">
        <f t="shared" si="24"/>
        <v>801680.99999999988</v>
      </c>
      <c r="AU142" s="579"/>
      <c r="AV142" s="506">
        <f t="shared" si="25"/>
        <v>320672.40000000002</v>
      </c>
      <c r="AW142" s="503">
        <f t="shared" si="26"/>
        <v>801681</v>
      </c>
    </row>
    <row r="143" spans="2:51" s="476" customFormat="1" x14ac:dyDescent="0.25">
      <c r="B143" s="524"/>
      <c r="C143" s="525"/>
      <c r="D143" s="526" t="s">
        <v>1142</v>
      </c>
      <c r="E143" s="511"/>
      <c r="F143" s="511"/>
      <c r="G143" s="511"/>
      <c r="H143" s="511"/>
      <c r="I143" s="511"/>
      <c r="J143" s="513"/>
      <c r="K143" s="513"/>
      <c r="L143" s="513"/>
      <c r="M143" s="513"/>
      <c r="N143" s="515">
        <f>SUM(O143:P143)</f>
        <v>2.25</v>
      </c>
      <c r="O143" s="515">
        <v>2</v>
      </c>
      <c r="P143" s="515">
        <v>0.25</v>
      </c>
      <c r="Q143" s="576" t="s">
        <v>792</v>
      </c>
      <c r="R143" s="516">
        <v>39402.621149999992</v>
      </c>
      <c r="S143" s="516">
        <f>SUM(S142:$AS142)*$N143/100</f>
        <v>18037.822499999998</v>
      </c>
      <c r="T143" s="516">
        <f>SUM(T142:$AS142)*$N143/100</f>
        <v>16234.040249999998</v>
      </c>
      <c r="U143" s="516">
        <f>SUM(U142:$AS142)*$N143/100</f>
        <v>14430.257999999998</v>
      </c>
      <c r="V143" s="516">
        <f>SUM(V142:$AS142)*$N143/100</f>
        <v>12626.47575</v>
      </c>
      <c r="W143" s="516">
        <f>SUM(W142:$AS142)*$N143/100</f>
        <v>10822.693499999999</v>
      </c>
      <c r="X143" s="516">
        <f>SUM(X142:$AS142)*$N143/100</f>
        <v>9018.9112499999992</v>
      </c>
      <c r="Y143" s="516">
        <f>SUM(Y142:$AS142)*$N143/100</f>
        <v>7215.1289999999999</v>
      </c>
      <c r="Z143" s="516">
        <f>SUM(Z142:$AS142)*$N143/100</f>
        <v>5411.3467500000006</v>
      </c>
      <c r="AA143" s="516">
        <f>SUM(AA142:$AS142)*$N143/100</f>
        <v>3607.5645</v>
      </c>
      <c r="AB143" s="516">
        <f>SUM(AB142:$AS142)*$N143/100</f>
        <v>1803.78225</v>
      </c>
      <c r="AC143" s="516">
        <f>SUM(AC142:$AS142)*$N143/100</f>
        <v>0</v>
      </c>
      <c r="AD143" s="516">
        <f>SUM(AD142:$AS142)*$N143/100</f>
        <v>0</v>
      </c>
      <c r="AE143" s="516">
        <f>SUM(AE142:$AS142)*$N143/100</f>
        <v>0</v>
      </c>
      <c r="AF143" s="516">
        <f>SUM(AF142:$AS142)*$N143/100</f>
        <v>0</v>
      </c>
      <c r="AG143" s="516">
        <f>SUM(AG142:$AS142)*$N143/100</f>
        <v>0</v>
      </c>
      <c r="AH143" s="516">
        <f>SUM(AH142:$AS142)*$N143/100</f>
        <v>0</v>
      </c>
      <c r="AI143" s="516">
        <f>SUM(AI142:$AS142)*$N143/100</f>
        <v>0</v>
      </c>
      <c r="AJ143" s="516">
        <f>SUM(AJ142:$AS142)*$N143/100</f>
        <v>0</v>
      </c>
      <c r="AK143" s="516">
        <f>SUM(AK142:$AS142)*$N143/100</f>
        <v>0</v>
      </c>
      <c r="AL143" s="516">
        <f>SUM(AL142:$AS142)*$N143/100</f>
        <v>0</v>
      </c>
      <c r="AM143" s="516">
        <f>SUM(AM142:$AS142)*$N143/100</f>
        <v>0</v>
      </c>
      <c r="AN143" s="516">
        <f>SUM(AN142:$AS142)*$N143/100</f>
        <v>0</v>
      </c>
      <c r="AO143" s="516">
        <f>SUM(AO142:$AS142)*$N143/100</f>
        <v>0</v>
      </c>
      <c r="AP143" s="516">
        <f>SUM(AP142:$AS142)*$N143/100</f>
        <v>0</v>
      </c>
      <c r="AQ143" s="516">
        <f>SUM(AQ142:$AS142)*$N143/100</f>
        <v>0</v>
      </c>
      <c r="AR143" s="516">
        <f>SUM(AR142:$AS142)*$N143/100</f>
        <v>0</v>
      </c>
      <c r="AS143" s="516">
        <f>SUM(AS142:$AS142)*$N143/100</f>
        <v>0</v>
      </c>
      <c r="AT143" s="516">
        <f t="shared" si="24"/>
        <v>138610.64489999998</v>
      </c>
      <c r="AU143" s="523"/>
      <c r="AV143" s="518">
        <f t="shared" si="25"/>
        <v>18037.822500000002</v>
      </c>
      <c r="AW143" s="516">
        <f t="shared" si="26"/>
        <v>138610.64489999998</v>
      </c>
    </row>
    <row r="144" spans="2:51" s="484" customFormat="1" x14ac:dyDescent="0.25">
      <c r="C144" s="579"/>
      <c r="D144" s="579"/>
      <c r="E144" s="579"/>
      <c r="F144" s="579"/>
      <c r="G144" s="579"/>
      <c r="H144" s="579"/>
      <c r="I144" s="579"/>
      <c r="J144" s="579"/>
      <c r="K144" s="579"/>
      <c r="L144" s="579"/>
      <c r="M144" s="579"/>
      <c r="N144" s="579"/>
      <c r="O144" s="579"/>
      <c r="P144" s="579"/>
      <c r="Q144" s="580" t="s">
        <v>1143</v>
      </c>
      <c r="R144" s="581">
        <f t="shared" ref="R144:AS144" si="28">SUM(R138:R143)</f>
        <v>198483.28972999999</v>
      </c>
      <c r="S144" s="581">
        <f t="shared" si="28"/>
        <v>237973.46750000003</v>
      </c>
      <c r="T144" s="581">
        <f t="shared" si="28"/>
        <v>234132.89525</v>
      </c>
      <c r="U144" s="581">
        <f t="shared" si="28"/>
        <v>230292.323</v>
      </c>
      <c r="V144" s="581">
        <f t="shared" si="28"/>
        <v>226451.75075000001</v>
      </c>
      <c r="W144" s="581">
        <f t="shared" si="28"/>
        <v>222611.17850000001</v>
      </c>
      <c r="X144" s="581">
        <f t="shared" si="28"/>
        <v>212068.60625000001</v>
      </c>
      <c r="Y144" s="581">
        <f t="shared" si="28"/>
        <v>206144.829</v>
      </c>
      <c r="Z144" s="581">
        <f t="shared" si="28"/>
        <v>202505.31675</v>
      </c>
      <c r="AA144" s="581">
        <f t="shared" si="28"/>
        <v>198865.8045</v>
      </c>
      <c r="AB144" s="581">
        <f t="shared" si="28"/>
        <v>195226.29225</v>
      </c>
      <c r="AC144" s="581">
        <f t="shared" si="28"/>
        <v>111418.68</v>
      </c>
      <c r="AD144" s="581">
        <f t="shared" si="28"/>
        <v>109582.95</v>
      </c>
      <c r="AE144" s="581">
        <f t="shared" si="28"/>
        <v>107747.22</v>
      </c>
      <c r="AF144" s="581">
        <f t="shared" si="28"/>
        <v>105911.49</v>
      </c>
      <c r="AG144" s="581">
        <f t="shared" si="28"/>
        <v>104075.76</v>
      </c>
      <c r="AH144" s="581">
        <f t="shared" si="28"/>
        <v>102240.03</v>
      </c>
      <c r="AI144" s="581">
        <f t="shared" si="28"/>
        <v>100404.3</v>
      </c>
      <c r="AJ144" s="581">
        <f t="shared" si="28"/>
        <v>98568.57</v>
      </c>
      <c r="AK144" s="581">
        <f t="shared" si="28"/>
        <v>96732.84</v>
      </c>
      <c r="AL144" s="581">
        <f t="shared" si="28"/>
        <v>94897.11</v>
      </c>
      <c r="AM144" s="581">
        <f t="shared" si="28"/>
        <v>93061.38</v>
      </c>
      <c r="AN144" s="581">
        <f t="shared" si="28"/>
        <v>91225.65</v>
      </c>
      <c r="AO144" s="581">
        <f t="shared" si="28"/>
        <v>89389.92</v>
      </c>
      <c r="AP144" s="581">
        <f t="shared" si="28"/>
        <v>87554.19</v>
      </c>
      <c r="AQ144" s="581">
        <f t="shared" si="28"/>
        <v>85718.46</v>
      </c>
      <c r="AR144" s="581">
        <f t="shared" si="28"/>
        <v>83882.73</v>
      </c>
      <c r="AS144" s="581">
        <f t="shared" si="28"/>
        <v>20859</v>
      </c>
      <c r="AT144" s="582">
        <f t="shared" si="24"/>
        <v>3948026.0334799988</v>
      </c>
      <c r="AU144" s="579"/>
      <c r="AV144" s="583">
        <f t="shared" si="25"/>
        <v>2386012.5225</v>
      </c>
      <c r="AW144" s="583">
        <f t="shared" si="26"/>
        <v>3948026.0334799998</v>
      </c>
    </row>
    <row r="147" spans="10:49" ht="30" x14ac:dyDescent="0.25">
      <c r="R147" s="489">
        <v>2026</v>
      </c>
      <c r="S147" s="489">
        <v>2027</v>
      </c>
      <c r="T147" s="489">
        <v>2028</v>
      </c>
      <c r="U147" s="489">
        <v>2029</v>
      </c>
      <c r="V147" s="489">
        <v>2030</v>
      </c>
      <c r="W147" s="489">
        <v>2031</v>
      </c>
      <c r="X147" s="489">
        <v>2032</v>
      </c>
      <c r="Y147" s="489">
        <v>2033</v>
      </c>
      <c r="Z147" s="489">
        <v>2034</v>
      </c>
      <c r="AA147" s="489">
        <v>2035</v>
      </c>
      <c r="AB147" s="489">
        <v>2036</v>
      </c>
      <c r="AC147" s="489">
        <v>2037</v>
      </c>
      <c r="AD147" s="489">
        <v>2038</v>
      </c>
      <c r="AE147" s="489">
        <v>2039</v>
      </c>
      <c r="AF147" s="489">
        <v>2040</v>
      </c>
      <c r="AG147" s="489">
        <v>2041</v>
      </c>
      <c r="AH147" s="489">
        <v>2042</v>
      </c>
      <c r="AI147" s="489">
        <v>2043</v>
      </c>
      <c r="AJ147" s="489">
        <v>2044</v>
      </c>
      <c r="AK147" s="489">
        <v>2045</v>
      </c>
      <c r="AL147" s="489">
        <v>2046</v>
      </c>
      <c r="AM147" s="489">
        <v>2047</v>
      </c>
      <c r="AN147" s="489">
        <v>2048</v>
      </c>
      <c r="AO147" s="489">
        <v>2049</v>
      </c>
      <c r="AP147" s="489">
        <v>2050</v>
      </c>
      <c r="AQ147" s="489">
        <v>2051</v>
      </c>
      <c r="AR147" s="489">
        <v>2052</v>
      </c>
      <c r="AS147" s="489">
        <v>2053</v>
      </c>
      <c r="AT147" s="488" t="s">
        <v>782</v>
      </c>
      <c r="AV147" s="487" t="s">
        <v>783</v>
      </c>
      <c r="AW147" s="488" t="s">
        <v>784</v>
      </c>
    </row>
    <row r="148" spans="10:49" x14ac:dyDescent="0.25">
      <c r="Q148" s="584" t="s">
        <v>1144</v>
      </c>
      <c r="R148" s="585">
        <f t="shared" ref="R148:AS149" si="29">R132</f>
        <v>3907497.16</v>
      </c>
      <c r="S148" s="585">
        <f t="shared" si="29"/>
        <v>3754664.4547222219</v>
      </c>
      <c r="T148" s="585">
        <f t="shared" si="29"/>
        <v>4196544.5494444445</v>
      </c>
      <c r="U148" s="585">
        <f t="shared" si="29"/>
        <v>4118450.5494444449</v>
      </c>
      <c r="V148" s="585">
        <f t="shared" si="29"/>
        <v>4050937.5494444449</v>
      </c>
      <c r="W148" s="585">
        <f t="shared" si="29"/>
        <v>3964479.2094444446</v>
      </c>
      <c r="X148" s="585">
        <f t="shared" si="29"/>
        <v>3257766.4994444447</v>
      </c>
      <c r="Y148" s="585">
        <f t="shared" si="29"/>
        <v>3095034.5394444447</v>
      </c>
      <c r="Z148" s="585">
        <f t="shared" si="29"/>
        <v>2725299.5494444445</v>
      </c>
      <c r="AA148" s="585">
        <f t="shared" si="29"/>
        <v>2426730.6869444442</v>
      </c>
      <c r="AB148" s="585">
        <f t="shared" si="29"/>
        <v>2187335.7744444446</v>
      </c>
      <c r="AC148" s="585">
        <f t="shared" si="29"/>
        <v>2076523.0644444444</v>
      </c>
      <c r="AD148" s="585">
        <f t="shared" si="29"/>
        <v>1941165.0644444444</v>
      </c>
      <c r="AE148" s="585">
        <f t="shared" si="29"/>
        <v>1638083.0644444444</v>
      </c>
      <c r="AF148" s="585">
        <f t="shared" si="29"/>
        <v>1597033.1044444444</v>
      </c>
      <c r="AG148" s="585">
        <f t="shared" si="29"/>
        <v>1580512.1344444444</v>
      </c>
      <c r="AH148" s="585">
        <f t="shared" si="29"/>
        <v>1573499.0644444444</v>
      </c>
      <c r="AI148" s="585">
        <f t="shared" si="29"/>
        <v>1573499.0644444444</v>
      </c>
      <c r="AJ148" s="585">
        <f t="shared" si="29"/>
        <v>1573499.0644444444</v>
      </c>
      <c r="AK148" s="585">
        <f t="shared" si="29"/>
        <v>1378923.5322222223</v>
      </c>
      <c r="AL148" s="585">
        <f t="shared" si="29"/>
        <v>1184348</v>
      </c>
      <c r="AM148" s="585">
        <f t="shared" si="29"/>
        <v>1184348</v>
      </c>
      <c r="AN148" s="585">
        <f t="shared" si="29"/>
        <v>867315.83000000007</v>
      </c>
      <c r="AO148" s="585">
        <f t="shared" si="29"/>
        <v>452632</v>
      </c>
      <c r="AP148" s="585">
        <f t="shared" si="29"/>
        <v>409981</v>
      </c>
      <c r="AQ148" s="585">
        <f t="shared" si="29"/>
        <v>55587.92</v>
      </c>
      <c r="AR148" s="585">
        <f t="shared" si="29"/>
        <v>0</v>
      </c>
      <c r="AS148" s="585">
        <f t="shared" si="29"/>
        <v>0</v>
      </c>
      <c r="AT148" s="586">
        <f>SUM(R148:AS148)</f>
        <v>56771690.430000007</v>
      </c>
      <c r="AV148" s="587">
        <f>SUM(Y148:AS148)</f>
        <v>29521350.458055563</v>
      </c>
      <c r="AW148" s="503">
        <f>SUM(R148:X148,AV148)</f>
        <v>56771690.430000007</v>
      </c>
    </row>
    <row r="149" spans="10:49" x14ac:dyDescent="0.25">
      <c r="Q149" s="584" t="s">
        <v>1145</v>
      </c>
      <c r="R149" s="585">
        <f t="shared" si="29"/>
        <v>1402431.3806191001</v>
      </c>
      <c r="S149" s="585">
        <f t="shared" si="29"/>
        <v>1326371.9640190999</v>
      </c>
      <c r="T149" s="585">
        <f t="shared" si="29"/>
        <v>1204188.6874929557</v>
      </c>
      <c r="U149" s="585">
        <f t="shared" si="29"/>
        <v>1203935.5528940668</v>
      </c>
      <c r="V149" s="585">
        <f t="shared" si="29"/>
        <v>1096793.2819751778</v>
      </c>
      <c r="W149" s="585">
        <f t="shared" si="29"/>
        <v>990587.25178628915</v>
      </c>
      <c r="X149" s="585">
        <f t="shared" si="29"/>
        <v>887124.00427279994</v>
      </c>
      <c r="Y149" s="585">
        <f t="shared" si="29"/>
        <v>799044.85845391126</v>
      </c>
      <c r="Z149" s="585">
        <f t="shared" si="29"/>
        <v>715862.11603332229</v>
      </c>
      <c r="AA149" s="585">
        <f t="shared" si="29"/>
        <v>642680.29552443337</v>
      </c>
      <c r="AB149" s="585">
        <f t="shared" si="29"/>
        <v>577568.22167554428</v>
      </c>
      <c r="AC149" s="585">
        <f t="shared" si="29"/>
        <v>518304.54470665567</v>
      </c>
      <c r="AD149" s="585">
        <f t="shared" si="29"/>
        <v>461661.42077776662</v>
      </c>
      <c r="AE149" s="585">
        <f t="shared" si="29"/>
        <v>409072.54682887776</v>
      </c>
      <c r="AF149" s="585">
        <f t="shared" si="29"/>
        <v>366042.87229998887</v>
      </c>
      <c r="AG149" s="585">
        <f t="shared" si="29"/>
        <v>324080.84477909998</v>
      </c>
      <c r="AH149" s="585">
        <f t="shared" si="29"/>
        <v>282569.87398431113</v>
      </c>
      <c r="AI149" s="585">
        <f t="shared" si="29"/>
        <v>241236.82477542217</v>
      </c>
      <c r="AJ149" s="585">
        <f t="shared" si="29"/>
        <v>199903.77556653335</v>
      </c>
      <c r="AK149" s="585">
        <f t="shared" si="29"/>
        <v>158570.72635764442</v>
      </c>
      <c r="AL149" s="585">
        <f t="shared" si="29"/>
        <v>121129.18779319999</v>
      </c>
      <c r="AM149" s="585">
        <f t="shared" si="29"/>
        <v>87579.159873199984</v>
      </c>
      <c r="AN149" s="585">
        <f t="shared" si="29"/>
        <v>54029.131953199991</v>
      </c>
      <c r="AO149" s="585">
        <f t="shared" si="29"/>
        <v>29303.884686399997</v>
      </c>
      <c r="AP149" s="585">
        <f t="shared" si="29"/>
        <v>15006.094726399999</v>
      </c>
      <c r="AQ149" s="585">
        <f t="shared" si="29"/>
        <v>1749.3202464000001</v>
      </c>
      <c r="AR149" s="585">
        <f t="shared" si="29"/>
        <v>0</v>
      </c>
      <c r="AS149" s="585">
        <f t="shared" si="29"/>
        <v>0</v>
      </c>
      <c r="AT149" s="586">
        <f>SUM(R149:AS149)</f>
        <v>14116827.824101804</v>
      </c>
      <c r="AV149" s="587">
        <f t="shared" ref="AV149:AV151" si="30">SUM(Y149:AS149)</f>
        <v>6005395.7010423113</v>
      </c>
      <c r="AW149" s="586">
        <f t="shared" ref="AW149:AW151" si="31">SUM(R149:X149,AV149)</f>
        <v>14116827.824101802</v>
      </c>
    </row>
    <row r="150" spans="10:49" x14ac:dyDescent="0.25">
      <c r="Q150" s="584" t="s">
        <v>1146</v>
      </c>
      <c r="R150" s="585">
        <f t="shared" ref="R150:AS150" si="32">R144</f>
        <v>198483.28972999999</v>
      </c>
      <c r="S150" s="585">
        <f t="shared" si="32"/>
        <v>237973.46750000003</v>
      </c>
      <c r="T150" s="585">
        <f t="shared" si="32"/>
        <v>234132.89525</v>
      </c>
      <c r="U150" s="585">
        <f t="shared" si="32"/>
        <v>230292.323</v>
      </c>
      <c r="V150" s="585">
        <f t="shared" si="32"/>
        <v>226451.75075000001</v>
      </c>
      <c r="W150" s="585">
        <f t="shared" si="32"/>
        <v>222611.17850000001</v>
      </c>
      <c r="X150" s="585">
        <f t="shared" si="32"/>
        <v>212068.60625000001</v>
      </c>
      <c r="Y150" s="585">
        <f t="shared" si="32"/>
        <v>206144.829</v>
      </c>
      <c r="Z150" s="585">
        <f t="shared" si="32"/>
        <v>202505.31675</v>
      </c>
      <c r="AA150" s="585">
        <f t="shared" si="32"/>
        <v>198865.8045</v>
      </c>
      <c r="AB150" s="585">
        <f t="shared" si="32"/>
        <v>195226.29225</v>
      </c>
      <c r="AC150" s="585">
        <f t="shared" si="32"/>
        <v>111418.68</v>
      </c>
      <c r="AD150" s="585">
        <f t="shared" si="32"/>
        <v>109582.95</v>
      </c>
      <c r="AE150" s="585">
        <f t="shared" si="32"/>
        <v>107747.22</v>
      </c>
      <c r="AF150" s="585">
        <f t="shared" si="32"/>
        <v>105911.49</v>
      </c>
      <c r="AG150" s="585">
        <f t="shared" si="32"/>
        <v>104075.76</v>
      </c>
      <c r="AH150" s="585">
        <f t="shared" si="32"/>
        <v>102240.03</v>
      </c>
      <c r="AI150" s="585">
        <f t="shared" si="32"/>
        <v>100404.3</v>
      </c>
      <c r="AJ150" s="585">
        <f t="shared" si="32"/>
        <v>98568.57</v>
      </c>
      <c r="AK150" s="585">
        <f t="shared" si="32"/>
        <v>96732.84</v>
      </c>
      <c r="AL150" s="585">
        <f t="shared" si="32"/>
        <v>94897.11</v>
      </c>
      <c r="AM150" s="585">
        <f t="shared" si="32"/>
        <v>93061.38</v>
      </c>
      <c r="AN150" s="585">
        <f t="shared" si="32"/>
        <v>91225.65</v>
      </c>
      <c r="AO150" s="585">
        <f t="shared" si="32"/>
        <v>89389.92</v>
      </c>
      <c r="AP150" s="585">
        <f t="shared" si="32"/>
        <v>87554.19</v>
      </c>
      <c r="AQ150" s="585">
        <f t="shared" si="32"/>
        <v>85718.46</v>
      </c>
      <c r="AR150" s="585">
        <f t="shared" si="32"/>
        <v>83882.73</v>
      </c>
      <c r="AS150" s="585">
        <f t="shared" si="32"/>
        <v>20859</v>
      </c>
      <c r="AT150" s="586">
        <f>SUM(R150:AS150)</f>
        <v>3948026.0334799988</v>
      </c>
      <c r="AV150" s="516">
        <f t="shared" si="30"/>
        <v>2386012.5225</v>
      </c>
      <c r="AW150" s="586">
        <f t="shared" si="31"/>
        <v>3948026.0334799998</v>
      </c>
    </row>
    <row r="151" spans="10:49" s="484" customFormat="1" x14ac:dyDescent="0.25">
      <c r="Q151" s="588" t="s">
        <v>1147</v>
      </c>
      <c r="R151" s="589">
        <f t="shared" ref="R151:AS151" si="33">SUM(R148:R150)</f>
        <v>5508411.8303491008</v>
      </c>
      <c r="S151" s="589">
        <f t="shared" si="33"/>
        <v>5319009.8862413224</v>
      </c>
      <c r="T151" s="589">
        <f t="shared" si="33"/>
        <v>5634866.1321874</v>
      </c>
      <c r="U151" s="589">
        <f t="shared" si="33"/>
        <v>5552678.4253385114</v>
      </c>
      <c r="V151" s="589">
        <f t="shared" si="33"/>
        <v>5374182.5821696222</v>
      </c>
      <c r="W151" s="589">
        <f t="shared" si="33"/>
        <v>5177677.6397307338</v>
      </c>
      <c r="X151" s="589">
        <f t="shared" si="33"/>
        <v>4356959.1099672448</v>
      </c>
      <c r="Y151" s="589">
        <f t="shared" si="33"/>
        <v>4100224.2268983559</v>
      </c>
      <c r="Z151" s="589">
        <f t="shared" si="33"/>
        <v>3643666.9822277669</v>
      </c>
      <c r="AA151" s="589">
        <f t="shared" si="33"/>
        <v>3268276.7869688775</v>
      </c>
      <c r="AB151" s="589">
        <f t="shared" si="33"/>
        <v>2960130.288369989</v>
      </c>
      <c r="AC151" s="589">
        <f t="shared" si="33"/>
        <v>2706246.2891511</v>
      </c>
      <c r="AD151" s="589">
        <f t="shared" si="33"/>
        <v>2512409.4352222113</v>
      </c>
      <c r="AE151" s="589">
        <f t="shared" si="33"/>
        <v>2154902.8312733225</v>
      </c>
      <c r="AF151" s="589">
        <f t="shared" si="33"/>
        <v>2068987.4667444334</v>
      </c>
      <c r="AG151" s="589">
        <f t="shared" si="33"/>
        <v>2008668.7392235445</v>
      </c>
      <c r="AH151" s="589">
        <f t="shared" si="33"/>
        <v>1958308.9684287554</v>
      </c>
      <c r="AI151" s="589">
        <f t="shared" si="33"/>
        <v>1915140.1892198666</v>
      </c>
      <c r="AJ151" s="589">
        <f t="shared" si="33"/>
        <v>1871971.4100109779</v>
      </c>
      <c r="AK151" s="589">
        <f t="shared" si="33"/>
        <v>1634227.0985798668</v>
      </c>
      <c r="AL151" s="589">
        <f t="shared" si="33"/>
        <v>1400374.2977932</v>
      </c>
      <c r="AM151" s="589">
        <f t="shared" si="33"/>
        <v>1364988.5398732</v>
      </c>
      <c r="AN151" s="589">
        <f t="shared" si="33"/>
        <v>1012570.6119532001</v>
      </c>
      <c r="AO151" s="589">
        <f t="shared" si="33"/>
        <v>571325.80468639999</v>
      </c>
      <c r="AP151" s="589">
        <f t="shared" si="33"/>
        <v>512541.28472639999</v>
      </c>
      <c r="AQ151" s="589">
        <f t="shared" si="33"/>
        <v>143055.7002464</v>
      </c>
      <c r="AR151" s="589">
        <f t="shared" si="33"/>
        <v>83882.73</v>
      </c>
      <c r="AS151" s="589">
        <f t="shared" si="33"/>
        <v>20859</v>
      </c>
      <c r="AT151" s="589">
        <f>SUM(R151:AS151)</f>
        <v>74836544.287581787</v>
      </c>
      <c r="AV151" s="589">
        <f t="shared" si="30"/>
        <v>37912758.681597866</v>
      </c>
      <c r="AW151" s="589">
        <f t="shared" si="31"/>
        <v>74836544.287581801</v>
      </c>
    </row>
    <row r="153" spans="10:49" s="484" customFormat="1" x14ac:dyDescent="0.25">
      <c r="Q153" s="588" t="s">
        <v>751</v>
      </c>
      <c r="R153" s="590">
        <f t="shared" ref="R153:AS153" si="34">R151/$Q$154</f>
        <v>0.13588265368427596</v>
      </c>
      <c r="S153" s="590">
        <f t="shared" si="34"/>
        <v>0.13121044696281614</v>
      </c>
      <c r="T153" s="590">
        <f t="shared" si="34"/>
        <v>0.13900205481708697</v>
      </c>
      <c r="U153" s="590">
        <f t="shared" si="34"/>
        <v>0.13697463129633242</v>
      </c>
      <c r="V153" s="590">
        <f t="shared" si="34"/>
        <v>0.13257145855101068</v>
      </c>
      <c r="W153" s="590">
        <f t="shared" si="34"/>
        <v>0.12772403358297232</v>
      </c>
      <c r="X153" s="590">
        <f t="shared" si="34"/>
        <v>0.10747837745071243</v>
      </c>
      <c r="Y153" s="590">
        <f t="shared" si="34"/>
        <v>0.10114518772576914</v>
      </c>
      <c r="Z153" s="590">
        <f t="shared" si="34"/>
        <v>8.9882738243902943E-2</v>
      </c>
      <c r="AA153" s="590">
        <f t="shared" si="34"/>
        <v>8.0622534491925371E-2</v>
      </c>
      <c r="AB153" s="590">
        <f t="shared" si="34"/>
        <v>7.302111229570564E-2</v>
      </c>
      <c r="AC153" s="590">
        <f t="shared" si="34"/>
        <v>6.6758248769095849E-2</v>
      </c>
      <c r="AD153" s="590">
        <f t="shared" si="34"/>
        <v>6.1976640765759698E-2</v>
      </c>
      <c r="AE153" s="590">
        <f t="shared" si="34"/>
        <v>5.3157593179924106E-2</v>
      </c>
      <c r="AF153" s="590">
        <f t="shared" si="34"/>
        <v>5.1038215020848175E-2</v>
      </c>
      <c r="AG153" s="590">
        <f t="shared" si="34"/>
        <v>4.9550260050372101E-2</v>
      </c>
      <c r="AH153" s="590">
        <f t="shared" si="34"/>
        <v>4.8307974704743878E-2</v>
      </c>
      <c r="AI153" s="590">
        <f t="shared" si="34"/>
        <v>4.7243078241684278E-2</v>
      </c>
      <c r="AJ153" s="590">
        <f t="shared" si="34"/>
        <v>4.6178181778624677E-2</v>
      </c>
      <c r="AK153" s="590">
        <f t="shared" si="34"/>
        <v>4.0313455441786328E-2</v>
      </c>
      <c r="AL153" s="590">
        <f t="shared" si="34"/>
        <v>3.4544725702423548E-2</v>
      </c>
      <c r="AM153" s="590">
        <f t="shared" si="34"/>
        <v>3.3671822434315095E-2</v>
      </c>
      <c r="AN153" s="590">
        <f t="shared" si="34"/>
        <v>2.4978303371734664E-2</v>
      </c>
      <c r="AO153" s="590">
        <f t="shared" si="34"/>
        <v>1.409358429436317E-2</v>
      </c>
      <c r="AP153" s="590">
        <f t="shared" si="34"/>
        <v>1.2643475476480022E-2</v>
      </c>
      <c r="AQ153" s="590">
        <f t="shared" si="34"/>
        <v>3.5289278966113922E-3</v>
      </c>
      <c r="AR153" s="590">
        <f t="shared" si="34"/>
        <v>2.0692367059198719E-3</v>
      </c>
      <c r="AS153" s="590">
        <f t="shared" si="34"/>
        <v>5.1455416924058874E-4</v>
      </c>
      <c r="AV153" s="591"/>
      <c r="AW153" s="591"/>
    </row>
    <row r="154" spans="10:49" x14ac:dyDescent="0.25">
      <c r="J154" s="592" t="s">
        <v>750</v>
      </c>
      <c r="Q154" s="593">
        <v>40538006</v>
      </c>
      <c r="R154" s="594"/>
      <c r="S154" s="594"/>
      <c r="T154" s="594"/>
      <c r="U154" s="594"/>
    </row>
    <row r="155" spans="10:49" x14ac:dyDescent="0.25">
      <c r="Q155" s="595"/>
      <c r="R155" s="564"/>
      <c r="S155" s="564"/>
      <c r="T155" s="564"/>
      <c r="U155" s="564"/>
      <c r="V155" s="564"/>
      <c r="W155" s="564"/>
      <c r="X155" s="564"/>
      <c r="Y155" s="564"/>
      <c r="Z155" s="564"/>
      <c r="AA155" s="564"/>
      <c r="AB155" s="564"/>
      <c r="AC155" s="564"/>
      <c r="AD155" s="564"/>
      <c r="AE155" s="564"/>
      <c r="AF155" s="564"/>
      <c r="AG155" s="564"/>
      <c r="AH155" s="564"/>
      <c r="AI155" s="564"/>
      <c r="AJ155" s="564"/>
      <c r="AK155" s="564"/>
      <c r="AL155" s="564"/>
      <c r="AM155" s="564"/>
      <c r="AN155" s="564"/>
      <c r="AO155" s="564"/>
      <c r="AP155" s="564"/>
      <c r="AQ155" s="564"/>
      <c r="AR155" s="564"/>
      <c r="AS155" s="564"/>
      <c r="AT155" s="564"/>
      <c r="AU155" s="564"/>
      <c r="AV155" s="564"/>
      <c r="AW155" s="564"/>
    </row>
  </sheetData>
  <pageMargins left="0.25" right="0.25" top="0.75" bottom="0.75" header="0.3" footer="0.3"/>
  <pageSetup paperSize="9" scale="4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2026.gada budzeta plans_apvieno</vt:lpstr>
      <vt:lpstr>Līgumu saraksts_30072026</vt:lpstr>
      <vt:lpstr>'2026.gada budzeta plans_apvieno'!Print_Area</vt:lpstr>
      <vt:lpstr>'2026.gada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2026-01-16T07:33:39Z</cp:lastPrinted>
  <dcterms:created xsi:type="dcterms:W3CDTF">2015-07-17T07:55:13Z</dcterms:created>
  <dcterms:modified xsi:type="dcterms:W3CDTF">2026-07-23T08:40:04Z</dcterms:modified>
</cp:coreProperties>
</file>