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andadminadazi-my.sharepoint.com/personal/sintijat_adazi_lv/Documents/Desktop/"/>
    </mc:Choice>
  </mc:AlternateContent>
  <xr:revisionPtr revIDLastSave="0" documentId="8_{BCDFEE32-55F6-4C3E-8A96-8982451A8C9C}" xr6:coauthVersionLast="47" xr6:coauthVersionMax="47" xr10:uidLastSave="{00000000-0000-0000-0000-000000000000}"/>
  <bookViews>
    <workbookView xWindow="-120" yWindow="-120" windowWidth="29040" windowHeight="15720" xr2:uid="{A02BCED6-D7DB-43F3-B225-C3CE5DCF2515}"/>
  </bookViews>
  <sheets>
    <sheet name="2026.gada budzeta plans_apvieno" sheetId="1" r:id="rId1"/>
    <sheet name="Līgumu saraksts_28052026" sheetId="2" r:id="rId2"/>
  </sheets>
  <externalReferences>
    <externalReference r:id="rId3"/>
  </externalReferences>
  <definedNames>
    <definedName name="_0812" localSheetId="1">#REF!</definedName>
    <definedName name="_0812">#REF!</definedName>
    <definedName name="_xlnm._FilterDatabase" localSheetId="0" hidden="1">'2026.gada budzeta plans_apvieno'!#REF!</definedName>
    <definedName name="_xlnm._FilterDatabase" localSheetId="1" hidden="1">'Līgumu saraksts_28052026'!$A$3:$AX$134</definedName>
    <definedName name="Apmaksa" localSheetId="0">#REF!</definedName>
    <definedName name="Apmaksa" localSheetId="1">#REF!</definedName>
    <definedName name="Apmaksa">#REF!</definedName>
    <definedName name="Darijums" localSheetId="0">#REF!</definedName>
    <definedName name="Darijums" localSheetId="1">#REF!</definedName>
    <definedName name="Darijums">#REF!</definedName>
    <definedName name="_xlnm.Print_Area" localSheetId="0">'2026.gada budzeta plans_apvieno'!$A$1:$T$313</definedName>
    <definedName name="_xlnm.Print_Titles" localSheetId="0">'2026.gada budzeta plans_apvieno'!$5:$5</definedName>
    <definedName name="Excel_BuiltIn__FilterDatabase" localSheetId="0">#REF!</definedName>
    <definedName name="Excel_BuiltIn__FilterDatabase" localSheetId="1">#REF!</definedName>
    <definedName name="Excel_BuiltIn__FilterDatabase">#REF!</definedName>
    <definedName name="Firmas" localSheetId="0">#REF!</definedName>
    <definedName name="Firmas" localSheetId="1">#REF!</definedName>
    <definedName name="Firmas">#REF!</definedName>
    <definedName name="Kolonnas_virsraksta_reģions1..B11.1" localSheetId="1">#REF!</definedName>
    <definedName name="Kolonnas_virsraksta_reģions1..B11.1">#REF!</definedName>
    <definedName name="Kolonnas_virsraksta_reģions1..D4" localSheetId="1">#REF!</definedName>
    <definedName name="Kolonnas_virsraksta_reģions1..D4">#REF!</definedName>
    <definedName name="Kolonnas_virsraksta_reģions2..D7" localSheetId="1">#REF!</definedName>
    <definedName name="Kolonnas_virsraksta_reģions2..D7">#REF!</definedName>
    <definedName name="Kolonnas_virsraksta_reģions3..C12" localSheetId="1">#REF!</definedName>
    <definedName name="Kolonnas_virsraksta_reģions3..C12">#REF!</definedName>
    <definedName name="KolonnasNosaukums1" localSheetId="1">#REF!</definedName>
    <definedName name="KolonnasNosaukums1">#REF!</definedName>
    <definedName name="Parvadataji" localSheetId="0">#REF!</definedName>
    <definedName name="Parvadataji" localSheetId="1">#REF!</definedName>
    <definedName name="Parvadataji">#REF!</definedName>
    <definedName name="Saist_apmers_ar_galvojumu" localSheetId="1">#REF!</definedName>
    <definedName name="Saist_apmers_ar_galvojumu">#REF!</definedName>
    <definedName name="Z_1893421C_DBAA_4C10_AA6C_4D0F39122205_.wvu.FilterData" localSheetId="0">#REF!</definedName>
    <definedName name="Z_1893421C_DBAA_4C10_AA6C_4D0F39122205_.wvu.FilterData" localSheetId="1">#REF!</definedName>
    <definedName name="Z_1893421C_DBAA_4C10_AA6C_4D0F39122205_.wvu.FilterData">#REF!</definedName>
    <definedName name="Z_483F8D4B_D649_4D59_A67B_5E8B6C0D2E28_.wvu.FilterData" localSheetId="0">#REF!</definedName>
    <definedName name="Z_483F8D4B_D649_4D59_A67B_5E8B6C0D2E28_.wvu.FilterData" localSheetId="1">#REF!</definedName>
    <definedName name="Z_483F8D4B_D649_4D59_A67B_5E8B6C0D2E28_.wvu.FilterData">#REF!</definedName>
    <definedName name="Z_56A06D27_97E5_4D01_ADCE_F8E0A2A870EF_.wvu.FilterData" localSheetId="0">#REF!</definedName>
    <definedName name="Z_56A06D27_97E5_4D01_ADCE_F8E0A2A870EF_.wvu.FilterData" localSheetId="1">#REF!</definedName>
    <definedName name="Z_56A06D27_97E5_4D01_ADCE_F8E0A2A870EF_.wvu.FilterData">#REF!</definedName>
    <definedName name="Z_81EB1DB6_89AB_4045_90FA_EF2BA7E792F9_.wvu.FilterData" localSheetId="0">#REF!</definedName>
    <definedName name="Z_81EB1DB6_89AB_4045_90FA_EF2BA7E792F9_.wvu.FilterData" localSheetId="1">#REF!</definedName>
    <definedName name="Z_81EB1DB6_89AB_4045_90FA_EF2BA7E792F9_.wvu.FilterData">#REF!</definedName>
    <definedName name="Z_81EB1DB6_89AB_4045_90FA_EF2BA7E792F9_.wvu.PrintArea" localSheetId="0">#REF!</definedName>
    <definedName name="Z_81EB1DB6_89AB_4045_90FA_EF2BA7E792F9_.wvu.PrintArea" localSheetId="1">#REF!</definedName>
    <definedName name="Z_81EB1DB6_89AB_4045_90FA_EF2BA7E792F9_.wvu.PrintArea">#REF!</definedName>
    <definedName name="Z_8545B4E6_A517_4BD7_BFB7_42FEB5F229AD_.wvu.FilterData" localSheetId="0">#REF!</definedName>
    <definedName name="Z_8545B4E6_A517_4BD7_BFB7_42FEB5F229AD_.wvu.FilterData" localSheetId="1">#REF!</definedName>
    <definedName name="Z_8545B4E6_A517_4BD7_BFB7_42FEB5F229AD_.wvu.FilterData">#REF!</definedName>
    <definedName name="Z_877A1030_2452_46B0_88DF_8A068656C08E_.wvu.FilterData" localSheetId="0">#REF!</definedName>
    <definedName name="Z_877A1030_2452_46B0_88DF_8A068656C08E_.wvu.FilterData" localSheetId="1">#REF!</definedName>
    <definedName name="Z_877A1030_2452_46B0_88DF_8A068656C08E_.wvu.FilterData">#REF!</definedName>
    <definedName name="Z_ABD8A783_3A6C_4629_9559_1E4E89E80131_.wvu.FilterData" localSheetId="0">#REF!</definedName>
    <definedName name="Z_ABD8A783_3A6C_4629_9559_1E4E89E80131_.wvu.FilterData" localSheetId="1">#REF!</definedName>
    <definedName name="Z_ABD8A783_3A6C_4629_9559_1E4E89E80131_.wvu.FilterData">#REF!</definedName>
    <definedName name="Z_AF277C95_CBD9_4696_AC72_D010599E9831_.wvu.FilterData" localSheetId="0">#REF!</definedName>
    <definedName name="Z_AF277C95_CBD9_4696_AC72_D010599E9831_.wvu.FilterData" localSheetId="1">#REF!</definedName>
    <definedName name="Z_AF277C95_CBD9_4696_AC72_D010599E9831_.wvu.FilterData">#REF!</definedName>
    <definedName name="Z_B7CBCF06_FF41_423A_9AB3_E1D1F70C6FC5_.wvu.FilterData" localSheetId="0">#REF!</definedName>
    <definedName name="Z_B7CBCF06_FF41_423A_9AB3_E1D1F70C6FC5_.wvu.FilterData" localSheetId="1">#REF!</definedName>
    <definedName name="Z_B7CBCF06_FF41_423A_9AB3_E1D1F70C6FC5_.wvu.FilterData">#REF!</definedName>
    <definedName name="Z_C5511FB8_86C5_41F3_ADCD_B10310F066F5_.wvu.FilterData" localSheetId="0">#REF!</definedName>
    <definedName name="Z_C5511FB8_86C5_41F3_ADCD_B10310F066F5_.wvu.FilterData" localSheetId="1">#REF!</definedName>
    <definedName name="Z_C5511FB8_86C5_41F3_ADCD_B10310F066F5_.wvu.FilterData">#REF!</definedName>
    <definedName name="Z_DB8ECBD1_2D44_4F97_BCC9_F610BA0A3109_.wvu.FilterData" localSheetId="0">#REF!</definedName>
    <definedName name="Z_DB8ECBD1_2D44_4F97_BCC9_F610BA0A3109_.wvu.FilterData" localSheetId="1">#REF!</definedName>
    <definedName name="Z_DB8ECBD1_2D44_4F97_BCC9_F610BA0A3109_.wvu.FilterData">#REF!</definedName>
    <definedName name="Z_DEE3A27E_689A_4E9F_A3EB_C84F1E3B413E_.wvu.FilterData" localSheetId="0">#REF!</definedName>
    <definedName name="Z_DEE3A27E_689A_4E9F_A3EB_C84F1E3B413E_.wvu.FilterData" localSheetId="1">#REF!</definedName>
    <definedName name="Z_DEE3A27E_689A_4E9F_A3EB_C84F1E3B413E_.wvu.FilterData">#REF!</definedName>
    <definedName name="Z_F1F489B9_0F61_4F1F_A151_75EF77465344_.wvu.Cols" localSheetId="0">#REF!</definedName>
    <definedName name="Z_F1F489B9_0F61_4F1F_A151_75EF77465344_.wvu.Cols" localSheetId="1">#REF!</definedName>
    <definedName name="Z_F1F489B9_0F61_4F1F_A151_75EF77465344_.wvu.Cols">#REF!</definedName>
    <definedName name="Z_F1F489B9_0F61_4F1F_A151_75EF77465344_.wvu.FilterData" localSheetId="0">#REF!</definedName>
    <definedName name="Z_F1F489B9_0F61_4F1F_A151_75EF77465344_.wvu.FilterData" localSheetId="1">#REF!</definedName>
    <definedName name="Z_F1F489B9_0F61_4F1F_A151_75EF77465344_.wvu.FilterData">#REF!</definedName>
    <definedName name="Z_F1F489B9_0F61_4F1F_A151_75EF77465344_.wvu.PrintArea" localSheetId="0">#REF!</definedName>
    <definedName name="Z_F1F489B9_0F61_4F1F_A151_75EF77465344_.wvu.PrintArea" localSheetId="1">#REF!</definedName>
    <definedName name="Z_F1F489B9_0F61_4F1F_A151_75EF77465344_.wvu.PrintArea">#REF!</definedName>
    <definedName name="Z_F1F489B9_0F61_4F1F_A151_75EF77465344_.wvu.PrintTitles" localSheetId="0">#REF!</definedName>
    <definedName name="Z_F1F489B9_0F61_4F1F_A151_75EF77465344_.wvu.PrintTitles" localSheetId="1">#REF!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77" i="1" l="1"/>
  <c r="R183" i="1"/>
  <c r="R199" i="1"/>
  <c r="R157" i="1"/>
  <c r="R150" i="2"/>
  <c r="AN148" i="2"/>
  <c r="AL148" i="2"/>
  <c r="AB148" i="2"/>
  <c r="R144" i="2"/>
  <c r="N143" i="2"/>
  <c r="AO143" i="2" s="1"/>
  <c r="AV142" i="2"/>
  <c r="AB142" i="2"/>
  <c r="AA142" i="2"/>
  <c r="Z142" i="2"/>
  <c r="Y142" i="2"/>
  <c r="X142" i="2"/>
  <c r="W142" i="2"/>
  <c r="V142" i="2"/>
  <c r="U142" i="2"/>
  <c r="T142" i="2"/>
  <c r="S142" i="2"/>
  <c r="AN141" i="2"/>
  <c r="AM141" i="2"/>
  <c r="AL141" i="2"/>
  <c r="AK141" i="2"/>
  <c r="AJ141" i="2"/>
  <c r="AB141" i="2"/>
  <c r="AA141" i="2"/>
  <c r="Z141" i="2"/>
  <c r="Y141" i="2"/>
  <c r="X141" i="2"/>
  <c r="N141" i="2"/>
  <c r="AI141" i="2" s="1"/>
  <c r="AV140" i="2"/>
  <c r="AW140" i="2" s="1"/>
  <c r="AT140" i="2"/>
  <c r="N139" i="2"/>
  <c r="X139" i="2" s="1"/>
  <c r="AV138" i="2"/>
  <c r="AW138" i="2" s="1"/>
  <c r="AT138" i="2"/>
  <c r="AS133" i="2"/>
  <c r="AS149" i="2" s="1"/>
  <c r="AR133" i="2"/>
  <c r="AR149" i="2" s="1"/>
  <c r="AS132" i="2"/>
  <c r="AS134" i="2" s="1"/>
  <c r="AR132" i="2"/>
  <c r="AQ132" i="2"/>
  <c r="AP132" i="2"/>
  <c r="AO132" i="2"/>
  <c r="AN132" i="2"/>
  <c r="AM132" i="2"/>
  <c r="AM148" i="2" s="1"/>
  <c r="AL132" i="2"/>
  <c r="AC132" i="2"/>
  <c r="AB132" i="2"/>
  <c r="Y132" i="2"/>
  <c r="T132" i="2"/>
  <c r="S132" i="2"/>
  <c r="K132" i="2"/>
  <c r="AV131" i="2"/>
  <c r="AW131" i="2" s="1"/>
  <c r="AU131" i="2"/>
  <c r="J131" i="2"/>
  <c r="AV129" i="2"/>
  <c r="P129" i="2"/>
  <c r="N129" i="2"/>
  <c r="U129" i="2" s="1"/>
  <c r="AV128" i="2"/>
  <c r="W128" i="2"/>
  <c r="V128" i="2"/>
  <c r="U128" i="2"/>
  <c r="T128" i="2"/>
  <c r="S128" i="2"/>
  <c r="AA127" i="2"/>
  <c r="V127" i="2"/>
  <c r="U127" i="2"/>
  <c r="P127" i="2"/>
  <c r="N127" i="2"/>
  <c r="AA126" i="2"/>
  <c r="Z126" i="2"/>
  <c r="AV126" i="2" s="1"/>
  <c r="Y126" i="2"/>
  <c r="X126" i="2"/>
  <c r="W126" i="2"/>
  <c r="V126" i="2"/>
  <c r="U126" i="2"/>
  <c r="T126" i="2"/>
  <c r="S126" i="2"/>
  <c r="P125" i="2"/>
  <c r="N125" i="2" s="1"/>
  <c r="AK124" i="2"/>
  <c r="AK132" i="2" s="1"/>
  <c r="AK148" i="2" s="1"/>
  <c r="AJ124" i="2"/>
  <c r="AJ132" i="2" s="1"/>
  <c r="AJ148" i="2" s="1"/>
  <c r="AI124" i="2"/>
  <c r="AI132" i="2" s="1"/>
  <c r="AH124" i="2"/>
  <c r="AH132" i="2" s="1"/>
  <c r="AG124" i="2"/>
  <c r="AG132" i="2" s="1"/>
  <c r="AF124" i="2"/>
  <c r="AF132" i="2" s="1"/>
  <c r="AE124" i="2"/>
  <c r="AE132" i="2" s="1"/>
  <c r="AD124" i="2"/>
  <c r="AD132" i="2" s="1"/>
  <c r="AC124" i="2"/>
  <c r="AB124" i="2"/>
  <c r="AA124" i="2"/>
  <c r="Z124" i="2"/>
  <c r="Y124" i="2"/>
  <c r="X124" i="2"/>
  <c r="W124" i="2"/>
  <c r="V124" i="2"/>
  <c r="U124" i="2"/>
  <c r="T124" i="2"/>
  <c r="S124" i="2"/>
  <c r="AI123" i="2"/>
  <c r="AH123" i="2"/>
  <c r="AF123" i="2"/>
  <c r="AC123" i="2"/>
  <c r="P123" i="2"/>
  <c r="N123" i="2" s="1"/>
  <c r="AC122" i="2"/>
  <c r="AB122" i="2"/>
  <c r="AA122" i="2"/>
  <c r="Z122" i="2"/>
  <c r="Y122" i="2"/>
  <c r="AV122" i="2" s="1"/>
  <c r="X122" i="2"/>
  <c r="X123" i="2" s="1"/>
  <c r="W122" i="2"/>
  <c r="W123" i="2" s="1"/>
  <c r="V122" i="2"/>
  <c r="V123" i="2" s="1"/>
  <c r="U122" i="2"/>
  <c r="T122" i="2"/>
  <c r="S122" i="2"/>
  <c r="R122" i="2"/>
  <c r="Y121" i="2"/>
  <c r="AV121" i="2" s="1"/>
  <c r="X121" i="2"/>
  <c r="W121" i="2"/>
  <c r="P121" i="2"/>
  <c r="N121" i="2"/>
  <c r="AV120" i="2"/>
  <c r="AA120" i="2"/>
  <c r="AA121" i="2" s="1"/>
  <c r="Z120" i="2"/>
  <c r="Z121" i="2" s="1"/>
  <c r="Y120" i="2"/>
  <c r="X120" i="2"/>
  <c r="W120" i="2"/>
  <c r="V120" i="2"/>
  <c r="U120" i="2"/>
  <c r="T120" i="2"/>
  <c r="S120" i="2"/>
  <c r="R120" i="2"/>
  <c r="R119" i="2"/>
  <c r="P119" i="2"/>
  <c r="N119" i="2" s="1"/>
  <c r="AF118" i="2"/>
  <c r="AE118" i="2"/>
  <c r="AD118" i="2"/>
  <c r="AC118" i="2"/>
  <c r="AB118" i="2"/>
  <c r="AA118" i="2"/>
  <c r="Z118" i="2"/>
  <c r="AV118" i="2" s="1"/>
  <c r="Y118" i="2"/>
  <c r="X118" i="2"/>
  <c r="AW118" i="2" s="1"/>
  <c r="W118" i="2"/>
  <c r="V118" i="2"/>
  <c r="U118" i="2"/>
  <c r="T118" i="2"/>
  <c r="AV117" i="2"/>
  <c r="P117" i="2"/>
  <c r="N117" i="2"/>
  <c r="R117" i="2" s="1"/>
  <c r="AW116" i="2"/>
  <c r="AV116" i="2"/>
  <c r="V116" i="2"/>
  <c r="U116" i="2"/>
  <c r="T116" i="2"/>
  <c r="S116" i="2"/>
  <c r="R116" i="2"/>
  <c r="AT116" i="2" s="1"/>
  <c r="AU116" i="2" s="1"/>
  <c r="AV115" i="2"/>
  <c r="P115" i="2"/>
  <c r="N115" i="2"/>
  <c r="AW114" i="2"/>
  <c r="AV114" i="2"/>
  <c r="T114" i="2"/>
  <c r="S114" i="2"/>
  <c r="R114" i="2"/>
  <c r="AT114" i="2" s="1"/>
  <c r="AU114" i="2" s="1"/>
  <c r="Z113" i="2"/>
  <c r="Y113" i="2"/>
  <c r="AV113" i="2" s="1"/>
  <c r="P113" i="2"/>
  <c r="N113" i="2"/>
  <c r="Y112" i="2"/>
  <c r="AV112" i="2" s="1"/>
  <c r="X112" i="2"/>
  <c r="X113" i="2" s="1"/>
  <c r="W112" i="2"/>
  <c r="V113" i="2" s="1"/>
  <c r="V112" i="2"/>
  <c r="U112" i="2"/>
  <c r="T112" i="2"/>
  <c r="S112" i="2"/>
  <c r="R112" i="2"/>
  <c r="N111" i="2"/>
  <c r="V111" i="2" s="1"/>
  <c r="AA110" i="2"/>
  <c r="Z110" i="2"/>
  <c r="Y110" i="2"/>
  <c r="AV110" i="2" s="1"/>
  <c r="X110" i="2"/>
  <c r="W110" i="2"/>
  <c r="V110" i="2"/>
  <c r="V132" i="2" s="1"/>
  <c r="U110" i="2"/>
  <c r="T110" i="2"/>
  <c r="S110" i="2"/>
  <c r="R110" i="2"/>
  <c r="AV109" i="2"/>
  <c r="P109" i="2"/>
  <c r="N109" i="2"/>
  <c r="U109" i="2" s="1"/>
  <c r="AV108" i="2"/>
  <c r="AW108" i="2" s="1"/>
  <c r="AT108" i="2"/>
  <c r="AU108" i="2" s="1"/>
  <c r="U108" i="2"/>
  <c r="W107" i="2"/>
  <c r="P107" i="2"/>
  <c r="N107" i="2"/>
  <c r="AW106" i="2"/>
  <c r="AV106" i="2"/>
  <c r="AU106" i="2"/>
  <c r="AT106" i="2"/>
  <c r="AC105" i="2"/>
  <c r="AB105" i="2"/>
  <c r="Z105" i="2"/>
  <c r="Y105" i="2"/>
  <c r="P105" i="2"/>
  <c r="N105" i="2"/>
  <c r="AT104" i="2"/>
  <c r="AU104" i="2" s="1"/>
  <c r="Z104" i="2"/>
  <c r="AV104" i="2" s="1"/>
  <c r="AW104" i="2" s="1"/>
  <c r="AV103" i="2"/>
  <c r="P103" i="2"/>
  <c r="N103" i="2"/>
  <c r="AV102" i="2"/>
  <c r="AW102" i="2" s="1"/>
  <c r="AU102" i="2"/>
  <c r="AT102" i="2"/>
  <c r="P101" i="2"/>
  <c r="N101" i="2" s="1"/>
  <c r="W101" i="2" s="1"/>
  <c r="AV100" i="2"/>
  <c r="AW100" i="2" s="1"/>
  <c r="AU100" i="2"/>
  <c r="AT100" i="2"/>
  <c r="AV99" i="2"/>
  <c r="AT99" i="2"/>
  <c r="AU99" i="2" s="1"/>
  <c r="U99" i="2"/>
  <c r="T99" i="2"/>
  <c r="S99" i="2"/>
  <c r="R99" i="2"/>
  <c r="AW99" i="2" s="1"/>
  <c r="P99" i="2"/>
  <c r="N99" i="2"/>
  <c r="AV98" i="2"/>
  <c r="R98" i="2"/>
  <c r="AT98" i="2" s="1"/>
  <c r="AU98" i="2" s="1"/>
  <c r="AV97" i="2"/>
  <c r="X97" i="2"/>
  <c r="W97" i="2"/>
  <c r="V97" i="2"/>
  <c r="T97" i="2"/>
  <c r="P97" i="2"/>
  <c r="N97" i="2"/>
  <c r="AW96" i="2"/>
  <c r="AV96" i="2"/>
  <c r="AT96" i="2"/>
  <c r="AU96" i="2" s="1"/>
  <c r="AV95" i="2"/>
  <c r="AW95" i="2" s="1"/>
  <c r="AT95" i="2"/>
  <c r="AU95" i="2" s="1"/>
  <c r="S95" i="2"/>
  <c r="P95" i="2"/>
  <c r="N95" i="2"/>
  <c r="R95" i="2" s="1"/>
  <c r="AV94" i="2"/>
  <c r="AW94" i="2" s="1"/>
  <c r="AT94" i="2"/>
  <c r="AU94" i="2" s="1"/>
  <c r="AV93" i="2"/>
  <c r="P93" i="2"/>
  <c r="N93" i="2" s="1"/>
  <c r="R93" i="2" s="1"/>
  <c r="AW92" i="2"/>
  <c r="AV92" i="2"/>
  <c r="AU92" i="2"/>
  <c r="AT92" i="2"/>
  <c r="AC91" i="2"/>
  <c r="AA91" i="2"/>
  <c r="P91" i="2"/>
  <c r="N91" i="2" s="1"/>
  <c r="Z90" i="2"/>
  <c r="Z91" i="2" s="1"/>
  <c r="R90" i="2"/>
  <c r="AV89" i="2"/>
  <c r="P89" i="2"/>
  <c r="N89" i="2"/>
  <c r="R89" i="2" s="1"/>
  <c r="AW88" i="2"/>
  <c r="AV88" i="2"/>
  <c r="AT88" i="2"/>
  <c r="AU88" i="2" s="1"/>
  <c r="AV87" i="2"/>
  <c r="P87" i="2"/>
  <c r="N87" i="2"/>
  <c r="S87" i="2" s="1"/>
  <c r="AV86" i="2"/>
  <c r="AW86" i="2" s="1"/>
  <c r="AT86" i="2"/>
  <c r="AU86" i="2" s="1"/>
  <c r="AV85" i="2"/>
  <c r="P85" i="2"/>
  <c r="N85" i="2" s="1"/>
  <c r="U85" i="2" s="1"/>
  <c r="AW84" i="2"/>
  <c r="AV84" i="2"/>
  <c r="AT84" i="2"/>
  <c r="AU84" i="2" s="1"/>
  <c r="AV83" i="2"/>
  <c r="P83" i="2"/>
  <c r="N83" i="2"/>
  <c r="T83" i="2" s="1"/>
  <c r="AV82" i="2"/>
  <c r="AW82" i="2" s="1"/>
  <c r="AU82" i="2"/>
  <c r="AT82" i="2"/>
  <c r="AF81" i="2"/>
  <c r="AC81" i="2"/>
  <c r="AB81" i="2"/>
  <c r="Z81" i="2"/>
  <c r="Y81" i="2"/>
  <c r="W81" i="2"/>
  <c r="V81" i="2"/>
  <c r="U81" i="2"/>
  <c r="T81" i="2"/>
  <c r="R81" i="2"/>
  <c r="P81" i="2"/>
  <c r="N81" i="2" s="1"/>
  <c r="AV80" i="2"/>
  <c r="AW80" i="2" s="1"/>
  <c r="AT80" i="2"/>
  <c r="AU80" i="2" s="1"/>
  <c r="T80" i="2"/>
  <c r="AV79" i="2"/>
  <c r="P79" i="2"/>
  <c r="N79" i="2"/>
  <c r="R79" i="2" s="1"/>
  <c r="AV78" i="2"/>
  <c r="AW78" i="2" s="1"/>
  <c r="AU78" i="2"/>
  <c r="AT78" i="2"/>
  <c r="AF77" i="2"/>
  <c r="AE77" i="2"/>
  <c r="AD77" i="2"/>
  <c r="AC77" i="2"/>
  <c r="AB77" i="2"/>
  <c r="Z77" i="2"/>
  <c r="Y77" i="2"/>
  <c r="P77" i="2"/>
  <c r="N77" i="2"/>
  <c r="AV76" i="2"/>
  <c r="AW76" i="2" s="1"/>
  <c r="AT76" i="2"/>
  <c r="AU76" i="2" s="1"/>
  <c r="P75" i="2"/>
  <c r="N75" i="2"/>
  <c r="AG75" i="2" s="1"/>
  <c r="AV74" i="2"/>
  <c r="AW74" i="2" s="1"/>
  <c r="AU74" i="2"/>
  <c r="AT74" i="2"/>
  <c r="AQ73" i="2"/>
  <c r="AO73" i="2"/>
  <c r="AN73" i="2"/>
  <c r="AM73" i="2"/>
  <c r="AL73" i="2"/>
  <c r="AK73" i="2"/>
  <c r="AJ73" i="2"/>
  <c r="AD73" i="2"/>
  <c r="AA73" i="2"/>
  <c r="Z73" i="2"/>
  <c r="Y73" i="2"/>
  <c r="X73" i="2"/>
  <c r="V73" i="2"/>
  <c r="U73" i="2"/>
  <c r="T73" i="2"/>
  <c r="R73" i="2"/>
  <c r="P73" i="2"/>
  <c r="N73" i="2"/>
  <c r="AC73" i="2" s="1"/>
  <c r="AW72" i="2"/>
  <c r="AV72" i="2"/>
  <c r="AT72" i="2"/>
  <c r="AU72" i="2" s="1"/>
  <c r="AD71" i="2"/>
  <c r="AB71" i="2"/>
  <c r="AA71" i="2"/>
  <c r="P71" i="2"/>
  <c r="N71" i="2" s="1"/>
  <c r="S71" i="2" s="1"/>
  <c r="AW70" i="2"/>
  <c r="AV70" i="2"/>
  <c r="AU70" i="2"/>
  <c r="AT70" i="2"/>
  <c r="AJ69" i="2"/>
  <c r="AI69" i="2"/>
  <c r="AF69" i="2"/>
  <c r="AE69" i="2"/>
  <c r="P69" i="2"/>
  <c r="N69" i="2" s="1"/>
  <c r="AW68" i="2"/>
  <c r="AV68" i="2"/>
  <c r="AT68" i="2"/>
  <c r="AU68" i="2" s="1"/>
  <c r="AK67" i="2"/>
  <c r="AI67" i="2"/>
  <c r="AG67" i="2"/>
  <c r="AF67" i="2"/>
  <c r="AE67" i="2"/>
  <c r="S67" i="2"/>
  <c r="P67" i="2"/>
  <c r="N67" i="2"/>
  <c r="AW66" i="2"/>
  <c r="AV66" i="2"/>
  <c r="AT66" i="2"/>
  <c r="AU66" i="2" s="1"/>
  <c r="AV65" i="2"/>
  <c r="W65" i="2"/>
  <c r="V65" i="2"/>
  <c r="U65" i="2"/>
  <c r="T65" i="2"/>
  <c r="S65" i="2"/>
  <c r="R65" i="2"/>
  <c r="P65" i="2"/>
  <c r="N65" i="2"/>
  <c r="AW64" i="2"/>
  <c r="AV64" i="2"/>
  <c r="AT64" i="2"/>
  <c r="AU64" i="2" s="1"/>
  <c r="AQ63" i="2"/>
  <c r="AP63" i="2"/>
  <c r="AE63" i="2"/>
  <c r="AD63" i="2"/>
  <c r="AC63" i="2"/>
  <c r="AB63" i="2"/>
  <c r="Y63" i="2"/>
  <c r="W63" i="2"/>
  <c r="P63" i="2"/>
  <c r="N63" i="2"/>
  <c r="AM63" i="2" s="1"/>
  <c r="AW62" i="2"/>
  <c r="AV62" i="2"/>
  <c r="AU62" i="2"/>
  <c r="AT62" i="2"/>
  <c r="AE61" i="2"/>
  <c r="AC61" i="2"/>
  <c r="AB61" i="2"/>
  <c r="Z61" i="2"/>
  <c r="W61" i="2"/>
  <c r="V61" i="2"/>
  <c r="T61" i="2"/>
  <c r="S61" i="2"/>
  <c r="R61" i="2"/>
  <c r="P61" i="2"/>
  <c r="N61" i="2"/>
  <c r="AD61" i="2" s="1"/>
  <c r="AV60" i="2"/>
  <c r="AW60" i="2" s="1"/>
  <c r="AT60" i="2"/>
  <c r="AU60" i="2" s="1"/>
  <c r="AO59" i="2"/>
  <c r="AN59" i="2"/>
  <c r="AM59" i="2"/>
  <c r="AK59" i="2"/>
  <c r="AJ59" i="2"/>
  <c r="AC59" i="2"/>
  <c r="AA59" i="2"/>
  <c r="Y59" i="2"/>
  <c r="X59" i="2"/>
  <c r="W59" i="2"/>
  <c r="V59" i="2"/>
  <c r="U59" i="2"/>
  <c r="S59" i="2"/>
  <c r="P59" i="2"/>
  <c r="N59" i="2"/>
  <c r="AD59" i="2" s="1"/>
  <c r="AW58" i="2"/>
  <c r="AV58" i="2"/>
  <c r="AT58" i="2"/>
  <c r="AU58" i="2" s="1"/>
  <c r="AA57" i="2"/>
  <c r="Z57" i="2"/>
  <c r="P57" i="2"/>
  <c r="N57" i="2"/>
  <c r="R57" i="2" s="1"/>
  <c r="AV56" i="2"/>
  <c r="AW56" i="2" s="1"/>
  <c r="AT56" i="2"/>
  <c r="AU56" i="2" s="1"/>
  <c r="AF55" i="2"/>
  <c r="AE55" i="2"/>
  <c r="AC55" i="2"/>
  <c r="AB55" i="2"/>
  <c r="P55" i="2"/>
  <c r="N55" i="2"/>
  <c r="AW54" i="2"/>
  <c r="AV54" i="2"/>
  <c r="AU54" i="2"/>
  <c r="AT54" i="2"/>
  <c r="AE53" i="2"/>
  <c r="AD53" i="2"/>
  <c r="AB53" i="2"/>
  <c r="AA53" i="2"/>
  <c r="Y53" i="2"/>
  <c r="W53" i="2"/>
  <c r="V53" i="2"/>
  <c r="P53" i="2"/>
  <c r="N53" i="2" s="1"/>
  <c r="AV52" i="2"/>
  <c r="AW52" i="2" s="1"/>
  <c r="AU52" i="2"/>
  <c r="AT52" i="2"/>
  <c r="P51" i="2"/>
  <c r="N51" i="2"/>
  <c r="AW50" i="2"/>
  <c r="AV50" i="2"/>
  <c r="AU50" i="2"/>
  <c r="AT50" i="2"/>
  <c r="AJ49" i="2"/>
  <c r="AI49" i="2"/>
  <c r="AH49" i="2"/>
  <c r="AG49" i="2"/>
  <c r="AF49" i="2"/>
  <c r="U49" i="2"/>
  <c r="T49" i="2"/>
  <c r="S49" i="2"/>
  <c r="P49" i="2"/>
  <c r="N49" i="2"/>
  <c r="AV48" i="2"/>
  <c r="AW48" i="2" s="1"/>
  <c r="AT48" i="2"/>
  <c r="AU48" i="2" s="1"/>
  <c r="AV47" i="2"/>
  <c r="P47" i="2"/>
  <c r="N47" i="2" s="1"/>
  <c r="U47" i="2" s="1"/>
  <c r="AV46" i="2"/>
  <c r="AW46" i="2" s="1"/>
  <c r="AT46" i="2"/>
  <c r="AU46" i="2" s="1"/>
  <c r="Y45" i="2"/>
  <c r="X45" i="2"/>
  <c r="V45" i="2"/>
  <c r="U45" i="2"/>
  <c r="T45" i="2"/>
  <c r="S45" i="2"/>
  <c r="P45" i="2"/>
  <c r="N45" i="2"/>
  <c r="AV44" i="2"/>
  <c r="AW44" i="2" s="1"/>
  <c r="AT44" i="2"/>
  <c r="AU44" i="2" s="1"/>
  <c r="AD43" i="2"/>
  <c r="AC43" i="2"/>
  <c r="AB43" i="2"/>
  <c r="P43" i="2"/>
  <c r="N43" i="2"/>
  <c r="AW42" i="2"/>
  <c r="AV42" i="2"/>
  <c r="AT42" i="2"/>
  <c r="AU42" i="2" s="1"/>
  <c r="AD41" i="2"/>
  <c r="AB41" i="2"/>
  <c r="AA41" i="2"/>
  <c r="Z41" i="2"/>
  <c r="X41" i="2"/>
  <c r="W41" i="2"/>
  <c r="V41" i="2"/>
  <c r="T41" i="2"/>
  <c r="S41" i="2"/>
  <c r="P41" i="2"/>
  <c r="N41" i="2"/>
  <c r="AC41" i="2" s="1"/>
  <c r="AW40" i="2"/>
  <c r="AV40" i="2"/>
  <c r="AT40" i="2"/>
  <c r="AU40" i="2" s="1"/>
  <c r="AV39" i="2"/>
  <c r="T39" i="2"/>
  <c r="P39" i="2"/>
  <c r="N39" i="2"/>
  <c r="R39" i="2" s="1"/>
  <c r="AW38" i="2"/>
  <c r="AV38" i="2"/>
  <c r="AU38" i="2"/>
  <c r="AT38" i="2"/>
  <c r="Y37" i="2"/>
  <c r="AV37" i="2" s="1"/>
  <c r="X37" i="2"/>
  <c r="W37" i="2"/>
  <c r="V37" i="2"/>
  <c r="U37" i="2"/>
  <c r="P37" i="2"/>
  <c r="N37" i="2" s="1"/>
  <c r="AW36" i="2"/>
  <c r="AV36" i="2"/>
  <c r="AT36" i="2"/>
  <c r="AU36" i="2" s="1"/>
  <c r="P35" i="2"/>
  <c r="N35" i="2" s="1"/>
  <c r="AV34" i="2"/>
  <c r="AW34" i="2" s="1"/>
  <c r="AU34" i="2"/>
  <c r="AT34" i="2"/>
  <c r="AC33" i="2"/>
  <c r="AB33" i="2"/>
  <c r="AA33" i="2"/>
  <c r="Z33" i="2"/>
  <c r="Y33" i="2"/>
  <c r="P33" i="2"/>
  <c r="N33" i="2"/>
  <c r="W33" i="2" s="1"/>
  <c r="AW32" i="2"/>
  <c r="AV32" i="2"/>
  <c r="AT32" i="2"/>
  <c r="AU32" i="2" s="1"/>
  <c r="AH31" i="2"/>
  <c r="AG31" i="2"/>
  <c r="AF31" i="2"/>
  <c r="AE31" i="2"/>
  <c r="AD31" i="2"/>
  <c r="T31" i="2"/>
  <c r="S31" i="2"/>
  <c r="R31" i="2"/>
  <c r="P31" i="2"/>
  <c r="N31" i="2"/>
  <c r="AV30" i="2"/>
  <c r="AW30" i="2" s="1"/>
  <c r="AT30" i="2"/>
  <c r="AU30" i="2" s="1"/>
  <c r="AN29" i="2"/>
  <c r="AM29" i="2"/>
  <c r="AL29" i="2"/>
  <c r="AK29" i="2"/>
  <c r="AI29" i="2"/>
  <c r="Z29" i="2"/>
  <c r="Y29" i="2"/>
  <c r="W29" i="2"/>
  <c r="P29" i="2"/>
  <c r="N29" i="2" s="1"/>
  <c r="AV28" i="2"/>
  <c r="AW28" i="2" s="1"/>
  <c r="AU28" i="2"/>
  <c r="AT28" i="2"/>
  <c r="AV27" i="2"/>
  <c r="P27" i="2"/>
  <c r="N27" i="2" s="1"/>
  <c r="AV26" i="2"/>
  <c r="AW26" i="2" s="1"/>
  <c r="AT26" i="2"/>
  <c r="AU26" i="2" s="1"/>
  <c r="P25" i="2"/>
  <c r="N25" i="2"/>
  <c r="AD25" i="2" s="1"/>
  <c r="AW24" i="2"/>
  <c r="AV24" i="2"/>
  <c r="AU24" i="2"/>
  <c r="AT24" i="2"/>
  <c r="X23" i="2"/>
  <c r="W23" i="2"/>
  <c r="V23" i="2"/>
  <c r="U23" i="2"/>
  <c r="T23" i="2"/>
  <c r="P23" i="2"/>
  <c r="N23" i="2"/>
  <c r="AV22" i="2"/>
  <c r="AW22" i="2" s="1"/>
  <c r="AU22" i="2"/>
  <c r="AT22" i="2"/>
  <c r="P21" i="2"/>
  <c r="N21" i="2"/>
  <c r="AD21" i="2" s="1"/>
  <c r="AV20" i="2"/>
  <c r="AW20" i="2" s="1"/>
  <c r="AU20" i="2"/>
  <c r="AT20" i="2"/>
  <c r="AD19" i="2"/>
  <c r="AC19" i="2"/>
  <c r="AA19" i="2"/>
  <c r="Z19" i="2"/>
  <c r="Y19" i="2"/>
  <c r="P19" i="2"/>
  <c r="N19" i="2" s="1"/>
  <c r="AV18" i="2"/>
  <c r="AW18" i="2" s="1"/>
  <c r="AT18" i="2"/>
  <c r="AU18" i="2" s="1"/>
  <c r="AL17" i="2"/>
  <c r="AK17" i="2"/>
  <c r="AJ17" i="2"/>
  <c r="AI17" i="2"/>
  <c r="AH17" i="2"/>
  <c r="AG17" i="2"/>
  <c r="AF17" i="2"/>
  <c r="AE17" i="2"/>
  <c r="AA17" i="2"/>
  <c r="Y17" i="2"/>
  <c r="X17" i="2"/>
  <c r="W17" i="2"/>
  <c r="V17" i="2"/>
  <c r="U17" i="2"/>
  <c r="T17" i="2"/>
  <c r="S17" i="2"/>
  <c r="R17" i="2"/>
  <c r="P17" i="2"/>
  <c r="N17" i="2"/>
  <c r="AM17" i="2" s="1"/>
  <c r="AW16" i="2"/>
  <c r="AV16" i="2"/>
  <c r="AT16" i="2"/>
  <c r="AU16" i="2" s="1"/>
  <c r="AV15" i="2"/>
  <c r="X15" i="2"/>
  <c r="W15" i="2"/>
  <c r="P15" i="2"/>
  <c r="N15" i="2"/>
  <c r="V15" i="2" s="1"/>
  <c r="AV14" i="2"/>
  <c r="AW14" i="2" s="1"/>
  <c r="AT14" i="2"/>
  <c r="AU14" i="2" s="1"/>
  <c r="AV13" i="2"/>
  <c r="T13" i="2"/>
  <c r="P13" i="2"/>
  <c r="N13" i="2"/>
  <c r="AV12" i="2"/>
  <c r="AW12" i="2" s="1"/>
  <c r="AU12" i="2"/>
  <c r="AT12" i="2"/>
  <c r="AV11" i="2"/>
  <c r="AW11" i="2" s="1"/>
  <c r="AT11" i="2"/>
  <c r="AU11" i="2" s="1"/>
  <c r="P11" i="2"/>
  <c r="N11" i="2"/>
  <c r="AW10" i="2"/>
  <c r="AV10" i="2"/>
  <c r="AT10" i="2"/>
  <c r="AU10" i="2" s="1"/>
  <c r="AV9" i="2"/>
  <c r="X9" i="2"/>
  <c r="W9" i="2"/>
  <c r="V9" i="2"/>
  <c r="U9" i="2"/>
  <c r="T9" i="2"/>
  <c r="S9" i="2"/>
  <c r="P9" i="2"/>
  <c r="N9" i="2"/>
  <c r="R9" i="2" s="1"/>
  <c r="AV8" i="2"/>
  <c r="AW8" i="2" s="1"/>
  <c r="AT8" i="2"/>
  <c r="AU8" i="2" s="1"/>
  <c r="P7" i="2"/>
  <c r="N7" i="2"/>
  <c r="AV6" i="2"/>
  <c r="AW6" i="2" s="1"/>
  <c r="AU6" i="2"/>
  <c r="AT6" i="2"/>
  <c r="S35" i="2" l="1"/>
  <c r="X35" i="2"/>
  <c r="AC35" i="2"/>
  <c r="V35" i="2"/>
  <c r="AB35" i="2"/>
  <c r="AA35" i="2"/>
  <c r="Z35" i="2"/>
  <c r="W35" i="2"/>
  <c r="Y35" i="2"/>
  <c r="AD35" i="2"/>
  <c r="U35" i="2"/>
  <c r="T35" i="2"/>
  <c r="R35" i="2"/>
  <c r="AT79" i="2"/>
  <c r="AU79" i="2" s="1"/>
  <c r="AW79" i="2"/>
  <c r="T148" i="2"/>
  <c r="S143" i="2"/>
  <c r="U75" i="2"/>
  <c r="S101" i="2"/>
  <c r="R111" i="2"/>
  <c r="AF148" i="2"/>
  <c r="AM143" i="2"/>
  <c r="AA143" i="2"/>
  <c r="AL143" i="2"/>
  <c r="Z143" i="2"/>
  <c r="Z144" i="2" s="1"/>
  <c r="Z150" i="2" s="1"/>
  <c r="AK143" i="2"/>
  <c r="AK144" i="2" s="1"/>
  <c r="AK150" i="2" s="1"/>
  <c r="Y143" i="2"/>
  <c r="Y144" i="2" s="1"/>
  <c r="Y150" i="2" s="1"/>
  <c r="AJ143" i="2"/>
  <c r="X143" i="2"/>
  <c r="AI143" i="2"/>
  <c r="W143" i="2"/>
  <c r="AH143" i="2"/>
  <c r="V143" i="2"/>
  <c r="AS143" i="2"/>
  <c r="AG143" i="2"/>
  <c r="U143" i="2"/>
  <c r="AC143" i="2"/>
  <c r="AB143" i="2"/>
  <c r="AB144" i="2" s="1"/>
  <c r="AB150" i="2" s="1"/>
  <c r="T143" i="2"/>
  <c r="AN143" i="2"/>
  <c r="AN144" i="2" s="1"/>
  <c r="AN150" i="2" s="1"/>
  <c r="AF143" i="2"/>
  <c r="AD143" i="2"/>
  <c r="AP143" i="2"/>
  <c r="AR143" i="2"/>
  <c r="AQ143" i="2"/>
  <c r="AE143" i="2"/>
  <c r="AJ29" i="2"/>
  <c r="X29" i="2"/>
  <c r="AH29" i="2"/>
  <c r="U29" i="2"/>
  <c r="AG29" i="2"/>
  <c r="S29" i="2"/>
  <c r="AF29" i="2"/>
  <c r="AV29" i="2" s="1"/>
  <c r="R29" i="2"/>
  <c r="AE29" i="2"/>
  <c r="AD29" i="2"/>
  <c r="AB29" i="2"/>
  <c r="AA29" i="2"/>
  <c r="AC29" i="2"/>
  <c r="Z43" i="2"/>
  <c r="W43" i="2"/>
  <c r="T43" i="2"/>
  <c r="Y43" i="2"/>
  <c r="AV43" i="2" s="1"/>
  <c r="X43" i="2"/>
  <c r="V43" i="2"/>
  <c r="U43" i="2"/>
  <c r="R43" i="2"/>
  <c r="S43" i="2"/>
  <c r="AJ55" i="2"/>
  <c r="X55" i="2"/>
  <c r="AD55" i="2"/>
  <c r="AN55" i="2"/>
  <c r="AA55" i="2"/>
  <c r="Y55" i="2"/>
  <c r="AV55" i="2" s="1"/>
  <c r="S55" i="2"/>
  <c r="R55" i="2"/>
  <c r="AM55" i="2"/>
  <c r="W55" i="2"/>
  <c r="AL55" i="2"/>
  <c r="V55" i="2"/>
  <c r="AK55" i="2"/>
  <c r="U55" i="2"/>
  <c r="AH55" i="2"/>
  <c r="AG55" i="2"/>
  <c r="AI55" i="2"/>
  <c r="T55" i="2"/>
  <c r="AH67" i="2"/>
  <c r="V67" i="2"/>
  <c r="AJ67" i="2"/>
  <c r="W67" i="2"/>
  <c r="AO67" i="2"/>
  <c r="AA67" i="2"/>
  <c r="AL67" i="2"/>
  <c r="X67" i="2"/>
  <c r="AD67" i="2"/>
  <c r="U67" i="2"/>
  <c r="AC67" i="2"/>
  <c r="AB67" i="2"/>
  <c r="AQ67" i="2"/>
  <c r="Z67" i="2"/>
  <c r="AN67" i="2"/>
  <c r="AM67" i="2"/>
  <c r="T67" i="2"/>
  <c r="AP67" i="2"/>
  <c r="Y67" i="2"/>
  <c r="AH69" i="2"/>
  <c r="V69" i="2"/>
  <c r="AM69" i="2"/>
  <c r="Z69" i="2"/>
  <c r="AG69" i="2"/>
  <c r="S69" i="2"/>
  <c r="AD69" i="2"/>
  <c r="AB69" i="2"/>
  <c r="U69" i="2"/>
  <c r="AQ69" i="2"/>
  <c r="AA69" i="2"/>
  <c r="AP69" i="2"/>
  <c r="Y69" i="2"/>
  <c r="AO69" i="2"/>
  <c r="X69" i="2"/>
  <c r="AL69" i="2"/>
  <c r="AL133" i="2" s="1"/>
  <c r="AK69" i="2"/>
  <c r="AK133" i="2" s="1"/>
  <c r="T69" i="2"/>
  <c r="AN69" i="2"/>
  <c r="W69" i="2"/>
  <c r="AW110" i="2"/>
  <c r="AT110" i="2"/>
  <c r="AU110" i="2" s="1"/>
  <c r="W113" i="2"/>
  <c r="R123" i="2"/>
  <c r="S93" i="2"/>
  <c r="AW93" i="2" s="1"/>
  <c r="AV53" i="2"/>
  <c r="AV105" i="2"/>
  <c r="V148" i="2"/>
  <c r="U123" i="2"/>
  <c r="AR134" i="2"/>
  <c r="AR148" i="2"/>
  <c r="N132" i="2"/>
  <c r="AA7" i="2"/>
  <c r="V7" i="2"/>
  <c r="Z7" i="2"/>
  <c r="Y7" i="2"/>
  <c r="X7" i="2"/>
  <c r="W7" i="2"/>
  <c r="U7" i="2"/>
  <c r="AT9" i="2"/>
  <c r="AU9" i="2" s="1"/>
  <c r="AW9" i="2"/>
  <c r="S27" i="2"/>
  <c r="R27" i="2"/>
  <c r="AV45" i="2"/>
  <c r="S51" i="2"/>
  <c r="W51" i="2"/>
  <c r="T51" i="2"/>
  <c r="Z51" i="2"/>
  <c r="Y51" i="2"/>
  <c r="X51" i="2"/>
  <c r="U51" i="2"/>
  <c r="R51" i="2"/>
  <c r="V51" i="2"/>
  <c r="U113" i="2"/>
  <c r="S113" i="2"/>
  <c r="R113" i="2"/>
  <c r="W119" i="2"/>
  <c r="AB125" i="2"/>
  <c r="AA125" i="2"/>
  <c r="Z125" i="2"/>
  <c r="AC125" i="2"/>
  <c r="Y125" i="2"/>
  <c r="AG125" i="2"/>
  <c r="AD125" i="2"/>
  <c r="T125" i="2"/>
  <c r="AH125" i="2"/>
  <c r="AE125" i="2"/>
  <c r="S125" i="2"/>
  <c r="AK125" i="2"/>
  <c r="AJ125" i="2"/>
  <c r="AF125" i="2"/>
  <c r="AI125" i="2"/>
  <c r="S148" i="2"/>
  <c r="AC21" i="2"/>
  <c r="V21" i="2"/>
  <c r="AB21" i="2"/>
  <c r="W21" i="2"/>
  <c r="AA21" i="2"/>
  <c r="Z21" i="2"/>
  <c r="Y21" i="2"/>
  <c r="AV21" i="2" s="1"/>
  <c r="X21" i="2"/>
  <c r="U21" i="2"/>
  <c r="X25" i="2"/>
  <c r="S25" i="2"/>
  <c r="AB25" i="2"/>
  <c r="V25" i="2"/>
  <c r="AA25" i="2"/>
  <c r="Z25" i="2"/>
  <c r="Y25" i="2"/>
  <c r="W25" i="2"/>
  <c r="U25" i="2"/>
  <c r="T27" i="2"/>
  <c r="AT61" i="2"/>
  <c r="AU61" i="2" s="1"/>
  <c r="AQ133" i="2"/>
  <c r="AQ149" i="2" s="1"/>
  <c r="AT90" i="2"/>
  <c r="AU90" i="2" s="1"/>
  <c r="R132" i="2"/>
  <c r="R91" i="2"/>
  <c r="X103" i="2"/>
  <c r="W103" i="2"/>
  <c r="R103" i="2"/>
  <c r="V103" i="2"/>
  <c r="U103" i="2"/>
  <c r="T103" i="2"/>
  <c r="S103" i="2"/>
  <c r="U125" i="2"/>
  <c r="R7" i="2"/>
  <c r="W75" i="2"/>
  <c r="V75" i="2"/>
  <c r="Y75" i="2"/>
  <c r="T75" i="2"/>
  <c r="AE75" i="2"/>
  <c r="AD75" i="2"/>
  <c r="AC75" i="2"/>
  <c r="AB75" i="2"/>
  <c r="Z75" i="2"/>
  <c r="X75" i="2"/>
  <c r="AA75" i="2"/>
  <c r="AV77" i="2"/>
  <c r="Z132" i="2"/>
  <c r="T91" i="2"/>
  <c r="AV90" i="2"/>
  <c r="AW90" i="2" s="1"/>
  <c r="AW120" i="2"/>
  <c r="V125" i="2"/>
  <c r="Y148" i="2"/>
  <c r="S7" i="2"/>
  <c r="R21" i="2"/>
  <c r="R25" i="2"/>
  <c r="AT120" i="2"/>
  <c r="S121" i="2"/>
  <c r="R121" i="2"/>
  <c r="W125" i="2"/>
  <c r="S129" i="2"/>
  <c r="V129" i="2"/>
  <c r="W129" i="2"/>
  <c r="AT142" i="2"/>
  <c r="AW142" i="2"/>
  <c r="T7" i="2"/>
  <c r="S21" i="2"/>
  <c r="T25" i="2"/>
  <c r="S47" i="2"/>
  <c r="T47" i="2"/>
  <c r="R75" i="2"/>
  <c r="W91" i="2"/>
  <c r="V101" i="2"/>
  <c r="Y101" i="2"/>
  <c r="Z101" i="2"/>
  <c r="U101" i="2"/>
  <c r="AA101" i="2"/>
  <c r="AC101" i="2"/>
  <c r="X101" i="2"/>
  <c r="AB101" i="2"/>
  <c r="T117" i="2"/>
  <c r="AT117" i="2" s="1"/>
  <c r="AU117" i="2" s="1"/>
  <c r="V117" i="2"/>
  <c r="U117" i="2"/>
  <c r="S117" i="2"/>
  <c r="AD148" i="2"/>
  <c r="X125" i="2"/>
  <c r="AI144" i="2"/>
  <c r="AI150" i="2" s="1"/>
  <c r="AB7" i="2"/>
  <c r="AV19" i="2"/>
  <c r="T21" i="2"/>
  <c r="AC25" i="2"/>
  <c r="R47" i="2"/>
  <c r="S75" i="2"/>
  <c r="X91" i="2"/>
  <c r="R101" i="2"/>
  <c r="U111" i="2"/>
  <c r="T111" i="2"/>
  <c r="W111" i="2"/>
  <c r="AA111" i="2"/>
  <c r="Z111" i="2"/>
  <c r="Y111" i="2"/>
  <c r="AV111" i="2" s="1"/>
  <c r="X111" i="2"/>
  <c r="S115" i="2"/>
  <c r="R115" i="2"/>
  <c r="AW124" i="2"/>
  <c r="AT124" i="2"/>
  <c r="AU124" i="2" s="1"/>
  <c r="AE148" i="2"/>
  <c r="T129" i="2"/>
  <c r="V13" i="2"/>
  <c r="U13" i="2"/>
  <c r="X13" i="2"/>
  <c r="W13" i="2"/>
  <c r="AF75" i="2"/>
  <c r="T101" i="2"/>
  <c r="T107" i="2"/>
  <c r="S107" i="2"/>
  <c r="AB107" i="2"/>
  <c r="R107" i="2"/>
  <c r="AD107" i="2"/>
  <c r="Y107" i="2"/>
  <c r="X107" i="2"/>
  <c r="AC107" i="2"/>
  <c r="AA107" i="2"/>
  <c r="Z107" i="2"/>
  <c r="S111" i="2"/>
  <c r="T115" i="2"/>
  <c r="AG148" i="2"/>
  <c r="R13" i="2"/>
  <c r="T29" i="2"/>
  <c r="AM31" i="2"/>
  <c r="AM133" i="2" s="1"/>
  <c r="AA31" i="2"/>
  <c r="AB31" i="2"/>
  <c r="AC31" i="2"/>
  <c r="U31" i="2"/>
  <c r="AT31" i="2" s="1"/>
  <c r="AU31" i="2" s="1"/>
  <c r="Z31" i="2"/>
  <c r="AN31" i="2"/>
  <c r="Y31" i="2"/>
  <c r="AL31" i="2"/>
  <c r="X31" i="2"/>
  <c r="AJ31" i="2"/>
  <c r="V31" i="2"/>
  <c r="AI31" i="2"/>
  <c r="AI133" i="2" s="1"/>
  <c r="AK31" i="2"/>
  <c r="W31" i="2"/>
  <c r="R69" i="2"/>
  <c r="AT81" i="2"/>
  <c r="AU81" i="2" s="1"/>
  <c r="U107" i="2"/>
  <c r="AT118" i="2"/>
  <c r="AU118" i="2" s="1"/>
  <c r="S123" i="2"/>
  <c r="AW126" i="2"/>
  <c r="S13" i="2"/>
  <c r="V29" i="2"/>
  <c r="T37" i="2"/>
  <c r="S37" i="2"/>
  <c r="R37" i="2"/>
  <c r="S39" i="2"/>
  <c r="AT39" i="2" s="1"/>
  <c r="AU39" i="2" s="1"/>
  <c r="AA43" i="2"/>
  <c r="AO49" i="2"/>
  <c r="AO133" i="2" s="1"/>
  <c r="AO149" i="2" s="1"/>
  <c r="AC49" i="2"/>
  <c r="AE49" i="2"/>
  <c r="AE133" i="2" s="1"/>
  <c r="R49" i="2"/>
  <c r="AN49" i="2"/>
  <c r="AA49" i="2"/>
  <c r="AD49" i="2"/>
  <c r="AL49" i="2"/>
  <c r="AB49" i="2"/>
  <c r="Z49" i="2"/>
  <c r="Y49" i="2"/>
  <c r="W49" i="2"/>
  <c r="AK49" i="2"/>
  <c r="V49" i="2"/>
  <c r="AM49" i="2"/>
  <c r="X49" i="2"/>
  <c r="Z55" i="2"/>
  <c r="AW65" i="2"/>
  <c r="AT65" i="2"/>
  <c r="AU65" i="2" s="1"/>
  <c r="R67" i="2"/>
  <c r="AC69" i="2"/>
  <c r="V105" i="2"/>
  <c r="V107" i="2"/>
  <c r="AG119" i="2"/>
  <c r="U119" i="2"/>
  <c r="AF119" i="2"/>
  <c r="T119" i="2"/>
  <c r="AE119" i="2"/>
  <c r="S119" i="2"/>
  <c r="AT119" i="2" s="1"/>
  <c r="AU119" i="2" s="1"/>
  <c r="Y119" i="2"/>
  <c r="V119" i="2"/>
  <c r="AA119" i="2"/>
  <c r="AD119" i="2"/>
  <c r="AC119" i="2"/>
  <c r="Z119" i="2"/>
  <c r="X119" i="2"/>
  <c r="AB119" i="2"/>
  <c r="T123" i="2"/>
  <c r="S33" i="2"/>
  <c r="X53" i="2"/>
  <c r="AC53" i="2"/>
  <c r="Z53" i="2"/>
  <c r="AG63" i="2"/>
  <c r="S85" i="2"/>
  <c r="R105" i="2"/>
  <c r="W105" i="2"/>
  <c r="AA105" i="2"/>
  <c r="X105" i="2"/>
  <c r="AV124" i="2"/>
  <c r="AB19" i="2"/>
  <c r="T19" i="2"/>
  <c r="V57" i="2"/>
  <c r="X57" i="2"/>
  <c r="T57" i="2"/>
  <c r="V71" i="2"/>
  <c r="AC71" i="2"/>
  <c r="Z71" i="2"/>
  <c r="W71" i="2"/>
  <c r="R83" i="2"/>
  <c r="S83" i="2"/>
  <c r="V89" i="2"/>
  <c r="W89" i="2"/>
  <c r="T109" i="2"/>
  <c r="S109" i="2"/>
  <c r="R109" i="2"/>
  <c r="AC148" i="2"/>
  <c r="AF63" i="2"/>
  <c r="R71" i="2"/>
  <c r="AG77" i="2"/>
  <c r="U77" i="2"/>
  <c r="W77" i="2"/>
  <c r="AA77" i="2"/>
  <c r="X77" i="2"/>
  <c r="R85" i="2"/>
  <c r="R15" i="2"/>
  <c r="S19" i="2"/>
  <c r="S15" i="2"/>
  <c r="Z17" i="2"/>
  <c r="AV17" i="2" s="1"/>
  <c r="AW17" i="2" s="1"/>
  <c r="U19" i="2"/>
  <c r="T33" i="2"/>
  <c r="R53" i="2"/>
  <c r="S57" i="2"/>
  <c r="R63" i="2"/>
  <c r="AH63" i="2"/>
  <c r="T71" i="2"/>
  <c r="R77" i="2"/>
  <c r="U83" i="2"/>
  <c r="T85" i="2"/>
  <c r="R87" i="2"/>
  <c r="S89" i="2"/>
  <c r="AW89" i="2" s="1"/>
  <c r="AB91" i="2"/>
  <c r="Y91" i="2"/>
  <c r="V91" i="2"/>
  <c r="S91" i="2"/>
  <c r="R97" i="2"/>
  <c r="S97" i="2"/>
  <c r="AV139" i="2"/>
  <c r="AL144" i="2"/>
  <c r="AL150" i="2" s="1"/>
  <c r="T15" i="2"/>
  <c r="V19" i="2"/>
  <c r="R23" i="2"/>
  <c r="Y23" i="2"/>
  <c r="AV23" i="2" s="1"/>
  <c r="V33" i="2"/>
  <c r="AA45" i="2"/>
  <c r="Z45" i="2"/>
  <c r="W45" i="2"/>
  <c r="S53" i="2"/>
  <c r="U57" i="2"/>
  <c r="AL59" i="2"/>
  <c r="Z59" i="2"/>
  <c r="AV59" i="2" s="1"/>
  <c r="AG59" i="2"/>
  <c r="T59" i="2"/>
  <c r="AE59" i="2"/>
  <c r="AP59" i="2"/>
  <c r="AB59" i="2"/>
  <c r="AF59" i="2"/>
  <c r="S63" i="2"/>
  <c r="AI63" i="2"/>
  <c r="U71" i="2"/>
  <c r="S77" i="2"/>
  <c r="V83" i="2"/>
  <c r="V85" i="2"/>
  <c r="T89" i="2"/>
  <c r="AW98" i="2"/>
  <c r="S105" i="2"/>
  <c r="AM144" i="2"/>
  <c r="AM150" i="2" s="1"/>
  <c r="U15" i="2"/>
  <c r="AN17" i="2"/>
  <c r="AB17" i="2"/>
  <c r="AC17" i="2"/>
  <c r="W19" i="2"/>
  <c r="Y41" i="2"/>
  <c r="AV41" i="2" s="1"/>
  <c r="U41" i="2"/>
  <c r="R41" i="2"/>
  <c r="T53" i="2"/>
  <c r="W57" i="2"/>
  <c r="AT57" i="2" s="1"/>
  <c r="AU57" i="2" s="1"/>
  <c r="AH59" i="2"/>
  <c r="AA61" i="2"/>
  <c r="X61" i="2"/>
  <c r="Y61" i="2"/>
  <c r="U61" i="2"/>
  <c r="AF61" i="2"/>
  <c r="T63" i="2"/>
  <c r="X71" i="2"/>
  <c r="AI73" i="2"/>
  <c r="W73" i="2"/>
  <c r="AF73" i="2"/>
  <c r="S73" i="2"/>
  <c r="AE73" i="2"/>
  <c r="AV73" i="2" s="1"/>
  <c r="AP73" i="2"/>
  <c r="AB73" i="2"/>
  <c r="AG73" i="2"/>
  <c r="T77" i="2"/>
  <c r="W83" i="2"/>
  <c r="W85" i="2"/>
  <c r="U89" i="2"/>
  <c r="T105" i="2"/>
  <c r="Z127" i="2"/>
  <c r="Y127" i="2"/>
  <c r="AV127" i="2" s="1"/>
  <c r="X127" i="2"/>
  <c r="T127" i="2"/>
  <c r="S127" i="2"/>
  <c r="W127" i="2"/>
  <c r="W132" i="2"/>
  <c r="AH148" i="2"/>
  <c r="AD33" i="2"/>
  <c r="AV33" i="2" s="1"/>
  <c r="R33" i="2"/>
  <c r="U33" i="2"/>
  <c r="R19" i="2"/>
  <c r="AL63" i="2"/>
  <c r="Z63" i="2"/>
  <c r="AK63" i="2"/>
  <c r="X63" i="2"/>
  <c r="AO63" i="2"/>
  <c r="AA63" i="2"/>
  <c r="AJ63" i="2"/>
  <c r="V63" i="2"/>
  <c r="AT128" i="2"/>
  <c r="AW128" i="2"/>
  <c r="AJ144" i="2"/>
  <c r="AJ150" i="2" s="1"/>
  <c r="AD17" i="2"/>
  <c r="AD133" i="2" s="1"/>
  <c r="AD149" i="2" s="1"/>
  <c r="X19" i="2"/>
  <c r="S23" i="2"/>
  <c r="X33" i="2"/>
  <c r="R45" i="2"/>
  <c r="U53" i="2"/>
  <c r="Y57" i="2"/>
  <c r="AV57" i="2" s="1"/>
  <c r="R59" i="2"/>
  <c r="AI59" i="2"/>
  <c r="U63" i="2"/>
  <c r="AN63" i="2"/>
  <c r="Y71" i="2"/>
  <c r="AH73" i="2"/>
  <c r="V77" i="2"/>
  <c r="AE81" i="2"/>
  <c r="S81" i="2"/>
  <c r="X81" i="2"/>
  <c r="AW81" i="2" s="1"/>
  <c r="AD81" i="2"/>
  <c r="AA81" i="2"/>
  <c r="AV81" i="2" s="1"/>
  <c r="U91" i="2"/>
  <c r="U97" i="2"/>
  <c r="U105" i="2"/>
  <c r="AW112" i="2"/>
  <c r="AT112" i="2"/>
  <c r="AU112" i="2" s="1"/>
  <c r="T113" i="2"/>
  <c r="AA123" i="2"/>
  <c r="Z123" i="2"/>
  <c r="Y123" i="2"/>
  <c r="AE123" i="2"/>
  <c r="AD123" i="2"/>
  <c r="AG123" i="2"/>
  <c r="AB123" i="2"/>
  <c r="AJ123" i="2"/>
  <c r="AT126" i="2"/>
  <c r="AU126" i="2" s="1"/>
  <c r="AO148" i="2"/>
  <c r="AO151" i="2" s="1"/>
  <c r="AO153" i="2" s="1"/>
  <c r="AA132" i="2"/>
  <c r="AA144" i="2"/>
  <c r="AA150" i="2" s="1"/>
  <c r="U132" i="2"/>
  <c r="V121" i="2"/>
  <c r="U121" i="2"/>
  <c r="T121" i="2"/>
  <c r="AW122" i="2"/>
  <c r="AT122" i="2"/>
  <c r="AU122" i="2" s="1"/>
  <c r="AI148" i="2"/>
  <c r="AP148" i="2"/>
  <c r="X132" i="2"/>
  <c r="AQ148" i="2"/>
  <c r="AC141" i="2"/>
  <c r="AO141" i="2"/>
  <c r="AO144" i="2" s="1"/>
  <c r="AO150" i="2" s="1"/>
  <c r="S139" i="2"/>
  <c r="AD141" i="2"/>
  <c r="AD144" i="2" s="1"/>
  <c r="AD150" i="2" s="1"/>
  <c r="AP141" i="2"/>
  <c r="AP144" i="2" s="1"/>
  <c r="AP150" i="2" s="1"/>
  <c r="T139" i="2"/>
  <c r="T144" i="2" s="1"/>
  <c r="T150" i="2" s="1"/>
  <c r="S141" i="2"/>
  <c r="AE141" i="2"/>
  <c r="AE144" i="2" s="1"/>
  <c r="AE150" i="2" s="1"/>
  <c r="AQ141" i="2"/>
  <c r="AQ144" i="2" s="1"/>
  <c r="AQ150" i="2" s="1"/>
  <c r="AS148" i="2"/>
  <c r="U139" i="2"/>
  <c r="T141" i="2"/>
  <c r="AF141" i="2"/>
  <c r="AR141" i="2"/>
  <c r="AR144" i="2" s="1"/>
  <c r="AR150" i="2" s="1"/>
  <c r="V139" i="2"/>
  <c r="V144" i="2" s="1"/>
  <c r="V150" i="2" s="1"/>
  <c r="U141" i="2"/>
  <c r="AG141" i="2"/>
  <c r="AG144" i="2" s="1"/>
  <c r="AG150" i="2" s="1"/>
  <c r="AS141" i="2"/>
  <c r="AS144" i="2" s="1"/>
  <c r="AS150" i="2" s="1"/>
  <c r="W139" i="2"/>
  <c r="W144" i="2" s="1"/>
  <c r="W150" i="2" s="1"/>
  <c r="V141" i="2"/>
  <c r="AH141" i="2"/>
  <c r="AH144" i="2" s="1"/>
  <c r="AH150" i="2" s="1"/>
  <c r="W141" i="2"/>
  <c r="AE149" i="2" l="1"/>
  <c r="AE134" i="2"/>
  <c r="AI149" i="2"/>
  <c r="AI151" i="2" s="1"/>
  <c r="AI153" i="2" s="1"/>
  <c r="AI134" i="2"/>
  <c r="AM149" i="2"/>
  <c r="AM151" i="2" s="1"/>
  <c r="AM153" i="2" s="1"/>
  <c r="AM134" i="2"/>
  <c r="AK149" i="2"/>
  <c r="AK151" i="2" s="1"/>
  <c r="AK153" i="2" s="1"/>
  <c r="AK134" i="2"/>
  <c r="AW73" i="2"/>
  <c r="AL149" i="2"/>
  <c r="AL151" i="2" s="1"/>
  <c r="AL153" i="2" s="1"/>
  <c r="AL134" i="2"/>
  <c r="AT141" i="2"/>
  <c r="AA134" i="2"/>
  <c r="AA148" i="2"/>
  <c r="AA151" i="2" s="1"/>
  <c r="AA153" i="2" s="1"/>
  <c r="AT19" i="2"/>
  <c r="AU19" i="2" s="1"/>
  <c r="AW19" i="2"/>
  <c r="AT23" i="2"/>
  <c r="AU23" i="2" s="1"/>
  <c r="AW23" i="2"/>
  <c r="AT73" i="2"/>
  <c r="AU73" i="2" s="1"/>
  <c r="AW129" i="2"/>
  <c r="AT129" i="2"/>
  <c r="Y133" i="2"/>
  <c r="AV7" i="2"/>
  <c r="AV143" i="2"/>
  <c r="AW143" i="2" s="1"/>
  <c r="AV71" i="2"/>
  <c r="AW71" i="2" s="1"/>
  <c r="AT87" i="2"/>
  <c r="AU87" i="2" s="1"/>
  <c r="AW87" i="2"/>
  <c r="AW115" i="2"/>
  <c r="AT115" i="2"/>
  <c r="AU115" i="2" s="1"/>
  <c r="AW47" i="2"/>
  <c r="AT47" i="2"/>
  <c r="AU47" i="2" s="1"/>
  <c r="Z133" i="2"/>
  <c r="Z149" i="2" s="1"/>
  <c r="AT17" i="2"/>
  <c r="AU17" i="2" s="1"/>
  <c r="AO134" i="2"/>
  <c r="AW41" i="2"/>
  <c r="AT41" i="2"/>
  <c r="AU41" i="2" s="1"/>
  <c r="AT69" i="2"/>
  <c r="AU69" i="2" s="1"/>
  <c r="AW69" i="2"/>
  <c r="AW31" i="2"/>
  <c r="AW121" i="2"/>
  <c r="AT121" i="2"/>
  <c r="V133" i="2"/>
  <c r="AG133" i="2"/>
  <c r="AW33" i="2"/>
  <c r="AT33" i="2"/>
  <c r="AU33" i="2" s="1"/>
  <c r="AW109" i="2"/>
  <c r="AT109" i="2"/>
  <c r="AU109" i="2" s="1"/>
  <c r="AV49" i="2"/>
  <c r="AV75" i="2"/>
  <c r="AW75" i="2" s="1"/>
  <c r="AW103" i="2"/>
  <c r="AT103" i="2"/>
  <c r="AU103" i="2" s="1"/>
  <c r="AT125" i="2"/>
  <c r="AU125" i="2" s="1"/>
  <c r="AW125" i="2"/>
  <c r="AT113" i="2"/>
  <c r="AU113" i="2" s="1"/>
  <c r="AW113" i="2"/>
  <c r="AA133" i="2"/>
  <c r="AA149" i="2" s="1"/>
  <c r="AV35" i="2"/>
  <c r="AW35" i="2" s="1"/>
  <c r="S144" i="2"/>
  <c r="AW139" i="2"/>
  <c r="AT139" i="2"/>
  <c r="AW77" i="2"/>
  <c r="AT77" i="2"/>
  <c r="AU77" i="2" s="1"/>
  <c r="AW15" i="2"/>
  <c r="AT15" i="2"/>
  <c r="AU15" i="2" s="1"/>
  <c r="AT37" i="2"/>
  <c r="AU37" i="2" s="1"/>
  <c r="AW37" i="2"/>
  <c r="AV107" i="2"/>
  <c r="AF133" i="2"/>
  <c r="AV25" i="2"/>
  <c r="AT123" i="2"/>
  <c r="AU123" i="2" s="1"/>
  <c r="AV69" i="2"/>
  <c r="AW39" i="2"/>
  <c r="AH133" i="2"/>
  <c r="AW59" i="2"/>
  <c r="AT59" i="2"/>
  <c r="AU59" i="2" s="1"/>
  <c r="AT85" i="2"/>
  <c r="AU85" i="2" s="1"/>
  <c r="AW85" i="2"/>
  <c r="AT105" i="2"/>
  <c r="AU105" i="2" s="1"/>
  <c r="AW105" i="2"/>
  <c r="AT93" i="2"/>
  <c r="AU93" i="2" s="1"/>
  <c r="Z148" i="2"/>
  <c r="AW27" i="2"/>
  <c r="AT27" i="2"/>
  <c r="AU27" i="2" s="1"/>
  <c r="AV67" i="2"/>
  <c r="AW67" i="2" s="1"/>
  <c r="AW117" i="2"/>
  <c r="AF144" i="2"/>
  <c r="AF150" i="2" s="1"/>
  <c r="AC144" i="2"/>
  <c r="AC150" i="2" s="1"/>
  <c r="AC133" i="2"/>
  <c r="AT67" i="2"/>
  <c r="AU67" i="2" s="1"/>
  <c r="AT107" i="2"/>
  <c r="AU107" i="2" s="1"/>
  <c r="AW107" i="2"/>
  <c r="T133" i="2"/>
  <c r="AW25" i="2"/>
  <c r="AT25" i="2"/>
  <c r="AU25" i="2" s="1"/>
  <c r="AR151" i="2"/>
  <c r="AR153" i="2" s="1"/>
  <c r="AJ133" i="2"/>
  <c r="W134" i="2"/>
  <c r="W148" i="2"/>
  <c r="W151" i="2" s="1"/>
  <c r="W153" i="2" s="1"/>
  <c r="AW97" i="2"/>
  <c r="AT97" i="2"/>
  <c r="AU97" i="2" s="1"/>
  <c r="AT63" i="2"/>
  <c r="AU63" i="2" s="1"/>
  <c r="AT13" i="2"/>
  <c r="AU13" i="2" s="1"/>
  <c r="AW13" i="2"/>
  <c r="AV141" i="2"/>
  <c r="AW141" i="2" s="1"/>
  <c r="AW21" i="2"/>
  <c r="AT21" i="2"/>
  <c r="AU21" i="2" s="1"/>
  <c r="R133" i="2"/>
  <c r="AW7" i="2"/>
  <c r="AT7" i="2"/>
  <c r="AU7" i="2" s="1"/>
  <c r="AT51" i="2"/>
  <c r="AU51" i="2" s="1"/>
  <c r="U144" i="2"/>
  <c r="U150" i="2" s="1"/>
  <c r="AQ151" i="2"/>
  <c r="AQ153" i="2" s="1"/>
  <c r="AT45" i="2"/>
  <c r="AU45" i="2" s="1"/>
  <c r="AW45" i="2"/>
  <c r="AV61" i="2"/>
  <c r="AW61" i="2" s="1"/>
  <c r="AN133" i="2"/>
  <c r="AW57" i="2"/>
  <c r="AV119" i="2"/>
  <c r="AW119" i="2" s="1"/>
  <c r="AD151" i="2"/>
  <c r="AD153" i="2" s="1"/>
  <c r="AV101" i="2"/>
  <c r="X144" i="2"/>
  <c r="AT91" i="2"/>
  <c r="AU91" i="2" s="1"/>
  <c r="AT89" i="2"/>
  <c r="AU89" i="2" s="1"/>
  <c r="AW43" i="2"/>
  <c r="AT43" i="2"/>
  <c r="AU43" i="2" s="1"/>
  <c r="AS151" i="2"/>
  <c r="AS153" i="2" s="1"/>
  <c r="AQ134" i="2"/>
  <c r="AV123" i="2"/>
  <c r="AW123" i="2" s="1"/>
  <c r="AW53" i="2"/>
  <c r="AT53" i="2"/>
  <c r="AU53" i="2" s="1"/>
  <c r="AT83" i="2"/>
  <c r="AU83" i="2" s="1"/>
  <c r="AW83" i="2"/>
  <c r="AE151" i="2"/>
  <c r="AE153" i="2" s="1"/>
  <c r="AD134" i="2"/>
  <c r="S133" i="2"/>
  <c r="AT132" i="2"/>
  <c r="AU132" i="2" s="1"/>
  <c r="R148" i="2"/>
  <c r="AW132" i="2"/>
  <c r="AV125" i="2"/>
  <c r="U133" i="2"/>
  <c r="U149" i="2" s="1"/>
  <c r="AT143" i="2"/>
  <c r="AB133" i="2"/>
  <c r="U134" i="2"/>
  <c r="U148" i="2"/>
  <c r="U151" i="2" s="1"/>
  <c r="U153" i="2" s="1"/>
  <c r="AV63" i="2"/>
  <c r="AW63" i="2" s="1"/>
  <c r="AW127" i="2"/>
  <c r="AT127" i="2"/>
  <c r="AU127" i="2" s="1"/>
  <c r="AV91" i="2"/>
  <c r="AW91" i="2" s="1"/>
  <c r="AW49" i="2"/>
  <c r="AT49" i="2"/>
  <c r="AU49" i="2" s="1"/>
  <c r="AV31" i="2"/>
  <c r="AT101" i="2"/>
  <c r="AU101" i="2" s="1"/>
  <c r="AW101" i="2"/>
  <c r="AV51" i="2"/>
  <c r="AW51" i="2" s="1"/>
  <c r="W133" i="2"/>
  <c r="W149" i="2" s="1"/>
  <c r="AW111" i="2"/>
  <c r="AT111" i="2"/>
  <c r="AU111" i="2" s="1"/>
  <c r="X148" i="2"/>
  <c r="X134" i="2"/>
  <c r="AP133" i="2"/>
  <c r="AT71" i="2"/>
  <c r="AU71" i="2" s="1"/>
  <c r="AT75" i="2"/>
  <c r="AU75" i="2" s="1"/>
  <c r="AV132" i="2"/>
  <c r="X133" i="2"/>
  <c r="X149" i="2" s="1"/>
  <c r="AT55" i="2"/>
  <c r="AU55" i="2" s="1"/>
  <c r="AW55" i="2"/>
  <c r="AW29" i="2"/>
  <c r="AT29" i="2"/>
  <c r="AU29" i="2" s="1"/>
  <c r="AT35" i="2"/>
  <c r="AU35" i="2" s="1"/>
  <c r="Z134" i="2" l="1"/>
  <c r="V149" i="2"/>
  <c r="V151" i="2" s="1"/>
  <c r="V153" i="2" s="1"/>
  <c r="V134" i="2"/>
  <c r="AV148" i="2"/>
  <c r="R149" i="2"/>
  <c r="AT133" i="2"/>
  <c r="AU133" i="2" s="1"/>
  <c r="AW148" i="2"/>
  <c r="AT148" i="2"/>
  <c r="R151" i="2"/>
  <c r="AJ149" i="2"/>
  <c r="AJ151" i="2" s="1"/>
  <c r="AJ153" i="2" s="1"/>
  <c r="AJ134" i="2"/>
  <c r="AN149" i="2"/>
  <c r="AN151" i="2" s="1"/>
  <c r="AN153" i="2" s="1"/>
  <c r="AN134" i="2"/>
  <c r="R134" i="2"/>
  <c r="AH149" i="2"/>
  <c r="AH151" i="2" s="1"/>
  <c r="AH153" i="2" s="1"/>
  <c r="AH134" i="2"/>
  <c r="S149" i="2"/>
  <c r="S151" i="2" s="1"/>
  <c r="S153" i="2" s="1"/>
  <c r="S134" i="2"/>
  <c r="T149" i="2"/>
  <c r="T151" i="2" s="1"/>
  <c r="T153" i="2" s="1"/>
  <c r="T134" i="2"/>
  <c r="Z151" i="2"/>
  <c r="Z153" i="2" s="1"/>
  <c r="AB149" i="2"/>
  <c r="AB151" i="2" s="1"/>
  <c r="AB153" i="2" s="1"/>
  <c r="AB134" i="2"/>
  <c r="S150" i="2"/>
  <c r="AW144" i="2"/>
  <c r="AT144" i="2"/>
  <c r="AV144" i="2"/>
  <c r="X150" i="2"/>
  <c r="AV150" i="2" s="1"/>
  <c r="AF149" i="2"/>
  <c r="AF151" i="2" s="1"/>
  <c r="AF153" i="2" s="1"/>
  <c r="AF134" i="2"/>
  <c r="Y149" i="2"/>
  <c r="Y151" i="2" s="1"/>
  <c r="Y153" i="2" s="1"/>
  <c r="AV133" i="2"/>
  <c r="AW133" i="2" s="1"/>
  <c r="Y134" i="2"/>
  <c r="AV134" i="2" s="1"/>
  <c r="AP149" i="2"/>
  <c r="AP151" i="2" s="1"/>
  <c r="AP153" i="2" s="1"/>
  <c r="AP134" i="2"/>
  <c r="AC149" i="2"/>
  <c r="AC151" i="2" s="1"/>
  <c r="AC153" i="2" s="1"/>
  <c r="AC134" i="2"/>
  <c r="AG149" i="2"/>
  <c r="AG151" i="2" s="1"/>
  <c r="AG153" i="2" s="1"/>
  <c r="AG134" i="2"/>
  <c r="AT149" i="2" l="1"/>
  <c r="AV149" i="2"/>
  <c r="AW149" i="2" s="1"/>
  <c r="X151" i="2"/>
  <c r="R153" i="2"/>
  <c r="AT151" i="2"/>
  <c r="AT134" i="2"/>
  <c r="AU134" i="2" s="1"/>
  <c r="AW134" i="2"/>
  <c r="AW150" i="2"/>
  <c r="AT150" i="2"/>
  <c r="AV151" i="2" l="1"/>
  <c r="AW151" i="2" s="1"/>
  <c r="X153" i="2"/>
  <c r="G316" i="1" l="1"/>
  <c r="M315" i="1"/>
  <c r="L315" i="1"/>
  <c r="H315" i="1"/>
  <c r="G315" i="1"/>
  <c r="O311" i="1"/>
  <c r="R311" i="1" s="1"/>
  <c r="S311" i="1" s="1"/>
  <c r="J311" i="1"/>
  <c r="L311" i="1" s="1"/>
  <c r="M311" i="1" s="1"/>
  <c r="S309" i="1"/>
  <c r="P309" i="1"/>
  <c r="L309" i="1"/>
  <c r="L307" i="1" s="1"/>
  <c r="S308" i="1"/>
  <c r="P308" i="1"/>
  <c r="L308" i="1"/>
  <c r="R307" i="1"/>
  <c r="O307" i="1"/>
  <c r="N307" i="1"/>
  <c r="M307" i="1"/>
  <c r="K307" i="1"/>
  <c r="J307" i="1"/>
  <c r="I307" i="1"/>
  <c r="H307" i="1"/>
  <c r="G307" i="1"/>
  <c r="F307" i="1"/>
  <c r="E307" i="1"/>
  <c r="O306" i="1"/>
  <c r="P306" i="1" s="1"/>
  <c r="R306" i="1" s="1"/>
  <c r="S306" i="1" s="1"/>
  <c r="L306" i="1"/>
  <c r="O305" i="1"/>
  <c r="P305" i="1" s="1"/>
  <c r="R305" i="1" s="1"/>
  <c r="E305" i="1"/>
  <c r="L305" i="1" s="1"/>
  <c r="N304" i="1"/>
  <c r="M304" i="1"/>
  <c r="K304" i="1"/>
  <c r="J304" i="1"/>
  <c r="I304" i="1"/>
  <c r="I301" i="1" s="1"/>
  <c r="H304" i="1"/>
  <c r="G304" i="1"/>
  <c r="F304" i="1"/>
  <c r="E304" i="1"/>
  <c r="O303" i="1"/>
  <c r="G303" i="1"/>
  <c r="J303" i="1" s="1"/>
  <c r="L303" i="1" s="1"/>
  <c r="M303" i="1" s="1"/>
  <c r="O302" i="1"/>
  <c r="R302" i="1" s="1"/>
  <c r="S302" i="1" s="1"/>
  <c r="J302" i="1"/>
  <c r="L302" i="1" s="1"/>
  <c r="M302" i="1" s="1"/>
  <c r="O301" i="1"/>
  <c r="H301" i="1"/>
  <c r="G301" i="1"/>
  <c r="O300" i="1"/>
  <c r="P300" i="1" s="1"/>
  <c r="L300" i="1"/>
  <c r="M300" i="1" s="1"/>
  <c r="O299" i="1"/>
  <c r="P299" i="1" s="1"/>
  <c r="L299" i="1"/>
  <c r="M299" i="1" s="1"/>
  <c r="O298" i="1"/>
  <c r="R298" i="1" s="1"/>
  <c r="S298" i="1" s="1"/>
  <c r="L298" i="1"/>
  <c r="M298" i="1" s="1"/>
  <c r="R297" i="1"/>
  <c r="S297" i="1" s="1"/>
  <c r="P297" i="1"/>
  <c r="O297" i="1"/>
  <c r="L297" i="1"/>
  <c r="M297" i="1" s="1"/>
  <c r="O296" i="1"/>
  <c r="K296" i="1"/>
  <c r="G296" i="1"/>
  <c r="F296" i="1"/>
  <c r="J296" i="1" s="1"/>
  <c r="E296" i="1"/>
  <c r="O295" i="1"/>
  <c r="K295" i="1"/>
  <c r="K293" i="1" s="1"/>
  <c r="O294" i="1"/>
  <c r="E294" i="1"/>
  <c r="E293" i="1" s="1"/>
  <c r="N293" i="1"/>
  <c r="J293" i="1"/>
  <c r="I293" i="1"/>
  <c r="H293" i="1"/>
  <c r="G293" i="1"/>
  <c r="O292" i="1"/>
  <c r="P292" i="1" s="1"/>
  <c r="K292" i="1"/>
  <c r="L292" i="1" s="1"/>
  <c r="M292" i="1" s="1"/>
  <c r="O291" i="1"/>
  <c r="O290" i="1" s="1"/>
  <c r="E291" i="1"/>
  <c r="E290" i="1" s="1"/>
  <c r="N290" i="1"/>
  <c r="J290" i="1"/>
  <c r="I290" i="1"/>
  <c r="H290" i="1"/>
  <c r="G290" i="1"/>
  <c r="O289" i="1"/>
  <c r="I289" i="1"/>
  <c r="L289" i="1" s="1"/>
  <c r="M289" i="1" s="1"/>
  <c r="O288" i="1"/>
  <c r="P288" i="1" s="1"/>
  <c r="L288" i="1"/>
  <c r="M288" i="1" s="1"/>
  <c r="O287" i="1"/>
  <c r="K287" i="1"/>
  <c r="K285" i="1" s="1"/>
  <c r="O286" i="1"/>
  <c r="F286" i="1"/>
  <c r="F285" i="1" s="1"/>
  <c r="E286" i="1"/>
  <c r="Q285" i="1"/>
  <c r="N285" i="1"/>
  <c r="J285" i="1"/>
  <c r="H285" i="1"/>
  <c r="G285" i="1"/>
  <c r="O284" i="1"/>
  <c r="F284" i="1"/>
  <c r="L284" i="1" s="1"/>
  <c r="M284" i="1" s="1"/>
  <c r="O283" i="1"/>
  <c r="P283" i="1" s="1"/>
  <c r="I283" i="1"/>
  <c r="K282" i="1" s="1"/>
  <c r="L282" i="1" s="1"/>
  <c r="M282" i="1" s="1"/>
  <c r="O282" i="1"/>
  <c r="O281" i="1"/>
  <c r="P281" i="1" s="1"/>
  <c r="H281" i="1"/>
  <c r="L281" i="1" s="1"/>
  <c r="M281" i="1" s="1"/>
  <c r="O280" i="1"/>
  <c r="R280" i="1" s="1"/>
  <c r="S280" i="1" s="1"/>
  <c r="H280" i="1"/>
  <c r="J280" i="1" s="1"/>
  <c r="L280" i="1" s="1"/>
  <c r="M280" i="1" s="1"/>
  <c r="R279" i="1"/>
  <c r="S279" i="1" s="1"/>
  <c r="O279" i="1"/>
  <c r="L279" i="1"/>
  <c r="M279" i="1" s="1"/>
  <c r="S278" i="1"/>
  <c r="R278" i="1"/>
  <c r="O278" i="1"/>
  <c r="P278" i="1" s="1"/>
  <c r="E278" i="1"/>
  <c r="O277" i="1"/>
  <c r="R277" i="1" s="1"/>
  <c r="S277" i="1" s="1"/>
  <c r="E277" i="1"/>
  <c r="G277" i="1" s="1"/>
  <c r="L277" i="1" s="1"/>
  <c r="M277" i="1" s="1"/>
  <c r="O276" i="1"/>
  <c r="J276" i="1"/>
  <c r="I276" i="1"/>
  <c r="K275" i="1" s="1"/>
  <c r="O275" i="1"/>
  <c r="J275" i="1"/>
  <c r="R274" i="1"/>
  <c r="S274" i="1" s="1"/>
  <c r="O274" i="1"/>
  <c r="E274" i="1"/>
  <c r="L274" i="1" s="1"/>
  <c r="M274" i="1" s="1"/>
  <c r="O273" i="1"/>
  <c r="P273" i="1" s="1"/>
  <c r="L273" i="1"/>
  <c r="M273" i="1" s="1"/>
  <c r="F273" i="1"/>
  <c r="E273" i="1"/>
  <c r="O272" i="1"/>
  <c r="P272" i="1" s="1"/>
  <c r="F272" i="1"/>
  <c r="E272" i="1"/>
  <c r="N271" i="1"/>
  <c r="N270" i="1" s="1"/>
  <c r="K271" i="1"/>
  <c r="J271" i="1"/>
  <c r="I271" i="1"/>
  <c r="H271" i="1"/>
  <c r="G271" i="1"/>
  <c r="O269" i="1"/>
  <c r="P269" i="1" s="1"/>
  <c r="L269" i="1"/>
  <c r="M269" i="1" s="1"/>
  <c r="R268" i="1"/>
  <c r="S268" i="1" s="1"/>
  <c r="P268" i="1"/>
  <c r="O268" i="1"/>
  <c r="G268" i="1"/>
  <c r="E268" i="1"/>
  <c r="O267" i="1"/>
  <c r="L267" i="1"/>
  <c r="M267" i="1" s="1"/>
  <c r="O266" i="1"/>
  <c r="R266" i="1" s="1"/>
  <c r="S266" i="1" s="1"/>
  <c r="F266" i="1"/>
  <c r="E266" i="1"/>
  <c r="O265" i="1"/>
  <c r="I265" i="1"/>
  <c r="K264" i="1" s="1"/>
  <c r="O264" i="1"/>
  <c r="J264" i="1"/>
  <c r="O263" i="1"/>
  <c r="P263" i="1" s="1"/>
  <c r="F263" i="1"/>
  <c r="L263" i="1" s="1"/>
  <c r="M263" i="1" s="1"/>
  <c r="O262" i="1"/>
  <c r="L262" i="1"/>
  <c r="M262" i="1" s="1"/>
  <c r="O261" i="1"/>
  <c r="F261" i="1"/>
  <c r="L261" i="1" s="1"/>
  <c r="M261" i="1" s="1"/>
  <c r="O260" i="1"/>
  <c r="P260" i="1" s="1"/>
  <c r="N259" i="1"/>
  <c r="N258" i="1" s="1"/>
  <c r="K259" i="1"/>
  <c r="J259" i="1"/>
  <c r="I259" i="1"/>
  <c r="H259" i="1"/>
  <c r="H258" i="1" s="1"/>
  <c r="G259" i="1"/>
  <c r="E259" i="1"/>
  <c r="O257" i="1"/>
  <c r="P257" i="1" s="1"/>
  <c r="K257" i="1"/>
  <c r="L257" i="1" s="1"/>
  <c r="M257" i="1" s="1"/>
  <c r="O256" i="1"/>
  <c r="P256" i="1" s="1"/>
  <c r="K256" i="1"/>
  <c r="L256" i="1" s="1"/>
  <c r="O255" i="1"/>
  <c r="K255" i="1"/>
  <c r="F255" i="1"/>
  <c r="F254" i="1" s="1"/>
  <c r="N254" i="1"/>
  <c r="J254" i="1"/>
  <c r="I254" i="1"/>
  <c r="H254" i="1"/>
  <c r="G254" i="1"/>
  <c r="E254" i="1"/>
  <c r="O253" i="1"/>
  <c r="I253" i="1"/>
  <c r="O252" i="1"/>
  <c r="L252" i="1"/>
  <c r="M252" i="1" s="1"/>
  <c r="O251" i="1"/>
  <c r="O249" i="1" s="1"/>
  <c r="P249" i="1" s="1"/>
  <c r="J251" i="1"/>
  <c r="O250" i="1"/>
  <c r="R250" i="1" s="1"/>
  <c r="F250" i="1"/>
  <c r="E250" i="1"/>
  <c r="E249" i="1" s="1"/>
  <c r="N249" i="1"/>
  <c r="H249" i="1"/>
  <c r="G249" i="1"/>
  <c r="F249" i="1"/>
  <c r="R248" i="1"/>
  <c r="S248" i="1" s="1"/>
  <c r="P248" i="1"/>
  <c r="O248" i="1"/>
  <c r="I248" i="1"/>
  <c r="L248" i="1" s="1"/>
  <c r="M248" i="1" s="1"/>
  <c r="O247" i="1"/>
  <c r="P247" i="1" s="1"/>
  <c r="L247" i="1"/>
  <c r="M247" i="1" s="1"/>
  <c r="O246" i="1"/>
  <c r="R245" i="1"/>
  <c r="S245" i="1" s="1"/>
  <c r="O245" i="1"/>
  <c r="P245" i="1" s="1"/>
  <c r="F245" i="1"/>
  <c r="F244" i="1" s="1"/>
  <c r="E245" i="1"/>
  <c r="E244" i="1" s="1"/>
  <c r="Q244" i="1"/>
  <c r="N244" i="1"/>
  <c r="J244" i="1"/>
  <c r="H244" i="1"/>
  <c r="G244" i="1"/>
  <c r="O243" i="1"/>
  <c r="R243" i="1" s="1"/>
  <c r="S243" i="1" s="1"/>
  <c r="I243" i="1"/>
  <c r="K241" i="1" s="1"/>
  <c r="O242" i="1"/>
  <c r="L242" i="1"/>
  <c r="M242" i="1" s="1"/>
  <c r="O241" i="1"/>
  <c r="P241" i="1" s="1"/>
  <c r="O240" i="1"/>
  <c r="R240" i="1" s="1"/>
  <c r="S240" i="1" s="1"/>
  <c r="F240" i="1"/>
  <c r="F239" i="1" s="1"/>
  <c r="E240" i="1"/>
  <c r="Q239" i="1"/>
  <c r="N239" i="1"/>
  <c r="J239" i="1"/>
  <c r="H239" i="1"/>
  <c r="G239" i="1"/>
  <c r="O238" i="1"/>
  <c r="J238" i="1"/>
  <c r="J234" i="1" s="1"/>
  <c r="I238" i="1"/>
  <c r="I234" i="1" s="1"/>
  <c r="O237" i="1"/>
  <c r="P237" i="1" s="1"/>
  <c r="L237" i="1"/>
  <c r="M237" i="1" s="1"/>
  <c r="O236" i="1"/>
  <c r="R236" i="1" s="1"/>
  <c r="O235" i="1"/>
  <c r="R235" i="1" s="1"/>
  <c r="S235" i="1" s="1"/>
  <c r="L235" i="1"/>
  <c r="F235" i="1"/>
  <c r="F234" i="1" s="1"/>
  <c r="E235" i="1"/>
  <c r="N234" i="1"/>
  <c r="H234" i="1"/>
  <c r="G234" i="1"/>
  <c r="E234" i="1"/>
  <c r="O233" i="1"/>
  <c r="K233" i="1"/>
  <c r="O231" i="1"/>
  <c r="E231" i="1"/>
  <c r="P230" i="1"/>
  <c r="O230" i="1"/>
  <c r="L230" i="1"/>
  <c r="M230" i="1" s="1"/>
  <c r="O229" i="1"/>
  <c r="F229" i="1"/>
  <c r="E229" i="1"/>
  <c r="O228" i="1"/>
  <c r="P228" i="1" s="1"/>
  <c r="F228" i="1"/>
  <c r="E228" i="1"/>
  <c r="O227" i="1"/>
  <c r="K227" i="1"/>
  <c r="L227" i="1" s="1"/>
  <c r="M227" i="1" s="1"/>
  <c r="O226" i="1"/>
  <c r="I226" i="1"/>
  <c r="G226" i="1"/>
  <c r="O225" i="1"/>
  <c r="I225" i="1"/>
  <c r="L225" i="1" s="1"/>
  <c r="M225" i="1" s="1"/>
  <c r="R224" i="1"/>
  <c r="S224" i="1" s="1"/>
  <c r="O224" i="1"/>
  <c r="I224" i="1"/>
  <c r="K223" i="1" s="1"/>
  <c r="K222" i="1" s="1"/>
  <c r="O223" i="1"/>
  <c r="N222" i="1"/>
  <c r="J222" i="1"/>
  <c r="H222" i="1"/>
  <c r="F222" i="1"/>
  <c r="E222" i="1"/>
  <c r="O221" i="1"/>
  <c r="F221" i="1"/>
  <c r="F219" i="1" s="1"/>
  <c r="E221" i="1"/>
  <c r="O220" i="1"/>
  <c r="K220" i="1"/>
  <c r="K219" i="1" s="1"/>
  <c r="N219" i="1"/>
  <c r="J219" i="1"/>
  <c r="I219" i="1"/>
  <c r="H219" i="1"/>
  <c r="G219" i="1"/>
  <c r="E219" i="1"/>
  <c r="O218" i="1"/>
  <c r="P218" i="1" s="1"/>
  <c r="I218" i="1"/>
  <c r="I213" i="1" s="1"/>
  <c r="O217" i="1"/>
  <c r="L217" i="1"/>
  <c r="M217" i="1" s="1"/>
  <c r="F217" i="1"/>
  <c r="O216" i="1"/>
  <c r="F216" i="1"/>
  <c r="L216" i="1" s="1"/>
  <c r="M216" i="1" s="1"/>
  <c r="O215" i="1"/>
  <c r="R215" i="1" s="1"/>
  <c r="S215" i="1" s="1"/>
  <c r="K215" i="1"/>
  <c r="J215" i="1"/>
  <c r="J213" i="1" s="1"/>
  <c r="F215" i="1"/>
  <c r="F213" i="1" s="1"/>
  <c r="R214" i="1"/>
  <c r="S214" i="1" s="1"/>
  <c r="O214" i="1"/>
  <c r="E214" i="1"/>
  <c r="E213" i="1" s="1"/>
  <c r="N213" i="1"/>
  <c r="H213" i="1"/>
  <c r="G213" i="1"/>
  <c r="H212" i="1"/>
  <c r="O211" i="1"/>
  <c r="P211" i="1" s="1"/>
  <c r="K211" i="1"/>
  <c r="O210" i="1"/>
  <c r="R210" i="1" s="1"/>
  <c r="S210" i="1" s="1"/>
  <c r="J210" i="1"/>
  <c r="L210" i="1" s="1"/>
  <c r="M210" i="1" s="1"/>
  <c r="O209" i="1"/>
  <c r="P209" i="1" s="1"/>
  <c r="J209" i="1"/>
  <c r="I209" i="1"/>
  <c r="K208" i="1" s="1"/>
  <c r="O208" i="1"/>
  <c r="J208" i="1"/>
  <c r="N207" i="1"/>
  <c r="H207" i="1"/>
  <c r="G207" i="1"/>
  <c r="F207" i="1"/>
  <c r="E207" i="1"/>
  <c r="O206" i="1"/>
  <c r="K206" i="1"/>
  <c r="L206" i="1" s="1"/>
  <c r="M206" i="1" s="1"/>
  <c r="O205" i="1"/>
  <c r="K205" i="1"/>
  <c r="L205" i="1" s="1"/>
  <c r="M205" i="1" s="1"/>
  <c r="R204" i="1"/>
  <c r="S204" i="1" s="1"/>
  <c r="P204" i="1"/>
  <c r="L204" i="1"/>
  <c r="R203" i="1"/>
  <c r="S203" i="1" s="1"/>
  <c r="P203" i="1"/>
  <c r="L203" i="1"/>
  <c r="O202" i="1"/>
  <c r="R202" i="1" s="1"/>
  <c r="S202" i="1" s="1"/>
  <c r="K202" i="1"/>
  <c r="J202" i="1"/>
  <c r="O201" i="1"/>
  <c r="P201" i="1" s="1"/>
  <c r="K201" i="1"/>
  <c r="J201" i="1"/>
  <c r="O200" i="1"/>
  <c r="P200" i="1" s="1"/>
  <c r="K200" i="1"/>
  <c r="J200" i="1"/>
  <c r="O199" i="1"/>
  <c r="K199" i="1"/>
  <c r="J199" i="1"/>
  <c r="F199" i="1"/>
  <c r="T198" i="1"/>
  <c r="Q198" i="1"/>
  <c r="N198" i="1"/>
  <c r="N197" i="1" s="1"/>
  <c r="I198" i="1"/>
  <c r="H198" i="1"/>
  <c r="H197" i="1" s="1"/>
  <c r="G198" i="1"/>
  <c r="E198" i="1"/>
  <c r="E197" i="1"/>
  <c r="O196" i="1"/>
  <c r="L196" i="1"/>
  <c r="O195" i="1"/>
  <c r="P195" i="1" s="1"/>
  <c r="R195" i="1" s="1"/>
  <c r="S195" i="1" s="1"/>
  <c r="L195" i="1"/>
  <c r="O194" i="1"/>
  <c r="P194" i="1" s="1"/>
  <c r="R194" i="1" s="1"/>
  <c r="S194" i="1" s="1"/>
  <c r="L194" i="1"/>
  <c r="O193" i="1"/>
  <c r="P193" i="1" s="1"/>
  <c r="R193" i="1" s="1"/>
  <c r="S193" i="1" s="1"/>
  <c r="L193" i="1"/>
  <c r="O192" i="1"/>
  <c r="P192" i="1" s="1"/>
  <c r="R192" i="1" s="1"/>
  <c r="S192" i="1" s="1"/>
  <c r="L192" i="1"/>
  <c r="O191" i="1"/>
  <c r="P191" i="1" s="1"/>
  <c r="R191" i="1" s="1"/>
  <c r="S191" i="1" s="1"/>
  <c r="L191" i="1"/>
  <c r="O190" i="1"/>
  <c r="P190" i="1" s="1"/>
  <c r="R190" i="1" s="1"/>
  <c r="S190" i="1" s="1"/>
  <c r="L190" i="1"/>
  <c r="O189" i="1"/>
  <c r="J189" i="1"/>
  <c r="L189" i="1" s="1"/>
  <c r="M189" i="1" s="1"/>
  <c r="O188" i="1"/>
  <c r="P188" i="1" s="1"/>
  <c r="J188" i="1"/>
  <c r="L188" i="1" s="1"/>
  <c r="M188" i="1" s="1"/>
  <c r="O187" i="1"/>
  <c r="L187" i="1"/>
  <c r="M187" i="1" s="1"/>
  <c r="O186" i="1"/>
  <c r="J186" i="1"/>
  <c r="L186" i="1" s="1"/>
  <c r="M186" i="1" s="1"/>
  <c r="O185" i="1"/>
  <c r="K185" i="1"/>
  <c r="J185" i="1"/>
  <c r="O184" i="1"/>
  <c r="P184" i="1" s="1"/>
  <c r="I184" i="1"/>
  <c r="L184" i="1" s="1"/>
  <c r="M184" i="1" s="1"/>
  <c r="O183" i="1"/>
  <c r="J183" i="1"/>
  <c r="I183" i="1"/>
  <c r="N182" i="1"/>
  <c r="N174" i="1" s="1"/>
  <c r="H182" i="1"/>
  <c r="G182" i="1"/>
  <c r="F182" i="1"/>
  <c r="F174" i="1" s="1"/>
  <c r="E182" i="1"/>
  <c r="O181" i="1"/>
  <c r="P181" i="1" s="1"/>
  <c r="G181" i="1"/>
  <c r="J181" i="1" s="1"/>
  <c r="O180" i="1"/>
  <c r="P180" i="1" s="1"/>
  <c r="E180" i="1"/>
  <c r="O179" i="1"/>
  <c r="O178" i="1"/>
  <c r="R178" i="1" s="1"/>
  <c r="S178" i="1" s="1"/>
  <c r="L178" i="1"/>
  <c r="M178" i="1" s="1"/>
  <c r="O177" i="1"/>
  <c r="S177" i="1" s="1"/>
  <c r="G177" i="1"/>
  <c r="J177" i="1" s="1"/>
  <c r="O176" i="1"/>
  <c r="G176" i="1"/>
  <c r="E176" i="1"/>
  <c r="O175" i="1"/>
  <c r="P175" i="1" s="1"/>
  <c r="K175" i="1"/>
  <c r="L175" i="1" s="1"/>
  <c r="M175" i="1" s="1"/>
  <c r="O173" i="1"/>
  <c r="R173" i="1" s="1"/>
  <c r="S173" i="1" s="1"/>
  <c r="J173" i="1"/>
  <c r="L173" i="1" s="1"/>
  <c r="M173" i="1" s="1"/>
  <c r="O172" i="1"/>
  <c r="G172" i="1"/>
  <c r="J172" i="1" s="1"/>
  <c r="L172" i="1" s="1"/>
  <c r="M172" i="1" s="1"/>
  <c r="O171" i="1"/>
  <c r="P171" i="1" s="1"/>
  <c r="O170" i="1"/>
  <c r="R170" i="1" s="1"/>
  <c r="S170" i="1" s="1"/>
  <c r="G170" i="1"/>
  <c r="J170" i="1" s="1"/>
  <c r="L170" i="1" s="1"/>
  <c r="M170" i="1" s="1"/>
  <c r="O169" i="1"/>
  <c r="E169" i="1"/>
  <c r="O168" i="1"/>
  <c r="G168" i="1"/>
  <c r="E168" i="1"/>
  <c r="O167" i="1"/>
  <c r="R167" i="1" s="1"/>
  <c r="S167" i="1" s="1"/>
  <c r="G167" i="1"/>
  <c r="E167" i="1"/>
  <c r="O166" i="1"/>
  <c r="R166" i="1" s="1"/>
  <c r="S166" i="1" s="1"/>
  <c r="G166" i="1"/>
  <c r="L166" i="1" s="1"/>
  <c r="M166" i="1" s="1"/>
  <c r="O165" i="1"/>
  <c r="R165" i="1" s="1"/>
  <c r="S165" i="1" s="1"/>
  <c r="E165" i="1"/>
  <c r="O164" i="1"/>
  <c r="P164" i="1" s="1"/>
  <c r="H164" i="1"/>
  <c r="R163" i="1"/>
  <c r="S163" i="1" s="1"/>
  <c r="P163" i="1"/>
  <c r="O163" i="1"/>
  <c r="G163" i="1"/>
  <c r="J163" i="1" s="1"/>
  <c r="L163" i="1" s="1"/>
  <c r="M163" i="1" s="1"/>
  <c r="O162" i="1"/>
  <c r="H162" i="1"/>
  <c r="E162" i="1"/>
  <c r="O161" i="1"/>
  <c r="R161" i="1" s="1"/>
  <c r="S161" i="1" s="1"/>
  <c r="H161" i="1"/>
  <c r="G161" i="1"/>
  <c r="E161" i="1"/>
  <c r="O160" i="1"/>
  <c r="R160" i="1" s="1"/>
  <c r="S160" i="1" s="1"/>
  <c r="E160" i="1"/>
  <c r="L160" i="1" s="1"/>
  <c r="M160" i="1" s="1"/>
  <c r="O159" i="1"/>
  <c r="J159" i="1"/>
  <c r="L159" i="1" s="1"/>
  <c r="M159" i="1" s="1"/>
  <c r="O158" i="1"/>
  <c r="R158" i="1" s="1"/>
  <c r="S158" i="1" s="1"/>
  <c r="L158" i="1"/>
  <c r="M158" i="1" s="1"/>
  <c r="O157" i="1"/>
  <c r="S157" i="1" s="1"/>
  <c r="K157" i="1"/>
  <c r="K156" i="1" s="1"/>
  <c r="J157" i="1"/>
  <c r="G157" i="1"/>
  <c r="F157" i="1"/>
  <c r="E157" i="1"/>
  <c r="N156" i="1"/>
  <c r="I156" i="1"/>
  <c r="O155" i="1"/>
  <c r="R155" i="1" s="1"/>
  <c r="S155" i="1" s="1"/>
  <c r="K155" i="1"/>
  <c r="L155" i="1" s="1"/>
  <c r="M155" i="1" s="1"/>
  <c r="O154" i="1"/>
  <c r="P154" i="1" s="1"/>
  <c r="K154" i="1"/>
  <c r="L154" i="1" s="1"/>
  <c r="M154" i="1" s="1"/>
  <c r="O153" i="1"/>
  <c r="R153" i="1" s="1"/>
  <c r="S153" i="1" s="1"/>
  <c r="K153" i="1"/>
  <c r="L153" i="1" s="1"/>
  <c r="M153" i="1" s="1"/>
  <c r="O152" i="1"/>
  <c r="R152" i="1" s="1"/>
  <c r="S152" i="1" s="1"/>
  <c r="K152" i="1"/>
  <c r="L152" i="1" s="1"/>
  <c r="M152" i="1" s="1"/>
  <c r="O150" i="1"/>
  <c r="P150" i="1" s="1"/>
  <c r="N149" i="1"/>
  <c r="K149" i="1"/>
  <c r="J149" i="1"/>
  <c r="I149" i="1"/>
  <c r="H149" i="1"/>
  <c r="G149" i="1"/>
  <c r="O148" i="1"/>
  <c r="P148" i="1" s="1"/>
  <c r="E148" i="1"/>
  <c r="O147" i="1"/>
  <c r="R147" i="1" s="1"/>
  <c r="S147" i="1" s="1"/>
  <c r="K147" i="1"/>
  <c r="K146" i="1" s="1"/>
  <c r="O146" i="1"/>
  <c r="J146" i="1"/>
  <c r="J145" i="1" s="1"/>
  <c r="J144" i="1" s="1"/>
  <c r="N145" i="1"/>
  <c r="N144" i="1" s="1"/>
  <c r="I145" i="1"/>
  <c r="H145" i="1"/>
  <c r="H144" i="1" s="1"/>
  <c r="G145" i="1"/>
  <c r="G144" i="1" s="1"/>
  <c r="F145" i="1"/>
  <c r="E145" i="1"/>
  <c r="E144" i="1" s="1"/>
  <c r="I144" i="1"/>
  <c r="O143" i="1"/>
  <c r="P143" i="1" s="1"/>
  <c r="K143" i="1"/>
  <c r="J143" i="1"/>
  <c r="O142" i="1"/>
  <c r="K142" i="1"/>
  <c r="J142" i="1"/>
  <c r="O141" i="1"/>
  <c r="R141" i="1" s="1"/>
  <c r="S141" i="1" s="1"/>
  <c r="K141" i="1"/>
  <c r="L141" i="1" s="1"/>
  <c r="M141" i="1" s="1"/>
  <c r="O140" i="1"/>
  <c r="R140" i="1" s="1"/>
  <c r="S140" i="1" s="1"/>
  <c r="K140" i="1"/>
  <c r="L140" i="1" s="1"/>
  <c r="M140" i="1" s="1"/>
  <c r="P139" i="1"/>
  <c r="O139" i="1"/>
  <c r="R139" i="1" s="1"/>
  <c r="S139" i="1" s="1"/>
  <c r="K139" i="1"/>
  <c r="L139" i="1" s="1"/>
  <c r="M139" i="1" s="1"/>
  <c r="O138" i="1"/>
  <c r="P138" i="1" s="1"/>
  <c r="K138" i="1"/>
  <c r="E138" i="1"/>
  <c r="O137" i="1"/>
  <c r="R137" i="1" s="1"/>
  <c r="S137" i="1" s="1"/>
  <c r="K137" i="1"/>
  <c r="L137" i="1" s="1"/>
  <c r="M137" i="1" s="1"/>
  <c r="O136" i="1"/>
  <c r="K136" i="1"/>
  <c r="L136" i="1" s="1"/>
  <c r="M136" i="1" s="1"/>
  <c r="R135" i="1"/>
  <c r="S135" i="1" s="1"/>
  <c r="O135" i="1"/>
  <c r="K135" i="1"/>
  <c r="L135" i="1" s="1"/>
  <c r="M135" i="1" s="1"/>
  <c r="O134" i="1"/>
  <c r="K134" i="1"/>
  <c r="J134" i="1"/>
  <c r="N133" i="1"/>
  <c r="I133" i="1"/>
  <c r="H133" i="1"/>
  <c r="G133" i="1"/>
  <c r="F133" i="1"/>
  <c r="S132" i="1"/>
  <c r="R132" i="1"/>
  <c r="P132" i="1"/>
  <c r="O132" i="1"/>
  <c r="N132" i="1"/>
  <c r="M132" i="1"/>
  <c r="L132" i="1"/>
  <c r="K132" i="1"/>
  <c r="J132" i="1"/>
  <c r="I132" i="1"/>
  <c r="H132" i="1"/>
  <c r="G132" i="1"/>
  <c r="F132" i="1"/>
  <c r="E132" i="1"/>
  <c r="O126" i="1"/>
  <c r="R126" i="1" s="1"/>
  <c r="S126" i="1" s="1"/>
  <c r="L126" i="1"/>
  <c r="M126" i="1" s="1"/>
  <c r="O125" i="1"/>
  <c r="R125" i="1" s="1"/>
  <c r="S125" i="1" s="1"/>
  <c r="L125" i="1"/>
  <c r="M125" i="1" s="1"/>
  <c r="R124" i="1"/>
  <c r="S124" i="1" s="1"/>
  <c r="O124" i="1"/>
  <c r="P124" i="1" s="1"/>
  <c r="H124" i="1"/>
  <c r="L124" i="1" s="1"/>
  <c r="M124" i="1" s="1"/>
  <c r="O123" i="1"/>
  <c r="R123" i="1" s="1"/>
  <c r="S123" i="1" s="1"/>
  <c r="L123" i="1"/>
  <c r="M123" i="1" s="1"/>
  <c r="O122" i="1"/>
  <c r="H122" i="1"/>
  <c r="L122" i="1" s="1"/>
  <c r="M122" i="1" s="1"/>
  <c r="O121" i="1"/>
  <c r="L121" i="1"/>
  <c r="M121" i="1" s="1"/>
  <c r="O120" i="1"/>
  <c r="L120" i="1"/>
  <c r="M120" i="1" s="1"/>
  <c r="O119" i="1"/>
  <c r="L119" i="1"/>
  <c r="M119" i="1" s="1"/>
  <c r="O118" i="1"/>
  <c r="R118" i="1" s="1"/>
  <c r="L118" i="1"/>
  <c r="N117" i="1"/>
  <c r="K117" i="1"/>
  <c r="J117" i="1"/>
  <c r="I117" i="1"/>
  <c r="G117" i="1"/>
  <c r="F117" i="1"/>
  <c r="E117" i="1"/>
  <c r="O116" i="1"/>
  <c r="P116" i="1" s="1"/>
  <c r="O115" i="1"/>
  <c r="N114" i="1"/>
  <c r="K114" i="1"/>
  <c r="J114" i="1"/>
  <c r="I114" i="1"/>
  <c r="H114" i="1"/>
  <c r="G114" i="1"/>
  <c r="F114" i="1"/>
  <c r="O112" i="1"/>
  <c r="R112" i="1" s="1"/>
  <c r="S112" i="1" s="1"/>
  <c r="I112" i="1"/>
  <c r="O111" i="1"/>
  <c r="K111" i="1"/>
  <c r="L111" i="1" s="1"/>
  <c r="M111" i="1" s="1"/>
  <c r="O110" i="1"/>
  <c r="R110" i="1" s="1"/>
  <c r="K110" i="1"/>
  <c r="L110" i="1" s="1"/>
  <c r="N109" i="1"/>
  <c r="J109" i="1"/>
  <c r="I109" i="1"/>
  <c r="H109" i="1"/>
  <c r="G109" i="1"/>
  <c r="F109" i="1"/>
  <c r="E109" i="1"/>
  <c r="S108" i="1"/>
  <c r="O108" i="1"/>
  <c r="R108" i="1" s="1"/>
  <c r="L108" i="1"/>
  <c r="M108" i="1" s="1"/>
  <c r="R107" i="1"/>
  <c r="S107" i="1" s="1"/>
  <c r="P107" i="1"/>
  <c r="O107" i="1"/>
  <c r="K107" i="1"/>
  <c r="L107" i="1" s="1"/>
  <c r="M107" i="1" s="1"/>
  <c r="O106" i="1"/>
  <c r="P106" i="1" s="1"/>
  <c r="K106" i="1"/>
  <c r="N105" i="1"/>
  <c r="J105" i="1"/>
  <c r="I105" i="1"/>
  <c r="H105" i="1"/>
  <c r="G105" i="1"/>
  <c r="F105" i="1"/>
  <c r="E105" i="1"/>
  <c r="O104" i="1"/>
  <c r="L104" i="1"/>
  <c r="M104" i="1" s="1"/>
  <c r="O103" i="1"/>
  <c r="R103" i="1" s="1"/>
  <c r="L103" i="1"/>
  <c r="L102" i="1" s="1"/>
  <c r="G103" i="1"/>
  <c r="G102" i="1" s="1"/>
  <c r="E103" i="1"/>
  <c r="E102" i="1" s="1"/>
  <c r="N102" i="1"/>
  <c r="K102" i="1"/>
  <c r="J102" i="1"/>
  <c r="I102" i="1"/>
  <c r="H102" i="1"/>
  <c r="F102" i="1"/>
  <c r="O101" i="1"/>
  <c r="K101" i="1"/>
  <c r="L101" i="1" s="1"/>
  <c r="M101" i="1" s="1"/>
  <c r="O100" i="1"/>
  <c r="R100" i="1" s="1"/>
  <c r="S100" i="1" s="1"/>
  <c r="K100" i="1"/>
  <c r="N99" i="1"/>
  <c r="J99" i="1"/>
  <c r="J98" i="1" s="1"/>
  <c r="I99" i="1"/>
  <c r="H99" i="1"/>
  <c r="G99" i="1"/>
  <c r="F99" i="1"/>
  <c r="E99" i="1"/>
  <c r="O97" i="1"/>
  <c r="R97" i="1" s="1"/>
  <c r="K97" i="1"/>
  <c r="L97" i="1" s="1"/>
  <c r="M97" i="1" s="1"/>
  <c r="O96" i="1"/>
  <c r="P96" i="1" s="1"/>
  <c r="K96" i="1"/>
  <c r="L96" i="1" s="1"/>
  <c r="N95" i="1"/>
  <c r="J95" i="1"/>
  <c r="I95" i="1"/>
  <c r="H95" i="1"/>
  <c r="G95" i="1"/>
  <c r="F95" i="1"/>
  <c r="E95" i="1"/>
  <c r="K94" i="1"/>
  <c r="L94" i="1" s="1"/>
  <c r="M94" i="1" s="1"/>
  <c r="O94" i="1" s="1"/>
  <c r="O93" i="1"/>
  <c r="L93" i="1"/>
  <c r="M93" i="1" s="1"/>
  <c r="R92" i="1"/>
  <c r="S92" i="1" s="1"/>
  <c r="P92" i="1"/>
  <c r="O92" i="1"/>
  <c r="G92" i="1"/>
  <c r="O91" i="1"/>
  <c r="L91" i="1"/>
  <c r="M91" i="1" s="1"/>
  <c r="O90" i="1"/>
  <c r="G90" i="1"/>
  <c r="G171" i="1" s="1"/>
  <c r="P89" i="1"/>
  <c r="O89" i="1"/>
  <c r="L89" i="1"/>
  <c r="M89" i="1" s="1"/>
  <c r="R88" i="1"/>
  <c r="S88" i="1" s="1"/>
  <c r="P88" i="1"/>
  <c r="O88" i="1"/>
  <c r="L88" i="1"/>
  <c r="M88" i="1" s="1"/>
  <c r="O87" i="1"/>
  <c r="G87" i="1"/>
  <c r="L87" i="1" s="1"/>
  <c r="M87" i="1" s="1"/>
  <c r="E87" i="1"/>
  <c r="O86" i="1"/>
  <c r="L86" i="1"/>
  <c r="M86" i="1" s="1"/>
  <c r="O85" i="1"/>
  <c r="G85" i="1"/>
  <c r="O84" i="1"/>
  <c r="L84" i="1"/>
  <c r="M84" i="1" s="1"/>
  <c r="O83" i="1"/>
  <c r="L83" i="1"/>
  <c r="M83" i="1" s="1"/>
  <c r="O82" i="1"/>
  <c r="L82" i="1"/>
  <c r="M82" i="1" s="1"/>
  <c r="O81" i="1"/>
  <c r="R81" i="1" s="1"/>
  <c r="S81" i="1" s="1"/>
  <c r="L81" i="1"/>
  <c r="M81" i="1" s="1"/>
  <c r="O80" i="1"/>
  <c r="K80" i="1"/>
  <c r="L80" i="1" s="1"/>
  <c r="M80" i="1" s="1"/>
  <c r="O79" i="1"/>
  <c r="G79" i="1"/>
  <c r="L79" i="1" s="1"/>
  <c r="M79" i="1" s="1"/>
  <c r="R78" i="1"/>
  <c r="S78" i="1" s="1"/>
  <c r="P78" i="1"/>
  <c r="O78" i="1"/>
  <c r="L78" i="1"/>
  <c r="M78" i="1" s="1"/>
  <c r="O77" i="1"/>
  <c r="P77" i="1" s="1"/>
  <c r="G77" i="1"/>
  <c r="G231" i="1" s="1"/>
  <c r="O76" i="1"/>
  <c r="L76" i="1"/>
  <c r="M76" i="1" s="1"/>
  <c r="O75" i="1"/>
  <c r="P75" i="1" s="1"/>
  <c r="M75" i="1"/>
  <c r="L75" i="1"/>
  <c r="O74" i="1"/>
  <c r="L74" i="1"/>
  <c r="M74" i="1" s="1"/>
  <c r="O73" i="1"/>
  <c r="L73" i="1"/>
  <c r="M73" i="1" s="1"/>
  <c r="P72" i="1"/>
  <c r="O72" i="1"/>
  <c r="L72" i="1"/>
  <c r="M72" i="1" s="1"/>
  <c r="O71" i="1"/>
  <c r="L71" i="1"/>
  <c r="M71" i="1" s="1"/>
  <c r="G71" i="1"/>
  <c r="G165" i="1" s="1"/>
  <c r="O70" i="1"/>
  <c r="G70" i="1"/>
  <c r="L70" i="1" s="1"/>
  <c r="E70" i="1"/>
  <c r="O69" i="1"/>
  <c r="R69" i="1" s="1"/>
  <c r="S69" i="1" s="1"/>
  <c r="L69" i="1"/>
  <c r="M69" i="1" s="1"/>
  <c r="O68" i="1"/>
  <c r="R68" i="1" s="1"/>
  <c r="L68" i="1"/>
  <c r="M68" i="1" s="1"/>
  <c r="N67" i="1"/>
  <c r="J67" i="1"/>
  <c r="I67" i="1"/>
  <c r="H67" i="1"/>
  <c r="F67" i="1"/>
  <c r="O66" i="1"/>
  <c r="R66" i="1" s="1"/>
  <c r="S66" i="1" s="1"/>
  <c r="G66" i="1"/>
  <c r="F66" i="1"/>
  <c r="E66" i="1"/>
  <c r="S65" i="1"/>
  <c r="R65" i="1"/>
  <c r="O64" i="1"/>
  <c r="L64" i="1"/>
  <c r="M64" i="1" s="1"/>
  <c r="O63" i="1"/>
  <c r="L63" i="1"/>
  <c r="M63" i="1" s="1"/>
  <c r="O62" i="1"/>
  <c r="P62" i="1" s="1"/>
  <c r="M62" i="1"/>
  <c r="L62" i="1"/>
  <c r="O61" i="1"/>
  <c r="L61" i="1"/>
  <c r="M61" i="1" s="1"/>
  <c r="O60" i="1"/>
  <c r="F60" i="1"/>
  <c r="F148" i="1" s="1"/>
  <c r="O59" i="1"/>
  <c r="P59" i="1" s="1"/>
  <c r="L59" i="1"/>
  <c r="M59" i="1" s="1"/>
  <c r="O58" i="1"/>
  <c r="P58" i="1" s="1"/>
  <c r="L58" i="1"/>
  <c r="M58" i="1" s="1"/>
  <c r="O57" i="1"/>
  <c r="R57" i="1" s="1"/>
  <c r="S57" i="1" s="1"/>
  <c r="L57" i="1"/>
  <c r="M57" i="1" s="1"/>
  <c r="O56" i="1"/>
  <c r="P56" i="1" s="1"/>
  <c r="L56" i="1"/>
  <c r="M56" i="1" s="1"/>
  <c r="O55" i="1"/>
  <c r="P55" i="1" s="1"/>
  <c r="F55" i="1"/>
  <c r="F278" i="1" s="1"/>
  <c r="O54" i="1"/>
  <c r="M54" i="1"/>
  <c r="L54" i="1"/>
  <c r="O53" i="1"/>
  <c r="P53" i="1" s="1"/>
  <c r="F53" i="1"/>
  <c r="L53" i="1" s="1"/>
  <c r="M53" i="1" s="1"/>
  <c r="E53" i="1"/>
  <c r="O52" i="1"/>
  <c r="F52" i="1"/>
  <c r="F260" i="1" s="1"/>
  <c r="E52" i="1"/>
  <c r="O51" i="1"/>
  <c r="F51" i="1"/>
  <c r="L51" i="1" s="1"/>
  <c r="E51" i="1"/>
  <c r="N50" i="1"/>
  <c r="K50" i="1"/>
  <c r="J50" i="1"/>
  <c r="I50" i="1"/>
  <c r="H50" i="1"/>
  <c r="H43" i="1" s="1"/>
  <c r="H42" i="1" s="1"/>
  <c r="G50" i="1"/>
  <c r="O49" i="1"/>
  <c r="P49" i="1" s="1"/>
  <c r="M49" i="1"/>
  <c r="P48" i="1"/>
  <c r="O48" i="1"/>
  <c r="R48" i="1" s="1"/>
  <c r="S48" i="1" s="1"/>
  <c r="M48" i="1"/>
  <c r="N47" i="1"/>
  <c r="N43" i="1" s="1"/>
  <c r="N42" i="1" s="1"/>
  <c r="M47" i="1"/>
  <c r="L47" i="1"/>
  <c r="K47" i="1"/>
  <c r="J47" i="1"/>
  <c r="I47" i="1"/>
  <c r="H47" i="1"/>
  <c r="G47" i="1"/>
  <c r="F47" i="1"/>
  <c r="E47" i="1"/>
  <c r="O46" i="1"/>
  <c r="P46" i="1" s="1"/>
  <c r="F46" i="1"/>
  <c r="L46" i="1" s="1"/>
  <c r="M46" i="1" s="1"/>
  <c r="O45" i="1"/>
  <c r="R45" i="1" s="1"/>
  <c r="S45" i="1" s="1"/>
  <c r="F45" i="1"/>
  <c r="F294" i="1" s="1"/>
  <c r="F293" i="1" s="1"/>
  <c r="O44" i="1"/>
  <c r="F44" i="1"/>
  <c r="F291" i="1" s="1"/>
  <c r="K41" i="1"/>
  <c r="L41" i="1" s="1"/>
  <c r="M41" i="1" s="1"/>
  <c r="O41" i="1" s="1"/>
  <c r="O40" i="1"/>
  <c r="R40" i="1" s="1"/>
  <c r="S40" i="1" s="1"/>
  <c r="O39" i="1"/>
  <c r="R39" i="1" s="1"/>
  <c r="S39" i="1" s="1"/>
  <c r="L39" i="1"/>
  <c r="M39" i="1" s="1"/>
  <c r="O38" i="1"/>
  <c r="P38" i="1" s="1"/>
  <c r="N37" i="1"/>
  <c r="K37" i="1"/>
  <c r="J37" i="1"/>
  <c r="I37" i="1"/>
  <c r="H37" i="1"/>
  <c r="G37" i="1"/>
  <c r="F37" i="1"/>
  <c r="E37" i="1"/>
  <c r="O36" i="1"/>
  <c r="P36" i="1" s="1"/>
  <c r="O35" i="1"/>
  <c r="P35" i="1" s="1"/>
  <c r="N34" i="1"/>
  <c r="J34" i="1"/>
  <c r="I34" i="1"/>
  <c r="H34" i="1"/>
  <c r="G34" i="1"/>
  <c r="F34" i="1"/>
  <c r="E34" i="1"/>
  <c r="O33" i="1"/>
  <c r="R33" i="1" s="1"/>
  <c r="S33" i="1" s="1"/>
  <c r="O32" i="1"/>
  <c r="P32" i="1" s="1"/>
  <c r="O31" i="1"/>
  <c r="R31" i="1" s="1"/>
  <c r="S31" i="1" s="1"/>
  <c r="O30" i="1"/>
  <c r="R30" i="1" s="1"/>
  <c r="S30" i="1" s="1"/>
  <c r="O29" i="1"/>
  <c r="P29" i="1" s="1"/>
  <c r="S28" i="1"/>
  <c r="O28" i="1"/>
  <c r="R28" i="1" s="1"/>
  <c r="N27" i="1"/>
  <c r="J27" i="1"/>
  <c r="I27" i="1"/>
  <c r="H27" i="1"/>
  <c r="G27" i="1"/>
  <c r="F27" i="1"/>
  <c r="E27" i="1"/>
  <c r="O26" i="1"/>
  <c r="R26" i="1" s="1"/>
  <c r="S26" i="1" s="1"/>
  <c r="O25" i="1"/>
  <c r="O24" i="1"/>
  <c r="P24" i="1" s="1"/>
  <c r="N23" i="1"/>
  <c r="N22" i="1" s="1"/>
  <c r="J23" i="1"/>
  <c r="I23" i="1"/>
  <c r="H23" i="1"/>
  <c r="G23" i="1"/>
  <c r="F23" i="1"/>
  <c r="E23" i="1"/>
  <c r="F22" i="1"/>
  <c r="O21" i="1"/>
  <c r="F21" i="1"/>
  <c r="E21" i="1"/>
  <c r="E150" i="1" s="1"/>
  <c r="O20" i="1"/>
  <c r="R20" i="1" s="1"/>
  <c r="S20" i="1" s="1"/>
  <c r="K20" i="1"/>
  <c r="K19" i="1" s="1"/>
  <c r="N19" i="1"/>
  <c r="J19" i="1"/>
  <c r="I19" i="1"/>
  <c r="H19" i="1"/>
  <c r="G19" i="1"/>
  <c r="O18" i="1"/>
  <c r="R18" i="1" s="1"/>
  <c r="S18" i="1" s="1"/>
  <c r="K18" i="1"/>
  <c r="L18" i="1" s="1"/>
  <c r="M18" i="1" s="1"/>
  <c r="O17" i="1"/>
  <c r="O16" i="1" s="1"/>
  <c r="K17" i="1"/>
  <c r="L17" i="1" s="1"/>
  <c r="M17" i="1" s="1"/>
  <c r="N16" i="1"/>
  <c r="J16" i="1"/>
  <c r="I16" i="1"/>
  <c r="H16" i="1"/>
  <c r="G16" i="1"/>
  <c r="F16" i="1"/>
  <c r="E16" i="1"/>
  <c r="O15" i="1"/>
  <c r="R15" i="1" s="1"/>
  <c r="S15" i="1" s="1"/>
  <c r="K15" i="1"/>
  <c r="L15" i="1" s="1"/>
  <c r="M15" i="1" s="1"/>
  <c r="O14" i="1"/>
  <c r="O13" i="1" s="1"/>
  <c r="K14" i="1"/>
  <c r="N13" i="1"/>
  <c r="J13" i="1"/>
  <c r="I13" i="1"/>
  <c r="H13" i="1"/>
  <c r="G13" i="1"/>
  <c r="F13" i="1"/>
  <c r="E13" i="1"/>
  <c r="O12" i="1"/>
  <c r="R12" i="1" s="1"/>
  <c r="S12" i="1" s="1"/>
  <c r="K12" i="1"/>
  <c r="L12" i="1" s="1"/>
  <c r="M12" i="1" s="1"/>
  <c r="O11" i="1"/>
  <c r="R11" i="1" s="1"/>
  <c r="K11" i="1"/>
  <c r="N10" i="1"/>
  <c r="J10" i="1"/>
  <c r="I10" i="1"/>
  <c r="H10" i="1"/>
  <c r="G10" i="1"/>
  <c r="F10" i="1"/>
  <c r="E10" i="1"/>
  <c r="O8" i="1"/>
  <c r="N7" i="1"/>
  <c r="J7" i="1"/>
  <c r="I7" i="1"/>
  <c r="H7" i="1"/>
  <c r="G7" i="1"/>
  <c r="F7" i="1"/>
  <c r="E7" i="1"/>
  <c r="K31" i="1"/>
  <c r="K35" i="1"/>
  <c r="K29" i="1"/>
  <c r="K38" i="1"/>
  <c r="K25" i="1"/>
  <c r="K33" i="1"/>
  <c r="K30" i="1"/>
  <c r="K28" i="1"/>
  <c r="K32" i="1"/>
  <c r="K36" i="1"/>
  <c r="K24" i="1"/>
  <c r="K40" i="1"/>
  <c r="K26" i="1"/>
  <c r="L226" i="1" l="1"/>
  <c r="M226" i="1" s="1"/>
  <c r="K8" i="1"/>
  <c r="K7" i="1" s="1"/>
  <c r="K67" i="1"/>
  <c r="L142" i="1"/>
  <c r="M142" i="1" s="1"/>
  <c r="K99" i="1"/>
  <c r="I285" i="1"/>
  <c r="I270" i="1" s="1"/>
  <c r="L202" i="1"/>
  <c r="M202" i="1" s="1"/>
  <c r="K246" i="1"/>
  <c r="L246" i="1" s="1"/>
  <c r="M246" i="1" s="1"/>
  <c r="J198" i="1"/>
  <c r="G258" i="1"/>
  <c r="P14" i="1"/>
  <c r="P137" i="1"/>
  <c r="L218" i="1"/>
  <c r="M218" i="1" s="1"/>
  <c r="P251" i="1"/>
  <c r="J268" i="1"/>
  <c r="R14" i="1"/>
  <c r="S14" i="1" s="1"/>
  <c r="R29" i="1"/>
  <c r="S29" i="1" s="1"/>
  <c r="L148" i="1"/>
  <c r="M148" i="1" s="1"/>
  <c r="N98" i="1"/>
  <c r="N113" i="1" s="1"/>
  <c r="K112" i="1"/>
  <c r="L112" i="1" s="1"/>
  <c r="M112" i="1" s="1"/>
  <c r="P141" i="1"/>
  <c r="P153" i="1"/>
  <c r="P177" i="1"/>
  <c r="R251" i="1"/>
  <c r="S251" i="1" s="1"/>
  <c r="R300" i="1"/>
  <c r="S300" i="1" s="1"/>
  <c r="K214" i="1"/>
  <c r="K213" i="1" s="1"/>
  <c r="K212" i="1" s="1"/>
  <c r="J258" i="1"/>
  <c r="P16" i="1"/>
  <c r="R96" i="1"/>
  <c r="S96" i="1" s="1"/>
  <c r="P125" i="1"/>
  <c r="L161" i="1"/>
  <c r="M161" i="1" s="1"/>
  <c r="G169" i="1"/>
  <c r="P173" i="1"/>
  <c r="L200" i="1"/>
  <c r="M200" i="1" s="1"/>
  <c r="G222" i="1"/>
  <c r="L255" i="1"/>
  <c r="M255" i="1" s="1"/>
  <c r="L265" i="1"/>
  <c r="M265" i="1" s="1"/>
  <c r="P15" i="1"/>
  <c r="P68" i="1"/>
  <c r="R75" i="1"/>
  <c r="S75" i="1" s="1"/>
  <c r="P103" i="1"/>
  <c r="H169" i="1"/>
  <c r="G197" i="1"/>
  <c r="P215" i="1"/>
  <c r="O244" i="1"/>
  <c r="P291" i="1"/>
  <c r="E22" i="1"/>
  <c r="L90" i="1"/>
  <c r="M90" i="1" s="1"/>
  <c r="L266" i="1"/>
  <c r="M266" i="1" s="1"/>
  <c r="R291" i="1"/>
  <c r="R49" i="1"/>
  <c r="L66" i="1"/>
  <c r="M66" i="1" s="1"/>
  <c r="E174" i="1"/>
  <c r="P298" i="1"/>
  <c r="P307" i="1"/>
  <c r="K198" i="1"/>
  <c r="L223" i="1"/>
  <c r="M223" i="1" s="1"/>
  <c r="R247" i="1"/>
  <c r="S247" i="1" s="1"/>
  <c r="P69" i="1"/>
  <c r="I98" i="1"/>
  <c r="L143" i="1"/>
  <c r="M143" i="1" s="1"/>
  <c r="J167" i="1"/>
  <c r="R180" i="1"/>
  <c r="S180" i="1" s="1"/>
  <c r="P183" i="1"/>
  <c r="L250" i="1"/>
  <c r="H270" i="1"/>
  <c r="H232" i="1" s="1"/>
  <c r="R273" i="1"/>
  <c r="S273" i="1" s="1"/>
  <c r="K10" i="1"/>
  <c r="I22" i="1"/>
  <c r="K43" i="1"/>
  <c r="P110" i="1"/>
  <c r="R201" i="1"/>
  <c r="S201" i="1" s="1"/>
  <c r="E212" i="1"/>
  <c r="R257" i="1"/>
  <c r="S257" i="1" s="1"/>
  <c r="R10" i="1"/>
  <c r="R58" i="1"/>
  <c r="S58" i="1" s="1"/>
  <c r="R171" i="1"/>
  <c r="S171" i="1" s="1"/>
  <c r="R228" i="1"/>
  <c r="S228" i="1" s="1"/>
  <c r="L286" i="1"/>
  <c r="L264" i="1"/>
  <c r="M264" i="1" s="1"/>
  <c r="K258" i="1"/>
  <c r="L208" i="1"/>
  <c r="M208" i="1" s="1"/>
  <c r="K207" i="1"/>
  <c r="K197" i="1" s="1"/>
  <c r="M286" i="1"/>
  <c r="I6" i="1"/>
  <c r="P39" i="1"/>
  <c r="L100" i="1"/>
  <c r="M100" i="1" s="1"/>
  <c r="M99" i="1" s="1"/>
  <c r="P178" i="1"/>
  <c r="N232" i="1"/>
  <c r="J270" i="1"/>
  <c r="P17" i="1"/>
  <c r="R24" i="1"/>
  <c r="S24" i="1" s="1"/>
  <c r="O27" i="1"/>
  <c r="P27" i="1" s="1"/>
  <c r="P44" i="1"/>
  <c r="R63" i="1"/>
  <c r="S63" i="1" s="1"/>
  <c r="P73" i="1"/>
  <c r="P76" i="1"/>
  <c r="P90" i="1"/>
  <c r="R93" i="1"/>
  <c r="S93" i="1" s="1"/>
  <c r="O114" i="1"/>
  <c r="P114" i="1" s="1"/>
  <c r="H117" i="1"/>
  <c r="P120" i="1"/>
  <c r="P126" i="1"/>
  <c r="R164" i="1"/>
  <c r="S164" i="1" s="1"/>
  <c r="R169" i="1"/>
  <c r="S169" i="1" s="1"/>
  <c r="R186" i="1"/>
  <c r="S186" i="1" s="1"/>
  <c r="L215" i="1"/>
  <c r="M215" i="1" s="1"/>
  <c r="N212" i="1"/>
  <c r="P225" i="1"/>
  <c r="L228" i="1"/>
  <c r="M228" i="1" s="1"/>
  <c r="P243" i="1"/>
  <c r="P276" i="1"/>
  <c r="R281" i="1"/>
  <c r="S281" i="1" s="1"/>
  <c r="G270" i="1"/>
  <c r="R288" i="1"/>
  <c r="S288" i="1" s="1"/>
  <c r="K290" i="1"/>
  <c r="R292" i="1"/>
  <c r="S292" i="1" s="1"/>
  <c r="L295" i="1"/>
  <c r="M295" i="1" s="1"/>
  <c r="M16" i="1"/>
  <c r="P13" i="1"/>
  <c r="O19" i="1"/>
  <c r="P63" i="1"/>
  <c r="P93" i="1"/>
  <c r="P169" i="1"/>
  <c r="K13" i="1"/>
  <c r="R44" i="1"/>
  <c r="S44" i="1" s="1"/>
  <c r="R53" i="1"/>
  <c r="S53" i="1" s="1"/>
  <c r="R73" i="1"/>
  <c r="S73" i="1" s="1"/>
  <c r="R76" i="1"/>
  <c r="S76" i="1" s="1"/>
  <c r="R90" i="1"/>
  <c r="S90" i="1" s="1"/>
  <c r="E98" i="1"/>
  <c r="P100" i="1"/>
  <c r="R120" i="1"/>
  <c r="S120" i="1" s="1"/>
  <c r="P147" i="1"/>
  <c r="R209" i="1"/>
  <c r="S209" i="1" s="1"/>
  <c r="R225" i="1"/>
  <c r="S225" i="1" s="1"/>
  <c r="P240" i="1"/>
  <c r="R260" i="1"/>
  <c r="S260" i="1" s="1"/>
  <c r="R138" i="1"/>
  <c r="S138" i="1" s="1"/>
  <c r="K95" i="1"/>
  <c r="P12" i="1"/>
  <c r="L20" i="1"/>
  <c r="M20" i="1" s="1"/>
  <c r="R32" i="1"/>
  <c r="S32" i="1" s="1"/>
  <c r="P40" i="1"/>
  <c r="F98" i="1"/>
  <c r="K133" i="1"/>
  <c r="P158" i="1"/>
  <c r="P160" i="1"/>
  <c r="G212" i="1"/>
  <c r="R263" i="1"/>
  <c r="S263" i="1" s="1"/>
  <c r="R269" i="1"/>
  <c r="S269" i="1" s="1"/>
  <c r="E271" i="1"/>
  <c r="P274" i="1"/>
  <c r="P279" i="1"/>
  <c r="L287" i="1"/>
  <c r="M287" i="1" s="1"/>
  <c r="S307" i="1"/>
  <c r="P311" i="1"/>
  <c r="K109" i="1"/>
  <c r="G6" i="1"/>
  <c r="J6" i="1"/>
  <c r="G22" i="1"/>
  <c r="P26" i="1"/>
  <c r="O37" i="1"/>
  <c r="P37" i="1" s="1"/>
  <c r="P45" i="1"/>
  <c r="P80" i="1"/>
  <c r="M103" i="1"/>
  <c r="M102" i="1" s="1"/>
  <c r="P115" i="1"/>
  <c r="P165" i="1"/>
  <c r="P287" i="1"/>
  <c r="P289" i="1"/>
  <c r="L296" i="1"/>
  <c r="M296" i="1" s="1"/>
  <c r="G98" i="1"/>
  <c r="K16" i="1"/>
  <c r="H22" i="1"/>
  <c r="R36" i="1"/>
  <c r="S36" i="1" s="1"/>
  <c r="J43" i="1"/>
  <c r="J42" i="1" s="1"/>
  <c r="R80" i="1"/>
  <c r="S80" i="1" s="1"/>
  <c r="O109" i="1"/>
  <c r="P109" i="1" s="1"/>
  <c r="R115" i="1"/>
  <c r="J168" i="1"/>
  <c r="N151" i="1"/>
  <c r="J182" i="1"/>
  <c r="R188" i="1"/>
  <c r="S188" i="1" s="1"/>
  <c r="P202" i="1"/>
  <c r="P210" i="1"/>
  <c r="L221" i="1"/>
  <c r="M221" i="1" s="1"/>
  <c r="L229" i="1"/>
  <c r="M229" i="1" s="1"/>
  <c r="I239" i="1"/>
  <c r="R287" i="1"/>
  <c r="S287" i="1" s="1"/>
  <c r="R289" i="1"/>
  <c r="S289" i="1" s="1"/>
  <c r="L268" i="1"/>
  <c r="M268" i="1" s="1"/>
  <c r="O10" i="1"/>
  <c r="N9" i="1"/>
  <c r="R47" i="1"/>
  <c r="R38" i="1"/>
  <c r="S38" i="1" s="1"/>
  <c r="G43" i="1"/>
  <c r="L52" i="1"/>
  <c r="M52" i="1" s="1"/>
  <c r="K105" i="1"/>
  <c r="P108" i="1"/>
  <c r="R116" i="1"/>
  <c r="S116" i="1" s="1"/>
  <c r="R148" i="1"/>
  <c r="S148" i="1" s="1"/>
  <c r="L201" i="1"/>
  <c r="M201" i="1" s="1"/>
  <c r="P224" i="1"/>
  <c r="I258" i="1"/>
  <c r="P280" i="1"/>
  <c r="R290" i="1"/>
  <c r="S290" i="1" s="1"/>
  <c r="L304" i="1"/>
  <c r="G232" i="1"/>
  <c r="L16" i="1"/>
  <c r="R21" i="1"/>
  <c r="S21" i="1" s="1"/>
  <c r="O23" i="1"/>
  <c r="O22" i="1" s="1"/>
  <c r="P22" i="1" s="1"/>
  <c r="R106" i="1"/>
  <c r="R105" i="1" s="1"/>
  <c r="P152" i="1"/>
  <c r="P157" i="1"/>
  <c r="L181" i="1"/>
  <c r="M181" i="1" s="1"/>
  <c r="P189" i="1"/>
  <c r="P262" i="1"/>
  <c r="P301" i="1"/>
  <c r="R189" i="1"/>
  <c r="S189" i="1" s="1"/>
  <c r="R262" i="1"/>
  <c r="S262" i="1" s="1"/>
  <c r="E285" i="1"/>
  <c r="R301" i="1"/>
  <c r="S301" i="1" s="1"/>
  <c r="L38" i="1"/>
  <c r="L40" i="1"/>
  <c r="M40" i="1" s="1"/>
  <c r="L32" i="1"/>
  <c r="M32" i="1" s="1"/>
  <c r="K23" i="1"/>
  <c r="L24" i="1"/>
  <c r="L33" i="1"/>
  <c r="M33" i="1" s="1"/>
  <c r="L36" i="1"/>
  <c r="M36" i="1" s="1"/>
  <c r="L30" i="1"/>
  <c r="M30" i="1" s="1"/>
  <c r="L29" i="1"/>
  <c r="M29" i="1" s="1"/>
  <c r="L25" i="1"/>
  <c r="M25" i="1" s="1"/>
  <c r="L26" i="1"/>
  <c r="M26" i="1" s="1"/>
  <c r="K27" i="1"/>
  <c r="L28" i="1"/>
  <c r="L31" i="1"/>
  <c r="M31" i="1" s="1"/>
  <c r="K34" i="1"/>
  <c r="L35" i="1"/>
  <c r="R41" i="1"/>
  <c r="S41" i="1" s="1"/>
  <c r="P41" i="1"/>
  <c r="P19" i="1"/>
  <c r="H6" i="1"/>
  <c r="R159" i="1"/>
  <c r="O156" i="1"/>
  <c r="P156" i="1" s="1"/>
  <c r="L45" i="1"/>
  <c r="M45" i="1" s="1"/>
  <c r="F50" i="1"/>
  <c r="F43" i="1" s="1"/>
  <c r="F42" i="1" s="1"/>
  <c r="L60" i="1"/>
  <c r="M60" i="1" s="1"/>
  <c r="P111" i="1"/>
  <c r="P159" i="1"/>
  <c r="O254" i="1"/>
  <c r="P254" i="1" s="1"/>
  <c r="R255" i="1"/>
  <c r="P255" i="1"/>
  <c r="L55" i="1"/>
  <c r="M55" i="1" s="1"/>
  <c r="S68" i="1"/>
  <c r="L99" i="1"/>
  <c r="J171" i="1"/>
  <c r="L171" i="1" s="1"/>
  <c r="M171" i="1" s="1"/>
  <c r="R179" i="1"/>
  <c r="S179" i="1" s="1"/>
  <c r="P25" i="1"/>
  <c r="S49" i="1"/>
  <c r="R52" i="1"/>
  <c r="S52" i="1" s="1"/>
  <c r="P52" i="1"/>
  <c r="S103" i="1"/>
  <c r="E133" i="1"/>
  <c r="L138" i="1"/>
  <c r="M138" i="1" s="1"/>
  <c r="R150" i="1"/>
  <c r="O149" i="1"/>
  <c r="P149" i="1" s="1"/>
  <c r="H156" i="1"/>
  <c r="P179" i="1"/>
  <c r="M256" i="1"/>
  <c r="O271" i="1"/>
  <c r="R272" i="1"/>
  <c r="P8" i="1"/>
  <c r="L11" i="1"/>
  <c r="L14" i="1"/>
  <c r="R25" i="1"/>
  <c r="R8" i="1"/>
  <c r="E19" i="1"/>
  <c r="E6" i="1" s="1"/>
  <c r="P21" i="1"/>
  <c r="P28" i="1"/>
  <c r="P30" i="1"/>
  <c r="O34" i="1"/>
  <c r="P34" i="1" s="1"/>
  <c r="R35" i="1"/>
  <c r="R55" i="1"/>
  <c r="S55" i="1" s="1"/>
  <c r="R60" i="1"/>
  <c r="S60" i="1" s="1"/>
  <c r="P60" i="1"/>
  <c r="P81" i="1"/>
  <c r="P87" i="1"/>
  <c r="R87" i="1"/>
  <c r="S87" i="1" s="1"/>
  <c r="H98" i="1"/>
  <c r="R111" i="1"/>
  <c r="S111" i="1" s="1"/>
  <c r="J169" i="1"/>
  <c r="L169" i="1" s="1"/>
  <c r="M169" i="1" s="1"/>
  <c r="R46" i="1"/>
  <c r="S46" i="1" s="1"/>
  <c r="R71" i="1"/>
  <c r="S71" i="1" s="1"/>
  <c r="R104" i="1"/>
  <c r="S104" i="1" s="1"/>
  <c r="P104" i="1"/>
  <c r="P57" i="1"/>
  <c r="S11" i="1"/>
  <c r="R13" i="1"/>
  <c r="S13" i="1" s="1"/>
  <c r="M51" i="1"/>
  <c r="P71" i="1"/>
  <c r="G162" i="1"/>
  <c r="L162" i="1" s="1"/>
  <c r="M162" i="1" s="1"/>
  <c r="L85" i="1"/>
  <c r="M85" i="1" s="1"/>
  <c r="P97" i="1"/>
  <c r="O95" i="1"/>
  <c r="O102" i="1"/>
  <c r="P51" i="1"/>
  <c r="O50" i="1"/>
  <c r="R85" i="1"/>
  <c r="S85" i="1" s="1"/>
  <c r="R136" i="1"/>
  <c r="S136" i="1" s="1"/>
  <c r="P136" i="1"/>
  <c r="R146" i="1"/>
  <c r="O145" i="1"/>
  <c r="P146" i="1"/>
  <c r="R37" i="1"/>
  <c r="F150" i="1"/>
  <c r="F149" i="1" s="1"/>
  <c r="L21" i="1"/>
  <c r="M21" i="1" s="1"/>
  <c r="N6" i="1"/>
  <c r="P226" i="1"/>
  <c r="R226" i="1"/>
  <c r="S226" i="1" s="1"/>
  <c r="O222" i="1"/>
  <c r="P222" i="1" s="1"/>
  <c r="R59" i="1"/>
  <c r="S59" i="1" s="1"/>
  <c r="F19" i="1"/>
  <c r="R51" i="1"/>
  <c r="P61" i="1"/>
  <c r="R61" i="1"/>
  <c r="S61" i="1" s="1"/>
  <c r="P82" i="1"/>
  <c r="P85" i="1"/>
  <c r="R91" i="1"/>
  <c r="S91" i="1" s="1"/>
  <c r="P91" i="1"/>
  <c r="S97" i="1"/>
  <c r="R121" i="1"/>
  <c r="S121" i="1" s="1"/>
  <c r="P121" i="1"/>
  <c r="L146" i="1"/>
  <c r="K145" i="1"/>
  <c r="K144" i="1" s="1"/>
  <c r="R205" i="1"/>
  <c r="S205" i="1" s="1"/>
  <c r="P205" i="1"/>
  <c r="O9" i="1"/>
  <c r="P9" i="1" s="1"/>
  <c r="P31" i="1"/>
  <c r="P33" i="1"/>
  <c r="R64" i="1"/>
  <c r="S64" i="1" s="1"/>
  <c r="P64" i="1"/>
  <c r="G164" i="1"/>
  <c r="G67" i="1"/>
  <c r="G42" i="1" s="1"/>
  <c r="R72" i="1"/>
  <c r="S72" i="1" s="1"/>
  <c r="P79" i="1"/>
  <c r="R79" i="1"/>
  <c r="S79" i="1" s="1"/>
  <c r="R82" i="1"/>
  <c r="S82" i="1" s="1"/>
  <c r="S106" i="1"/>
  <c r="L109" i="1"/>
  <c r="M110" i="1"/>
  <c r="M109" i="1" s="1"/>
  <c r="S118" i="1"/>
  <c r="L134" i="1"/>
  <c r="J133" i="1"/>
  <c r="L147" i="1"/>
  <c r="M147" i="1" s="1"/>
  <c r="R74" i="1"/>
  <c r="S74" i="1" s="1"/>
  <c r="O7" i="1"/>
  <c r="R17" i="1"/>
  <c r="P74" i="1"/>
  <c r="J22" i="1"/>
  <c r="J113" i="1" s="1"/>
  <c r="J127" i="1" s="1"/>
  <c r="M70" i="1"/>
  <c r="R77" i="1"/>
  <c r="S77" i="1" s="1"/>
  <c r="S110" i="1"/>
  <c r="E149" i="1"/>
  <c r="L260" i="1"/>
  <c r="F259" i="1"/>
  <c r="F258" i="1" s="1"/>
  <c r="R62" i="1"/>
  <c r="S62" i="1" s="1"/>
  <c r="O67" i="1"/>
  <c r="R70" i="1"/>
  <c r="S70" i="1" s="1"/>
  <c r="P70" i="1"/>
  <c r="P86" i="1"/>
  <c r="R86" i="1"/>
  <c r="S86" i="1" s="1"/>
  <c r="R89" i="1"/>
  <c r="S89" i="1" s="1"/>
  <c r="G180" i="1"/>
  <c r="G174" i="1" s="1"/>
  <c r="L92" i="1"/>
  <c r="M92" i="1" s="1"/>
  <c r="R94" i="1"/>
  <c r="S94" i="1" s="1"/>
  <c r="P94" i="1"/>
  <c r="R181" i="1"/>
  <c r="S181" i="1" s="1"/>
  <c r="O239" i="1"/>
  <c r="R241" i="1"/>
  <c r="P229" i="1"/>
  <c r="R229" i="1"/>
  <c r="S229" i="1" s="1"/>
  <c r="E50" i="1"/>
  <c r="E43" i="1" s="1"/>
  <c r="E42" i="1" s="1"/>
  <c r="P54" i="1"/>
  <c r="F198" i="1"/>
  <c r="F197" i="1" s="1"/>
  <c r="L199" i="1"/>
  <c r="M250" i="1"/>
  <c r="K254" i="1"/>
  <c r="L8" i="1"/>
  <c r="P11" i="1"/>
  <c r="P18" i="1"/>
  <c r="P20" i="1"/>
  <c r="L291" i="1"/>
  <c r="F290" i="1"/>
  <c r="I43" i="1"/>
  <c r="I42" i="1" s="1"/>
  <c r="I113" i="1" s="1"/>
  <c r="I127" i="1" s="1"/>
  <c r="R54" i="1"/>
  <c r="S54" i="1" s="1"/>
  <c r="P66" i="1"/>
  <c r="R83" i="1"/>
  <c r="S83" i="1" s="1"/>
  <c r="P83" i="1"/>
  <c r="P101" i="1"/>
  <c r="O99" i="1"/>
  <c r="O105" i="1"/>
  <c r="P105" i="1" s="1"/>
  <c r="P119" i="1"/>
  <c r="R134" i="1"/>
  <c r="O133" i="1"/>
  <c r="P134" i="1"/>
  <c r="P155" i="1"/>
  <c r="R227" i="1"/>
  <c r="S227" i="1" s="1"/>
  <c r="P227" i="1"/>
  <c r="R252" i="1"/>
  <c r="S252" i="1" s="1"/>
  <c r="P252" i="1"/>
  <c r="E258" i="1"/>
  <c r="L278" i="1"/>
  <c r="M278" i="1" s="1"/>
  <c r="E270" i="1"/>
  <c r="K182" i="1"/>
  <c r="K174" i="1" s="1"/>
  <c r="K151" i="1" s="1"/>
  <c r="L185" i="1"/>
  <c r="M185" i="1" s="1"/>
  <c r="L44" i="1"/>
  <c r="M44" i="1" s="1"/>
  <c r="O47" i="1"/>
  <c r="P47" i="1" s="1"/>
  <c r="R56" i="1"/>
  <c r="S56" i="1" s="1"/>
  <c r="R101" i="1"/>
  <c r="O117" i="1"/>
  <c r="P117" i="1" s="1"/>
  <c r="R119" i="1"/>
  <c r="S119" i="1" s="1"/>
  <c r="L157" i="1"/>
  <c r="F156" i="1"/>
  <c r="F151" i="1" s="1"/>
  <c r="P167" i="1"/>
  <c r="P214" i="1"/>
  <c r="O213" i="1"/>
  <c r="S250" i="1"/>
  <c r="L253" i="1"/>
  <c r="M253" i="1" s="1"/>
  <c r="K251" i="1"/>
  <c r="K249" i="1" s="1"/>
  <c r="I249" i="1"/>
  <c r="R275" i="1"/>
  <c r="S275" i="1" s="1"/>
  <c r="P275" i="1"/>
  <c r="G156" i="1"/>
  <c r="P199" i="1"/>
  <c r="E239" i="1"/>
  <c r="L240" i="1"/>
  <c r="R242" i="1"/>
  <c r="S242" i="1" s="1"/>
  <c r="P242" i="1"/>
  <c r="P122" i="1"/>
  <c r="F212" i="1"/>
  <c r="P233" i="1"/>
  <c r="M235" i="1"/>
  <c r="R284" i="1"/>
  <c r="S284" i="1" s="1"/>
  <c r="P284" i="1"/>
  <c r="R122" i="1"/>
  <c r="S122" i="1" s="1"/>
  <c r="P142" i="1"/>
  <c r="R208" i="1"/>
  <c r="O207" i="1"/>
  <c r="P208" i="1"/>
  <c r="R233" i="1"/>
  <c r="R238" i="1"/>
  <c r="S238" i="1" s="1"/>
  <c r="O234" i="1"/>
  <c r="P234" i="1" s="1"/>
  <c r="P238" i="1"/>
  <c r="P84" i="1"/>
  <c r="L95" i="1"/>
  <c r="R162" i="1"/>
  <c r="S162" i="1" s="1"/>
  <c r="J176" i="1"/>
  <c r="O182" i="1"/>
  <c r="P182" i="1" s="1"/>
  <c r="R221" i="1"/>
  <c r="S221" i="1" s="1"/>
  <c r="P221" i="1"/>
  <c r="O293" i="1"/>
  <c r="P293" i="1" s="1"/>
  <c r="R294" i="1"/>
  <c r="P294" i="1"/>
  <c r="R142" i="1"/>
  <c r="S142" i="1" s="1"/>
  <c r="E164" i="1"/>
  <c r="E67" i="1"/>
  <c r="R84" i="1"/>
  <c r="S84" i="1" s="1"/>
  <c r="M96" i="1"/>
  <c r="M95" i="1" s="1"/>
  <c r="L117" i="1"/>
  <c r="M118" i="1"/>
  <c r="M117" i="1" s="1"/>
  <c r="P135" i="1"/>
  <c r="R154" i="1"/>
  <c r="S154" i="1" s="1"/>
  <c r="P162" i="1"/>
  <c r="P170" i="1"/>
  <c r="R184" i="1"/>
  <c r="S184" i="1" s="1"/>
  <c r="P196" i="1"/>
  <c r="R196" i="1" s="1"/>
  <c r="S196" i="1" s="1"/>
  <c r="L209" i="1"/>
  <c r="R217" i="1"/>
  <c r="S217" i="1" s="1"/>
  <c r="P217" i="1"/>
  <c r="R231" i="1"/>
  <c r="S231" i="1" s="1"/>
  <c r="P231" i="1"/>
  <c r="R286" i="1"/>
  <c r="O285" i="1"/>
  <c r="P286" i="1"/>
  <c r="P285" i="1" s="1"/>
  <c r="R172" i="1"/>
  <c r="S172" i="1" s="1"/>
  <c r="P172" i="1"/>
  <c r="P187" i="1"/>
  <c r="R187" i="1"/>
  <c r="S187" i="1" s="1"/>
  <c r="O198" i="1"/>
  <c r="R206" i="1"/>
  <c r="S206" i="1" s="1"/>
  <c r="P206" i="1"/>
  <c r="R211" i="1"/>
  <c r="S211" i="1" s="1"/>
  <c r="J165" i="1"/>
  <c r="L165" i="1" s="1"/>
  <c r="M165" i="1" s="1"/>
  <c r="R216" i="1"/>
  <c r="P220" i="1"/>
  <c r="O219" i="1"/>
  <c r="P219" i="1" s="1"/>
  <c r="L241" i="1"/>
  <c r="M241" i="1" s="1"/>
  <c r="K239" i="1"/>
  <c r="R282" i="1"/>
  <c r="S282" i="1" s="1"/>
  <c r="P282" i="1"/>
  <c r="L106" i="1"/>
  <c r="P112" i="1"/>
  <c r="P118" i="1"/>
  <c r="P123" i="1"/>
  <c r="P140" i="1"/>
  <c r="R143" i="1"/>
  <c r="S143" i="1" s="1"/>
  <c r="P168" i="1"/>
  <c r="L177" i="1"/>
  <c r="M177" i="1" s="1"/>
  <c r="H179" i="1"/>
  <c r="S183" i="1"/>
  <c r="P185" i="1"/>
  <c r="R185" i="1"/>
  <c r="S185" i="1" s="1"/>
  <c r="P216" i="1"/>
  <c r="R220" i="1"/>
  <c r="I222" i="1"/>
  <c r="I212" i="1" s="1"/>
  <c r="L224" i="1"/>
  <c r="M224" i="1" s="1"/>
  <c r="R230" i="1"/>
  <c r="S230" i="1" s="1"/>
  <c r="S236" i="1"/>
  <c r="L243" i="1"/>
  <c r="M243" i="1" s="1"/>
  <c r="L275" i="1"/>
  <c r="M275" i="1" s="1"/>
  <c r="P290" i="1"/>
  <c r="S305" i="1"/>
  <c r="R304" i="1"/>
  <c r="L77" i="1"/>
  <c r="M77" i="1" s="1"/>
  <c r="F144" i="1"/>
  <c r="L167" i="1"/>
  <c r="M167" i="1" s="1"/>
  <c r="R168" i="1"/>
  <c r="S168" i="1" s="1"/>
  <c r="R175" i="1"/>
  <c r="R200" i="1"/>
  <c r="S200" i="1" s="1"/>
  <c r="J207" i="1"/>
  <c r="J231" i="1"/>
  <c r="L231" i="1" s="1"/>
  <c r="M231" i="1" s="1"/>
  <c r="R261" i="1"/>
  <c r="O259" i="1"/>
  <c r="P261" i="1"/>
  <c r="K270" i="1"/>
  <c r="S291" i="1"/>
  <c r="L168" i="1"/>
  <c r="M168" i="1" s="1"/>
  <c r="L183" i="1"/>
  <c r="I182" i="1"/>
  <c r="I174" i="1" s="1"/>
  <c r="I151" i="1" s="1"/>
  <c r="K236" i="1"/>
  <c r="L238" i="1"/>
  <c r="M238" i="1" s="1"/>
  <c r="J249" i="1"/>
  <c r="R253" i="1"/>
  <c r="S253" i="1" s="1"/>
  <c r="P253" i="1"/>
  <c r="R265" i="1"/>
  <c r="S265" i="1" s="1"/>
  <c r="P265" i="1"/>
  <c r="P161" i="1"/>
  <c r="P166" i="1"/>
  <c r="P176" i="1"/>
  <c r="R218" i="1"/>
  <c r="S218" i="1" s="1"/>
  <c r="R223" i="1"/>
  <c r="P236" i="1"/>
  <c r="R256" i="1"/>
  <c r="S256" i="1" s="1"/>
  <c r="R267" i="1"/>
  <c r="S267" i="1" s="1"/>
  <c r="P277" i="1"/>
  <c r="P303" i="1"/>
  <c r="R176" i="1"/>
  <c r="S176" i="1" s="1"/>
  <c r="P186" i="1"/>
  <c r="L211" i="1"/>
  <c r="P223" i="1"/>
  <c r="P267" i="1"/>
  <c r="L276" i="1"/>
  <c r="M276" i="1" s="1"/>
  <c r="L283" i="1"/>
  <c r="M283" i="1" s="1"/>
  <c r="R303" i="1"/>
  <c r="S303" i="1" s="1"/>
  <c r="R296" i="1"/>
  <c r="S296" i="1" s="1"/>
  <c r="P296" i="1"/>
  <c r="R264" i="1"/>
  <c r="S264" i="1" s="1"/>
  <c r="R276" i="1"/>
  <c r="S276" i="1" s="1"/>
  <c r="R283" i="1"/>
  <c r="S283" i="1" s="1"/>
  <c r="R295" i="1"/>
  <c r="S295" i="1" s="1"/>
  <c r="P295" i="1"/>
  <c r="J301" i="1"/>
  <c r="L301" i="1" s="1"/>
  <c r="M301" i="1" s="1"/>
  <c r="L220" i="1"/>
  <c r="L233" i="1"/>
  <c r="P235" i="1"/>
  <c r="R246" i="1"/>
  <c r="P250" i="1"/>
  <c r="P264" i="1"/>
  <c r="P266" i="1"/>
  <c r="F271" i="1"/>
  <c r="F270" i="1" s="1"/>
  <c r="R237" i="1"/>
  <c r="S237" i="1" s="1"/>
  <c r="I244" i="1"/>
  <c r="L245" i="1"/>
  <c r="P246" i="1"/>
  <c r="P244" i="1" s="1"/>
  <c r="L272" i="1"/>
  <c r="O304" i="1"/>
  <c r="L294" i="1"/>
  <c r="R299" i="1"/>
  <c r="S299" i="1" s="1"/>
  <c r="P302" i="1"/>
  <c r="I207" i="1"/>
  <c r="I197" i="1" s="1"/>
  <c r="J197" i="1" l="1"/>
  <c r="K42" i="1"/>
  <c r="L254" i="1"/>
  <c r="M254" i="1"/>
  <c r="L251" i="1"/>
  <c r="M251" i="1" s="1"/>
  <c r="M249" i="1" s="1"/>
  <c r="J232" i="1"/>
  <c r="L214" i="1"/>
  <c r="M214" i="1" s="1"/>
  <c r="M213" i="1" s="1"/>
  <c r="K244" i="1"/>
  <c r="K6" i="1"/>
  <c r="N310" i="1"/>
  <c r="N312" i="1" s="1"/>
  <c r="M285" i="1"/>
  <c r="G113" i="1"/>
  <c r="G127" i="1" s="1"/>
  <c r="I232" i="1"/>
  <c r="I310" i="1" s="1"/>
  <c r="I312" i="1" s="1"/>
  <c r="I314" i="1" s="1"/>
  <c r="R95" i="1"/>
  <c r="S95" i="1"/>
  <c r="K98" i="1"/>
  <c r="H113" i="1"/>
  <c r="H127" i="1" s="1"/>
  <c r="F113" i="1"/>
  <c r="F127" i="1" s="1"/>
  <c r="S37" i="1"/>
  <c r="R249" i="1"/>
  <c r="S249" i="1" s="1"/>
  <c r="L150" i="1"/>
  <c r="M150" i="1" s="1"/>
  <c r="M149" i="1" s="1"/>
  <c r="M50" i="1"/>
  <c r="S115" i="1"/>
  <c r="R114" i="1"/>
  <c r="S114" i="1" s="1"/>
  <c r="E113" i="1"/>
  <c r="E115" i="1" s="1"/>
  <c r="L115" i="1" s="1"/>
  <c r="R27" i="1"/>
  <c r="S27" i="1" s="1"/>
  <c r="S304" i="1"/>
  <c r="J212" i="1"/>
  <c r="P10" i="1"/>
  <c r="F6" i="1"/>
  <c r="R19" i="1"/>
  <c r="S19" i="1" s="1"/>
  <c r="L285" i="1"/>
  <c r="M67" i="1"/>
  <c r="S10" i="1"/>
  <c r="P23" i="1"/>
  <c r="F232" i="1"/>
  <c r="F310" i="1" s="1"/>
  <c r="F312" i="1" s="1"/>
  <c r="P239" i="1"/>
  <c r="L50" i="1"/>
  <c r="K234" i="1"/>
  <c r="L236" i="1"/>
  <c r="G151" i="1"/>
  <c r="G310" i="1" s="1"/>
  <c r="G312" i="1" s="1"/>
  <c r="M199" i="1"/>
  <c r="M198" i="1" s="1"/>
  <c r="L198" i="1"/>
  <c r="R222" i="1"/>
  <c r="S222" i="1" s="1"/>
  <c r="S223" i="1"/>
  <c r="M157" i="1"/>
  <c r="L149" i="1"/>
  <c r="L133" i="1"/>
  <c r="M134" i="1"/>
  <c r="M133" i="1" s="1"/>
  <c r="N127" i="1"/>
  <c r="N313" i="1" s="1"/>
  <c r="N3" i="1"/>
  <c r="S47" i="1"/>
  <c r="P145" i="1"/>
  <c r="O144" i="1"/>
  <c r="M240" i="1"/>
  <c r="M239" i="1" s="1"/>
  <c r="L239" i="1"/>
  <c r="S35" i="1"/>
  <c r="R34" i="1"/>
  <c r="S34" i="1" s="1"/>
  <c r="R271" i="1"/>
  <c r="S272" i="1"/>
  <c r="L43" i="1"/>
  <c r="P133" i="1"/>
  <c r="R239" i="1"/>
  <c r="S239" i="1" s="1"/>
  <c r="S241" i="1"/>
  <c r="S146" i="1"/>
  <c r="R145" i="1"/>
  <c r="M14" i="1"/>
  <c r="M13" i="1" s="1"/>
  <c r="L13" i="1"/>
  <c r="M294" i="1"/>
  <c r="M293" i="1" s="1"/>
  <c r="L293" i="1"/>
  <c r="S216" i="1"/>
  <c r="R213" i="1"/>
  <c r="R244" i="1"/>
  <c r="S244" i="1" s="1"/>
  <c r="S246" i="1"/>
  <c r="J164" i="1"/>
  <c r="J156" i="1" s="1"/>
  <c r="E156" i="1"/>
  <c r="E151" i="1" s="1"/>
  <c r="L222" i="1"/>
  <c r="E232" i="1"/>
  <c r="L290" i="1"/>
  <c r="M291" i="1"/>
  <c r="M290" i="1" s="1"/>
  <c r="R50" i="1"/>
  <c r="S51" i="1"/>
  <c r="P102" i="1"/>
  <c r="O270" i="1"/>
  <c r="P271" i="1"/>
  <c r="P270" i="1" s="1"/>
  <c r="R102" i="1"/>
  <c r="S102" i="1" s="1"/>
  <c r="L67" i="1"/>
  <c r="E116" i="1"/>
  <c r="L116" i="1" s="1"/>
  <c r="M116" i="1" s="1"/>
  <c r="M43" i="1"/>
  <c r="R149" i="1"/>
  <c r="S149" i="1" s="1"/>
  <c r="S150" i="1"/>
  <c r="R133" i="1"/>
  <c r="S134" i="1"/>
  <c r="L10" i="1"/>
  <c r="M11" i="1"/>
  <c r="M10" i="1" s="1"/>
  <c r="S233" i="1"/>
  <c r="M222" i="1"/>
  <c r="O174" i="1"/>
  <c r="S175" i="1"/>
  <c r="R174" i="1"/>
  <c r="S174" i="1" s="1"/>
  <c r="M211" i="1"/>
  <c r="R182" i="1"/>
  <c r="S182" i="1" s="1"/>
  <c r="M19" i="1"/>
  <c r="L145" i="1"/>
  <c r="L144" i="1" s="1"/>
  <c r="M146" i="1"/>
  <c r="M145" i="1" s="1"/>
  <c r="M144" i="1" s="1"/>
  <c r="L19" i="1"/>
  <c r="L23" i="1"/>
  <c r="M24" i="1"/>
  <c r="M23" i="1" s="1"/>
  <c r="M209" i="1"/>
  <c r="M207" i="1" s="1"/>
  <c r="L207" i="1"/>
  <c r="L182" i="1"/>
  <c r="M183" i="1"/>
  <c r="M182" i="1" s="1"/>
  <c r="P304" i="1"/>
  <c r="L271" i="1"/>
  <c r="M272" i="1"/>
  <c r="M271" i="1" s="1"/>
  <c r="J179" i="1"/>
  <c r="L179" i="1" s="1"/>
  <c r="M179" i="1" s="1"/>
  <c r="H174" i="1"/>
  <c r="H151" i="1" s="1"/>
  <c r="H310" i="1" s="1"/>
  <c r="R285" i="1"/>
  <c r="S285" i="1" s="1"/>
  <c r="S286" i="1"/>
  <c r="S101" i="1"/>
  <c r="R99" i="1"/>
  <c r="P67" i="1"/>
  <c r="R109" i="1"/>
  <c r="S109" i="1" s="1"/>
  <c r="S17" i="1"/>
  <c r="R16" i="1"/>
  <c r="S16" i="1" s="1"/>
  <c r="P95" i="1"/>
  <c r="S105" i="1"/>
  <c r="L34" i="1"/>
  <c r="M35" i="1"/>
  <c r="M34" i="1" s="1"/>
  <c r="K22" i="1"/>
  <c r="K113" i="1" s="1"/>
  <c r="K127" i="1" s="1"/>
  <c r="M233" i="1"/>
  <c r="M106" i="1"/>
  <c r="M105" i="1" s="1"/>
  <c r="M98" i="1" s="1"/>
  <c r="L105" i="1"/>
  <c r="L98" i="1" s="1"/>
  <c r="P207" i="1"/>
  <c r="O98" i="1"/>
  <c r="P98" i="1" s="1"/>
  <c r="P99" i="1"/>
  <c r="P7" i="1"/>
  <c r="O6" i="1"/>
  <c r="P50" i="1"/>
  <c r="O43" i="1"/>
  <c r="R67" i="1"/>
  <c r="S67" i="1" s="1"/>
  <c r="R219" i="1"/>
  <c r="S219" i="1" s="1"/>
  <c r="S220" i="1"/>
  <c r="L259" i="1"/>
  <c r="L258" i="1" s="1"/>
  <c r="M260" i="1"/>
  <c r="M259" i="1" s="1"/>
  <c r="M258" i="1" s="1"/>
  <c r="S255" i="1"/>
  <c r="R254" i="1"/>
  <c r="S254" i="1" s="1"/>
  <c r="S25" i="1"/>
  <c r="R23" i="1"/>
  <c r="R207" i="1"/>
  <c r="S207" i="1" s="1"/>
  <c r="S208" i="1"/>
  <c r="M8" i="1"/>
  <c r="M7" i="1" s="1"/>
  <c r="L7" i="1"/>
  <c r="R117" i="1"/>
  <c r="S117" i="1" s="1"/>
  <c r="S261" i="1"/>
  <c r="R259" i="1"/>
  <c r="R7" i="1"/>
  <c r="S8" i="1"/>
  <c r="R234" i="1"/>
  <c r="S234" i="1" s="1"/>
  <c r="L244" i="1"/>
  <c r="M245" i="1"/>
  <c r="M244" i="1" s="1"/>
  <c r="M220" i="1"/>
  <c r="M219" i="1" s="1"/>
  <c r="L219" i="1"/>
  <c r="O197" i="1"/>
  <c r="P197" i="1" s="1"/>
  <c r="P198" i="1"/>
  <c r="O258" i="1"/>
  <c r="P258" i="1" s="1"/>
  <c r="P259" i="1"/>
  <c r="R293" i="1"/>
  <c r="S293" i="1" s="1"/>
  <c r="S294" i="1"/>
  <c r="L176" i="1"/>
  <c r="R198" i="1"/>
  <c r="S199" i="1"/>
  <c r="P213" i="1"/>
  <c r="O212" i="1"/>
  <c r="P212" i="1" s="1"/>
  <c r="J180" i="1"/>
  <c r="L180" i="1" s="1"/>
  <c r="M180" i="1" s="1"/>
  <c r="S159" i="1"/>
  <c r="R156" i="1"/>
  <c r="L27" i="1"/>
  <c r="M28" i="1"/>
  <c r="M27" i="1" s="1"/>
  <c r="L37" i="1"/>
  <c r="M38" i="1"/>
  <c r="M37" i="1" s="1"/>
  <c r="M270" i="1" l="1"/>
  <c r="M42" i="1"/>
  <c r="L249" i="1"/>
  <c r="L213" i="1"/>
  <c r="K232" i="1"/>
  <c r="K310" i="1" s="1"/>
  <c r="K312" i="1" s="1"/>
  <c r="K313" i="1" s="1"/>
  <c r="E114" i="1"/>
  <c r="E127" i="1" s="1"/>
  <c r="E310" i="1"/>
  <c r="E312" i="1" s="1"/>
  <c r="L270" i="1"/>
  <c r="L197" i="1"/>
  <c r="F313" i="1"/>
  <c r="S271" i="1"/>
  <c r="R270" i="1"/>
  <c r="S270" i="1" s="1"/>
  <c r="R9" i="1"/>
  <c r="S9" i="1" s="1"/>
  <c r="J174" i="1"/>
  <c r="J151" i="1" s="1"/>
  <c r="J310" i="1" s="1"/>
  <c r="S145" i="1"/>
  <c r="R144" i="1"/>
  <c r="S144" i="1" s="1"/>
  <c r="S23" i="1"/>
  <c r="R22" i="1"/>
  <c r="S22" i="1" s="1"/>
  <c r="L212" i="1"/>
  <c r="L22" i="1"/>
  <c r="H312" i="1"/>
  <c r="H313" i="1" s="1"/>
  <c r="L164" i="1"/>
  <c r="S7" i="1"/>
  <c r="R6" i="1"/>
  <c r="S6" i="1" s="1"/>
  <c r="O232" i="1"/>
  <c r="P232" i="1" s="1"/>
  <c r="M9" i="1"/>
  <c r="E313" i="1"/>
  <c r="S156" i="1"/>
  <c r="R151" i="1"/>
  <c r="P174" i="1"/>
  <c r="O151" i="1"/>
  <c r="P151" i="1" s="1"/>
  <c r="L9" i="1"/>
  <c r="L114" i="1"/>
  <c r="M115" i="1"/>
  <c r="M114" i="1" s="1"/>
  <c r="P144" i="1"/>
  <c r="M6" i="1"/>
  <c r="S198" i="1"/>
  <c r="R197" i="1"/>
  <c r="S197" i="1" s="1"/>
  <c r="B115" i="1"/>
  <c r="R43" i="1"/>
  <c r="S50" i="1"/>
  <c r="R212" i="1"/>
  <c r="S212" i="1" s="1"/>
  <c r="S213" i="1"/>
  <c r="M236" i="1"/>
  <c r="M234" i="1" s="1"/>
  <c r="M232" i="1" s="1"/>
  <c r="L234" i="1"/>
  <c r="L232" i="1" s="1"/>
  <c r="K314" i="1"/>
  <c r="M212" i="1"/>
  <c r="R258" i="1"/>
  <c r="S258" i="1" s="1"/>
  <c r="S259" i="1"/>
  <c r="G313" i="1"/>
  <c r="L42" i="1"/>
  <c r="M176" i="1"/>
  <c r="M174" i="1" s="1"/>
  <c r="L174" i="1"/>
  <c r="S133" i="1"/>
  <c r="P43" i="1"/>
  <c r="O42" i="1"/>
  <c r="P6" i="1"/>
  <c r="R98" i="1"/>
  <c r="S98" i="1" s="1"/>
  <c r="S99" i="1"/>
  <c r="L6" i="1"/>
  <c r="M22" i="1"/>
  <c r="M197" i="1"/>
  <c r="M113" i="1" l="1"/>
  <c r="L113" i="1"/>
  <c r="L127" i="1" s="1"/>
  <c r="J312" i="1"/>
  <c r="M127" i="1"/>
  <c r="M3" i="1"/>
  <c r="M164" i="1"/>
  <c r="M156" i="1" s="1"/>
  <c r="M151" i="1" s="1"/>
  <c r="M310" i="1" s="1"/>
  <c r="L156" i="1"/>
  <c r="L151" i="1" s="1"/>
  <c r="L310" i="1" s="1"/>
  <c r="L312" i="1" s="1"/>
  <c r="P42" i="1"/>
  <c r="O113" i="1"/>
  <c r="R232" i="1"/>
  <c r="S232" i="1" s="1"/>
  <c r="R42" i="1"/>
  <c r="S43" i="1"/>
  <c r="S151" i="1"/>
  <c r="O310" i="1"/>
  <c r="R310" i="1" l="1"/>
  <c r="R312" i="1" s="1"/>
  <c r="O312" i="1"/>
  <c r="P312" i="1" s="1"/>
  <c r="P310" i="1"/>
  <c r="M312" i="1"/>
  <c r="M313" i="1" s="1"/>
  <c r="M316" i="1" s="1"/>
  <c r="O3" i="1"/>
  <c r="O127" i="1"/>
  <c r="P113" i="1"/>
  <c r="L313" i="1"/>
  <c r="L316" i="1" s="1"/>
  <c r="L129" i="1"/>
  <c r="S42" i="1"/>
  <c r="R113" i="1"/>
  <c r="R3" i="1" s="1"/>
  <c r="J314" i="1"/>
  <c r="J313" i="1"/>
  <c r="S310" i="1" l="1"/>
  <c r="S312" i="1"/>
  <c r="R127" i="1"/>
  <c r="S113" i="1"/>
  <c r="O313" i="1"/>
  <c r="P313" i="1" s="1"/>
  <c r="P127" i="1"/>
  <c r="R313" i="1" l="1"/>
  <c r="S313" i="1" s="1"/>
  <c r="S12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21" authorId="0" shapeId="0" xr:uid="{09CA3B0E-B506-413E-871F-8CD21ADEC4C4}">
      <text>
        <r>
          <rPr>
            <b/>
            <sz val="9"/>
            <color indexed="81"/>
            <rFont val="Tahoma"/>
            <family val="2"/>
            <charset val="186"/>
          </rPr>
          <t>Sarmīte Mūze:</t>
        </r>
        <r>
          <rPr>
            <sz val="9"/>
            <color indexed="81"/>
            <rFont val="Tahoma"/>
            <family val="2"/>
            <charset val="186"/>
          </rPr>
          <t xml:space="preserve">
EUR 4'549 CKS kontā
</t>
        </r>
      </text>
    </comment>
    <comment ref="F46" authorId="0" shapeId="0" xr:uid="{34C4BAAD-7DBE-4067-B7B8-AFA327917B46}">
      <text>
        <r>
          <rPr>
            <b/>
            <sz val="9"/>
            <color indexed="81"/>
            <rFont val="Tahoma"/>
            <family val="2"/>
            <charset val="186"/>
          </rPr>
          <t>Sarmīte Mūze:</t>
        </r>
        <r>
          <rPr>
            <sz val="9"/>
            <color indexed="81"/>
            <rFont val="Tahoma"/>
            <family val="2"/>
            <charset val="186"/>
          </rPr>
          <t xml:space="preserve">
104'143 Carnikavas skola
236'949 Ādažu pamatsk
47'702 Nod. 0970</t>
        </r>
      </text>
    </comment>
    <comment ref="E51" authorId="0" shapeId="0" xr:uid="{88188534-7BE1-4D39-BBF2-E38A05739488}">
      <text>
        <r>
          <rPr>
            <b/>
            <sz val="9"/>
            <color indexed="81"/>
            <rFont val="Tahoma"/>
            <family val="2"/>
            <charset val="186"/>
          </rPr>
          <t>Sarmīte Mūze:</t>
        </r>
        <r>
          <rPr>
            <sz val="9"/>
            <color indexed="81"/>
            <rFont val="Tahoma"/>
            <family val="2"/>
            <charset val="186"/>
          </rPr>
          <t xml:space="preserve">
EUR 8'863 nodaļa 09011
EUR 2'979 nodaļa 09021
EUR 2'721 nodaļa 0911
EUR 402 nodaļa 0921
EUR 1'492 nodaļa 09521</t>
        </r>
      </text>
    </comment>
    <comment ref="F51" authorId="0" shapeId="0" xr:uid="{67CBB62E-B640-446C-9EAA-B25CB1D6605C}">
      <text>
        <r>
          <rPr>
            <b/>
            <sz val="9"/>
            <color indexed="81"/>
            <rFont val="Tahoma"/>
            <family val="2"/>
            <charset val="186"/>
          </rPr>
          <t>Sarmīte Mūze:</t>
        </r>
        <r>
          <rPr>
            <sz val="9"/>
            <color indexed="81"/>
            <rFont val="Tahoma"/>
            <family val="2"/>
            <charset val="186"/>
          </rPr>
          <t xml:space="preserve">
EUR 192'779 nodaļa 0901
EUR 210'367 nodaļa 0902
EUR 381'878 nodaļa 0910
EUR 166'596 nodaļa 0920
EUR 45'627 nodaļa 0952</t>
        </r>
      </text>
    </comment>
    <comment ref="E52" authorId="0" shapeId="0" xr:uid="{986A9148-66ED-4CD7-9047-081B83130132}">
      <text>
        <r>
          <rPr>
            <b/>
            <sz val="9"/>
            <color indexed="81"/>
            <rFont val="Tahoma"/>
            <family val="2"/>
            <charset val="186"/>
          </rPr>
          <t>Sarmīte Mūze:</t>
        </r>
        <r>
          <rPr>
            <sz val="9"/>
            <color indexed="81"/>
            <rFont val="Tahoma"/>
            <family val="2"/>
            <charset val="186"/>
          </rPr>
          <t xml:space="preserve">
0954 EUR 40'583; MT 12
09821 EUR 3'433
</t>
        </r>
      </text>
    </comment>
    <comment ref="F52" authorId="0" shapeId="0" xr:uid="{91301AD8-52FD-4D50-843D-20EB63017DD3}">
      <text>
        <r>
          <rPr>
            <b/>
            <sz val="9"/>
            <color indexed="81"/>
            <rFont val="Tahoma"/>
            <family val="2"/>
            <charset val="186"/>
          </rPr>
          <t>Sarmīte Mūze:</t>
        </r>
        <r>
          <rPr>
            <sz val="9"/>
            <color indexed="81"/>
            <rFont val="Tahoma"/>
            <family val="2"/>
            <charset val="186"/>
          </rPr>
          <t xml:space="preserve">
12m 09821 EUR 1'688'787; 0954 EUR 4'475'976 un MT EUR 7'446</t>
        </r>
      </text>
    </comment>
    <comment ref="E53" authorId="0" shapeId="0" xr:uid="{3E18D767-0920-41C8-A500-3B89F0DB08AF}">
      <text>
        <r>
          <rPr>
            <b/>
            <sz val="9"/>
            <color indexed="81"/>
            <rFont val="Tahoma"/>
            <family val="2"/>
            <charset val="186"/>
          </rPr>
          <t>Sarmīte Mūze:</t>
        </r>
        <r>
          <rPr>
            <sz val="9"/>
            <color indexed="81"/>
            <rFont val="Tahoma"/>
            <family val="2"/>
            <charset val="186"/>
          </rPr>
          <t xml:space="preserve">
EUR 3'721 0954.1/1119; EUR 1'619 0954.1/2239; EUR 107 09821.1; </t>
        </r>
      </text>
    </comment>
    <comment ref="F53" authorId="0" shapeId="0" xr:uid="{C75F9610-B061-4B24-B36F-C52CA9D45B17}">
      <text>
        <r>
          <rPr>
            <b/>
            <sz val="9"/>
            <color indexed="81"/>
            <rFont val="Tahoma"/>
            <family val="2"/>
            <charset val="186"/>
          </rPr>
          <t>Sarmīte Mūze:</t>
        </r>
        <r>
          <rPr>
            <sz val="9"/>
            <color indexed="81"/>
            <rFont val="Tahoma"/>
            <family val="2"/>
            <charset val="186"/>
          </rPr>
          <t xml:space="preserve">
EUR 137'762 09821.1; EUR 285'496 0954.1/1119; EUR 132'739 0954.1/2239; EUR 16'870 0970
</t>
        </r>
      </text>
    </comment>
    <comment ref="E66" authorId="0" shapeId="0" xr:uid="{A89E15F8-C059-4809-952D-E4EC74E9DEEE}">
      <text>
        <r>
          <rPr>
            <b/>
            <sz val="9"/>
            <color indexed="81"/>
            <rFont val="Tahoma"/>
            <family val="2"/>
            <charset val="186"/>
          </rPr>
          <t>Sarmīte Mūze:</t>
        </r>
        <r>
          <rPr>
            <sz val="9"/>
            <color indexed="81"/>
            <rFont val="Tahoma"/>
            <family val="2"/>
            <charset val="186"/>
          </rPr>
          <t xml:space="preserve">
EUR 225 + 2 Vēlēšanu komisija
 EUR 3'937 "DigiSoc"izstrāde un ieviešana</t>
        </r>
      </text>
    </comment>
    <comment ref="F66" authorId="0" shapeId="0" xr:uid="{D2429DD4-06B2-42A8-A0D2-E92BA3EDEE26}">
      <text>
        <r>
          <rPr>
            <b/>
            <sz val="9"/>
            <color indexed="81"/>
            <rFont val="Tahoma"/>
            <family val="2"/>
            <charset val="186"/>
          </rPr>
          <t>Sarmīte Mūze:</t>
        </r>
        <r>
          <rPr>
            <sz val="9"/>
            <color indexed="81"/>
            <rFont val="Tahoma"/>
            <family val="2"/>
            <charset val="186"/>
          </rPr>
          <t xml:space="preserve">
1) 88'984 finansējums vēlēšanu komisijai
2) 30% dotācija par supervīzijām no LM  EUR 3000 (1010/EKK 2235)
3) 30% dotācija no LM 3'000 EUR (Garantētā minimālā ienākuma pabalsts naudā EKK 6260)
4) 30% dotācija no LM 18'000 EUR (Dzīvokļa pabalsti naudā EKK 6270)
5) 30% dotācija no LM 30'000 EUR (Dzīvokļa pabalsti natūrā EKK 6360)
6) 14'170 EUR Dienas aprūpes centri citā pašvaldībā (EKK 6419).
7) 30'420 EUR skolēnu nodarbinātība (0930.2)
8) 51'372 Aprūpes mājās pakalpojumam bērniem MD (50%) (1010.1)
9)12'000 "Remigrācijas atbalsta pasākums – uzņēmējdarbības atbalsts" (0630); 
10) 1'000 Meža dienu projekts (0630)
11) Labklājības ministrija par dienas centra personām ar garīga rakstura traucējumiem EUR 23'500 (1014.3)
</t>
        </r>
      </text>
    </comment>
    <comment ref="G66" authorId="0" shapeId="0" xr:uid="{6C696D11-D18A-4740-9835-989F0939F45A}">
      <text>
        <r>
          <rPr>
            <b/>
            <sz val="9"/>
            <color indexed="81"/>
            <rFont val="Tahoma"/>
            <family val="2"/>
            <charset val="186"/>
          </rPr>
          <t>Sarmīte Mūze:</t>
        </r>
        <r>
          <rPr>
            <sz val="9"/>
            <color indexed="81"/>
            <rFont val="Tahoma"/>
            <family val="2"/>
            <charset val="186"/>
          </rPr>
          <t xml:space="preserve">
1) 41'749 Skola - kopienā (0936)
2) 10'622 Piekrastes apsaimniekošana (CKS plānu rāda pie sevis);</t>
        </r>
      </text>
    </comment>
    <comment ref="N66" authorId="0" shapeId="0" xr:uid="{8EC16982-235F-4128-9375-88DB6A8BF771}">
      <text>
        <r>
          <rPr>
            <b/>
            <sz val="9"/>
            <color indexed="81"/>
            <rFont val="Tahoma"/>
            <family val="2"/>
            <charset val="186"/>
          </rPr>
          <t>Sarmīte Mūze:</t>
        </r>
        <r>
          <rPr>
            <sz val="9"/>
            <color indexed="81"/>
            <rFont val="Tahoma"/>
            <family val="2"/>
            <charset val="186"/>
          </rPr>
          <t xml:space="preserve">
1010 supervizijas EKK 18.6.3.</t>
        </r>
      </text>
    </comment>
    <comment ref="E69" authorId="0" shapeId="0" xr:uid="{D22768FF-533D-4927-88CA-90D8C828C799}">
      <text>
        <r>
          <rPr>
            <b/>
            <sz val="9"/>
            <color indexed="81"/>
            <rFont val="Tahoma"/>
            <family val="2"/>
            <charset val="186"/>
          </rPr>
          <t>Sarmīte Mūze:</t>
        </r>
        <r>
          <rPr>
            <sz val="9"/>
            <color indexed="81"/>
            <rFont val="Tahoma"/>
            <family val="2"/>
            <charset val="186"/>
          </rPr>
          <t xml:space="preserve">
LV29B</t>
        </r>
      </text>
    </comment>
    <comment ref="E72" authorId="0" shapeId="0" xr:uid="{CEFA639A-0A2E-4F64-B6B8-52E1CD350473}">
      <text>
        <r>
          <rPr>
            <b/>
            <sz val="9"/>
            <color indexed="81"/>
            <rFont val="Tahoma"/>
            <family val="2"/>
            <charset val="186"/>
          </rPr>
          <t>Sarmīte Mūze:</t>
        </r>
        <r>
          <rPr>
            <sz val="9"/>
            <color indexed="81"/>
            <rFont val="Tahoma"/>
            <family val="2"/>
            <charset val="186"/>
          </rPr>
          <t xml:space="preserve">
LV20B</t>
        </r>
      </text>
    </comment>
    <comment ref="E87" authorId="0" shapeId="0" xr:uid="{FBCFBF29-295A-4FEF-A4D4-88EFC9C5B567}">
      <text>
        <r>
          <rPr>
            <b/>
            <sz val="9"/>
            <color indexed="81"/>
            <rFont val="Tahoma"/>
            <family val="2"/>
            <charset val="186"/>
          </rPr>
          <t>Sarmīte Mūze:</t>
        </r>
        <r>
          <rPr>
            <sz val="9"/>
            <color indexed="81"/>
            <rFont val="Tahoma"/>
            <family val="2"/>
            <charset val="186"/>
          </rPr>
          <t xml:space="preserve">
LV17 B 4'500 (0844.3); 6'422 Sporta laukumu  ierīkošana Garciemā LV26B 0630)</t>
        </r>
      </text>
    </comment>
    <comment ref="G87" authorId="0" shapeId="0" xr:uid="{97EAB0E0-01C4-465C-98C8-82E4EAFE7F17}">
      <text>
        <r>
          <rPr>
            <b/>
            <sz val="9"/>
            <color indexed="81"/>
            <rFont val="Tahoma"/>
            <family val="2"/>
            <charset val="186"/>
          </rPr>
          <t>Sarmīte Mūze:</t>
        </r>
        <r>
          <rPr>
            <sz val="9"/>
            <color indexed="81"/>
            <rFont val="Tahoma"/>
            <family val="2"/>
            <charset val="186"/>
          </rPr>
          <t xml:space="preserve">
Sporta laukumu  ierīkošana Garciemā LV26B 0630) EUR 25689-6422 (KA)=19267
 (0844.3) Saimes māja 14'400-4'500=9'900
0937 Bērnu un jauniešu centra izveide Ādažos EUR 20'249</t>
        </r>
      </text>
    </comment>
    <comment ref="E103" authorId="0" shapeId="0" xr:uid="{27DE08B6-F0B3-45D2-B4FB-A8AB5395F195}">
      <text>
        <r>
          <rPr>
            <b/>
            <sz val="9"/>
            <color indexed="81"/>
            <rFont val="Tahoma"/>
            <family val="2"/>
            <charset val="186"/>
          </rPr>
          <t>Sarmīte Mūze:</t>
        </r>
        <r>
          <rPr>
            <sz val="9"/>
            <color indexed="81"/>
            <rFont val="Tahoma"/>
            <family val="2"/>
            <charset val="186"/>
          </rPr>
          <t xml:space="preserve">
EUR 70'991 0957</t>
        </r>
      </text>
    </comment>
    <comment ref="G103" authorId="0" shapeId="0" xr:uid="{10B069F4-77E2-4006-82AB-A64DC536C08D}">
      <text>
        <r>
          <rPr>
            <b/>
            <sz val="9"/>
            <color indexed="81"/>
            <rFont val="Tahoma"/>
            <family val="2"/>
            <charset val="186"/>
          </rPr>
          <t>Sarmīte Mūze:</t>
        </r>
        <r>
          <rPr>
            <sz val="9"/>
            <color indexed="81"/>
            <rFont val="Tahoma"/>
            <family val="2"/>
            <charset val="186"/>
          </rPr>
          <t xml:space="preserve">
EUR 13'204 ERASMUS (09825);
EUR 4'268 NordPlus (09826)</t>
        </r>
      </text>
    </comment>
    <comment ref="I112" authorId="0" shapeId="0" xr:uid="{69842B18-99A8-4881-B6E8-893F7B329FC7}">
      <text>
        <r>
          <rPr>
            <b/>
            <sz val="9"/>
            <color indexed="81"/>
            <rFont val="Tahoma"/>
            <family val="2"/>
            <charset val="186"/>
          </rPr>
          <t>Sarmīte Mūze:</t>
        </r>
        <r>
          <rPr>
            <sz val="9"/>
            <color indexed="81"/>
            <rFont val="Tahoma"/>
            <family val="2"/>
            <charset val="186"/>
          </rPr>
          <t xml:space="preserve">
EUR 90'000 maksas stāvvietas, kapu pakalpojumi, kopēšana</t>
        </r>
      </text>
    </comment>
    <comment ref="E115" authorId="0" shapeId="0" xr:uid="{8504B19E-D002-4A86-8F3C-D332818CDFD2}">
      <text>
        <r>
          <rPr>
            <b/>
            <sz val="9"/>
            <color indexed="81"/>
            <rFont val="Tahoma"/>
            <family val="2"/>
            <charset val="186"/>
          </rPr>
          <t>Sarmīte Mūze:</t>
        </r>
        <r>
          <rPr>
            <sz val="9"/>
            <color indexed="81"/>
            <rFont val="Tahoma"/>
            <family val="2"/>
            <charset val="186"/>
          </rPr>
          <t xml:space="preserve">
EUR 9'996 0965 projekts
EUR 888'703 AM Vecštāles ceļš
EUR 2'193 Projekts pedagogu profesionālās kompetences pilnveidei</t>
        </r>
      </text>
    </comment>
    <comment ref="E148" authorId="0" shapeId="0" xr:uid="{9A60C551-4E63-455C-89DC-B70A6EFFACF3}">
      <text>
        <r>
          <rPr>
            <b/>
            <sz val="9"/>
            <color indexed="81"/>
            <rFont val="Tahoma"/>
            <family val="2"/>
            <charset val="186"/>
          </rPr>
          <t>Sarmīte Mūze:</t>
        </r>
        <r>
          <rPr>
            <sz val="9"/>
            <color indexed="81"/>
            <rFont val="Tahoma"/>
            <family val="2"/>
            <charset val="186"/>
          </rPr>
          <t xml:space="preserve">
Šis pie CKS</t>
        </r>
      </text>
    </comment>
    <comment ref="E157" authorId="0" shapeId="0" xr:uid="{3AF11375-E285-453B-A515-15E12D28E513}">
      <text>
        <r>
          <rPr>
            <b/>
            <sz val="9"/>
            <color indexed="81"/>
            <rFont val="Tahoma"/>
            <family val="2"/>
            <charset val="186"/>
          </rPr>
          <t>Sarmīte Mūze:</t>
        </r>
        <r>
          <rPr>
            <sz val="9"/>
            <color indexed="81"/>
            <rFont val="Tahoma"/>
            <family val="2"/>
            <charset val="186"/>
          </rPr>
          <t xml:space="preserve">
6'422 Sporta laukumu  ierīkošana Garciemā LV26B</t>
        </r>
      </text>
    </comment>
    <comment ref="F157" authorId="0" shapeId="0" xr:uid="{25B1DEB9-FB5C-4115-8521-ED7C30A0AA16}">
      <text>
        <r>
          <rPr>
            <b/>
            <sz val="9"/>
            <color indexed="81"/>
            <rFont val="Tahoma"/>
            <family val="2"/>
            <charset val="186"/>
          </rPr>
          <t>Sarmīte Mūze:</t>
        </r>
        <r>
          <rPr>
            <sz val="9"/>
            <color indexed="81"/>
            <rFont val="Tahoma"/>
            <family val="2"/>
            <charset val="186"/>
          </rPr>
          <t xml:space="preserve">
1) 12'000 "Remigrācijas atbalsta pasākums – uzņēmējdarbības atbalsts" (0630); 
2) 1'000 Meža dienu projekts</t>
        </r>
      </text>
    </comment>
    <comment ref="G157" authorId="0" shapeId="0" xr:uid="{D0125758-10D1-4F0E-9D36-BE3974F8627F}">
      <text>
        <r>
          <rPr>
            <b/>
            <sz val="9"/>
            <color indexed="81"/>
            <rFont val="Tahoma"/>
            <family val="2"/>
            <charset val="186"/>
          </rPr>
          <t>Sarmīte Mūze:</t>
        </r>
        <r>
          <rPr>
            <sz val="9"/>
            <color indexed="81"/>
            <rFont val="Tahoma"/>
            <family val="2"/>
            <charset val="186"/>
          </rPr>
          <t xml:space="preserve">
1) Sporta laukumu  ierīkošana Garciemā LV26B 0630) EUR 25689-6422 (KA)=19267</t>
        </r>
      </text>
    </comment>
    <comment ref="J157" authorId="0" shapeId="0" xr:uid="{935DA5CE-9670-48B0-95BF-D2537BDAFD4E}">
      <text>
        <r>
          <rPr>
            <b/>
            <sz val="9"/>
            <color indexed="81"/>
            <rFont val="Tahoma"/>
            <family val="2"/>
            <charset val="186"/>
          </rPr>
          <t>Sarmīte Mūze:</t>
        </r>
        <r>
          <rPr>
            <sz val="9"/>
            <color indexed="81"/>
            <rFont val="Tahoma"/>
            <family val="2"/>
            <charset val="186"/>
          </rPr>
          <t xml:space="preserve">
1) 6'000 "Remigrācijas atbalsta pasākums – uzņēmējdarbības atbalsts" (0630); 
2) 3'050 Interreg projekta "Upesceļi II"
3) 1'525 RPR organizēto projektu ietvaros
4) 300 Meža dienu projekts
5) 4'000 IIA izstrāde jaunā uzņēmējdarbības projekta pieteikumam
6) Sporta laukumu  ierīkošana Garciemā LV26B 0630) EUR 22'711 pašvald. finans</t>
        </r>
      </text>
    </comment>
    <comment ref="I182" authorId="0" shapeId="0" xr:uid="{321C3DE9-9E86-41AA-8FF6-4AC089F2D682}">
      <text>
        <r>
          <rPr>
            <b/>
            <sz val="9"/>
            <color indexed="81"/>
            <rFont val="Tahoma"/>
            <family val="2"/>
            <charset val="186"/>
          </rPr>
          <t>Sarmīte Mūze:</t>
        </r>
        <r>
          <rPr>
            <sz val="9"/>
            <color indexed="81"/>
            <rFont val="Tahoma"/>
            <family val="2"/>
            <charset val="186"/>
          </rPr>
          <t xml:space="preserve">
CKS+0649 (Bāze)</t>
        </r>
      </text>
    </comment>
    <comment ref="E183" authorId="0" shapeId="0" xr:uid="{A8C12775-DE45-4BBB-8282-EEF7D2613628}">
      <text>
        <r>
          <rPr>
            <b/>
            <sz val="9"/>
            <color indexed="81"/>
            <rFont val="Tahoma"/>
            <family val="2"/>
            <charset val="186"/>
          </rPr>
          <t>Sarmīte Mūze:</t>
        </r>
        <r>
          <rPr>
            <sz val="9"/>
            <color indexed="81"/>
            <rFont val="Tahoma"/>
            <family val="2"/>
            <charset val="186"/>
          </rPr>
          <t xml:space="preserve">
Vadot Visvarī, jāatņem KA un plānotie ieņēmumi</t>
        </r>
      </text>
    </comment>
    <comment ref="G183" authorId="0" shapeId="0" xr:uid="{F162C73E-9B04-4F0F-B060-4FE4000F8259}">
      <text>
        <r>
          <rPr>
            <b/>
            <sz val="9"/>
            <color indexed="81"/>
            <rFont val="Tahoma"/>
            <family val="2"/>
            <charset val="186"/>
          </rPr>
          <t>Sarmīte Mūze:</t>
        </r>
        <r>
          <rPr>
            <sz val="9"/>
            <color indexed="81"/>
            <rFont val="Tahoma"/>
            <family val="2"/>
            <charset val="186"/>
          </rPr>
          <t xml:space="preserve">
1) 10'622 Piekrastes apsaimniekošana (šo CKS programmā liek pie sevis)</t>
        </r>
      </text>
    </comment>
    <comment ref="I183" authorId="0" shapeId="0" xr:uid="{57DD9468-A6FE-4852-B518-F3EC24BE8934}">
      <text>
        <r>
          <rPr>
            <b/>
            <sz val="9"/>
            <color indexed="81"/>
            <rFont val="Tahoma"/>
            <family val="2"/>
            <charset val="186"/>
          </rPr>
          <t>Sarmīte Mūze:</t>
        </r>
        <r>
          <rPr>
            <sz val="9"/>
            <color indexed="81"/>
            <rFont val="Tahoma"/>
            <family val="2"/>
            <charset val="186"/>
          </rPr>
          <t xml:space="preserve">
CKS KA 866'300, Vadot Visvarī jāatņem no 0645 plāna</t>
        </r>
      </text>
    </comment>
    <comment ref="I184" authorId="0" shapeId="0" xr:uid="{F40F0AFC-C1EF-40C9-BA63-83898C61EF49}">
      <text>
        <r>
          <rPr>
            <b/>
            <sz val="9"/>
            <color indexed="81"/>
            <rFont val="Tahoma"/>
            <family val="2"/>
            <charset val="186"/>
          </rPr>
          <t>Sarmīte Mūze:</t>
        </r>
        <r>
          <rPr>
            <sz val="9"/>
            <color indexed="81"/>
            <rFont val="Tahoma"/>
            <family val="2"/>
            <charset val="186"/>
          </rPr>
          <t xml:space="preserve">
0649 (Bāze)</t>
        </r>
      </text>
    </comment>
    <comment ref="J184" authorId="0" shapeId="0" xr:uid="{1973E813-4FA4-47C9-BB93-8AC1E89606CA}">
      <text>
        <r>
          <rPr>
            <b/>
            <sz val="9"/>
            <color indexed="81"/>
            <rFont val="Tahoma"/>
            <family val="2"/>
            <charset val="186"/>
          </rPr>
          <t>Sarmīte Mūze:</t>
        </r>
        <r>
          <rPr>
            <sz val="9"/>
            <color indexed="81"/>
            <rFont val="Tahoma"/>
            <family val="2"/>
            <charset val="186"/>
          </rPr>
          <t xml:space="preserve">
Ķiršu ielas pārbūve 0.17km (ir būvprojekts) - 1452 (autoruzraudzibu maksa no Domes)</t>
        </r>
      </text>
    </comment>
    <comment ref="K185" authorId="0" shapeId="0" xr:uid="{778E7F3E-619E-47E7-A8CF-3AE9AA99591D}">
      <text>
        <r>
          <rPr>
            <b/>
            <sz val="9"/>
            <color indexed="81"/>
            <rFont val="Tahoma"/>
            <family val="2"/>
            <charset val="186"/>
          </rPr>
          <t>Sarmīte Mūze:</t>
        </r>
        <r>
          <rPr>
            <sz val="9"/>
            <color indexed="81"/>
            <rFont val="Tahoma"/>
            <family val="2"/>
            <charset val="186"/>
          </rPr>
          <t xml:space="preserve">
0643+0648</t>
        </r>
      </text>
    </comment>
    <comment ref="J188" authorId="0" shapeId="0" xr:uid="{8B8FC65C-4E2B-42F4-9B89-8E469C4B6C28}">
      <text>
        <r>
          <rPr>
            <b/>
            <sz val="9"/>
            <color indexed="81"/>
            <rFont val="Tahoma"/>
            <family val="2"/>
            <charset val="186"/>
          </rPr>
          <t>Sarmīte Mūze:</t>
        </r>
        <r>
          <rPr>
            <sz val="9"/>
            <color indexed="81"/>
            <rFont val="Tahoma"/>
            <family val="2"/>
            <charset val="186"/>
          </rPr>
          <t xml:space="preserve">
1) EUR 57'584 Smilšu ielas pārbūve projekts
2) EUR 38'600 Attekas ielas turpinājums 0,5km (projekts)
3) EUR 20'922 Ķiršu ielas pārbūve 0.17km (ir būvprojekts) - 1452 (autoruzraudzibu maksa no Domes)
4) EUR 7'994 Skolas iela 0.77km, Ādaži, Ādaži Gājēju ietve, bruģis, satiksmes organizācija
5) EUR 250'000 L. Azarovas tilta pārbūve uz caurteku (ir projekts)</t>
        </r>
      </text>
    </comment>
    <comment ref="J189" authorId="0" shapeId="0" xr:uid="{FBF02CCE-0268-4C2E-B7EB-CE0B60A4A42D}">
      <text>
        <r>
          <rPr>
            <b/>
            <sz val="9"/>
            <color indexed="81"/>
            <rFont val="Tahoma"/>
            <family val="2"/>
            <charset val="186"/>
          </rPr>
          <t>Sarmīte Mūze:</t>
        </r>
        <r>
          <rPr>
            <sz val="9"/>
            <color indexed="81"/>
            <rFont val="Tahoma"/>
            <family val="2"/>
            <charset val="186"/>
          </rPr>
          <t xml:space="preserve">
1) EUR 47'288 Mangaļu SS pārbūve (būvprojekts)</t>
        </r>
      </text>
    </comment>
    <comment ref="E201" authorId="0" shapeId="0" xr:uid="{A865C567-F312-4C7E-87F6-E8AED49B68B6}">
      <text>
        <r>
          <rPr>
            <b/>
            <sz val="9"/>
            <color indexed="81"/>
            <rFont val="Tahoma"/>
            <family val="2"/>
            <charset val="186"/>
          </rPr>
          <t>Sarmīte Mūze:</t>
        </r>
        <r>
          <rPr>
            <sz val="9"/>
            <color indexed="81"/>
            <rFont val="Tahoma"/>
            <family val="2"/>
            <charset val="186"/>
          </rPr>
          <t xml:space="preserve">
 Saimes mājas ekspozīcijas pamatnes atjaunošana</t>
        </r>
      </text>
    </comment>
    <comment ref="G201" authorId="0" shapeId="0" xr:uid="{760A714E-C211-4514-9034-C501C9480192}">
      <text>
        <r>
          <rPr>
            <b/>
            <sz val="9"/>
            <color indexed="81"/>
            <rFont val="Tahoma"/>
            <family val="2"/>
            <charset val="186"/>
          </rPr>
          <t>Sarmīte Mūze:</t>
        </r>
        <r>
          <rPr>
            <sz val="9"/>
            <color indexed="81"/>
            <rFont val="Tahoma"/>
            <family val="2"/>
            <charset val="186"/>
          </rPr>
          <t xml:space="preserve">
 Saimes mājas ekspozīcijas pamatnes atjaunošana</t>
        </r>
      </text>
    </comment>
    <comment ref="J201" authorId="0" shapeId="0" xr:uid="{7BBE665E-3435-4487-AA09-EC01F47F295D}">
      <text>
        <r>
          <rPr>
            <b/>
            <sz val="9"/>
            <color indexed="81"/>
            <rFont val="Tahoma"/>
            <family val="2"/>
            <charset val="186"/>
          </rPr>
          <t>Sarmīte Mūze:</t>
        </r>
        <r>
          <rPr>
            <sz val="9"/>
            <color indexed="81"/>
            <rFont val="Tahoma"/>
            <family val="2"/>
            <charset val="186"/>
          </rPr>
          <t xml:space="preserve">
EUR 2'300  Saimes mājas ekspozīcijas pamatnes atjaunošana</t>
        </r>
      </text>
    </comment>
    <comment ref="J202" authorId="0" shapeId="0" xr:uid="{F8C61AA2-6DD5-4D24-8A6B-6F86A8A2A1F7}">
      <text>
        <r>
          <rPr>
            <b/>
            <sz val="9"/>
            <color indexed="81"/>
            <rFont val="Tahoma"/>
            <family val="2"/>
            <charset val="186"/>
          </rPr>
          <t>Sarmīte Mūze:</t>
        </r>
        <r>
          <rPr>
            <sz val="9"/>
            <color indexed="81"/>
            <rFont val="Tahoma"/>
            <family val="2"/>
            <charset val="186"/>
          </rPr>
          <t xml:space="preserve">
EUR 2'723 Pārvietojamu apmeklētāju plūsmas skaitītāju iegāde</t>
        </r>
      </text>
    </comment>
    <comment ref="J208" authorId="0" shapeId="0" xr:uid="{A89EF55E-8497-4CD4-B8F7-BADBC91582AF}">
      <text>
        <r>
          <rPr>
            <b/>
            <sz val="9"/>
            <color indexed="81"/>
            <rFont val="Tahoma"/>
            <family val="2"/>
            <charset val="186"/>
          </rPr>
          <t>Sarmīte Mūze:</t>
        </r>
        <r>
          <rPr>
            <sz val="9"/>
            <color indexed="81"/>
            <rFont val="Tahoma"/>
            <family val="2"/>
            <charset val="186"/>
          </rPr>
          <t xml:space="preserve">
Skeitparka projektēšana C</t>
        </r>
      </text>
    </comment>
    <comment ref="E214" authorId="0" shapeId="0" xr:uid="{12F0D65C-8782-4658-9447-E06E27DA3594}">
      <text>
        <r>
          <rPr>
            <b/>
            <sz val="9"/>
            <color indexed="81"/>
            <rFont val="Tahoma"/>
            <family val="2"/>
            <charset val="186"/>
          </rPr>
          <t>Sarmīte Mūze:</t>
        </r>
        <r>
          <rPr>
            <sz val="9"/>
            <color indexed="81"/>
            <rFont val="Tahoma"/>
            <family val="2"/>
            <charset val="186"/>
          </rPr>
          <t xml:space="preserve">
EUR 3'937 "DigiSoc"izstrāde un ieviešana</t>
        </r>
      </text>
    </comment>
    <comment ref="F214" authorId="0" shapeId="0" xr:uid="{0D7C3E13-7DB9-4785-81A6-9680671BD090}">
      <text>
        <r>
          <rPr>
            <b/>
            <sz val="9"/>
            <color indexed="81"/>
            <rFont val="Tahoma"/>
            <family val="2"/>
            <charset val="186"/>
          </rPr>
          <t>Sarmīte Mūze:</t>
        </r>
        <r>
          <rPr>
            <sz val="9"/>
            <color indexed="81"/>
            <rFont val="Tahoma"/>
            <family val="2"/>
            <charset val="186"/>
          </rPr>
          <t xml:space="preserve">
30% dotācija par supervīzijām no LM  EUR 3000 (EKK 2235)</t>
        </r>
      </text>
    </comment>
    <comment ref="F215" authorId="0" shapeId="0" xr:uid="{76CD17B9-1985-43D0-85E8-F8BBED7362CF}">
      <text>
        <r>
          <rPr>
            <b/>
            <sz val="9"/>
            <color indexed="81"/>
            <rFont val="Tahoma"/>
            <family val="2"/>
            <charset val="186"/>
          </rPr>
          <t>Sarmīte Mūze:</t>
        </r>
        <r>
          <rPr>
            <sz val="9"/>
            <color indexed="81"/>
            <rFont val="Tahoma"/>
            <family val="2"/>
            <charset val="186"/>
          </rPr>
          <t xml:space="preserve">
1) 30% dotācija no LM 3'000 EUR (Garantētā minimālā ienākuma pabalsts naudā EKK 6260)
2) 30% dotācija no LM 18'000 EUR (Dzīvokļa pabalsti naudā EKK 6270)
3) 30% dotācija no LM 30'000 EUR (Dzīvokļa pabalsti natūrā EKK 6360)
4) 14'170 EUR Dienas aprūpes centri citā pašvaldībā (EKK 6419).
5) 51'372 Aprūpes mājās pakalpojumam bērniem MD (50%) (1010.1)
</t>
        </r>
      </text>
    </comment>
    <comment ref="E228" authorId="0" shapeId="0" xr:uid="{0E841C57-C6F3-4871-9A79-99BDDAB1FCBD}">
      <text>
        <r>
          <rPr>
            <b/>
            <sz val="9"/>
            <color indexed="81"/>
            <rFont val="Tahoma"/>
            <family val="2"/>
            <charset val="186"/>
          </rPr>
          <t>Sarmīte Mūze:</t>
        </r>
        <r>
          <rPr>
            <sz val="9"/>
            <color indexed="81"/>
            <rFont val="Tahoma"/>
            <family val="2"/>
            <charset val="186"/>
          </rPr>
          <t xml:space="preserve">
EUR 1'136 ēdināšana
</t>
        </r>
      </text>
    </comment>
    <comment ref="E255" authorId="0" shapeId="0" xr:uid="{803993E8-6C7D-4540-8C51-9431D59F4E27}">
      <text>
        <r>
          <rPr>
            <b/>
            <sz val="9"/>
            <color indexed="81"/>
            <rFont val="Tahoma"/>
            <family val="2"/>
            <charset val="186"/>
          </rPr>
          <t>Sarmīte Mūze:</t>
        </r>
        <r>
          <rPr>
            <sz val="9"/>
            <color indexed="81"/>
            <rFont val="Tahoma"/>
            <family val="2"/>
            <charset val="186"/>
          </rPr>
          <t xml:space="preserve">
Ēdināšana 5'049</t>
        </r>
      </text>
    </comment>
    <comment ref="F255" authorId="0" shapeId="0" xr:uid="{DCCF50DF-BF19-49CE-A985-A1C0A6412950}">
      <text>
        <r>
          <rPr>
            <b/>
            <sz val="9"/>
            <color indexed="81"/>
            <rFont val="Tahoma"/>
            <family val="2"/>
            <charset val="186"/>
          </rPr>
          <t>Sarmīte Mūze:</t>
        </r>
        <r>
          <rPr>
            <sz val="9"/>
            <color indexed="81"/>
            <rFont val="Tahoma"/>
            <family val="2"/>
            <charset val="186"/>
          </rPr>
          <t xml:space="preserve">
Interešu izgl. 16'870, ēdināšana 47'702</t>
        </r>
      </text>
    </comment>
    <comment ref="F259" authorId="0" shapeId="0" xr:uid="{513F1D10-F4A6-4A5D-8726-B0A98FD89B43}">
      <text>
        <r>
          <rPr>
            <b/>
            <sz val="9"/>
            <color indexed="81"/>
            <rFont val="Tahoma"/>
            <family val="2"/>
            <charset val="186"/>
          </rPr>
          <t>Sarmīte Mūze:</t>
        </r>
        <r>
          <rPr>
            <sz val="9"/>
            <color indexed="81"/>
            <rFont val="Tahoma"/>
            <family val="2"/>
            <charset val="186"/>
          </rPr>
          <t xml:space="preserve">
Interešu; pedagogi</t>
        </r>
      </text>
    </comment>
    <comment ref="E268" authorId="0" shapeId="0" xr:uid="{623FBA24-FB45-4887-B4CA-7F650A787AA1}">
      <text>
        <r>
          <rPr>
            <b/>
            <sz val="9"/>
            <color indexed="81"/>
            <rFont val="Tahoma"/>
            <family val="2"/>
            <charset val="186"/>
          </rPr>
          <t>Sarmīte Mūze:</t>
        </r>
        <r>
          <rPr>
            <sz val="9"/>
            <color indexed="81"/>
            <rFont val="Tahoma"/>
            <family val="2"/>
            <charset val="186"/>
          </rPr>
          <t xml:space="preserve">
EUR 17'072 NordPlus
EUR18'896 Erasmus</t>
        </r>
      </text>
    </comment>
    <comment ref="G268" authorId="0" shapeId="0" xr:uid="{8A16AB0C-71CB-4D8B-B185-00027B56D868}">
      <text>
        <r>
          <rPr>
            <b/>
            <sz val="9"/>
            <color indexed="81"/>
            <rFont val="Tahoma"/>
            <family val="2"/>
            <charset val="186"/>
          </rPr>
          <t>Sarmīte Mūze:</t>
        </r>
        <r>
          <rPr>
            <sz val="9"/>
            <color indexed="81"/>
            <rFont val="Tahoma"/>
            <family val="2"/>
            <charset val="186"/>
          </rPr>
          <t xml:space="preserve">
EUR 13'204 ERASMUS (09825);
EUR 4'268 NordPlus (09826)</t>
        </r>
      </text>
    </comment>
    <comment ref="J268" authorId="0" shapeId="0" xr:uid="{DEE38111-A5EE-4203-800F-650244334B8E}">
      <text>
        <r>
          <rPr>
            <b/>
            <sz val="9"/>
            <color indexed="81"/>
            <rFont val="Tahoma"/>
            <family val="2"/>
            <charset val="186"/>
          </rPr>
          <t>Sarmīte Mūze:</t>
        </r>
        <r>
          <rPr>
            <sz val="9"/>
            <color indexed="81"/>
            <rFont val="Tahoma"/>
            <family val="2"/>
            <charset val="186"/>
          </rPr>
          <t xml:space="preserve">
Erasmus EUR 40'988
KA: 18'896
Ārfin.: 13'204
ĀND: 8'888
NordPlus EUR 25'608
KA: 17'072
Ārfin.: 4'268
ĀND: 4'268</t>
        </r>
      </text>
    </comment>
    <comment ref="F271" authorId="0" shapeId="0" xr:uid="{1CE6BD89-906C-4D38-97F9-AEB310EF7414}">
      <text>
        <r>
          <rPr>
            <b/>
            <sz val="9"/>
            <color indexed="81"/>
            <rFont val="Tahoma"/>
            <family val="2"/>
            <charset val="186"/>
          </rPr>
          <t>Sarmīte Mūze:</t>
        </r>
        <r>
          <rPr>
            <sz val="9"/>
            <color indexed="81"/>
            <rFont val="Tahoma"/>
            <family val="2"/>
            <charset val="186"/>
          </rPr>
          <t xml:space="preserve">
Interešu; pedagogi</t>
        </r>
      </text>
    </comment>
    <comment ref="E273" authorId="0" shapeId="0" xr:uid="{4E59FF4B-F256-4866-80E8-83F4B5440F6E}">
      <text>
        <r>
          <rPr>
            <b/>
            <sz val="9"/>
            <color indexed="81"/>
            <rFont val="Tahoma"/>
            <family val="2"/>
            <charset val="186"/>
          </rPr>
          <t>Sarmīte Mūze:</t>
        </r>
        <r>
          <rPr>
            <sz val="9"/>
            <color indexed="81"/>
            <rFont val="Tahoma"/>
            <family val="2"/>
            <charset val="186"/>
          </rPr>
          <t xml:space="preserve">
EUR -3'721 0954.1/1119; EUR 1'619 0954.1/2239</t>
        </r>
      </text>
    </comment>
    <comment ref="K275" authorId="0" shapeId="0" xr:uid="{E5FDEAF9-41B3-4A66-9E2E-7B5E07AAB754}">
      <text>
        <r>
          <rPr>
            <b/>
            <sz val="9"/>
            <color indexed="81"/>
            <rFont val="Tahoma"/>
            <family val="2"/>
            <charset val="186"/>
          </rPr>
          <t>Sarmīte Mūze:</t>
        </r>
        <r>
          <rPr>
            <sz val="9"/>
            <color indexed="81"/>
            <rFont val="Tahoma"/>
            <family val="2"/>
            <charset val="186"/>
          </rPr>
          <t xml:space="preserve">
No 0950 ielikta algas daļa 0981 EUR 273'112</t>
        </r>
      </text>
    </comment>
    <comment ref="J276" authorId="0" shapeId="0" xr:uid="{DE37217A-2D0C-4AB3-AF41-94C43B3A42D3}">
      <text>
        <r>
          <rPr>
            <b/>
            <sz val="9"/>
            <color indexed="81"/>
            <rFont val="Tahoma"/>
            <family val="2"/>
            <charset val="186"/>
          </rPr>
          <t>Sarmīte Mūze:</t>
        </r>
        <r>
          <rPr>
            <sz val="9"/>
            <color indexed="81"/>
            <rFont val="Tahoma"/>
            <family val="2"/>
            <charset val="186"/>
          </rPr>
          <t xml:space="preserve">
1) EUR 29'040 Āra lifta izbūve pie A korpusa (projektēšana) 
2) EUR 5'011 Āra lifta būvprojekta ekspertīze</t>
        </r>
      </text>
    </comment>
    <comment ref="K282" authorId="0" shapeId="0" xr:uid="{B72EC72F-12C3-45EA-95F2-471CDA53261C}">
      <text>
        <r>
          <rPr>
            <b/>
            <sz val="9"/>
            <color indexed="81"/>
            <rFont val="Tahoma"/>
            <family val="2"/>
            <charset val="186"/>
          </rPr>
          <t>Sarmīte Mūze:</t>
        </r>
        <r>
          <rPr>
            <sz val="9"/>
            <color indexed="81"/>
            <rFont val="Tahoma"/>
            <family val="2"/>
            <charset val="186"/>
          </rPr>
          <t xml:space="preserve">
No 0950 ielikta algas daļa 0981 EUR 273'112</t>
        </r>
      </text>
    </comment>
    <comment ref="E295" authorId="0" shapeId="0" xr:uid="{83181782-070D-4CFB-A318-198DD60E7F79}">
      <text>
        <r>
          <rPr>
            <b/>
            <sz val="9"/>
            <color indexed="81"/>
            <rFont val="Tahoma"/>
            <family val="2"/>
            <charset val="186"/>
          </rPr>
          <t>Sarmīte Mūze:</t>
        </r>
        <r>
          <rPr>
            <sz val="9"/>
            <color indexed="81"/>
            <rFont val="Tahoma"/>
            <family val="2"/>
            <charset val="186"/>
          </rPr>
          <t xml:space="preserve">
Latvijas basketbola savienības iemaksa projektam</t>
        </r>
      </text>
    </comment>
    <comment ref="E296" authorId="0" shapeId="0" xr:uid="{067C2F72-4DD2-4D0A-BD14-575BB49737E3}">
      <text>
        <r>
          <rPr>
            <b/>
            <sz val="9"/>
            <color indexed="81"/>
            <rFont val="Tahoma"/>
            <family val="2"/>
            <charset val="186"/>
          </rPr>
          <t>Sarmīte Mūze:</t>
        </r>
        <r>
          <rPr>
            <sz val="9"/>
            <color indexed="81"/>
            <rFont val="Tahoma"/>
            <family val="2"/>
            <charset val="186"/>
          </rPr>
          <t xml:space="preserve">
1) EUR 2'193 Projekts pedagogu profesionālās kompetences pilnveidei - jāatskaita atpakaļ (0930);
2) EUR 15'132 Digitālā darba ar jaunatni sistēmas attīstība pašvaldībās (0932)
3) EUR 502 Mobilais darbs ar jaunatni Ādažu novadā (0935)
4) EUR 509 MD Mazākumtaut. izglīt. mācību materiali PPII 
5) EUR 8'432 Pedagogu profesionālā atbalsta sistēmas izveide (0934)
</t>
        </r>
      </text>
    </comment>
    <comment ref="F296" authorId="0" shapeId="0" xr:uid="{E39BFB3A-84E3-47C3-8682-0D8DF231499D}">
      <text>
        <r>
          <rPr>
            <b/>
            <sz val="9"/>
            <color indexed="81"/>
            <rFont val="Tahoma"/>
            <family val="2"/>
            <charset val="186"/>
          </rPr>
          <t>Sarmīte Mūze:</t>
        </r>
        <r>
          <rPr>
            <sz val="9"/>
            <color indexed="81"/>
            <rFont val="Tahoma"/>
            <family val="2"/>
            <charset val="186"/>
          </rPr>
          <t xml:space="preserve">
1) Skolēnu vasaras nodarbinātība
</t>
        </r>
      </text>
    </comment>
    <comment ref="G296" authorId="0" shapeId="0" xr:uid="{18F3082C-DE82-4822-B21F-7CB1B65E6D4D}">
      <text>
        <r>
          <rPr>
            <b/>
            <sz val="9"/>
            <color indexed="81"/>
            <rFont val="Tahoma"/>
            <family val="2"/>
            <charset val="186"/>
          </rPr>
          <t>Sarmīte Mūze:</t>
        </r>
        <r>
          <rPr>
            <sz val="9"/>
            <color indexed="81"/>
            <rFont val="Tahoma"/>
            <family val="2"/>
            <charset val="186"/>
          </rPr>
          <t xml:space="preserve">
1) 20'249 Bērnu un jauniešu centra izveide Ādažo</t>
        </r>
      </text>
    </comment>
    <comment ref="J296" authorId="0" shapeId="0" xr:uid="{C935E58E-D225-4067-8845-4C2D908CD790}">
      <text>
        <r>
          <rPr>
            <b/>
            <sz val="9"/>
            <color indexed="81"/>
            <rFont val="Tahoma"/>
            <family val="2"/>
            <charset val="186"/>
          </rPr>
          <t>Sarmīte Mūze:</t>
        </r>
        <r>
          <rPr>
            <sz val="9"/>
            <color indexed="81"/>
            <rFont val="Tahoma"/>
            <family val="2"/>
            <charset val="186"/>
          </rPr>
          <t xml:space="preserve">
1) EUR 684 Bērnu un jauniešu centra izveide Ādažos
2) EUR 9'634 TET optikas pieslēguma ierīkošanai jauniešu centrā Gaujas ielā 25B. (0930.2)
3) EUR 3'328 Digitālā darba ar jaunatni sistēmas attīstība pašvaldībās (0932)
4) EUR 3'921 ZZ dats rindu uzskaite un deklarāciju pārbaude (0930)
5)EUR 6'000 “QR koda  pay ticket” izmantošana skolēnu pārvadājumiem (0930)
6) EUR 2'000 Mūžizglītības rīcības plāna aktivitātes (0930)
7) EUR 2'800 Video novērošanas kameras iekštelpās un ārā. Tāme 0930.2 Nr.10., 11.
8) EUR 11'388 Transporta, ēdināšanas pakalpojumi, reprezentācijas preces kolektīvu dalībai Svētkos Mežaparkā (0990)
9) EUR 83'360 Pedagogu profesionālā atbalsta sistēmas izveide (0934)</t>
        </r>
      </text>
    </comment>
    <comment ref="M300" authorId="0" shapeId="0" xr:uid="{093072C0-4278-4AFC-8357-620F20B22477}">
      <text>
        <r>
          <rPr>
            <b/>
            <sz val="9"/>
            <color indexed="81"/>
            <rFont val="Tahoma"/>
            <family val="2"/>
            <charset val="186"/>
          </rPr>
          <t>Sarmīte Mūze:</t>
        </r>
        <r>
          <rPr>
            <sz val="9"/>
            <color indexed="81"/>
            <rFont val="Tahoma"/>
            <family val="2"/>
            <charset val="186"/>
          </rPr>
          <t xml:space="preserve">
Šis ir jāizņem no 0930 un jāliek 0982 algā.
</t>
        </r>
      </text>
    </comment>
    <comment ref="N300" authorId="0" shapeId="0" xr:uid="{8CA2D342-D924-49A7-AB08-7BD61D41A863}">
      <text>
        <r>
          <rPr>
            <b/>
            <sz val="9"/>
            <color indexed="81"/>
            <rFont val="Tahoma"/>
            <family val="2"/>
            <charset val="186"/>
          </rPr>
          <t>Sarmīte Mūze:</t>
        </r>
        <r>
          <rPr>
            <sz val="9"/>
            <color indexed="81"/>
            <rFont val="Tahoma"/>
            <family val="2"/>
            <charset val="186"/>
          </rPr>
          <t xml:space="preserve">
Šis ir jāizņem no 0930 un jāliek 0982 algā.
</t>
        </r>
      </text>
    </comment>
    <comment ref="O300" authorId="0" shapeId="0" xr:uid="{7FED4277-4ECB-4181-AF22-8A7767DCEF73}">
      <text>
        <r>
          <rPr>
            <b/>
            <sz val="9"/>
            <color indexed="81"/>
            <rFont val="Tahoma"/>
            <family val="2"/>
            <charset val="186"/>
          </rPr>
          <t>Sarmīte Mūze:</t>
        </r>
        <r>
          <rPr>
            <sz val="9"/>
            <color indexed="81"/>
            <rFont val="Tahoma"/>
            <family val="2"/>
            <charset val="186"/>
          </rPr>
          <t xml:space="preserve">
Šis ir jāizņem no 0930 un jāliek 0982 algā.
</t>
        </r>
      </text>
    </comment>
    <comment ref="R300" authorId="0" shapeId="0" xr:uid="{D2F31DFA-5C5A-4189-8BDA-391CB4E27D63}">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<sst xmlns="http://schemas.openxmlformats.org/spreadsheetml/2006/main" count="1675" uniqueCount="1120">
  <si>
    <t>Ādažu pašvaldības apvienotais budžets</t>
  </si>
  <si>
    <t>2026. gads</t>
  </si>
  <si>
    <t xml:space="preserve">Ieņēmumu daļa </t>
  </si>
  <si>
    <t>VĒRTĪBAS</t>
  </si>
  <si>
    <t xml:space="preserve">N.p.k. </t>
  </si>
  <si>
    <t>Sadaļa</t>
  </si>
  <si>
    <t>KA 31.12.2025.</t>
  </si>
  <si>
    <t>Valsts finansējums (mērķdotācijas)</t>
  </si>
  <si>
    <t>Projektu finansējums</t>
  </si>
  <si>
    <t>Aizņēmumi</t>
  </si>
  <si>
    <t>CKS</t>
  </si>
  <si>
    <t>2026. ĀND investīcijas</t>
  </si>
  <si>
    <t>2026. ĀND bāze</t>
  </si>
  <si>
    <t>2026. gada budžets</t>
  </si>
  <si>
    <t>26.03.2026. grozījumi</t>
  </si>
  <si>
    <t>Izmaiņa 26.03.2026. - 29.01.2026.</t>
  </si>
  <si>
    <t xml:space="preserve">Komentāri </t>
  </si>
  <si>
    <t>28.05.2026. grozījumi</t>
  </si>
  <si>
    <t>Izmaiņa 28.05.2026. -26.03.2026.</t>
  </si>
  <si>
    <t>1., 2., 3., 4., 5.</t>
  </si>
  <si>
    <t>Nodokļu ieņēmumi</t>
  </si>
  <si>
    <t>1.1.1.0.</t>
  </si>
  <si>
    <t>1.</t>
  </si>
  <si>
    <t>Iedzīvotāju ienākuma nodoklis</t>
  </si>
  <si>
    <t>PB</t>
  </si>
  <si>
    <t>01.1.1.2.</t>
  </si>
  <si>
    <t>1.1.</t>
  </si>
  <si>
    <t>pārskata gada</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</si>
  <si>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</si>
  <si>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</si>
  <si>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</si>
  <si>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</si>
  <si>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</si>
  <si>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</si>
  <si>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</si>
  <si>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</si>
  <si>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</si>
  <si>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</si>
  <si>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</si>
  <si>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</si>
  <si>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</si>
  <si>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</si>
  <si>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</si>
  <si>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</si>
  <si>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</si>
  <si>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</si>
  <si>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</si>
  <si>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</si>
  <si>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</si>
  <si>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</si>
  <si>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</si>
  <si>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</si>
  <si>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</si>
  <si>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</si>
  <si>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</si>
  <si>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</si>
  <si>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</si>
  <si>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</si>
  <si>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</si>
  <si>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</si>
  <si>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</si>
  <si>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</si>
  <si>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</si>
  <si>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</si>
  <si>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</si>
  <si>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</si>
  <si>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</si>
  <si>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</si>
  <si>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</si>
  <si>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</si>
  <si>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</si>
  <si>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</si>
  <si>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</si>
  <si>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</si>
  <si>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</si>
  <si>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</si>
  <si>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</si>
  <si>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</si>
  <si>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</si>
  <si>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</si>
  <si>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</si>
  <si>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</si>
  <si>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</si>
  <si>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</si>
  <si>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</si>
  <si>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</si>
  <si>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</si>
  <si>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</si>
  <si>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</si>
  <si>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</si>
  <si>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</si>
  <si>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</si>
  <si>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</si>
  <si>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</si>
  <si>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</si>
  <si>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</si>
  <si>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</si>
  <si>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</si>
  <si>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</si>
  <si>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</si>
  <si>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</si>
  <si>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</si>
  <si>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</si>
  <si>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</si>
  <si>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</si>
  <si>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</si>
  <si>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</si>
  <si>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8.3.9.0.; 8.6.1.2.; 8.6.4.0.; 12.3.9.9.</t>
  </si>
  <si>
    <t>8.1.</t>
  </si>
  <si>
    <t>citi nenodokļu ieņēmumi</t>
  </si>
  <si>
    <t>12.3.9.5.</t>
  </si>
  <si>
    <t>8.2.</t>
  </si>
  <si>
    <t>līgumsodi un procentu maksājumi par saistību neizpildi</t>
  </si>
  <si>
    <t>12.2.3.0.</t>
  </si>
  <si>
    <t>8.3.</t>
  </si>
  <si>
    <t>ieņēmumi no zvejas tiesību nomas</t>
  </si>
  <si>
    <t>13.1.0.0.</t>
  </si>
  <si>
    <t>9.</t>
  </si>
  <si>
    <t>Ieņēmumi no pašvaldības īpašuma pārdošana</t>
  </si>
  <si>
    <t>10.</t>
  </si>
  <si>
    <t>Valsts budžeta transferti un projektu finansējums</t>
  </si>
  <si>
    <t>10.1.</t>
  </si>
  <si>
    <t>Valsts budžeta transferti</t>
  </si>
  <si>
    <t>mērķdotācija</t>
  </si>
  <si>
    <t>18.6.2.3.</t>
  </si>
  <si>
    <t>10.1.1.</t>
  </si>
  <si>
    <t>dotācija mākslas skolas algām</t>
  </si>
  <si>
    <t>18.6.2.4.</t>
  </si>
  <si>
    <t>10.1.2.</t>
  </si>
  <si>
    <t>dotācija sporta skolai</t>
  </si>
  <si>
    <t>18.6.2.10.; 18.6.2.11</t>
  </si>
  <si>
    <t>10.1.3.</t>
  </si>
  <si>
    <t>dotācija skolēnu ēdināšanai</t>
  </si>
  <si>
    <t>18.6.2.5.</t>
  </si>
  <si>
    <t>10.1.4.</t>
  </si>
  <si>
    <t>dotācija mācību līdzekļiem</t>
  </si>
  <si>
    <t>Ieskaitīta dotācija mācību līdzekļiem, kas izdevumos sadalās pa izglītības iestādēm</t>
  </si>
  <si>
    <t xml:space="preserve">  10.1.4.1.</t>
  </si>
  <si>
    <t>t.sk.: - dotācija mācību grāmatām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</si>
  <si>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</si>
  <si>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</si>
  <si>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</si>
  <si>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</si>
  <si>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</si>
  <si>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</si>
  <si>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</si>
  <si>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</si>
  <si>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</si>
  <si>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</si>
  <si>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</si>
  <si>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</si>
  <si>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</si>
  <si>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</si>
  <si>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</si>
  <si>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</si>
  <si>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18.6.2.14.</t>
  </si>
  <si>
    <t>10.1.7.</t>
  </si>
  <si>
    <t>Projekts "Skolas soma" Ādaži</t>
  </si>
  <si>
    <t>Precizēta summa pēc līguma noslēgšanas</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</si>
  <si>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</si>
  <si>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</si>
  <si>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</si>
  <si>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</si>
  <si>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</si>
  <si>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</si>
  <si>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</si>
  <si>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</si>
  <si>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</si>
  <si>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</si>
  <si>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</si>
  <si>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0935</t>
  </si>
  <si>
    <t>Valsts finansējums projektu konkursā "Atbalsts jaunatnes politikas īstenošanai vietējā līmenī" Projekts "Mobilais darbs ar jaunatni Ādažu novadā"</t>
  </si>
  <si>
    <t>18.6.2.20.</t>
  </si>
  <si>
    <t>10.1.12.</t>
  </si>
  <si>
    <t>Dotācijas Ukrainas pilsoņu atbalstam</t>
  </si>
  <si>
    <t>10.1.13.</t>
  </si>
  <si>
    <t>Dotācijas "Energoresursu atbalsts"</t>
  </si>
  <si>
    <t>18.6.2.6.1.</t>
  </si>
  <si>
    <t>10.1.14.</t>
  </si>
  <si>
    <t>Dotācija nodarbinātības pasākumiem</t>
  </si>
  <si>
    <t>10.1.15.</t>
  </si>
  <si>
    <t>EKII</t>
  </si>
  <si>
    <t>0630; 0936</t>
  </si>
  <si>
    <t>18.6.2.9.; 18.6.2.6.1.</t>
  </si>
  <si>
    <t>10.1.16.</t>
  </si>
  <si>
    <t>pārējās dotācijas</t>
  </si>
  <si>
    <t>1) Precizēts valsts finansējums Saeimas vēlēšanu organizēšanai - EUR 13'411;
2) Dalība Zivju fonda projektā par zemūdens drona iegādi. Saskaņā ar Zemkopības ministrijas 30.04.2026. protokiolu Nr. 4.1.-28e/4/2026. Realizē pašvaldības policija. EUR 6’615
3) Noslēgts līgums ar IZM par EUR 3'887 finansējumu pedagogu profesionālās kompetences pilnveidei, vardarbības novēršanai un labbūtības veicināšanai izglītības vidē. (Realizē Izgl. nodaļa)</t>
  </si>
  <si>
    <t>10.2.</t>
  </si>
  <si>
    <t>ES struktūrfondu līdzekļi un aktivitāšu līdzfinansējumi</t>
  </si>
  <si>
    <t>0634</t>
  </si>
  <si>
    <t>18.6.3.6.</t>
  </si>
  <si>
    <t>10.2.1.</t>
  </si>
  <si>
    <t>Plūdu risku projekts</t>
  </si>
  <si>
    <t>0632.5</t>
  </si>
  <si>
    <t>10.2.2.</t>
  </si>
  <si>
    <t>TEP “Atjaunojamo energoresursu izmantošana Ādažu novadā” (EUCF)</t>
  </si>
  <si>
    <t xml:space="preserve">0631.4 </t>
  </si>
  <si>
    <t>10.2.3.</t>
  </si>
  <si>
    <t>Projekts “Infrastruktūras uzlabošana uzņēmējdarbības attīstībai Ādažos”</t>
  </si>
  <si>
    <t>0631.3</t>
  </si>
  <si>
    <t>10.2.4.</t>
  </si>
  <si>
    <t>Publiskās ārtelpas izveide Gaujas ielā 31 Ādažos</t>
  </si>
  <si>
    <t>10.2.5.</t>
  </si>
  <si>
    <t>ES Kohēzijas fonda projekts "STEM un pilsoniskās līdzdalības norises plašākai izglītības pieredzei un karjeras izvēlei"</t>
  </si>
  <si>
    <t>10.2.6.</t>
  </si>
  <si>
    <t>Projekts "Atbalsta pasākumi cilvēkiem ar invaliditāti mājokļu vides pieejamības nodrošināšanai"</t>
  </si>
  <si>
    <t>1) Ieskaitīts projekta "Atbalsta pasākumu cilvēkiem ar invaliditāti mājokļu vides pieejamības nodrošināšana Ādažos" 1.kārtas gala maksājums EUR 40'772
2) Saskaņā ar Domes 01.04.2026. lēmumu Nr.132 "Atbalsta pasākumu cilvēkiem ar invaliditāti mājokļu vides pieejamības nodrošināšana Ādažos" ārfinansējuma avansa summa</t>
  </si>
  <si>
    <t>10.2.7.</t>
  </si>
  <si>
    <t>Projekts par energokopienām. Magliano Alpi pašvaldības Itālijā CERV Town Twinning programmas projektsa ietvaros</t>
  </si>
  <si>
    <t>0632.6</t>
  </si>
  <si>
    <t>LIFE NewBauhaus projekts</t>
  </si>
  <si>
    <t>0934</t>
  </si>
  <si>
    <t>Pedagogu profesionālā atbalsta sistēmas izveide</t>
  </si>
  <si>
    <t>Precizēta projekta "Pedagogu profesionālā atbalsta sistēmas izveide" naudas plūsma (realizē Izglītības nodaļa)</t>
  </si>
  <si>
    <t xml:space="preserve">18.6.3.13. </t>
  </si>
  <si>
    <t>10.2.8.</t>
  </si>
  <si>
    <t>SAM 9.2.4.2. projekts "Pasākumi vietējās sabiedrības veselības veicināšanai Ādažu novadā"</t>
  </si>
  <si>
    <t>0634.1</t>
  </si>
  <si>
    <t>10.2.9.</t>
  </si>
  <si>
    <t>Jaunais plūdu projekts - 2.1.3.2. "Nacionālas nozīmes plūdu un krasta erozijas pasākumi" 1.daļa</t>
  </si>
  <si>
    <t>0631.2</t>
  </si>
  <si>
    <t>10.2.10.</t>
  </si>
  <si>
    <t>Krastupes ielas projekts</t>
  </si>
  <si>
    <t>10.2.11.</t>
  </si>
  <si>
    <t>0903</t>
  </si>
  <si>
    <t>10.2.12.</t>
  </si>
  <si>
    <t>Jaunas pirmsskolas izglītības iestādes Podniekos būvniecība</t>
  </si>
  <si>
    <t>0905</t>
  </si>
  <si>
    <t>10.2.13.</t>
  </si>
  <si>
    <t>Projekts “Izglītības iestāžu nodrošinājums pilnveidotā vispārējās izglītības satura kvalitatīvai ieviešanai Ādažu novadā”</t>
  </si>
  <si>
    <t>0932</t>
  </si>
  <si>
    <t>Projekts “Digitālā darba ar jaunatni sistēmas attīstība pašvaldībās”</t>
  </si>
  <si>
    <t xml:space="preserve">0633.1 </t>
  </si>
  <si>
    <t>10.2.14.</t>
  </si>
  <si>
    <t xml:space="preserve"> ”Mobilitātes punkta infrastruktūras izveidošana Rīgas metropoles areālā – “Carnikava””</t>
  </si>
  <si>
    <t>0633.2</t>
  </si>
  <si>
    <t>10.2.15.</t>
  </si>
  <si>
    <t>Maģistrālā  veloceļa izbūve Rīga-Carnikava</t>
  </si>
  <si>
    <t>0631.5</t>
  </si>
  <si>
    <t>10.2.16.</t>
  </si>
  <si>
    <t>"Blusu" kroga pārbūves tehniskā projekta izstrāde</t>
  </si>
  <si>
    <t>LEADER projektu realizācija</t>
  </si>
  <si>
    <t>0632.7</t>
  </si>
  <si>
    <t>10.2.17.</t>
  </si>
  <si>
    <t>"Upesceļi II/Ūdenstūrisma pieejamības veicināšana (RiverwaysII/Facilitating access to watertourism activities)".</t>
  </si>
  <si>
    <t>10.2.18.</t>
  </si>
  <si>
    <t>Projekts “Bioloģiskās daudzveidības saglabāšana un antropogēnās slodzes mazināšana Natura2000 teritorijās Ādažu novadā”</t>
  </si>
  <si>
    <t>10.2.19.</t>
  </si>
  <si>
    <t xml:space="preserve">Multimodāls sabiedriskā transporta tīkls, 2. kārta” </t>
  </si>
  <si>
    <t>10.2.20.</t>
  </si>
  <si>
    <t>Patvertņu pielāgošana un aprīkošana civiliem aizsardzības mērķiem</t>
  </si>
  <si>
    <t>10.2.21.</t>
  </si>
  <si>
    <t>Šķiroto atkritumu savākšanas laukums Laivu ielā 12, Carnikavā</t>
  </si>
  <si>
    <t>10.2.22.</t>
  </si>
  <si>
    <t>Laveru sūkņu stacijas pārbūve</t>
  </si>
  <si>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</si>
  <si>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</si>
  <si>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</si>
  <si>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</si>
  <si>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</si>
  <si>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</si>
  <si>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</si>
  <si>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</si>
  <si>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</si>
  <si>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</si>
  <si>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</si>
  <si>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</si>
  <si>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</si>
  <si>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</si>
  <si>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</si>
  <si>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</si>
  <si>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</si>
  <si>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</si>
  <si>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</si>
  <si>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</si>
  <si>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</si>
  <si>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</si>
  <si>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</si>
  <si>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t>
  </si>
  <si>
    <t>21.1.9.1.</t>
  </si>
  <si>
    <t>12.2.1.</t>
  </si>
  <si>
    <t>ERASMUS + projekti</t>
  </si>
  <si>
    <t>Erasmus + projekts "Personu mobilitātes mācību nolūkos" avanss EUR 67'062</t>
  </si>
  <si>
    <t>0630.2</t>
  </si>
  <si>
    <t>12.2.2.</t>
  </si>
  <si>
    <t>citi pārrobežu projektu ieņēmumi</t>
  </si>
  <si>
    <t>21.3.8.0.</t>
  </si>
  <si>
    <t>12.3.</t>
  </si>
  <si>
    <t>ieņēmumi par nomu un īri</t>
  </si>
  <si>
    <t>21.3.8.1.</t>
  </si>
  <si>
    <t>12.3.1.</t>
  </si>
  <si>
    <t>ieņēmumi par telpu nomu</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</si>
  <si>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</si>
  <si>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</si>
  <si>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</si>
  <si>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</si>
  <si>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</si>
  <si>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</si>
  <si>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</si>
  <si>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</si>
  <si>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</si>
  <si>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</si>
  <si>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</si>
  <si>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</si>
  <si>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</si>
  <si>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</si>
  <si>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Saskaņā ar FK 01.04.2026. protokollēmumu "Par grozījumiem Ādažu vidusskolas 2026.gada budžeta tāmē" plānoti ieņēmumi 40 gadu salidojumam EUR 12'000, kas novirzāmi izdevumiem šī pasākuma organizēšanai.</t>
  </si>
  <si>
    <t>21.3.9.9.; CKS</t>
  </si>
  <si>
    <t>12.5.</t>
  </si>
  <si>
    <t>pārējie ieņēmumi/stāvvietu ieņēmumi</t>
  </si>
  <si>
    <t>2026.gadā noteiktais Ropažu domes līdzmaksājums par Baltezera kapsētas uzturēšanu (0648/21.3.9.9.4.)</t>
  </si>
  <si>
    <t>KOPĀ IEŅĒMUMI:</t>
  </si>
  <si>
    <t>13.</t>
  </si>
  <si>
    <t>Naudas līdzekļu atlikums gada sākumā</t>
  </si>
  <si>
    <t>13.1.</t>
  </si>
  <si>
    <t>Naudas atlikums iezīmētiem mērķiem</t>
  </si>
  <si>
    <t>Precizēts mērķdotācijas KA mācību līdzekļiem, veikti pārgrāmatojumi.</t>
  </si>
  <si>
    <t>13.2.</t>
  </si>
  <si>
    <t>Naudas atlikums pašvaldības līdzekļi</t>
  </si>
  <si>
    <t>Precizēts konta atlikums</t>
  </si>
  <si>
    <t xml:space="preserve">14. </t>
  </si>
  <si>
    <t>Valsts Kases kredīti</t>
  </si>
  <si>
    <t>14.1.</t>
  </si>
  <si>
    <t>Aizņēmums Skolas ielas rekonstrukcijai</t>
  </si>
  <si>
    <t>14.2.</t>
  </si>
  <si>
    <t>14.4.</t>
  </si>
  <si>
    <t>Ādažu vidusskolas D korpusa siltināšana</t>
  </si>
  <si>
    <t>14.5.</t>
  </si>
  <si>
    <t>Ādažu vidusskolas ēkas A korpusa, savienojuma daļas starp korpusiem (A un B), kā arī, vidusskolas centrālās daļas, tai skaitā torņa fasādes atjaunošana.</t>
  </si>
  <si>
    <t>14.6.</t>
  </si>
  <si>
    <t xml:space="preserve">Dzirnupes ielas tilta pārbūve I kārta </t>
  </si>
  <si>
    <t>14.7.</t>
  </si>
  <si>
    <t>14.8.</t>
  </si>
  <si>
    <t>14.9.</t>
  </si>
  <si>
    <t>14.10.</t>
  </si>
  <si>
    <t>PAVISAM KOPĀ IEŅĒMUMI:</t>
  </si>
  <si>
    <t>KA:</t>
  </si>
  <si>
    <t xml:space="preserve">Izdevumu daļa </t>
  </si>
  <si>
    <t>Komentāri</t>
  </si>
  <si>
    <t>Vispārējie valdības dienesti</t>
  </si>
  <si>
    <t>0110</t>
  </si>
  <si>
    <t>pārvalde</t>
  </si>
  <si>
    <r>
      <t xml:space="preserve">1) EUR 28'474 kopienu speciālista izmaksas. Saskaņā ar Domes 26.02.2026. lēmumu Nr.83, kur tiek pārcelta pozīcija kopienu speciālists no Attīstības daļas uz pārvaldi.
</t>
    </r>
    <r>
      <rPr>
        <sz val="11"/>
        <color rgb="FFFF0000"/>
        <rFont val="Times New Roman"/>
        <family val="1"/>
        <charset val="186"/>
      </rPr>
      <t>2) Ekonomija 2 mēnešu priekšsēdētāja atalgojums EUR 10'296 uz nesadalīto konta atlikumu.</t>
    </r>
  </si>
  <si>
    <t>0111</t>
  </si>
  <si>
    <t>1.2.</t>
  </si>
  <si>
    <t>deputāti</t>
  </si>
  <si>
    <t>0130</t>
  </si>
  <si>
    <t>1.3.</t>
  </si>
  <si>
    <t>administratīvā komisija</t>
  </si>
  <si>
    <t>0140</t>
  </si>
  <si>
    <t>1.4.</t>
  </si>
  <si>
    <t>iepirkumu komisija</t>
  </si>
  <si>
    <t>0120</t>
  </si>
  <si>
    <t>1.5.</t>
  </si>
  <si>
    <t>vēlēšanu komisija</t>
  </si>
  <si>
    <t>Precizēts valsts finansējums Saeimas vēlēšanu organizēšanai</t>
  </si>
  <si>
    <t>0150</t>
  </si>
  <si>
    <t>1.6.</t>
  </si>
  <si>
    <t>pārējās komisijas</t>
  </si>
  <si>
    <t>1.7.</t>
  </si>
  <si>
    <t>aizņēmumu procentu maksājumi</t>
  </si>
  <si>
    <t>1.8.</t>
  </si>
  <si>
    <t>Iemaksas PFIF</t>
  </si>
  <si>
    <t>0170</t>
  </si>
  <si>
    <t>1.9.</t>
  </si>
  <si>
    <t>Informācijas tehnoloģiju nodaļa, vispārējas nozīmes dienestu darbība un pakalpojumi - datortīkla uzturēšana ©</t>
  </si>
  <si>
    <t>0340</t>
  </si>
  <si>
    <t>Sabiedriskā kārtība un drošība</t>
  </si>
  <si>
    <t>Dalība Zivju fonda projektā par zemūdens drona iegādi. Saskaņā ar Zemkopības ministrijas 30.04.2026. protokiolu Nr. 4.1.-28e/4/2026. Realizē pašvaldības policija.</t>
  </si>
  <si>
    <t>Ekonomiskā darbība</t>
  </si>
  <si>
    <t>0490</t>
  </si>
  <si>
    <t>Sabiedriskās attiecības, laikraksts</t>
  </si>
  <si>
    <t>3.1.1.</t>
  </si>
  <si>
    <t>Sabiedrisko attiecību nodaļa</t>
  </si>
  <si>
    <t>EUR 2000 no publikācijām, drukām un aptaujām paredzētajiem līdzekļiem uz avīžu izplatīšanas finansēšanu (degvielas kāpuma rezultātā sadārdzinājums).</t>
  </si>
  <si>
    <t>3.1.2.</t>
  </si>
  <si>
    <t>Ādažu vēstis</t>
  </si>
  <si>
    <t>0420</t>
  </si>
  <si>
    <t>Autoceļu fonds</t>
  </si>
  <si>
    <t>Vides aizsardzība</t>
  </si>
  <si>
    <t>0510</t>
  </si>
  <si>
    <t>Dabas resursu nodokļa izlietojums</t>
  </si>
  <si>
    <t>Pašvaldības teritoriju un mājokļu apsaimniekošana</t>
  </si>
  <si>
    <t>0610</t>
  </si>
  <si>
    <t>Izdevumi neparedzētiem gadījumiem</t>
  </si>
  <si>
    <t>0690</t>
  </si>
  <si>
    <t>5.2.</t>
  </si>
  <si>
    <t>Līdzdalības budžets</t>
  </si>
  <si>
    <t>EUR 44'980 apjomā līdzdalības projektus realizē CKS (EKK korekcija no 5240 uz 7230)</t>
  </si>
  <si>
    <t>0620</t>
  </si>
  <si>
    <t>5.3.</t>
  </si>
  <si>
    <t>Būvvalde</t>
  </si>
  <si>
    <t>0660</t>
  </si>
  <si>
    <t>5.4.</t>
  </si>
  <si>
    <t>Teritorijas plānošanas nodaļa</t>
  </si>
  <si>
    <t>5.5.</t>
  </si>
  <si>
    <t>Attīstības un projektu nodaļa</t>
  </si>
  <si>
    <t>0630, 0631.7</t>
  </si>
  <si>
    <t>5.5.1.</t>
  </si>
  <si>
    <t>nodaļa</t>
  </si>
  <si>
    <r>
      <t xml:space="preserve">1) - EUR 28'474 kopienu speciālista izmaksas. Saskaņā ar Domes 26.02.2026. lēmumu Nr.83, kur tiek pārcelta pozīcija kopienu speciālists no Attīstības daļas uz pārvaldi.
2) Sakaņā ar Domes 26.02.2026. lēmumu Nr.76 EUR 10'000 no nesadalītā konta atlikuma Pirmā iela 42A metāla konstrukciju un pamatu detalizētai izpētei. </t>
    </r>
    <r>
      <rPr>
        <sz val="11"/>
        <color rgb="FFFF0000"/>
        <rFont val="Times New Roman"/>
        <family val="1"/>
        <charset val="186"/>
      </rPr>
      <t>Pēc iepirkuma summa EUR 10'890, papildus EUR 890 no 0630/EKK 2239 (IIA izstrāde jaunā uzņēmējdarbības projekta pieteikumam - nav tomēr jāveic) uz 0632.6/EKK 5240</t>
    </r>
  </si>
  <si>
    <t>0630.1</t>
  </si>
  <si>
    <t>5.5.2.</t>
  </si>
  <si>
    <t>Projekts "Sabiedrība ar dvēseli"</t>
  </si>
  <si>
    <t>5.5.3.</t>
  </si>
  <si>
    <t>Iedzīvotāju iniciatīvas un konkursi.</t>
  </si>
  <si>
    <t>5.5.4.</t>
  </si>
  <si>
    <t>0633.1</t>
  </si>
  <si>
    <t>5.5.5.</t>
  </si>
  <si>
    <t>”Mobilitātes punkta infrastruktūras izveidošana Rīgas metropoles areālā – “Carnikava””</t>
  </si>
  <si>
    <t>5.5.6.</t>
  </si>
  <si>
    <t>5.5.7.</t>
  </si>
  <si>
    <t>5.5.8.</t>
  </si>
  <si>
    <t>5.5.9.</t>
  </si>
  <si>
    <t>0630</t>
  </si>
  <si>
    <t>5.5.10.</t>
  </si>
  <si>
    <t>Projekts jauniešu asociāciju federācija Eiropas mobilitātei. CERV programmas projekts "YOUTth and democracy: empowering Europe's next generation"</t>
  </si>
  <si>
    <t>5.5.11.</t>
  </si>
  <si>
    <r>
      <t>Sakaņā ar Domes 26.02.2026. lēmumu Nr.76 EUR 10'000 no nesadalītā konta atlikuma Pirmā iela 42A metāla konstrukciju un pamatu detalizētai izpētei.</t>
    </r>
    <r>
      <rPr>
        <sz val="11"/>
        <color rgb="FFFF0000"/>
        <rFont val="Times New Roman"/>
        <family val="1"/>
        <charset val="186"/>
      </rPr>
      <t xml:space="preserve"> Pēc iepirkuma summa EUR 10'890, papildus EUR 890 no 0630/EKK 2239 (IIA izstrāde jaunā uzņēmējdarbības projekta pieteikumam - nav tomēr jāveic) uz 0632.6/EKK 5240</t>
    </r>
  </si>
  <si>
    <t>5.5.12.</t>
  </si>
  <si>
    <t>"Blusu" kroga pārbūves tehniskā projekta izstrāde.</t>
  </si>
  <si>
    <t>5.5.13.</t>
  </si>
  <si>
    <t>5.5.14.</t>
  </si>
  <si>
    <t>5.5.15.</t>
  </si>
  <si>
    <t>0631.10</t>
  </si>
  <si>
    <t>5.5.16.</t>
  </si>
  <si>
    <t>Infrastruktūras uzlabošana uzņēmējdarbības attīstībai Ādažu novadā (Laveru ceļš + Smilgu iela)</t>
  </si>
  <si>
    <t>5.6.</t>
  </si>
  <si>
    <t>Objektu un teritorijas apsaimniekošana un uzturēšana</t>
  </si>
  <si>
    <t>0670</t>
  </si>
  <si>
    <t>5.6.1.</t>
  </si>
  <si>
    <t xml:space="preserve">Nekustamā īpašuma nodaļa </t>
  </si>
  <si>
    <t>EUR 3'000 + EUR 3'000 no nesadalītā konta atlikuma zemes ierīcības projekta izstrādeiu, lai sadalītu zemi Zvejnieku iela 23 un Tulpju iela 5, lai daļu nodotu SIA "Ādažu namsaimnieks</t>
  </si>
  <si>
    <t>5.6.2.</t>
  </si>
  <si>
    <t>SAM 5.1.1. Pretplūdu pasākumi Ādažu centra polderī, Ādažu novadā</t>
  </si>
  <si>
    <t>5.6.3.</t>
  </si>
  <si>
    <t>5.6.4.</t>
  </si>
  <si>
    <t>Vecštāles ceļa asfaltēšana (AM finansējums)</t>
  </si>
  <si>
    <t>Dzirnupes ielas tilta pārbūve I kārta, MRG būve, Nr.02-20.1/25/167</t>
  </si>
  <si>
    <t>05201</t>
  </si>
  <si>
    <t>05301</t>
  </si>
  <si>
    <t>P/A "Carnikavas komunālserviss" teritorijas un īpašumu apsaimniekošana</t>
  </si>
  <si>
    <t>5.6.4.1.</t>
  </si>
  <si>
    <t>Dotācija CKS teritorijas uzturēšanai</t>
  </si>
  <si>
    <t>EUR 9'936 līdzfinansējums daudzdzīvokļu mājām no domes sadaļas uz CKS.</t>
  </si>
  <si>
    <t>0649</t>
  </si>
  <si>
    <t>5.6.4.2.</t>
  </si>
  <si>
    <t>Dotācija CKS ceļu uzturēšanai</t>
  </si>
  <si>
    <t>0648; 0643</t>
  </si>
  <si>
    <t>5.6.4.3.</t>
  </si>
  <si>
    <t>Teritorijas uzturēšana (Dome)</t>
  </si>
  <si>
    <t>1) 2025.gadā noteiktais Ropažu domes līdzmaksājuma daļa (EUR 29'826) par Baltezera kapsētas uzturēšanu, kas netika izlietots 2025.gada laikā un jāatmaksā atpakaļ.
2) EUR 9'936 līdzfinansējums daudzdzīvokļu mājām no domes sadaļas uz CKS.</t>
  </si>
  <si>
    <t>5.6.5.</t>
  </si>
  <si>
    <t>Investīcijas energosaimniecības uzlabošanā</t>
  </si>
  <si>
    <t>5.6.6.</t>
  </si>
  <si>
    <t>Investīcijas vides pārvaldībā un uzlabošanā</t>
  </si>
  <si>
    <t>5.6.7.</t>
  </si>
  <si>
    <t>Investīcijas ceļu, ielu infrastruktūras attīstībā un uzlabošanā</t>
  </si>
  <si>
    <t>5.6.8.</t>
  </si>
  <si>
    <t>Investīcijas vides un hidromeliorācijas uzturēšanā un attīstībā</t>
  </si>
  <si>
    <t>5.6.10.</t>
  </si>
  <si>
    <t>Dzirnupes ielas tilta projekts, Carnikava</t>
  </si>
  <si>
    <t>5.6.11.</t>
  </si>
  <si>
    <t>Draudzības iela posmā no Saules ielai līdz Podnieku ielai ar ietvi 0.35km</t>
  </si>
  <si>
    <t>5.6.12.</t>
  </si>
  <si>
    <t>Attekas ielas turpinājums 0,5 km - projektēšana</t>
  </si>
  <si>
    <t>5.6.13.</t>
  </si>
  <si>
    <t xml:space="preserve">Apgaismes stabi Attekas ielas savienojumā no Ķiršu līdz Draudzības ielai. </t>
  </si>
  <si>
    <t>0633.6</t>
  </si>
  <si>
    <t>5.6.14.</t>
  </si>
  <si>
    <t>EKII projekts</t>
  </si>
  <si>
    <t>5.6.15.</t>
  </si>
  <si>
    <t>Kļavu ielā divkārtas virsmas apstrāde 0.35km</t>
  </si>
  <si>
    <t>0633.4</t>
  </si>
  <si>
    <t>5.6.16.</t>
  </si>
  <si>
    <t>Mežmalas ielas seguma vienkāršotā atjaunošana, 0.22km, Alderi</t>
  </si>
  <si>
    <t>Atpūta, kultūra un reliģija</t>
  </si>
  <si>
    <t>Kultūra</t>
  </si>
  <si>
    <t>0841.1</t>
  </si>
  <si>
    <t xml:space="preserve">Ādažu kultūras centrs </t>
  </si>
  <si>
    <t>0841.2</t>
  </si>
  <si>
    <t>Tautas nams "Ozolaine" ©</t>
  </si>
  <si>
    <t>0841.3; 0844.3</t>
  </si>
  <si>
    <t>Muzejs un Carnikavas novadpētniecības centrs</t>
  </si>
  <si>
    <t>08412</t>
  </si>
  <si>
    <t>6.1.4.</t>
  </si>
  <si>
    <t>Tūrisms</t>
  </si>
  <si>
    <t>0844.1</t>
  </si>
  <si>
    <t>SAM 5.5.1. Kultūras objektu būvniecība (maksājumi projekta partneriem) ©</t>
  </si>
  <si>
    <t>AND trūkstošais finansējums uz, ko jāatmaksā citām pašv.</t>
  </si>
  <si>
    <t>0844.2</t>
  </si>
  <si>
    <t>6.3.</t>
  </si>
  <si>
    <t>ES projekts Eiropa pilsoņiem (diskriminētām personām) ©</t>
  </si>
  <si>
    <t>0830</t>
  </si>
  <si>
    <t xml:space="preserve">Ādažu bibliotēka </t>
  </si>
  <si>
    <t>0831</t>
  </si>
  <si>
    <t xml:space="preserve">Carnikavas bibliotēka </t>
  </si>
  <si>
    <t>6.4.</t>
  </si>
  <si>
    <t>Sporta daļa</t>
  </si>
  <si>
    <t>6.4.1.</t>
  </si>
  <si>
    <t>-  sporta funkcijas nodrošināšana</t>
  </si>
  <si>
    <t>EUR 18'150 no nesadalītā KA hokeja bortu iegādei Carnikavā</t>
  </si>
  <si>
    <t>6.4.2.</t>
  </si>
  <si>
    <t>- uzturēšanas izmaksas (CKS)</t>
  </si>
  <si>
    <t>0880</t>
  </si>
  <si>
    <t>6.5.</t>
  </si>
  <si>
    <t>Evaņģēliski luteriskās draudzes</t>
  </si>
  <si>
    <t>0843</t>
  </si>
  <si>
    <t>6.6.</t>
  </si>
  <si>
    <t>Multihalle</t>
  </si>
  <si>
    <t>Sociālā aizsardzība</t>
  </si>
  <si>
    <t>Sociālais dienests</t>
  </si>
  <si>
    <t>1010; 1010.3</t>
  </si>
  <si>
    <t>7.1.1.</t>
  </si>
  <si>
    <t xml:space="preserve">Sociālās funkcijas nodrošināšana </t>
  </si>
  <si>
    <t>1010; 1010.1; 1010.2</t>
  </si>
  <si>
    <t>7.1.2.</t>
  </si>
  <si>
    <t>Pabalsti</t>
  </si>
  <si>
    <t>7.1.3.</t>
  </si>
  <si>
    <t>Mērķdotācija</t>
  </si>
  <si>
    <t>7.1.4.</t>
  </si>
  <si>
    <t>Asistentu pakalpojumi</t>
  </si>
  <si>
    <t>7.1.5.</t>
  </si>
  <si>
    <t>Uzturēšanas izdevumi (CKS)</t>
  </si>
  <si>
    <t>Stipendiāti / bezdarbnieki</t>
  </si>
  <si>
    <t>7.2.1.</t>
  </si>
  <si>
    <t>Domes finansējums</t>
  </si>
  <si>
    <t>7.2.2.</t>
  </si>
  <si>
    <t>NVA finansējums</t>
  </si>
  <si>
    <t>7.3.</t>
  </si>
  <si>
    <t>SAM 9311 Deinstitucionalizācija - Dienas centrs</t>
  </si>
  <si>
    <t>1014.3</t>
  </si>
  <si>
    <t>7.3.1.</t>
  </si>
  <si>
    <t>DI centra uzturēšanas izdevumi</t>
  </si>
  <si>
    <t>7.3.2.</t>
  </si>
  <si>
    <t>DI centra uzturēšanas izdevumi (CKS)</t>
  </si>
  <si>
    <t>7.3.3.</t>
  </si>
  <si>
    <t>DI projekts- specializētās darbnīcas</t>
  </si>
  <si>
    <t>1014.1</t>
  </si>
  <si>
    <t>7.3.4.</t>
  </si>
  <si>
    <t>DI centra pakalpojumi (projekts)</t>
  </si>
  <si>
    <t>7.4.</t>
  </si>
  <si>
    <t>Bāriņtiesa</t>
  </si>
  <si>
    <t>7.5.</t>
  </si>
  <si>
    <t>7.6.</t>
  </si>
  <si>
    <t>ANM pasākuma "Atbalsta pasākumi cilvēkiem ar invaliditāti mājokļu vides pieejamības nodrošināšanai" projekts</t>
  </si>
  <si>
    <t>Saskaņā ar Domes 01.04.2026. lēmumu Nr.132 "Atbalsta pasākumu cilvēkiem ar invaliditāti mājokļu vides pieejamības nodrošināšana Ādažos" 
1) ārfinansējuma avansa summa EUR 33'210;
2) no plānotās summas pacēlājam pie TN "Ozolaine" EUR 22'000 un EUR 159 no EKK 5239
3) no plānotās summas pandusa izbūvei Ādažu vidusskolā EUR 25'000</t>
  </si>
  <si>
    <t>1013.1</t>
  </si>
  <si>
    <t>7.7.</t>
  </si>
  <si>
    <t>Izglītība</t>
  </si>
  <si>
    <t>7210 (0940.1)</t>
  </si>
  <si>
    <t>Norēķini ar pašvaldību budžetiem par izglītības iestāžu pakalpojumiem</t>
  </si>
  <si>
    <t>Ādažu Pirmsskolas izglītības iestāde</t>
  </si>
  <si>
    <t>0911</t>
  </si>
  <si>
    <t>8.2.1.</t>
  </si>
  <si>
    <t>pedagogu algas, grāmatas (mērķdotācija)</t>
  </si>
  <si>
    <t>0910</t>
  </si>
  <si>
    <t>8.2.2.</t>
  </si>
  <si>
    <t>pārējās izmaksas</t>
  </si>
  <si>
    <t>EUR 300 no ĀPII budžeta uz Ādažu vidusskolas budžetu par apmācību vadīšanu Bērnu tiesību aizsardzībā.</t>
  </si>
  <si>
    <t>0912</t>
  </si>
  <si>
    <t>8.2.3.</t>
  </si>
  <si>
    <t>8.2.4.</t>
  </si>
  <si>
    <t>uzturēšanas izmaksas (CKS)</t>
  </si>
  <si>
    <t>Kadagas PII</t>
  </si>
  <si>
    <t>0921</t>
  </si>
  <si>
    <t>8.3.1.</t>
  </si>
  <si>
    <t>0920</t>
  </si>
  <si>
    <t>8.3.2.</t>
  </si>
  <si>
    <t>0922</t>
  </si>
  <si>
    <t>8.3.3.</t>
  </si>
  <si>
    <t>8.3.4.</t>
  </si>
  <si>
    <t>8.4.</t>
  </si>
  <si>
    <t>Pirmsskolas izglītības iestāde "Riekstiņš"</t>
  </si>
  <si>
    <t>09011</t>
  </si>
  <si>
    <t>8.4.1.</t>
  </si>
  <si>
    <t>0901; 650_0901</t>
  </si>
  <si>
    <t>8.4.2.</t>
  </si>
  <si>
    <t>Saskaņā ar Domes 23.04.2026. lēmumu Nr.159 "Par izmaiņām pašvaldības iestāžu amatu sarakstos" Jaunā PII Podniekos vadītāja un saimnieka vakanču izsludināšanai 2026.gadā nepieciešamo finansējumu EUR 33'728 nodrošināt no ekonomijas uz atalgojumu (slimība, vakances) EUR 8'000 no pārvaldes, EUR 8'241 no PII Riekstiņš, EUR 17'487 no CKS.</t>
  </si>
  <si>
    <t>09012</t>
  </si>
  <si>
    <t>8.4.3.</t>
  </si>
  <si>
    <t>8.4.4.</t>
  </si>
  <si>
    <t>0902; 650_0902</t>
  </si>
  <si>
    <t>8.5.</t>
  </si>
  <si>
    <t>Pirmsskolas izglītības iestādes "Piejūra"</t>
  </si>
  <si>
    <t>09021</t>
  </si>
  <si>
    <t>8.5.1.</t>
  </si>
  <si>
    <t>8.5.2.</t>
  </si>
  <si>
    <t>09022</t>
  </si>
  <si>
    <t>8.5.3.</t>
  </si>
  <si>
    <t>8.5.4.</t>
  </si>
  <si>
    <t>8.6.</t>
  </si>
  <si>
    <t>Privātās izglītības iestādes</t>
  </si>
  <si>
    <t>0970</t>
  </si>
  <si>
    <t>8.6.1.</t>
  </si>
  <si>
    <t>ĀBVS</t>
  </si>
  <si>
    <t>0940.2</t>
  </si>
  <si>
    <t>8.6.2.</t>
  </si>
  <si>
    <t xml:space="preserve">Pārējās privātās PII </t>
  </si>
  <si>
    <t>0940.3</t>
  </si>
  <si>
    <t>8.6.3.</t>
  </si>
  <si>
    <t>Pārējās privātās vidējās izglītības iestādes</t>
  </si>
  <si>
    <t>8.7.</t>
  </si>
  <si>
    <t>Carnikavas vidusskola</t>
  </si>
  <si>
    <t>8.7.1.</t>
  </si>
  <si>
    <t>09821</t>
  </si>
  <si>
    <t>8.7.1.1.</t>
  </si>
  <si>
    <t>MD pedagogiem</t>
  </si>
  <si>
    <t>09821.1</t>
  </si>
  <si>
    <t>8.7.1.2.</t>
  </si>
  <si>
    <t>MD interešu izglītība</t>
  </si>
  <si>
    <t>8.7.1.3.</t>
  </si>
  <si>
    <t>MD mācību līdzekļiem</t>
  </si>
  <si>
    <t>8.7.2.</t>
  </si>
  <si>
    <t>ēdināšana (mērķdotācija)</t>
  </si>
  <si>
    <t>0982</t>
  </si>
  <si>
    <t>8.7.3.</t>
  </si>
  <si>
    <t>8.7.4.</t>
  </si>
  <si>
    <t>09822</t>
  </si>
  <si>
    <t>8.7.5.</t>
  </si>
  <si>
    <t>projekts "Skolas soma"</t>
  </si>
  <si>
    <t>09827</t>
  </si>
  <si>
    <t>8.7.6.</t>
  </si>
  <si>
    <t>09825</t>
  </si>
  <si>
    <t>8.7.7.</t>
  </si>
  <si>
    <t>projekti Erasmus+; NordPlus</t>
  </si>
  <si>
    <t>8.7.8.</t>
  </si>
  <si>
    <t>mācību vides labiekārtošana</t>
  </si>
  <si>
    <t>8.8.</t>
  </si>
  <si>
    <t>Ādažu vidusskola</t>
  </si>
  <si>
    <t>8.8.1.</t>
  </si>
  <si>
    <t>0954</t>
  </si>
  <si>
    <t>8.8.1.1.</t>
  </si>
  <si>
    <t>0954.1</t>
  </si>
  <si>
    <t>8.8.1.2.</t>
  </si>
  <si>
    <t>8.8.1.3.</t>
  </si>
  <si>
    <t>Precizēts mērķdotācijas konta atlikums. Ieskaitīta dotācija mācību līdzekļiem</t>
  </si>
  <si>
    <t>0950</t>
  </si>
  <si>
    <t>8.8.2.</t>
  </si>
  <si>
    <t>8.8.3.</t>
  </si>
  <si>
    <t>Saskaņā ar Domes 01.04.2026. lēmumu Nr.132 "Atbalsta pasākumu cilvēkiem ar invaliditāti mājokļu vides pieejamības nodrošināšana Ādažos" no plānotās summas pandusa izbūvei Ādažu vidusskolā EUR 25'000 uz nodaļu 1018</t>
  </si>
  <si>
    <t>0957</t>
  </si>
  <si>
    <t>8.8.4.</t>
  </si>
  <si>
    <t>projekts Erasmus+</t>
  </si>
  <si>
    <t>0951</t>
  </si>
  <si>
    <t>8.8.5.</t>
  </si>
  <si>
    <t>0953</t>
  </si>
  <si>
    <t>8.8.6.</t>
  </si>
  <si>
    <t>8.8.7.</t>
  </si>
  <si>
    <t>8.8.8.</t>
  </si>
  <si>
    <t>Ādažu vidusskolas piebūves projektēšana un izbūve</t>
  </si>
  <si>
    <t>0981</t>
  </si>
  <si>
    <t>8.8.9.</t>
  </si>
  <si>
    <t>sākumskolas uzturēšanas izmaksas</t>
  </si>
  <si>
    <t>8.8.10.</t>
  </si>
  <si>
    <t>sākumskolas uzturēšanas izmaksas (CKS)</t>
  </si>
  <si>
    <t>8.8.11.</t>
  </si>
  <si>
    <t>sākumskolas ēdināšana (mērķdotācija)</t>
  </si>
  <si>
    <t>8.8.12.</t>
  </si>
  <si>
    <t xml:space="preserve">PII </t>
  </si>
  <si>
    <t>0952.1</t>
  </si>
  <si>
    <t>8.8.12.1</t>
  </si>
  <si>
    <t>- pedagogu algas, māc. līdzekļi (mērķdotācija)</t>
  </si>
  <si>
    <t>0952</t>
  </si>
  <si>
    <t>8.8.12.2.</t>
  </si>
  <si>
    <t>-  uzturēšana</t>
  </si>
  <si>
    <t>09522</t>
  </si>
  <si>
    <t>8.8.12.3.</t>
  </si>
  <si>
    <t>- ES Kohēzijas fonda projekts "STEM un pilsoniskās līdzdalības norises plašākai izglītības pieredzei un karjeras izvēlei"</t>
  </si>
  <si>
    <t>8.8.12.4.</t>
  </si>
  <si>
    <t>8.9.</t>
  </si>
  <si>
    <t>Ādažu novada  Mākslu skola</t>
  </si>
  <si>
    <t>8.9.1.</t>
  </si>
  <si>
    <t>pedagogu algas (mērķdotācija)</t>
  </si>
  <si>
    <t>8.10.</t>
  </si>
  <si>
    <t>Sporta skola</t>
  </si>
  <si>
    <t>09651</t>
  </si>
  <si>
    <t>8.10.1.</t>
  </si>
  <si>
    <t>0965</t>
  </si>
  <si>
    <t>8.10.2.</t>
  </si>
  <si>
    <t>Pašvaldības finansējums</t>
  </si>
  <si>
    <t>0930; 0990</t>
  </si>
  <si>
    <t>8.11</t>
  </si>
  <si>
    <t>Izglītības un jaunatnes nodaļa</t>
  </si>
  <si>
    <r>
      <t xml:space="preserve">1) Saskaņā ar Domes 26.02.2026. lēmumu Nr. 74 EUR 8'000 izglītojamo pārvadājumiem uz speciālās izglītības iestādēm
</t>
    </r>
    <r>
      <rPr>
        <sz val="11"/>
        <color rgb="FFFF0000"/>
        <rFont val="Times New Roman"/>
        <family val="1"/>
        <charset val="186"/>
      </rPr>
      <t>2) Precizēta projekta "Pedagogu profesionālā atbalsta sistēmas izveide" naudas plūsma (realizē Izglītības nodaļa) papildus EUR 45'534</t>
    </r>
  </si>
  <si>
    <t>1) Mācību līdzekļu mērķdotācijas korekcija
2) Noslēgts līgums ar IZM par EUR 3'887 finansējumu pedagogu profesionālās kompetences pilnveidei, vardarbības novēršanai un labbūtības veicināšanai izglītības vidē. (Realizē Izgl. nodaļa)</t>
  </si>
  <si>
    <t>8.12.</t>
  </si>
  <si>
    <t>Līdzfinansējums skolēnu dalībai konkursos</t>
  </si>
  <si>
    <t>0931</t>
  </si>
  <si>
    <t>8.13.</t>
  </si>
  <si>
    <t xml:space="preserve">ESF projekts Atbalsts priekšlaicīgas mācību pārtraukšanas samazināšanai © </t>
  </si>
  <si>
    <t>KA</t>
  </si>
  <si>
    <t>8.14.</t>
  </si>
  <si>
    <t>ESF projekts Karjeras atbalsts vispārējās un profesionālās izglītības iestādēs ©</t>
  </si>
  <si>
    <t>0933</t>
  </si>
  <si>
    <t>8.15.</t>
  </si>
  <si>
    <t>Valsts finansējums projektu konkursā "Atbalsts jaunatnes politikas īstenošanai vietējā līmenī"  projekts "Mobilais darbs ar jaunatni Ādažu novadā"</t>
  </si>
  <si>
    <t>0904</t>
  </si>
  <si>
    <t>Teritorijas novērtēšana pirms būvprojekta izstrādes un būvprojekts jaunas pamatskolas izveidei Ādažu pilsētā</t>
  </si>
  <si>
    <t>EUR 1'080 no 0630 Attīstības un projektu nodaļas budžeta uz sadaļu "Teritorijas novērtēšana pirms būvprojekta izstrādes un būvprojekts jaunas pamatskolas izveidei Ādažu pilsētā" - precizēts soda naudas aprēķins.</t>
  </si>
  <si>
    <t>Izglītības iestāžu nodrošinājums pilnveidotā vispārējās izglītības satura kvalitatīvai ieviešanai Ādažu novadā</t>
  </si>
  <si>
    <t>8.18.</t>
  </si>
  <si>
    <t>VISA projekts "Atbalsts izglītojamo individuālo kompetenču attīstībai"</t>
  </si>
  <si>
    <t>0956</t>
  </si>
  <si>
    <t>8.18.1.</t>
  </si>
  <si>
    <t>Ādaži</t>
  </si>
  <si>
    <t>09824</t>
  </si>
  <si>
    <t>8.18.2</t>
  </si>
  <si>
    <t>Carnikava</t>
  </si>
  <si>
    <t>Ieguldījumi uzņēmumu pamatkapitālā</t>
  </si>
  <si>
    <t>9.1.</t>
  </si>
  <si>
    <t>SIA "Ādažu ūdens"</t>
  </si>
  <si>
    <t>9.2.</t>
  </si>
  <si>
    <t>SIA "Garkalnes ūdens"</t>
  </si>
  <si>
    <t>KOPĀ IZDEVUMI:</t>
  </si>
  <si>
    <t>Kredītu pamatsummas atmaksa</t>
  </si>
  <si>
    <t>PAVISAM KOPĀ IZDEVUMI:</t>
  </si>
  <si>
    <t>-</t>
  </si>
  <si>
    <t>Naudas līdzekļu atlikums uz gada beigām</t>
  </si>
  <si>
    <t>"1" investīciju kopsumma:</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</si>
  <si>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</si>
  <si>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</si>
  <si>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</si>
  <si>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</si>
  <si>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</si>
  <si>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</si>
  <si>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</si>
  <si>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</si>
  <si>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</si>
  <si>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</si>
  <si>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</si>
  <si>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</si>
  <si>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</si>
  <si>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</si>
  <si>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</si>
  <si>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</si>
  <si>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</si>
  <si>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</si>
  <si>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</si>
  <si>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2033 - 2053</t>
  </si>
  <si>
    <t>Kopsumma 2026 - 2053</t>
  </si>
  <si>
    <t>A</t>
  </si>
  <si>
    <t xml:space="preserve">Stabilizācijas aizdevums </t>
  </si>
  <si>
    <t>A2/1/11/107</t>
  </si>
  <si>
    <t>P-50/2011</t>
  </si>
  <si>
    <t>11.04.2011</t>
  </si>
  <si>
    <t>20.04.2036</t>
  </si>
  <si>
    <t>EUR</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</si>
  <si>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</si>
  <si>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</si>
  <si>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</si>
  <si>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</si>
  <si>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</si>
  <si>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</si>
  <si>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</si>
  <si>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</si>
  <si>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</si>
  <si>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</si>
  <si>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</si>
  <si>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</si>
  <si>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</si>
  <si>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</si>
  <si>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</si>
  <si>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</si>
  <si>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</si>
  <si>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</si>
  <si>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</si>
  <si>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</si>
  <si>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</si>
  <si>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</si>
  <si>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</si>
  <si>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</si>
  <si>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</si>
  <si>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</si>
  <si>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</si>
  <si>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</si>
  <si>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</si>
  <si>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</si>
  <si>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</si>
  <si>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</si>
  <si>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</si>
  <si>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</si>
  <si>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</si>
  <si>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</si>
  <si>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</si>
  <si>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</si>
  <si>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C</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</si>
  <si>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</si>
  <si>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</si>
  <si>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</si>
  <si>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</si>
  <si>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</si>
  <si>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</si>
  <si>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</si>
  <si>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</si>
  <si>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</si>
  <si>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</si>
  <si>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</si>
  <si>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</si>
  <si>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</si>
  <si>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</si>
  <si>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</si>
  <si>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</si>
  <si>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</si>
  <si>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</si>
  <si>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</si>
  <si>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</si>
  <si>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</si>
  <si>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</si>
  <si>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</si>
  <si>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</si>
  <si>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</si>
  <si>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</si>
  <si>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</si>
  <si>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</si>
  <si>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</si>
  <si>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</si>
  <si>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</si>
  <si>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</si>
  <si>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</si>
  <si>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</si>
  <si>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</si>
  <si>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</si>
  <si>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</si>
  <si>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</si>
  <si>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</si>
  <si>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</si>
  <si>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</si>
  <si>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</si>
  <si>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</si>
  <si>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</si>
  <si>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</si>
  <si>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</si>
  <si>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</si>
  <si>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</si>
  <si>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</si>
  <si>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</si>
  <si>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</si>
  <si>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</si>
  <si>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</si>
  <si>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</si>
  <si>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</si>
  <si>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</si>
  <si>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</si>
  <si>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</si>
  <si>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</si>
  <si>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</si>
  <si>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</si>
  <si>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</si>
  <si>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</si>
  <si>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</si>
  <si>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</si>
  <si>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</si>
  <si>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</si>
  <si>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</si>
  <si>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</si>
  <si>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</si>
  <si>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</si>
  <si>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</si>
  <si>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</si>
  <si>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</si>
  <si>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</si>
  <si>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</si>
  <si>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</si>
  <si>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</si>
  <si>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</si>
  <si>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</si>
  <si>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</si>
  <si>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</si>
  <si>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</si>
  <si>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</si>
  <si>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</si>
  <si>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</si>
  <si>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</si>
  <si>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</si>
  <si>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</si>
  <si>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</si>
  <si>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</si>
  <si>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</si>
  <si>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</si>
  <si>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</si>
  <si>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</si>
  <si>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</si>
  <si>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</si>
  <si>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</si>
  <si>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</si>
  <si>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</si>
  <si>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</si>
  <si>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</si>
  <si>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</si>
  <si>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</si>
  <si>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SAM 5.5.1. Kultūras objektu būvniecība</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</si>
  <si>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</si>
  <si>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</si>
  <si>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</si>
  <si>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</si>
  <si>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</si>
  <si>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</si>
  <si>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</si>
  <si>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</si>
  <si>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</si>
  <si>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</si>
  <si>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</si>
  <si>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</si>
  <si>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</si>
  <si>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</si>
  <si>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</si>
  <si>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</si>
  <si>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</si>
  <si>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</si>
  <si>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</si>
  <si>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</si>
  <si>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</si>
  <si>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</si>
  <si>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</si>
  <si>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</si>
  <si>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</si>
  <si>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</si>
  <si>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</si>
  <si>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</si>
  <si>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</si>
  <si>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ERAF "Carnikavas pamatskolas pārbūve"</t>
  </si>
  <si>
    <t>A2/1/21/10</t>
  </si>
  <si>
    <t>P-4/2021</t>
  </si>
  <si>
    <t>26.01.2021</t>
  </si>
  <si>
    <t>20.01.2051</t>
  </si>
  <si>
    <t>26.01.</t>
  </si>
  <si>
    <t>LAD  projekts koka laipu taka uz jūru</t>
  </si>
  <si>
    <t>A2/1/21/11</t>
  </si>
  <si>
    <t>P-3/2021</t>
  </si>
  <si>
    <t>20.01.2031</t>
  </si>
  <si>
    <t>FIX</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</si>
  <si>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</si>
  <si>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</si>
  <si>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</si>
  <si>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</si>
  <si>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</si>
  <si>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</si>
  <si>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</si>
  <si>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</si>
  <si>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</si>
  <si>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</si>
  <si>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</si>
  <si>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</si>
  <si>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</si>
  <si>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</si>
  <si>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</si>
  <si>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</si>
  <si>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</si>
  <si>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</si>
  <si>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</si>
  <si>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</si>
  <si>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</si>
  <si>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</si>
  <si>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</si>
  <si>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</si>
  <si>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</si>
  <si>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</si>
  <si>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</si>
  <si>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</si>
  <si>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</si>
  <si>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</si>
  <si>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</si>
  <si>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</si>
  <si>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</si>
  <si>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</si>
  <si>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</si>
  <si>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</si>
  <si>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</si>
  <si>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</si>
  <si>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</si>
  <si>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</si>
  <si>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</si>
  <si>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</si>
  <si>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</si>
  <si>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</si>
  <si>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</si>
  <si>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</si>
  <si>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</si>
  <si>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</si>
  <si>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</si>
  <si>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</si>
  <si>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</si>
  <si>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</si>
  <si>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</si>
  <si>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</si>
  <si>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</si>
  <si>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</si>
  <si>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</si>
  <si>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</si>
  <si>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</si>
  <si>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</si>
  <si>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</si>
  <si>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</si>
  <si>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</si>
  <si>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</si>
  <si>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</si>
  <si>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</si>
  <si>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</si>
  <si>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</si>
  <si>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</si>
  <si>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</si>
  <si>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</si>
  <si>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</si>
  <si>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</si>
  <si>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</si>
  <si>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</si>
  <si>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</si>
  <si>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</si>
  <si>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</si>
  <si>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</si>
  <si>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</si>
  <si>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</si>
  <si>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</si>
  <si>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</si>
  <si>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</si>
  <si>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</si>
  <si>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</si>
  <si>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</si>
  <si>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</si>
  <si>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</si>
  <si>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</si>
  <si>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</si>
  <si>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</si>
  <si>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</si>
  <si>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</si>
  <si>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</si>
  <si>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</si>
  <si>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</si>
  <si>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</si>
  <si>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</si>
  <si>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</si>
  <si>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</si>
  <si>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</si>
  <si>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</si>
  <si>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</si>
  <si>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</si>
  <si>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</si>
  <si>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</si>
  <si>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</si>
  <si>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</si>
  <si>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</si>
  <si>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</si>
  <si>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</si>
  <si>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</si>
  <si>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</si>
  <si>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</si>
  <si>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</si>
  <si>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</si>
  <si>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</si>
  <si>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</si>
  <si>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</si>
  <si>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</si>
  <si>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</si>
  <si>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</si>
  <si>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</si>
  <si>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</si>
  <si>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</si>
  <si>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</si>
  <si>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</si>
  <si>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</si>
  <si>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</si>
  <si>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</si>
  <si>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</si>
  <si>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</si>
  <si>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</si>
  <si>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</si>
  <si>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</si>
  <si>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</si>
  <si>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</si>
  <si>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</si>
  <si>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</si>
  <si>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</si>
  <si>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</si>
  <si>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</si>
  <si>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</si>
  <si>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A2/1/25/343</t>
  </si>
  <si>
    <t>P-324/2025</t>
  </si>
  <si>
    <t>Rīgas metropoles areālā – “Carnikava””</t>
  </si>
  <si>
    <t>Maģistrālā  veloceļa infrastruktūras</t>
  </si>
  <si>
    <t>A2/1/25/348</t>
  </si>
  <si>
    <t>P-333/2025</t>
  </si>
  <si>
    <t xml:space="preserve"> izbūve Rīga-Carnikava</t>
  </si>
  <si>
    <t>A2/1/25/453</t>
  </si>
  <si>
    <t>P-427/2025</t>
  </si>
  <si>
    <t>Dzirnupes tilts</t>
  </si>
  <si>
    <t>A2/1/25/459</t>
  </si>
  <si>
    <t>P-433/2025</t>
  </si>
  <si>
    <t xml:space="preserve">PII Podnieki </t>
  </si>
  <si>
    <t>A2/1/26/58</t>
  </si>
  <si>
    <t>Krastupes iela</t>
  </si>
  <si>
    <t>Plānots</t>
  </si>
  <si>
    <t xml:space="preserve">Projekts “Infrastruktūras uzlabošana </t>
  </si>
  <si>
    <t>uzņēmējdarbības attīstībai Ādažos”</t>
  </si>
  <si>
    <t>Aizņēmumi kopā:</t>
  </si>
  <si>
    <t>Citas ilgtermiņa saistības.</t>
  </si>
  <si>
    <t>Saistību mērķis</t>
  </si>
  <si>
    <t>Līguma Nr.</t>
  </si>
  <si>
    <t>Trānčes Nr.</t>
  </si>
  <si>
    <t>Aizņēmuma summa</t>
  </si>
  <si>
    <t>2032 - 2053</t>
  </si>
  <si>
    <t>Kopsumma 2025 - 2053</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</si>
  <si>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</si>
  <si>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</si>
  <si>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</si>
  <si>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</si>
  <si>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</si>
  <si>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</si>
  <si>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</si>
  <si>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</si>
  <si>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</si>
  <si>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</si>
  <si>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</si>
  <si>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1) Saskaņā ar Domes 23.04.2026. lēmumu Nr.159 "Par izmaiņām pašvaldības iestāžu amatu sarakstos" Jaunā PII Podniekos vadītāja un saimnieka vakanču izsludināšanai 2026.gadā nepieciešamo finansējumu EUR 33'728 nodrošināt no ekonomijas uz atalgojumu (slimība, vakances) EUR 8'000 no pārvaldes, EUR 8'241 no PII Riekstiņš, EUR 17'487 no CKS.
2) Saskaņā ar Domes 28.05.2026. lēmumu "Par atbalstu Ādažu lidlauka svētku organizēšanā" novirzīt EUR 2'000 no ekonomijas uz vakanci pārvaldē uz Attīstības un projektu nodaļas budžeta sadaļu</t>
  </si>
  <si>
    <t>Saskaņā ar Domes 28.05.2026. lēmumu "Par Ādažu vidusskolas piebūves projektēšanu un izbūvi" tam nepieciešamos EUR 82'000 2026.gadā pārcelt no paredzētā finansējuma O.Vācieša skvēra projektēšana (papildu pilnveide) (50'000 euro), Carnikavas vidusskolas paplašināšanas sociāli tehniski ekonomiskā pamatojuma izstrādei paredzētā finansējuma (7'000 euro) un nesadalītā konta atlikuma (25'000 euro).</t>
  </si>
  <si>
    <r>
      <t xml:space="preserve">1) EUR 1'080 no 0630 Attīstības un projektu nodaļas budžeta uz sadaļu "Teritorijas novērtēšana pirms būvprojekta izstrādes un būvprojekts jaunas pamatskolas izveidei Ādažu pilsētā" - precizēts soda naudas aprēķins.
2) Saskaņā ar Domes 28.05.2026. lēmumu "Par Ādažu vidusskolas piebūves projektēšanu un izbūvi" tam nepieciešamos EUR 82'000 2026.gadā pārcelt </t>
    </r>
    <r>
      <rPr>
        <b/>
        <sz val="11"/>
        <rFont val="Times New Roman"/>
        <family val="1"/>
        <charset val="186"/>
      </rPr>
      <t>no paredzētā finansējuma O.Vācieša skvēra projektēšana (papildu pilnveide) (50'000 euro)</t>
    </r>
    <r>
      <rPr>
        <sz val="11"/>
        <rFont val="Times New Roman"/>
        <family val="1"/>
        <charset val="186"/>
      </rPr>
      <t>, Carnikavas vidusskolas paplašināšanas sociāli tehniski ekonomiskā pamatojuma izstrādei paredzētā finansējuma (7'000 euro) un nesadalītā konta atlikuma (25'000 euro).
3) Saskaņā ar Domes 28.05.2026. lēmumu "Par atbalstu Ādažu lidlauka svētku organizēšanā" novirzīt EUR 2'000 no ekonomijas uz vakanci pārvaldē uz Attīstības un projektu nodaļas budžeta sadaļu</t>
    </r>
  </si>
  <si>
    <t>1) Saskaņā ar Domes 01.04.2026. lēmumu Nr.132 "Atbalsta pasākumu cilvēkiem ar invaliditāti mājokļu vides pieejamības nodrošināšana Ādažos" no plānotās summas pacēlājam pie TN "Ozolaine" EUR 22'000 un EUR 159 no EKK 5239 uz nodaļu 1018.
2) Saskaņā ar Domes 23.04.2026. lēmumu Nr.163 "Par finansējuma piešķiršanu remontdarbiem Gaujas ielā 33A" novirzīt EUR 17'873 no nesadalītā konta atlikuma.
3) Saskaņā ar Domes 23.04.2026. lēmumu Nr.159 "Par izmaiņām pašvaldības iestāžu amatu sarakstos" Jaunā PII Podniekos vadītāja un saimnieka vakanču izsludināšanai 2026.gadā nepieciešamo finansējumu EUR 33'728 nodrošināt no ekonomijas uz atalgojumu (slimība, vakances) EUR 8'000 no pārvaldes, EUR 8'241 no PII Riekstiņš, EUR 17'487 no CKS.</t>
  </si>
  <si>
    <t>Saskaņā ar 26.03.2026. domes lēmumu Nr.88 "Par atteikšanos no dalības Plūdu projektā", izņemts sākotnēji plānotais finansējums EUR 193'242.</t>
  </si>
  <si>
    <t>Tāmes iekšējie grozījumi pa EKK iegādājoties mēbeles (EUR 10'792 no EKK 5240 uz EKK 2312; EUR 7'678 no EKK 5240 uz EKK 5239).</t>
  </si>
  <si>
    <r>
      <t xml:space="preserve">1) Saskaņā ar Domes 28.05.2026. lēmumu "Par Ādažu vidusskolas piebūves projektēšanu un izbūvi" tam nepieciešamos EUR 82'000 2026.gadā pārcelt </t>
    </r>
    <r>
      <rPr>
        <b/>
        <sz val="11"/>
        <rFont val="Times New Roman"/>
        <family val="1"/>
        <charset val="186"/>
      </rPr>
      <t>no paredzētā finansējuma</t>
    </r>
    <r>
      <rPr>
        <sz val="11"/>
        <rFont val="Times New Roman"/>
        <family val="1"/>
        <charset val="186"/>
      </rPr>
      <t xml:space="preserve"> O.Vācieša skvēra projektēšana (papildu pilnveide) (50'000 euro), </t>
    </r>
    <r>
      <rPr>
        <b/>
        <sz val="11"/>
        <rFont val="Times New Roman"/>
        <family val="1"/>
        <charset val="186"/>
      </rPr>
      <t>Carnikavas vidusskolas paplašināšanas sociāli tehniski ekonomiskā pamatojuma izstrādei paredzētā finansējuma (7'000 euro)</t>
    </r>
    <r>
      <rPr>
        <sz val="11"/>
        <rFont val="Times New Roman"/>
        <family val="1"/>
        <charset val="186"/>
      </rPr>
      <t xml:space="preserve"> un nesadalītā konta atlikuma (25'000 euro).
</t>
    </r>
    <r>
      <rPr>
        <sz val="11"/>
        <color rgb="FFFF0000"/>
        <rFont val="Times New Roman"/>
        <family val="1"/>
        <charset val="186"/>
      </rPr>
      <t>2) Tāmes iekšējie grozījumi pa EKK iegādājoties mēbeles (EUR 14'332 no EKK 2312 uz EKK 5239).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</si>
</sst>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_-* #,##0.00\ _€_-;\-* #,##0.00\ _€_-;_-* &quot;-&quot;??\ _€_-;_-@_-"/>
    <numFmt numFmtId="166" formatCode="_-* #,##0.000_-;\-* #,##0.000_-;_-* &quot;-&quot;??_-;_-@_-"/>
    <numFmt numFmtId="167" formatCode="0_ ;\-0\ "/>
    <numFmt numFmtId="168" formatCode="0.0%"/>
  </numFmts>
  <fonts count="55" x14ac:knownFonts="1">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11"/>
      <color rgb="FFFF0000"/>
      <name val="Times New Roman"/>
      <family val="1"/>
      <charset val="186"/>
    </font>
    <font>
      <sz val="9"/>
      <color theme="1"/>
      <name val="Arial"/>
      <family val="2"/>
      <charset val="186"/>
    </font>
    <font>
      <sz val="11"/>
      <color theme="1"/>
      <name val="Times New Roman"/>
      <family val="1"/>
      <charset val="186"/>
    </font>
    <font>
      <sz val="11"/>
      <color indexed="8"/>
      <name val="Calibri"/>
      <family val="2"/>
      <charset val="186"/>
    </font>
    <font>
      <b/>
      <sz val="16"/>
      <color theme="1"/>
      <name val="Times New Roman"/>
      <family val="1"/>
      <charset val="186"/>
    </font>
    <font>
      <b/>
      <sz val="11"/>
      <color rgb="FFFF0000"/>
      <name val="Times New Roman"/>
      <family val="1"/>
      <charset val="186"/>
    </font>
    <font>
      <b/>
      <sz val="11"/>
      <color theme="1"/>
      <name val="Times New Roman"/>
      <family val="1"/>
      <charset val="186"/>
    </font>
    <font>
      <b/>
      <sz val="11"/>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rgb="FFFF0000"/>
      <name val="Times New Roman"/>
      <family val="1"/>
      <charset val="186"/>
    </font>
    <font>
      <sz val="10"/>
      <color theme="1"/>
      <name val="Times New Roman"/>
      <family val="1"/>
      <charset val="186"/>
    </font>
    <font>
      <sz val="11"/>
      <color indexed="10"/>
      <name val="Times New Roman"/>
      <family val="1"/>
      <charset val="186"/>
    </font>
    <font>
      <i/>
      <sz val="11"/>
      <name val="Times New Roman"/>
      <family val="1"/>
      <charset val="186"/>
    </font>
    <font>
      <i/>
      <sz val="11"/>
      <color rgb="FFFF0000"/>
      <name val="Times New Roman"/>
      <family val="1"/>
      <charset val="186"/>
    </font>
    <font>
      <i/>
      <sz val="11"/>
      <color theme="1"/>
      <name val="Times New Roman"/>
      <family val="1"/>
      <charset val="186"/>
    </font>
    <font>
      <sz val="11"/>
      <color rgb="FF000000"/>
      <name val="Calibri"/>
      <family val="2"/>
      <charset val="1"/>
    </font>
    <font>
      <sz val="11"/>
      <name val="Times New Roman"/>
      <family val="1"/>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FF0000"/>
      <name val="Calibri"/>
      <family val="2"/>
      <charset val="186"/>
      <scheme val="minor"/>
    </font>
    <font>
      <sz val="10"/>
      <color rgb="FF7030A0"/>
      <name val="Calibri"/>
      <family val="2"/>
      <charset val="186"/>
      <scheme val="minor"/>
    </font>
    <font>
      <b/>
      <sz val="10"/>
      <color rgb="FFFF0000"/>
      <name val="Calibri"/>
      <family val="2"/>
      <charset val="186"/>
      <scheme val="minor"/>
    </font>
    <font>
      <b/>
      <sz val="10"/>
      <color theme="1"/>
      <name val="Calibri"/>
      <family val="2"/>
      <charset val="186"/>
      <scheme val="minor"/>
    </font>
    <font>
      <sz val="10"/>
      <color theme="1"/>
      <name val="Calibri"/>
      <family val="2"/>
      <charset val="186"/>
      <scheme val="minor"/>
    </font>
    <font>
      <sz val="10"/>
      <color theme="4"/>
      <name val="Calibri"/>
      <family val="2"/>
      <charset val="186"/>
      <scheme val="minor"/>
    </font>
    <font>
      <sz val="11"/>
      <color theme="9" tint="-0.249977111117893"/>
      <name val="Calibri"/>
      <family val="2"/>
      <charset val="186"/>
      <scheme val="minor"/>
    </font>
    <font>
      <sz val="10"/>
      <color theme="9" tint="-0.249977111117893"/>
      <name val="Arial"/>
      <family val="2"/>
      <charset val="186"/>
    </font>
    <font>
      <i/>
      <sz val="11"/>
      <name val="Calibri"/>
      <family val="2"/>
      <charset val="186"/>
      <scheme val="minor"/>
    </font>
    <font>
      <b/>
      <i/>
      <sz val="11"/>
      <name val="Calibri"/>
      <family val="2"/>
      <charset val="186"/>
      <scheme val="minor"/>
    </font>
  </fonts>
  <fills count="19">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rgb="FF00B0F0"/>
        <bgColor indexed="64"/>
      </patternFill>
    </fill>
    <fill>
      <patternFill patternType="solid">
        <fgColor rgb="FFFF0000"/>
        <bgColor indexed="64"/>
      </patternFill>
    </fill>
    <fill>
      <patternFill patternType="solid">
        <fgColor rgb="FFFFC1C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rgb="FF92D050"/>
        <bgColor indexed="64"/>
      </patternFill>
    </fill>
  </fills>
  <borders count="4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15">
    <xf numFmtId="0" fontId="0" fillId="0" borderId="0"/>
    <xf numFmtId="43" fontId="8" fillId="0" borderId="0" applyFont="0" applyFill="0" applyBorder="0" applyAlignment="0" applyProtection="0"/>
    <xf numFmtId="0" fontId="1" fillId="0" borderId="0"/>
    <xf numFmtId="0" fontId="1" fillId="0" borderId="0"/>
    <xf numFmtId="9" fontId="10" fillId="0" borderId="0" applyFont="0" applyFill="0" applyBorder="0" applyAlignment="0" applyProtection="0"/>
    <xf numFmtId="43" fontId="10" fillId="0" borderId="0" applyFont="0" applyFill="0" applyBorder="0" applyAlignment="0" applyProtection="0"/>
    <xf numFmtId="0" fontId="15" fillId="0" borderId="0" applyNumberFormat="0" applyFill="0" applyBorder="0" applyAlignment="0" applyProtection="0"/>
    <xf numFmtId="0" fontId="16" fillId="0" borderId="0"/>
    <xf numFmtId="9" fontId="10" fillId="0" borderId="0" applyFont="0" applyFill="0" applyBorder="0" applyAlignment="0" applyProtection="0"/>
    <xf numFmtId="0" fontId="25" fillId="0" borderId="0"/>
    <xf numFmtId="0" fontId="10" fillId="0" borderId="0"/>
    <xf numFmtId="0" fontId="1" fillId="0" borderId="0"/>
    <xf numFmtId="0" fontId="16" fillId="0" borderId="0"/>
    <xf numFmtId="43" fontId="16" fillId="0" borderId="0" applyFill="0" applyBorder="0" applyAlignment="0" applyProtection="0"/>
    <xf numFmtId="43" fontId="8" fillId="0" borderId="0" applyFont="0" applyFill="0" applyBorder="0" applyAlignment="0" applyProtection="0"/>
  </cellStyleXfs>
  <cellXfs count="420">
    <xf numFmtId="0" fontId="0" fillId="0" borderId="0" xfId="0"/>
    <xf numFmtId="0" fontId="4" fillId="0" borderId="0" xfId="2" applyFont="1"/>
    <xf numFmtId="0" fontId="5" fillId="0" borderId="0" xfId="3" applyFont="1"/>
    <xf numFmtId="0" fontId="6" fillId="0" borderId="0" xfId="3" applyFont="1"/>
    <xf numFmtId="0" fontId="7" fillId="0" borderId="0" xfId="2" applyFont="1" applyAlignment="1">
      <alignment wrapText="1"/>
    </xf>
    <xf numFmtId="3" fontId="7" fillId="0" borderId="0" xfId="2" applyNumberFormat="1" applyFont="1"/>
    <xf numFmtId="164" fontId="9" fillId="0" borderId="0" xfId="1" applyNumberFormat="1" applyFont="1" applyAlignment="1">
      <alignment wrapText="1"/>
    </xf>
    <xf numFmtId="164" fontId="4" fillId="0" borderId="0" xfId="1" applyNumberFormat="1" applyFont="1" applyAlignment="1">
      <alignment wrapText="1"/>
    </xf>
    <xf numFmtId="0" fontId="4" fillId="0" borderId="0" xfId="2" applyFont="1" applyAlignment="1">
      <alignment wrapText="1"/>
    </xf>
    <xf numFmtId="9" fontId="4" fillId="0" borderId="0" xfId="4" applyFont="1" applyAlignment="1">
      <alignment wrapText="1"/>
    </xf>
    <xf numFmtId="3" fontId="7" fillId="0" borderId="0" xfId="2" applyNumberFormat="1" applyFont="1" applyAlignment="1">
      <alignment wrapText="1"/>
    </xf>
    <xf numFmtId="164" fontId="9" fillId="0" borderId="0" xfId="1" applyNumberFormat="1" applyFont="1"/>
    <xf numFmtId="164" fontId="4" fillId="0" borderId="0" xfId="1" applyNumberFormat="1" applyFont="1"/>
    <xf numFmtId="3" fontId="4" fillId="0" borderId="0" xfId="2" applyNumberFormat="1" applyFont="1"/>
    <xf numFmtId="1" fontId="4" fillId="0" borderId="0" xfId="4" applyNumberFormat="1" applyFont="1" applyFill="1"/>
    <xf numFmtId="164" fontId="7" fillId="0" borderId="0" xfId="1" applyNumberFormat="1" applyFont="1"/>
    <xf numFmtId="164" fontId="12" fillId="0" borderId="0" xfId="5" applyNumberFormat="1" applyFont="1"/>
    <xf numFmtId="164" fontId="7" fillId="0" borderId="0" xfId="2" applyNumberFormat="1" applyFont="1" applyAlignment="1">
      <alignment wrapText="1"/>
    </xf>
    <xf numFmtId="164" fontId="13" fillId="0" borderId="0" xfId="1" applyNumberFormat="1" applyFont="1"/>
    <xf numFmtId="164" fontId="14" fillId="0" borderId="0" xfId="1" applyNumberFormat="1" applyFont="1"/>
    <xf numFmtId="164" fontId="14" fillId="0" borderId="0" xfId="5" applyNumberFormat="1" applyFont="1"/>
    <xf numFmtId="9" fontId="4" fillId="0" borderId="0" xfId="4" applyFont="1"/>
    <xf numFmtId="0" fontId="15" fillId="0" borderId="0" xfId="6"/>
    <xf numFmtId="9" fontId="7" fillId="0" borderId="0" xfId="4" applyFont="1"/>
    <xf numFmtId="0" fontId="14" fillId="0" borderId="1" xfId="2" applyFont="1" applyBorder="1" applyAlignment="1">
      <alignment horizontal="center" vertical="center"/>
    </xf>
    <xf numFmtId="0" fontId="14" fillId="0" borderId="2" xfId="2" applyFont="1" applyBorder="1" applyAlignment="1">
      <alignment horizontal="center" vertical="center" wrapText="1"/>
    </xf>
    <xf numFmtId="0" fontId="12" fillId="0" borderId="3" xfId="7" applyFont="1" applyBorder="1" applyAlignment="1">
      <alignment horizontal="center" vertical="center" wrapText="1"/>
    </xf>
    <xf numFmtId="0" fontId="14" fillId="0" borderId="3" xfId="7" applyFont="1" applyBorder="1" applyAlignment="1">
      <alignment horizontal="center" vertical="center" wrapText="1"/>
    </xf>
    <xf numFmtId="164" fontId="13" fillId="0" borderId="3" xfId="1" applyNumberFormat="1" applyFont="1" applyBorder="1" applyAlignment="1">
      <alignment horizontal="center" vertical="center" wrapText="1"/>
    </xf>
    <xf numFmtId="164" fontId="14" fillId="0" borderId="3" xfId="1" applyNumberFormat="1" applyFont="1" applyBorder="1" applyAlignment="1">
      <alignment horizontal="center" vertical="center" wrapText="1"/>
    </xf>
    <xf numFmtId="9" fontId="14" fillId="0" borderId="3" xfId="4" applyFont="1" applyBorder="1" applyAlignment="1">
      <alignment horizontal="center" vertical="center" wrapText="1"/>
    </xf>
    <xf numFmtId="0" fontId="14" fillId="2" borderId="4" xfId="2" applyFont="1" applyFill="1" applyBorder="1"/>
    <xf numFmtId="0" fontId="14" fillId="2" borderId="5" xfId="2" applyFont="1" applyFill="1" applyBorder="1" applyAlignment="1">
      <alignment wrapText="1"/>
    </xf>
    <xf numFmtId="164" fontId="12" fillId="2" borderId="6" xfId="1" applyNumberFormat="1" applyFont="1" applyFill="1" applyBorder="1"/>
    <xf numFmtId="164" fontId="14" fillId="2" borderId="6" xfId="1" applyNumberFormat="1" applyFont="1" applyFill="1" applyBorder="1"/>
    <xf numFmtId="164" fontId="13" fillId="2" borderId="6" xfId="1" applyNumberFormat="1" applyFont="1" applyFill="1" applyBorder="1"/>
    <xf numFmtId="3" fontId="14" fillId="2" borderId="6" xfId="2" applyNumberFormat="1" applyFont="1" applyFill="1" applyBorder="1"/>
    <xf numFmtId="9" fontId="4" fillId="2" borderId="6" xfId="4" applyFont="1" applyFill="1" applyBorder="1" applyAlignment="1">
      <alignment wrapText="1"/>
    </xf>
    <xf numFmtId="0" fontId="14" fillId="3" borderId="4" xfId="2" quotePrefix="1" applyFont="1" applyFill="1" applyBorder="1"/>
    <xf numFmtId="0" fontId="14" fillId="3" borderId="5" xfId="2" applyFont="1" applyFill="1" applyBorder="1" applyAlignment="1">
      <alignment wrapText="1"/>
    </xf>
    <xf numFmtId="3" fontId="12" fillId="3" borderId="6" xfId="2" applyNumberFormat="1" applyFont="1" applyFill="1" applyBorder="1"/>
    <xf numFmtId="3" fontId="14" fillId="3" borderId="6" xfId="2" applyNumberFormat="1" applyFont="1" applyFill="1" applyBorder="1"/>
    <xf numFmtId="164" fontId="13" fillId="3" borderId="6" xfId="1" applyNumberFormat="1" applyFont="1" applyFill="1" applyBorder="1"/>
    <xf numFmtId="164" fontId="14" fillId="3" borderId="6" xfId="1" applyNumberFormat="1" applyFont="1" applyFill="1" applyBorder="1"/>
    <xf numFmtId="9" fontId="14" fillId="3" borderId="6" xfId="4" applyFont="1" applyFill="1" applyBorder="1"/>
    <xf numFmtId="0" fontId="17" fillId="0" borderId="0" xfId="2" applyFont="1"/>
    <xf numFmtId="0" fontId="4" fillId="0" borderId="7" xfId="2" applyFont="1" applyBorder="1" applyAlignment="1">
      <alignment horizontal="left" indent="1"/>
    </xf>
    <xf numFmtId="0" fontId="4" fillId="0" borderId="8" xfId="2" applyFont="1" applyBorder="1" applyAlignment="1">
      <alignment horizontal="left" wrapText="1" indent="2"/>
    </xf>
    <xf numFmtId="3" fontId="7" fillId="0" borderId="9" xfId="2" applyNumberFormat="1" applyFont="1" applyBorder="1"/>
    <xf numFmtId="3" fontId="4" fillId="0" borderId="9" xfId="2" applyNumberFormat="1" applyFont="1" applyBorder="1"/>
    <xf numFmtId="164" fontId="9" fillId="0" borderId="9" xfId="1" applyNumberFormat="1" applyFont="1" applyBorder="1"/>
    <xf numFmtId="164" fontId="4" fillId="0" borderId="9" xfId="1" applyNumberFormat="1" applyFont="1" applyBorder="1"/>
    <xf numFmtId="9" fontId="4" fillId="0" borderId="9" xfId="4" applyFont="1" applyFill="1" applyBorder="1"/>
    <xf numFmtId="0" fontId="14" fillId="3" borderId="7" xfId="2" applyFont="1" applyFill="1" applyBorder="1"/>
    <xf numFmtId="0" fontId="14" fillId="3" borderId="8" xfId="2" applyFont="1" applyFill="1" applyBorder="1" applyAlignment="1">
      <alignment wrapText="1"/>
    </xf>
    <xf numFmtId="3" fontId="12" fillId="3" borderId="9" xfId="2" applyNumberFormat="1" applyFont="1" applyFill="1" applyBorder="1"/>
    <xf numFmtId="3" fontId="14" fillId="3" borderId="9" xfId="2" applyNumberFormat="1" applyFont="1" applyFill="1" applyBorder="1"/>
    <xf numFmtId="164" fontId="13" fillId="3" borderId="9" xfId="1" applyNumberFormat="1" applyFont="1" applyFill="1" applyBorder="1"/>
    <xf numFmtId="164" fontId="14" fillId="3" borderId="9" xfId="1" applyNumberFormat="1" applyFont="1" applyFill="1" applyBorder="1"/>
    <xf numFmtId="9" fontId="14" fillId="3" borderId="9" xfId="4" applyFont="1" applyFill="1" applyBorder="1"/>
    <xf numFmtId="9" fontId="4" fillId="0" borderId="9" xfId="4" applyFont="1" applyBorder="1"/>
    <xf numFmtId="9" fontId="4" fillId="0" borderId="10" xfId="4" applyFont="1" applyFill="1" applyBorder="1"/>
    <xf numFmtId="0" fontId="1" fillId="0" borderId="0" xfId="2"/>
    <xf numFmtId="9" fontId="4" fillId="0" borderId="10" xfId="4" applyFont="1" applyFill="1" applyBorder="1" applyAlignment="1">
      <alignment wrapText="1"/>
    </xf>
    <xf numFmtId="0" fontId="18" fillId="0" borderId="7" xfId="2" applyFont="1" applyBorder="1" applyAlignment="1">
      <alignment horizontal="left" indent="2"/>
    </xf>
    <xf numFmtId="0" fontId="18" fillId="0" borderId="8" xfId="2" applyFont="1" applyBorder="1" applyAlignment="1">
      <alignment horizontal="left" wrapText="1" indent="3"/>
    </xf>
    <xf numFmtId="0" fontId="17" fillId="0" borderId="0" xfId="2" quotePrefix="1" applyFont="1"/>
    <xf numFmtId="9" fontId="4" fillId="3" borderId="9" xfId="4" applyFont="1" applyFill="1" applyBorder="1" applyAlignment="1">
      <alignment wrapText="1"/>
    </xf>
    <xf numFmtId="0" fontId="4" fillId="4" borderId="8" xfId="2" applyFont="1" applyFill="1" applyBorder="1" applyAlignment="1">
      <alignment horizontal="left" wrapText="1" indent="2"/>
    </xf>
    <xf numFmtId="9" fontId="4" fillId="0" borderId="9" xfId="4" applyFont="1" applyFill="1" applyBorder="1" applyAlignment="1">
      <alignment wrapText="1"/>
    </xf>
    <xf numFmtId="0" fontId="14" fillId="3" borderId="7" xfId="2" quotePrefix="1" applyFont="1" applyFill="1" applyBorder="1"/>
    <xf numFmtId="0" fontId="4" fillId="2" borderId="7" xfId="2" applyFont="1" applyFill="1" applyBorder="1" applyAlignment="1">
      <alignment horizontal="left" indent="1"/>
    </xf>
    <xf numFmtId="0" fontId="4" fillId="2" borderId="8" xfId="2" applyFont="1" applyFill="1" applyBorder="1" applyAlignment="1">
      <alignment horizontal="left" wrapText="1" indent="2"/>
    </xf>
    <xf numFmtId="3" fontId="7" fillId="2" borderId="9" xfId="2" applyNumberFormat="1" applyFont="1" applyFill="1" applyBorder="1"/>
    <xf numFmtId="3" fontId="4" fillId="2" borderId="9" xfId="2" applyNumberFormat="1" applyFont="1" applyFill="1" applyBorder="1"/>
    <xf numFmtId="164" fontId="9" fillId="2" borderId="9" xfId="1" applyNumberFormat="1" applyFont="1" applyFill="1" applyBorder="1"/>
    <xf numFmtId="164" fontId="9" fillId="5" borderId="9" xfId="1" applyNumberFormat="1" applyFont="1" applyFill="1" applyBorder="1"/>
    <xf numFmtId="164" fontId="4" fillId="5" borderId="9" xfId="1" applyNumberFormat="1" applyFont="1" applyFill="1" applyBorder="1"/>
    <xf numFmtId="3" fontId="4" fillId="5" borderId="9" xfId="2" applyNumberFormat="1" applyFont="1" applyFill="1" applyBorder="1"/>
    <xf numFmtId="3" fontId="7" fillId="5" borderId="9" xfId="2" applyNumberFormat="1" applyFont="1" applyFill="1" applyBorder="1"/>
    <xf numFmtId="164" fontId="9" fillId="0" borderId="9" xfId="1" applyNumberFormat="1" applyFont="1" applyFill="1" applyBorder="1"/>
    <xf numFmtId="3" fontId="9" fillId="0" borderId="9" xfId="2" applyNumberFormat="1" applyFont="1" applyBorder="1"/>
    <xf numFmtId="3" fontId="7" fillId="6" borderId="9" xfId="2" applyNumberFormat="1" applyFont="1" applyFill="1" applyBorder="1"/>
    <xf numFmtId="3" fontId="4" fillId="6" borderId="9" xfId="2" applyNumberFormat="1" applyFont="1" applyFill="1" applyBorder="1"/>
    <xf numFmtId="164" fontId="9" fillId="6" borderId="9" xfId="1" applyNumberFormat="1" applyFont="1" applyFill="1" applyBorder="1"/>
    <xf numFmtId="164" fontId="4" fillId="6" borderId="9" xfId="1" applyNumberFormat="1" applyFont="1" applyFill="1" applyBorder="1"/>
    <xf numFmtId="3" fontId="4" fillId="6" borderId="9" xfId="2" applyNumberFormat="1" applyFont="1" applyFill="1" applyBorder="1" applyAlignment="1">
      <alignment wrapText="1"/>
    </xf>
    <xf numFmtId="3" fontId="19" fillId="7" borderId="9" xfId="2" applyNumberFormat="1" applyFont="1" applyFill="1" applyBorder="1"/>
    <xf numFmtId="3" fontId="18" fillId="7" borderId="9" xfId="2" applyNumberFormat="1" applyFont="1" applyFill="1" applyBorder="1"/>
    <xf numFmtId="164" fontId="20" fillId="7" borderId="9" xfId="1" applyNumberFormat="1" applyFont="1" applyFill="1" applyBorder="1"/>
    <xf numFmtId="164" fontId="18" fillId="7" borderId="9" xfId="1" applyNumberFormat="1" applyFont="1" applyFill="1" applyBorder="1"/>
    <xf numFmtId="9" fontId="18" fillId="7" borderId="9" xfId="4" applyFont="1" applyFill="1" applyBorder="1" applyAlignment="1">
      <alignment wrapText="1"/>
    </xf>
    <xf numFmtId="0" fontId="18" fillId="0" borderId="0" xfId="2" applyFont="1"/>
    <xf numFmtId="3" fontId="7" fillId="8" borderId="9" xfId="2" applyNumberFormat="1" applyFont="1" applyFill="1" applyBorder="1"/>
    <xf numFmtId="0" fontId="4" fillId="0" borderId="0" xfId="2" quotePrefix="1" applyFont="1"/>
    <xf numFmtId="0" fontId="4" fillId="9" borderId="8" xfId="2" applyFont="1" applyFill="1" applyBorder="1" applyAlignment="1">
      <alignment horizontal="left" wrapText="1" indent="2"/>
    </xf>
    <xf numFmtId="164" fontId="7" fillId="0" borderId="9" xfId="1" applyNumberFormat="1" applyFont="1" applyFill="1" applyBorder="1"/>
    <xf numFmtId="3" fontId="4" fillId="8" borderId="9" xfId="2" applyNumberFormat="1" applyFont="1" applyFill="1" applyBorder="1"/>
    <xf numFmtId="0" fontId="4" fillId="0" borderId="8" xfId="2" applyFont="1" applyBorder="1" applyAlignment="1">
      <alignment horizontal="left" wrapText="1" indent="3"/>
    </xf>
    <xf numFmtId="9" fontId="4" fillId="10" borderId="9" xfId="4" applyFont="1" applyFill="1" applyBorder="1" applyAlignment="1">
      <alignment wrapText="1"/>
    </xf>
    <xf numFmtId="0" fontId="4" fillId="0" borderId="0" xfId="2" quotePrefix="1" applyFont="1" applyAlignment="1">
      <alignment wrapText="1"/>
    </xf>
    <xf numFmtId="164" fontId="4" fillId="2" borderId="9" xfId="1" applyNumberFormat="1" applyFont="1" applyFill="1" applyBorder="1"/>
    <xf numFmtId="0" fontId="7" fillId="0" borderId="0" xfId="2" applyFont="1"/>
    <xf numFmtId="9" fontId="7" fillId="0" borderId="10" xfId="4" applyFont="1" applyFill="1" applyBorder="1" applyAlignment="1">
      <alignment wrapText="1"/>
    </xf>
    <xf numFmtId="9" fontId="4" fillId="0" borderId="13" xfId="4" applyFont="1" applyFill="1" applyBorder="1"/>
    <xf numFmtId="0" fontId="1" fillId="0" borderId="0" xfId="2" quotePrefix="1"/>
    <xf numFmtId="9" fontId="4" fillId="0" borderId="13" xfId="4" applyFont="1" applyFill="1" applyBorder="1" applyAlignment="1">
      <alignment wrapText="1"/>
    </xf>
    <xf numFmtId="0" fontId="9" fillId="0" borderId="8" xfId="2" applyFont="1" applyBorder="1" applyAlignment="1">
      <alignment horizontal="left" wrapText="1" indent="3"/>
    </xf>
    <xf numFmtId="9" fontId="4" fillId="2" borderId="9" xfId="4" applyFont="1" applyFill="1" applyBorder="1" applyAlignment="1">
      <alignment wrapText="1"/>
    </xf>
    <xf numFmtId="164" fontId="14" fillId="3" borderId="9" xfId="4" applyNumberFormat="1" applyFont="1" applyFill="1" applyBorder="1"/>
    <xf numFmtId="0" fontId="4" fillId="4" borderId="7" xfId="2" applyFont="1" applyFill="1" applyBorder="1" applyAlignment="1">
      <alignment horizontal="left" indent="2"/>
    </xf>
    <xf numFmtId="0" fontId="4" fillId="4" borderId="8" xfId="2" applyFont="1" applyFill="1" applyBorder="1" applyAlignment="1">
      <alignment horizontal="left" wrapText="1" indent="3"/>
    </xf>
    <xf numFmtId="1" fontId="4" fillId="0" borderId="9" xfId="4" applyNumberFormat="1" applyFont="1" applyFill="1" applyBorder="1"/>
    <xf numFmtId="0" fontId="7" fillId="0" borderId="0" xfId="2" quotePrefix="1" applyFont="1"/>
    <xf numFmtId="3" fontId="4" fillId="11" borderId="9" xfId="2" applyNumberFormat="1" applyFont="1" applyFill="1" applyBorder="1"/>
    <xf numFmtId="0" fontId="14" fillId="0" borderId="14" xfId="2" applyFont="1" applyBorder="1"/>
    <xf numFmtId="0" fontId="14" fillId="0" borderId="15" xfId="2" applyFont="1" applyBorder="1" applyAlignment="1">
      <alignment horizontal="right" wrapText="1"/>
    </xf>
    <xf numFmtId="3" fontId="12" fillId="0" borderId="3" xfId="2" applyNumberFormat="1" applyFont="1" applyBorder="1"/>
    <xf numFmtId="3" fontId="14" fillId="0" borderId="3" xfId="2" applyNumberFormat="1" applyFont="1" applyBorder="1"/>
    <xf numFmtId="164" fontId="13" fillId="0" borderId="3" xfId="1" applyNumberFormat="1" applyFont="1" applyBorder="1"/>
    <xf numFmtId="164" fontId="14" fillId="0" borderId="3" xfId="1" applyNumberFormat="1" applyFont="1" applyBorder="1"/>
    <xf numFmtId="9" fontId="14" fillId="0" borderId="3" xfId="4" applyFont="1" applyBorder="1"/>
    <xf numFmtId="0" fontId="14" fillId="0" borderId="16" xfId="2" quotePrefix="1" applyFont="1" applyBorder="1"/>
    <xf numFmtId="0" fontId="14" fillId="0" borderId="17" xfId="2" applyFont="1" applyBorder="1" applyAlignment="1">
      <alignment wrapText="1"/>
    </xf>
    <xf numFmtId="3" fontId="12" fillId="0" borderId="18" xfId="2" applyNumberFormat="1" applyFont="1" applyBorder="1"/>
    <xf numFmtId="164" fontId="13" fillId="0" borderId="18" xfId="1" applyNumberFormat="1" applyFont="1" applyBorder="1"/>
    <xf numFmtId="164" fontId="14" fillId="0" borderId="18" xfId="1" applyNumberFormat="1" applyFont="1" applyBorder="1"/>
    <xf numFmtId="3" fontId="14" fillId="0" borderId="18" xfId="2" applyNumberFormat="1" applyFont="1" applyBorder="1"/>
    <xf numFmtId="9" fontId="14" fillId="0" borderId="18" xfId="4" applyFont="1" applyFill="1" applyBorder="1"/>
    <xf numFmtId="3" fontId="4" fillId="12" borderId="0" xfId="2" applyNumberFormat="1" applyFont="1" applyFill="1"/>
    <xf numFmtId="0" fontId="14" fillId="3" borderId="20" xfId="2" applyFont="1" applyFill="1" applyBorder="1" applyAlignment="1">
      <alignment wrapText="1"/>
    </xf>
    <xf numFmtId="3" fontId="12" fillId="3" borderId="13" xfId="2" applyNumberFormat="1" applyFont="1" applyFill="1" applyBorder="1"/>
    <xf numFmtId="164" fontId="13" fillId="3" borderId="13" xfId="1" applyNumberFormat="1" applyFont="1" applyFill="1" applyBorder="1"/>
    <xf numFmtId="164" fontId="14" fillId="3" borderId="13" xfId="1" applyNumberFormat="1" applyFont="1" applyFill="1" applyBorder="1"/>
    <xf numFmtId="49" fontId="4" fillId="0" borderId="20" xfId="2" applyNumberFormat="1" applyFont="1" applyBorder="1" applyAlignment="1">
      <alignment horizontal="left" wrapText="1" indent="4"/>
    </xf>
    <xf numFmtId="3" fontId="7" fillId="0" borderId="13" xfId="2" applyNumberFormat="1" applyFont="1" applyBorder="1"/>
    <xf numFmtId="164" fontId="7" fillId="0" borderId="13" xfId="1" applyNumberFormat="1" applyFont="1" applyBorder="1"/>
    <xf numFmtId="164" fontId="9" fillId="0" borderId="10" xfId="1" applyNumberFormat="1" applyFont="1" applyBorder="1"/>
    <xf numFmtId="164" fontId="4" fillId="0" borderId="13" xfId="1" applyNumberFormat="1" applyFont="1" applyBorder="1"/>
    <xf numFmtId="164" fontId="4" fillId="0" borderId="9" xfId="1" applyNumberFormat="1" applyFont="1" applyFill="1" applyBorder="1"/>
    <xf numFmtId="3" fontId="4" fillId="0" borderId="20" xfId="2" applyNumberFormat="1" applyFont="1" applyBorder="1"/>
    <xf numFmtId="3" fontId="7" fillId="0" borderId="21" xfId="2" applyNumberFormat="1" applyFont="1" applyBorder="1"/>
    <xf numFmtId="3" fontId="7" fillId="0" borderId="10" xfId="2" applyNumberFormat="1" applyFont="1" applyBorder="1"/>
    <xf numFmtId="164" fontId="7" fillId="0" borderId="10" xfId="1" applyNumberFormat="1" applyFont="1" applyBorder="1"/>
    <xf numFmtId="49" fontId="4" fillId="0" borderId="8" xfId="2" applyNumberFormat="1" applyFont="1" applyBorder="1" applyAlignment="1">
      <alignment horizontal="left" wrapText="1" indent="4"/>
    </xf>
    <xf numFmtId="3" fontId="7" fillId="0" borderId="20" xfId="2" applyNumberFormat="1" applyFont="1" applyBorder="1"/>
    <xf numFmtId="164" fontId="4" fillId="0" borderId="21" xfId="1" applyNumberFormat="1" applyFont="1" applyBorder="1"/>
    <xf numFmtId="164" fontId="4" fillId="0" borderId="10" xfId="1" applyNumberFormat="1" applyFont="1" applyFill="1" applyBorder="1"/>
    <xf numFmtId="3" fontId="4" fillId="0" borderId="22" xfId="2" applyNumberFormat="1" applyFont="1" applyBorder="1"/>
    <xf numFmtId="164" fontId="7" fillId="13" borderId="10" xfId="1" applyNumberFormat="1" applyFont="1" applyFill="1" applyBorder="1"/>
    <xf numFmtId="164" fontId="4" fillId="0" borderId="13" xfId="1" applyNumberFormat="1" applyFont="1" applyFill="1" applyBorder="1"/>
    <xf numFmtId="9" fontId="4" fillId="0" borderId="6" xfId="4" applyFont="1" applyFill="1" applyBorder="1"/>
    <xf numFmtId="0" fontId="4" fillId="4" borderId="23" xfId="2" applyFont="1" applyFill="1" applyBorder="1" applyAlignment="1">
      <alignment horizontal="left" indent="2"/>
    </xf>
    <xf numFmtId="3" fontId="4" fillId="0" borderId="24" xfId="2" applyNumberFormat="1" applyFont="1" applyBorder="1"/>
    <xf numFmtId="49" fontId="4" fillId="0" borderId="21" xfId="2" applyNumberFormat="1" applyFont="1" applyBorder="1" applyAlignment="1">
      <alignment horizontal="left" wrapText="1" indent="4"/>
    </xf>
    <xf numFmtId="164" fontId="9" fillId="0" borderId="13" xfId="1" applyNumberFormat="1" applyFont="1" applyBorder="1"/>
    <xf numFmtId="0" fontId="14" fillId="0" borderId="25" xfId="2" applyFont="1" applyBorder="1"/>
    <xf numFmtId="0" fontId="14" fillId="0" borderId="26" xfId="2" applyFont="1" applyBorder="1" applyAlignment="1">
      <alignment horizontal="right" wrapText="1"/>
    </xf>
    <xf numFmtId="9" fontId="14" fillId="0" borderId="18" xfId="4" applyFont="1" applyBorder="1"/>
    <xf numFmtId="0" fontId="14" fillId="0" borderId="0" xfId="2" applyFont="1"/>
    <xf numFmtId="10" fontId="7" fillId="0" borderId="0" xfId="8" applyNumberFormat="1" applyFont="1"/>
    <xf numFmtId="10" fontId="4" fillId="0" borderId="0" xfId="8" applyNumberFormat="1" applyFont="1"/>
    <xf numFmtId="0" fontId="13" fillId="0" borderId="3" xfId="7" applyFont="1" applyBorder="1" applyAlignment="1">
      <alignment horizontal="center" vertical="center" wrapText="1"/>
    </xf>
    <xf numFmtId="49" fontId="14" fillId="3" borderId="27" xfId="2" applyNumberFormat="1" applyFont="1" applyFill="1" applyBorder="1" applyAlignment="1">
      <alignment horizontal="left" indent="2"/>
    </xf>
    <xf numFmtId="49" fontId="14" fillId="3" borderId="28" xfId="2" applyNumberFormat="1" applyFont="1" applyFill="1" applyBorder="1" applyAlignment="1">
      <alignment wrapText="1"/>
    </xf>
    <xf numFmtId="3" fontId="12" fillId="3" borderId="29" xfId="2" applyNumberFormat="1" applyFont="1" applyFill="1" applyBorder="1"/>
    <xf numFmtId="3" fontId="14" fillId="3" borderId="29" xfId="2" applyNumberFormat="1" applyFont="1" applyFill="1" applyBorder="1"/>
    <xf numFmtId="164" fontId="13" fillId="3" borderId="29" xfId="1" applyNumberFormat="1" applyFont="1" applyFill="1" applyBorder="1"/>
    <xf numFmtId="164" fontId="14" fillId="3" borderId="29" xfId="1" applyNumberFormat="1" applyFont="1" applyFill="1" applyBorder="1"/>
    <xf numFmtId="9" fontId="14" fillId="3" borderId="29" xfId="4" applyFont="1" applyFill="1" applyBorder="1"/>
    <xf numFmtId="49" fontId="4" fillId="2" borderId="7" xfId="2" applyNumberFormat="1" applyFont="1" applyFill="1" applyBorder="1" applyAlignment="1">
      <alignment horizontal="left" indent="1"/>
    </xf>
    <xf numFmtId="49" fontId="4" fillId="2" borderId="8" xfId="2" applyNumberFormat="1" applyFont="1" applyFill="1" applyBorder="1" applyAlignment="1">
      <alignment horizontal="left" wrapText="1" indent="2"/>
    </xf>
    <xf numFmtId="9" fontId="4" fillId="2" borderId="9" xfId="4" applyFont="1" applyFill="1" applyBorder="1"/>
    <xf numFmtId="49" fontId="14" fillId="3" borderId="7" xfId="2" applyNumberFormat="1" applyFont="1" applyFill="1" applyBorder="1"/>
    <xf numFmtId="49" fontId="14" fillId="3" borderId="8" xfId="2" applyNumberFormat="1" applyFont="1" applyFill="1" applyBorder="1" applyAlignment="1">
      <alignment wrapText="1"/>
    </xf>
    <xf numFmtId="0" fontId="21" fillId="0" borderId="0" xfId="2" applyFont="1"/>
    <xf numFmtId="49" fontId="4" fillId="0" borderId="7" xfId="2" applyNumberFormat="1" applyFont="1" applyBorder="1" applyAlignment="1">
      <alignment horizontal="left" indent="2"/>
    </xf>
    <xf numFmtId="49" fontId="4" fillId="0" borderId="8" xfId="2" applyNumberFormat="1" applyFont="1" applyBorder="1" applyAlignment="1">
      <alignment horizontal="left" wrapText="1" indent="2"/>
    </xf>
    <xf numFmtId="49" fontId="14" fillId="2" borderId="8" xfId="2" applyNumberFormat="1" applyFont="1" applyFill="1" applyBorder="1" applyAlignment="1">
      <alignment horizontal="left" wrapText="1" indent="2"/>
    </xf>
    <xf numFmtId="3" fontId="14" fillId="2" borderId="9" xfId="2" applyNumberFormat="1" applyFont="1" applyFill="1" applyBorder="1"/>
    <xf numFmtId="164" fontId="13" fillId="2" borderId="9" xfId="1" applyNumberFormat="1" applyFont="1" applyFill="1" applyBorder="1"/>
    <xf numFmtId="164" fontId="14" fillId="2" borderId="9" xfId="1" applyNumberFormat="1" applyFont="1" applyFill="1" applyBorder="1"/>
    <xf numFmtId="3" fontId="12" fillId="2" borderId="9" xfId="2" applyNumberFormat="1" applyFont="1" applyFill="1" applyBorder="1"/>
    <xf numFmtId="164" fontId="14" fillId="2" borderId="9" xfId="1" applyNumberFormat="1" applyFont="1" applyFill="1" applyBorder="1" applyAlignment="1">
      <alignment horizontal="right"/>
    </xf>
    <xf numFmtId="3" fontId="7" fillId="14" borderId="9" xfId="2" applyNumberFormat="1" applyFont="1" applyFill="1" applyBorder="1"/>
    <xf numFmtId="3" fontId="7" fillId="13" borderId="9" xfId="2" applyNumberFormat="1" applyFont="1" applyFill="1" applyBorder="1"/>
    <xf numFmtId="9" fontId="4" fillId="0" borderId="9" xfId="4" quotePrefix="1" applyFont="1" applyBorder="1" applyAlignment="1">
      <alignment wrapText="1"/>
    </xf>
    <xf numFmtId="9" fontId="4" fillId="0" borderId="9" xfId="4" applyFont="1" applyBorder="1" applyAlignment="1">
      <alignment wrapText="1"/>
    </xf>
    <xf numFmtId="0" fontId="4" fillId="14" borderId="8" xfId="2" applyFont="1" applyFill="1" applyBorder="1" applyAlignment="1">
      <alignment horizontal="left" wrapText="1" indent="3"/>
    </xf>
    <xf numFmtId="164" fontId="9" fillId="14" borderId="9" xfId="1" applyNumberFormat="1" applyFont="1" applyFill="1" applyBorder="1"/>
    <xf numFmtId="164" fontId="7" fillId="0" borderId="9" xfId="1" applyNumberFormat="1" applyFont="1" applyBorder="1"/>
    <xf numFmtId="9" fontId="14" fillId="2" borderId="9" xfId="4" applyFont="1" applyFill="1" applyBorder="1"/>
    <xf numFmtId="0" fontId="4" fillId="10" borderId="8" xfId="2" applyFont="1" applyFill="1" applyBorder="1" applyAlignment="1">
      <alignment horizontal="left" wrapText="1" indent="3"/>
    </xf>
    <xf numFmtId="9" fontId="4" fillId="0" borderId="12" xfId="4" applyFont="1" applyBorder="1" applyAlignment="1">
      <alignment wrapText="1"/>
    </xf>
    <xf numFmtId="164" fontId="9" fillId="15" borderId="9" xfId="1" applyNumberFormat="1" applyFont="1" applyFill="1" applyBorder="1"/>
    <xf numFmtId="0" fontId="22" fillId="0" borderId="0" xfId="2" quotePrefix="1" applyFont="1"/>
    <xf numFmtId="49" fontId="22" fillId="0" borderId="7" xfId="2" applyNumberFormat="1" applyFont="1" applyBorder="1" applyAlignment="1">
      <alignment horizontal="left" indent="3"/>
    </xf>
    <xf numFmtId="0" fontId="22" fillId="10" borderId="8" xfId="2" applyFont="1" applyFill="1" applyBorder="1" applyAlignment="1">
      <alignment horizontal="left" wrapText="1" indent="6"/>
    </xf>
    <xf numFmtId="3" fontId="23" fillId="8" borderId="9" xfId="2" applyNumberFormat="1" applyFont="1" applyFill="1" applyBorder="1"/>
    <xf numFmtId="3" fontId="22" fillId="8" borderId="9" xfId="2" applyNumberFormat="1" applyFont="1" applyFill="1" applyBorder="1"/>
    <xf numFmtId="164" fontId="24" fillId="8" borderId="9" xfId="1" applyNumberFormat="1" applyFont="1" applyFill="1" applyBorder="1"/>
    <xf numFmtId="164" fontId="22" fillId="8" borderId="9" xfId="1" applyNumberFormat="1" applyFont="1" applyFill="1" applyBorder="1"/>
    <xf numFmtId="3" fontId="22" fillId="16" borderId="9" xfId="2" applyNumberFormat="1" applyFont="1" applyFill="1" applyBorder="1"/>
    <xf numFmtId="9" fontId="22" fillId="0" borderId="9" xfId="4" applyFont="1" applyBorder="1" applyAlignment="1">
      <alignment wrapText="1"/>
    </xf>
    <xf numFmtId="3" fontId="22" fillId="0" borderId="9" xfId="2" applyNumberFormat="1" applyFont="1" applyBorder="1"/>
    <xf numFmtId="0" fontId="22" fillId="0" borderId="0" xfId="2" applyFont="1"/>
    <xf numFmtId="164" fontId="23" fillId="13" borderId="0" xfId="1" applyNumberFormat="1" applyFont="1" applyFill="1"/>
    <xf numFmtId="49" fontId="4" fillId="17" borderId="7" xfId="2" applyNumberFormat="1" applyFont="1" applyFill="1" applyBorder="1" applyAlignment="1">
      <alignment horizontal="left" indent="2"/>
    </xf>
    <xf numFmtId="3" fontId="7" fillId="10" borderId="9" xfId="2" applyNumberFormat="1" applyFont="1" applyFill="1" applyBorder="1"/>
    <xf numFmtId="3" fontId="4" fillId="10" borderId="9" xfId="2" applyNumberFormat="1" applyFont="1" applyFill="1" applyBorder="1"/>
    <xf numFmtId="164" fontId="9" fillId="17" borderId="9" xfId="1" applyNumberFormat="1" applyFont="1" applyFill="1" applyBorder="1"/>
    <xf numFmtId="3" fontId="13" fillId="3" borderId="9" xfId="2" applyNumberFormat="1" applyFont="1" applyFill="1" applyBorder="1"/>
    <xf numFmtId="9" fontId="22" fillId="0" borderId="9" xfId="4" applyFont="1" applyFill="1" applyBorder="1" applyAlignment="1">
      <alignment wrapText="1"/>
    </xf>
    <xf numFmtId="49" fontId="4" fillId="17" borderId="7" xfId="2" applyNumberFormat="1" applyFont="1" applyFill="1" applyBorder="1" applyAlignment="1">
      <alignment horizontal="left" indent="1"/>
    </xf>
    <xf numFmtId="49" fontId="7" fillId="2" borderId="8" xfId="2" applyNumberFormat="1" applyFont="1" applyFill="1" applyBorder="1" applyAlignment="1">
      <alignment horizontal="left" wrapText="1" indent="2"/>
    </xf>
    <xf numFmtId="9" fontId="22" fillId="16" borderId="9" xfId="4" applyFont="1" applyFill="1" applyBorder="1" applyAlignment="1">
      <alignment wrapText="1"/>
    </xf>
    <xf numFmtId="9" fontId="22" fillId="2" borderId="9" xfId="4" applyFont="1" applyFill="1" applyBorder="1" applyAlignment="1">
      <alignment wrapText="1"/>
    </xf>
    <xf numFmtId="0" fontId="4" fillId="10" borderId="8" xfId="2" applyFont="1" applyFill="1" applyBorder="1" applyAlignment="1">
      <alignment horizontal="left" indent="2"/>
    </xf>
    <xf numFmtId="3" fontId="4" fillId="10" borderId="20" xfId="2" applyNumberFormat="1" applyFont="1" applyFill="1" applyBorder="1"/>
    <xf numFmtId="9" fontId="7" fillId="0" borderId="8" xfId="4" applyFont="1" applyFill="1" applyBorder="1" applyAlignment="1">
      <alignment wrapText="1"/>
    </xf>
    <xf numFmtId="9" fontId="4" fillId="0" borderId="12" xfId="4" applyFont="1" applyFill="1" applyBorder="1" applyAlignment="1">
      <alignment wrapText="1"/>
    </xf>
    <xf numFmtId="3" fontId="9" fillId="2" borderId="9" xfId="2" applyNumberFormat="1" applyFont="1" applyFill="1" applyBorder="1"/>
    <xf numFmtId="0" fontId="17" fillId="10" borderId="0" xfId="2" applyFont="1" applyFill="1"/>
    <xf numFmtId="0" fontId="4" fillId="10" borderId="30" xfId="2" applyFont="1" applyFill="1" applyBorder="1" applyAlignment="1">
      <alignment horizontal="left" indent="3"/>
    </xf>
    <xf numFmtId="164" fontId="9" fillId="10" borderId="9" xfId="1" applyNumberFormat="1" applyFont="1" applyFill="1" applyBorder="1"/>
    <xf numFmtId="164" fontId="4" fillId="10" borderId="9" xfId="1" applyNumberFormat="1" applyFont="1" applyFill="1" applyBorder="1"/>
    <xf numFmtId="0" fontId="17" fillId="10" borderId="0" xfId="2" applyFont="1" applyFill="1" applyAlignment="1">
      <alignment wrapText="1"/>
    </xf>
    <xf numFmtId="9" fontId="4" fillId="10" borderId="9" xfId="4" applyFont="1" applyFill="1" applyBorder="1"/>
    <xf numFmtId="0" fontId="4" fillId="10" borderId="0" xfId="2" applyFont="1" applyFill="1"/>
    <xf numFmtId="0" fontId="17" fillId="10" borderId="8" xfId="2" applyFont="1" applyFill="1" applyBorder="1" applyAlignment="1">
      <alignment horizontal="left" indent="2"/>
    </xf>
    <xf numFmtId="0" fontId="17" fillId="0" borderId="8" xfId="2" applyFont="1" applyBorder="1" applyAlignment="1">
      <alignment horizontal="left" indent="2"/>
    </xf>
    <xf numFmtId="0" fontId="4" fillId="0" borderId="30" xfId="2" applyFont="1" applyBorder="1" applyAlignment="1">
      <alignment horizontal="left" indent="3"/>
    </xf>
    <xf numFmtId="0" fontId="17" fillId="17" borderId="8" xfId="2" applyFont="1" applyFill="1" applyBorder="1" applyAlignment="1">
      <alignment horizontal="left" indent="2"/>
    </xf>
    <xf numFmtId="49" fontId="4" fillId="15" borderId="8" xfId="2" applyNumberFormat="1" applyFont="1" applyFill="1" applyBorder="1" applyAlignment="1">
      <alignment horizontal="left" wrapText="1" indent="2"/>
    </xf>
    <xf numFmtId="0" fontId="4" fillId="0" borderId="0" xfId="2" applyFont="1" applyAlignment="1">
      <alignment horizontal="right"/>
    </xf>
    <xf numFmtId="3" fontId="7" fillId="18" borderId="9" xfId="2" applyNumberFormat="1" applyFont="1" applyFill="1" applyBorder="1"/>
    <xf numFmtId="3" fontId="7" fillId="4" borderId="9" xfId="2" applyNumberFormat="1" applyFont="1" applyFill="1" applyBorder="1"/>
    <xf numFmtId="3" fontId="4" fillId="4" borderId="9" xfId="2" applyNumberFormat="1" applyFont="1" applyFill="1" applyBorder="1"/>
    <xf numFmtId="164" fontId="9" fillId="4" borderId="9" xfId="1" applyNumberFormat="1" applyFont="1" applyFill="1" applyBorder="1"/>
    <xf numFmtId="164" fontId="4" fillId="4" borderId="9" xfId="1" applyNumberFormat="1" applyFont="1" applyFill="1" applyBorder="1"/>
    <xf numFmtId="9" fontId="4" fillId="0" borderId="11" xfId="4" applyFont="1" applyFill="1" applyBorder="1" applyAlignment="1">
      <alignment wrapText="1"/>
    </xf>
    <xf numFmtId="0" fontId="26" fillId="0" borderId="8" xfId="9" quotePrefix="1" applyFont="1" applyBorder="1"/>
    <xf numFmtId="9" fontId="4" fillId="0" borderId="31" xfId="4" applyFont="1" applyFill="1" applyBorder="1" applyAlignment="1">
      <alignment wrapText="1"/>
    </xf>
    <xf numFmtId="0" fontId="4" fillId="4" borderId="0" xfId="2" quotePrefix="1" applyFont="1" applyFill="1"/>
    <xf numFmtId="0" fontId="4" fillId="4" borderId="0" xfId="2" applyFont="1" applyFill="1"/>
    <xf numFmtId="49" fontId="4" fillId="4" borderId="7" xfId="2" applyNumberFormat="1" applyFont="1" applyFill="1" applyBorder="1" applyAlignment="1">
      <alignment horizontal="left" indent="2"/>
    </xf>
    <xf numFmtId="49" fontId="4" fillId="4" borderId="8" xfId="2" applyNumberFormat="1" applyFont="1" applyFill="1" applyBorder="1" applyAlignment="1">
      <alignment horizontal="left" wrapText="1" indent="4"/>
    </xf>
    <xf numFmtId="0" fontId="27" fillId="0" borderId="0" xfId="2" quotePrefix="1" applyFont="1"/>
    <xf numFmtId="3" fontId="23" fillId="0" borderId="9" xfId="2" applyNumberFormat="1" applyFont="1" applyBorder="1"/>
    <xf numFmtId="164" fontId="24" fillId="0" borderId="9" xfId="1" applyNumberFormat="1" applyFont="1" applyBorder="1"/>
    <xf numFmtId="164" fontId="22" fillId="0" borderId="9" xfId="1" applyNumberFormat="1" applyFont="1" applyBorder="1"/>
    <xf numFmtId="0" fontId="27" fillId="0" borderId="0" xfId="2" applyFont="1"/>
    <xf numFmtId="3" fontId="13" fillId="2" borderId="9" xfId="2" applyNumberFormat="1" applyFont="1" applyFill="1" applyBorder="1"/>
    <xf numFmtId="0" fontId="28" fillId="0" borderId="0" xfId="2" applyFont="1"/>
    <xf numFmtId="0" fontId="28" fillId="0" borderId="0" xfId="2" quotePrefix="1" applyFont="1"/>
    <xf numFmtId="49" fontId="14" fillId="0" borderId="7" xfId="2" applyNumberFormat="1" applyFont="1" applyBorder="1" applyAlignment="1">
      <alignment horizontal="left" indent="2"/>
    </xf>
    <xf numFmtId="49" fontId="14" fillId="0" borderId="8" xfId="2" applyNumberFormat="1" applyFont="1" applyBorder="1" applyAlignment="1">
      <alignment horizontal="left" wrapText="1" indent="4"/>
    </xf>
    <xf numFmtId="3" fontId="12" fillId="0" borderId="9" xfId="2" applyNumberFormat="1" applyFont="1" applyBorder="1"/>
    <xf numFmtId="3" fontId="14" fillId="0" borderId="9" xfId="2" applyNumberFormat="1" applyFont="1" applyBorder="1"/>
    <xf numFmtId="164" fontId="13" fillId="0" borderId="9" xfId="1" applyNumberFormat="1" applyFont="1" applyBorder="1"/>
    <xf numFmtId="164" fontId="14" fillId="0" borderId="9" xfId="1" applyNumberFormat="1" applyFont="1" applyBorder="1"/>
    <xf numFmtId="0" fontId="29" fillId="0" borderId="0" xfId="2" applyFont="1"/>
    <xf numFmtId="49" fontId="4" fillId="0" borderId="7" xfId="2" applyNumberFormat="1" applyFont="1" applyBorder="1" applyAlignment="1">
      <alignment horizontal="left" indent="3"/>
    </xf>
    <xf numFmtId="49" fontId="14" fillId="2" borderId="7" xfId="2" applyNumberFormat="1" applyFont="1" applyFill="1" applyBorder="1" applyAlignment="1">
      <alignment horizontal="left" indent="1"/>
    </xf>
    <xf numFmtId="9" fontId="18" fillId="0" borderId="9" xfId="4" applyFont="1" applyFill="1" applyBorder="1" applyAlignment="1">
      <alignment wrapText="1"/>
    </xf>
    <xf numFmtId="49" fontId="30" fillId="2" borderId="7" xfId="2" applyNumberFormat="1" applyFont="1" applyFill="1" applyBorder="1" applyAlignment="1">
      <alignment horizontal="left" indent="1"/>
    </xf>
    <xf numFmtId="49" fontId="12" fillId="2" borderId="8" xfId="2" applyNumberFormat="1" applyFont="1" applyFill="1" applyBorder="1" applyAlignment="1">
      <alignment horizontal="left" wrapText="1" indent="2"/>
    </xf>
    <xf numFmtId="0" fontId="12" fillId="0" borderId="0" xfId="2" quotePrefix="1" applyFont="1"/>
    <xf numFmtId="49" fontId="14" fillId="0" borderId="14" xfId="2" applyNumberFormat="1" applyFont="1" applyBorder="1"/>
    <xf numFmtId="49" fontId="14" fillId="0" borderId="15" xfId="2" applyNumberFormat="1" applyFont="1" applyBorder="1" applyAlignment="1">
      <alignment horizontal="right" wrapText="1"/>
    </xf>
    <xf numFmtId="3" fontId="12" fillId="0" borderId="32" xfId="2" applyNumberFormat="1" applyFont="1" applyBorder="1"/>
    <xf numFmtId="3" fontId="14" fillId="0" borderId="32" xfId="2" applyNumberFormat="1" applyFont="1" applyBorder="1"/>
    <xf numFmtId="164" fontId="13" fillId="0" borderId="32" xfId="1" applyNumberFormat="1" applyFont="1" applyBorder="1"/>
    <xf numFmtId="3" fontId="13" fillId="0" borderId="32" xfId="2" applyNumberFormat="1" applyFont="1" applyBorder="1"/>
    <xf numFmtId="164" fontId="14" fillId="0" borderId="32" xfId="1" applyNumberFormat="1" applyFont="1" applyBorder="1"/>
    <xf numFmtId="9" fontId="14" fillId="3" borderId="33" xfId="4" applyFont="1" applyFill="1" applyBorder="1"/>
    <xf numFmtId="3" fontId="12" fillId="0" borderId="34" xfId="2" applyNumberFormat="1" applyFont="1" applyBorder="1"/>
    <xf numFmtId="164" fontId="13" fillId="0" borderId="34" xfId="1" applyNumberFormat="1" applyFont="1" applyBorder="1"/>
    <xf numFmtId="164" fontId="14" fillId="0" borderId="34" xfId="1" applyNumberFormat="1" applyFont="1" applyBorder="1"/>
    <xf numFmtId="3" fontId="14" fillId="0" borderId="34" xfId="2" applyNumberFormat="1" applyFont="1" applyBorder="1"/>
    <xf numFmtId="9" fontId="4" fillId="0" borderId="34" xfId="4" applyFont="1" applyBorder="1"/>
    <xf numFmtId="49" fontId="14" fillId="3" borderId="35" xfId="2" applyNumberFormat="1" applyFont="1" applyFill="1" applyBorder="1" applyAlignment="1">
      <alignment horizontal="center"/>
    </xf>
    <xf numFmtId="49" fontId="14" fillId="3" borderId="36" xfId="2" applyNumberFormat="1" applyFont="1" applyFill="1" applyBorder="1" applyAlignment="1">
      <alignment wrapText="1"/>
    </xf>
    <xf numFmtId="3" fontId="12" fillId="3" borderId="33" xfId="2" applyNumberFormat="1" applyFont="1" applyFill="1" applyBorder="1"/>
    <xf numFmtId="164" fontId="13" fillId="3" borderId="33" xfId="1" applyNumberFormat="1" applyFont="1" applyFill="1" applyBorder="1"/>
    <xf numFmtId="164" fontId="14" fillId="3" borderId="33" xfId="1" applyNumberFormat="1" applyFont="1" applyFill="1" applyBorder="1"/>
    <xf numFmtId="3" fontId="14" fillId="3" borderId="33" xfId="2" applyNumberFormat="1" applyFont="1" applyFill="1" applyBorder="1"/>
    <xf numFmtId="0" fontId="7" fillId="0" borderId="0" xfId="2" applyFont="1" applyAlignment="1">
      <alignment horizontal="right"/>
    </xf>
    <xf numFmtId="9" fontId="4" fillId="0" borderId="0" xfId="4" applyFont="1" applyAlignment="1">
      <alignment horizontal="right"/>
    </xf>
    <xf numFmtId="0" fontId="33" fillId="0" borderId="0" xfId="10" applyFont="1"/>
    <xf numFmtId="0" fontId="34" fillId="0" borderId="0" xfId="11" applyFont="1"/>
    <xf numFmtId="0" fontId="35" fillId="0" borderId="0" xfId="10" applyFont="1"/>
    <xf numFmtId="0" fontId="36" fillId="0" borderId="0" xfId="10" applyFont="1"/>
    <xf numFmtId="0" fontId="36" fillId="0" borderId="0" xfId="10" applyFont="1" applyAlignment="1">
      <alignment horizontal="center"/>
    </xf>
    <xf numFmtId="165" fontId="33" fillId="0" borderId="0" xfId="10" applyNumberFormat="1" applyFont="1"/>
    <xf numFmtId="164" fontId="33" fillId="0" borderId="0" xfId="10" applyNumberFormat="1" applyFont="1"/>
    <xf numFmtId="0" fontId="37" fillId="0" borderId="0" xfId="12" applyFont="1"/>
    <xf numFmtId="164" fontId="36" fillId="0" borderId="0" xfId="10" applyNumberFormat="1" applyFont="1" applyAlignment="1">
      <alignment horizontal="center"/>
    </xf>
    <xf numFmtId="0" fontId="38" fillId="0" borderId="0" xfId="12" applyFont="1"/>
    <xf numFmtId="0" fontId="39" fillId="0" borderId="0" xfId="10" applyFont="1"/>
    <xf numFmtId="1" fontId="33" fillId="0" borderId="0" xfId="10" applyNumberFormat="1" applyFont="1"/>
    <xf numFmtId="0" fontId="33" fillId="0" borderId="0" xfId="10" applyFont="1" applyAlignment="1">
      <alignment horizontal="center" vertical="center"/>
    </xf>
    <xf numFmtId="0" fontId="40" fillId="0" borderId="20" xfId="10" applyFont="1" applyBorder="1" applyAlignment="1">
      <alignment horizontal="center" vertical="center"/>
    </xf>
    <xf numFmtId="0" fontId="40" fillId="0" borderId="8" xfId="10" applyFont="1" applyBorder="1" applyAlignment="1">
      <alignment horizontal="center" vertical="center" wrapText="1"/>
    </xf>
    <xf numFmtId="0" fontId="40" fillId="0" borderId="8" xfId="10" applyFont="1" applyBorder="1" applyAlignment="1">
      <alignment horizontal="center" vertical="center"/>
    </xf>
    <xf numFmtId="0" fontId="39" fillId="0" borderId="8" xfId="10" applyFont="1" applyBorder="1" applyAlignment="1">
      <alignment horizontal="center" vertical="center" wrapText="1"/>
    </xf>
    <xf numFmtId="0" fontId="36" fillId="0" borderId="8" xfId="10" applyFont="1" applyBorder="1" applyAlignment="1">
      <alignment horizontal="center" vertical="center" wrapText="1"/>
    </xf>
    <xf numFmtId="0" fontId="39" fillId="0" borderId="20" xfId="10" applyFont="1" applyBorder="1" applyAlignment="1">
      <alignment horizontal="center" vertical="center" wrapText="1"/>
    </xf>
    <xf numFmtId="0" fontId="33" fillId="0" borderId="37" xfId="10" applyFont="1" applyBorder="1" applyAlignment="1">
      <alignment horizontal="center" vertical="center"/>
    </xf>
    <xf numFmtId="0" fontId="40" fillId="0" borderId="0" xfId="10" applyFont="1"/>
    <xf numFmtId="0" fontId="40" fillId="0" borderId="37" xfId="10" applyFont="1" applyBorder="1"/>
    <xf numFmtId="0" fontId="41" fillId="0" borderId="38" xfId="10" applyFont="1" applyBorder="1"/>
    <xf numFmtId="0" fontId="41" fillId="0" borderId="37" xfId="10" applyFont="1" applyBorder="1"/>
    <xf numFmtId="0" fontId="42" fillId="0" borderId="37" xfId="10" applyFont="1" applyBorder="1"/>
    <xf numFmtId="0" fontId="43" fillId="0" borderId="37" xfId="10" applyFont="1" applyBorder="1"/>
    <xf numFmtId="164" fontId="42" fillId="0" borderId="37" xfId="13" applyNumberFormat="1" applyFont="1" applyFill="1" applyBorder="1"/>
    <xf numFmtId="164" fontId="38" fillId="0" borderId="37" xfId="13" applyNumberFormat="1" applyFont="1" applyFill="1" applyBorder="1"/>
    <xf numFmtId="166" fontId="38" fillId="0" borderId="37" xfId="13" applyNumberFormat="1" applyFont="1" applyFill="1" applyBorder="1"/>
    <xf numFmtId="164" fontId="38" fillId="0" borderId="39" xfId="13" applyNumberFormat="1" applyFont="1" applyFill="1" applyBorder="1"/>
    <xf numFmtId="164" fontId="44" fillId="0" borderId="39" xfId="13" applyNumberFormat="1" applyFont="1" applyFill="1" applyBorder="1"/>
    <xf numFmtId="164" fontId="43" fillId="0" borderId="0" xfId="10" applyNumberFormat="1" applyFont="1"/>
    <xf numFmtId="164" fontId="38" fillId="0" borderId="38" xfId="13" applyNumberFormat="1" applyFont="1" applyFill="1" applyBorder="1"/>
    <xf numFmtId="164" fontId="40" fillId="0" borderId="0" xfId="10" applyNumberFormat="1" applyFont="1"/>
    <xf numFmtId="0" fontId="33" fillId="0" borderId="40" xfId="10" applyFont="1" applyBorder="1"/>
    <xf numFmtId="0" fontId="43" fillId="0" borderId="41" xfId="10" applyFont="1" applyBorder="1"/>
    <xf numFmtId="0" fontId="41" fillId="0" borderId="40" xfId="10" applyFont="1" applyBorder="1"/>
    <xf numFmtId="0" fontId="42" fillId="0" borderId="40" xfId="10" applyFont="1" applyBorder="1"/>
    <xf numFmtId="0" fontId="43" fillId="0" borderId="40" xfId="10" applyFont="1" applyBorder="1"/>
    <xf numFmtId="164" fontId="42" fillId="0" borderId="40" xfId="13" applyNumberFormat="1" applyFont="1" applyFill="1" applyBorder="1"/>
    <xf numFmtId="164" fontId="45" fillId="0" borderId="40" xfId="13" applyNumberFormat="1" applyFont="1" applyFill="1" applyBorder="1"/>
    <xf numFmtId="166" fontId="42" fillId="0" borderId="40" xfId="13" applyNumberFormat="1" applyFont="1" applyFill="1" applyBorder="1"/>
    <xf numFmtId="164" fontId="42" fillId="0" borderId="5" xfId="13" applyNumberFormat="1" applyFont="1" applyFill="1" applyBorder="1"/>
    <xf numFmtId="164" fontId="46" fillId="0" borderId="5" xfId="13" applyNumberFormat="1" applyFont="1" applyFill="1" applyBorder="1"/>
    <xf numFmtId="164" fontId="42" fillId="0" borderId="41" xfId="13" applyNumberFormat="1" applyFont="1" applyFill="1" applyBorder="1"/>
    <xf numFmtId="166" fontId="47" fillId="0" borderId="37" xfId="13" applyNumberFormat="1" applyFont="1" applyFill="1" applyBorder="1"/>
    <xf numFmtId="0" fontId="39" fillId="0" borderId="37" xfId="10" applyFont="1" applyBorder="1"/>
    <xf numFmtId="0" fontId="38" fillId="0" borderId="38" xfId="10" applyFont="1" applyBorder="1"/>
    <xf numFmtId="0" fontId="38" fillId="0" borderId="37" xfId="10" applyFont="1" applyBorder="1"/>
    <xf numFmtId="164" fontId="42" fillId="0" borderId="0" xfId="10" applyNumberFormat="1" applyFont="1"/>
    <xf numFmtId="0" fontId="35" fillId="0" borderId="40" xfId="10" applyFont="1" applyBorder="1"/>
    <xf numFmtId="0" fontId="42" fillId="0" borderId="41" xfId="10" applyFont="1" applyBorder="1"/>
    <xf numFmtId="0" fontId="38" fillId="0" borderId="40" xfId="10" applyFont="1" applyBorder="1"/>
    <xf numFmtId="14" fontId="42" fillId="0" borderId="37" xfId="10" applyNumberFormat="1" applyFont="1" applyBorder="1"/>
    <xf numFmtId="166" fontId="45" fillId="0" borderId="37" xfId="13" applyNumberFormat="1" applyFont="1" applyFill="1" applyBorder="1"/>
    <xf numFmtId="166" fontId="42" fillId="0" borderId="37" xfId="13" applyNumberFormat="1" applyFont="1" applyFill="1" applyBorder="1"/>
    <xf numFmtId="0" fontId="38" fillId="0" borderId="41" xfId="10" applyFont="1" applyBorder="1"/>
    <xf numFmtId="0" fontId="3" fillId="0" borderId="37" xfId="10" applyFont="1" applyBorder="1"/>
    <xf numFmtId="0" fontId="48" fillId="0" borderId="38" xfId="10" applyFont="1" applyBorder="1"/>
    <xf numFmtId="0" fontId="48" fillId="0" borderId="37" xfId="10" applyFont="1" applyBorder="1"/>
    <xf numFmtId="0" fontId="49" fillId="0" borderId="37" xfId="10" applyFont="1" applyBorder="1"/>
    <xf numFmtId="14" fontId="49" fillId="0" borderId="37" xfId="10" applyNumberFormat="1" applyFont="1" applyBorder="1"/>
    <xf numFmtId="164" fontId="49" fillId="0" borderId="37" xfId="13" applyNumberFormat="1" applyFont="1" applyFill="1" applyBorder="1"/>
    <xf numFmtId="164" fontId="45" fillId="0" borderId="37" xfId="13" applyNumberFormat="1" applyFont="1" applyFill="1" applyBorder="1"/>
    <xf numFmtId="166" fontId="49" fillId="0" borderId="37" xfId="13" applyNumberFormat="1" applyFont="1" applyFill="1" applyBorder="1"/>
    <xf numFmtId="166" fontId="48" fillId="0" borderId="37" xfId="13" applyNumberFormat="1" applyFont="1" applyFill="1" applyBorder="1"/>
    <xf numFmtId="164" fontId="48" fillId="0" borderId="39" xfId="13" applyNumberFormat="1" applyFont="1" applyFill="1" applyBorder="1"/>
    <xf numFmtId="164" fontId="48" fillId="0" borderId="38" xfId="13" applyNumberFormat="1" applyFont="1" applyFill="1" applyBorder="1"/>
    <xf numFmtId="164" fontId="49" fillId="0" borderId="0" xfId="10" applyNumberFormat="1" applyFont="1"/>
    <xf numFmtId="0" fontId="1" fillId="0" borderId="0" xfId="10" applyFont="1"/>
    <xf numFmtId="164" fontId="3" fillId="0" borderId="0" xfId="10" applyNumberFormat="1" applyFont="1"/>
    <xf numFmtId="0" fontId="1" fillId="0" borderId="40" xfId="10" applyFont="1" applyBorder="1"/>
    <xf numFmtId="0" fontId="48" fillId="0" borderId="41" xfId="10" applyFont="1" applyBorder="1"/>
    <xf numFmtId="0" fontId="48" fillId="0" borderId="40" xfId="10" applyFont="1" applyBorder="1"/>
    <xf numFmtId="0" fontId="49" fillId="0" borderId="40" xfId="10" applyFont="1" applyBorder="1"/>
    <xf numFmtId="164" fontId="49" fillId="0" borderId="40" xfId="13" applyNumberFormat="1" applyFont="1" applyFill="1" applyBorder="1"/>
    <xf numFmtId="166" fontId="49" fillId="0" borderId="40" xfId="13" applyNumberFormat="1" applyFont="1" applyFill="1" applyBorder="1"/>
    <xf numFmtId="164" fontId="49" fillId="0" borderId="5" xfId="13" applyNumberFormat="1" applyFont="1" applyFill="1" applyBorder="1"/>
    <xf numFmtId="164" fontId="49" fillId="0" borderId="41" xfId="13" applyNumberFormat="1" applyFont="1" applyFill="1" applyBorder="1"/>
    <xf numFmtId="0" fontId="3" fillId="0" borderId="0" xfId="10" applyFont="1"/>
    <xf numFmtId="164" fontId="38" fillId="0" borderId="0" xfId="10" applyNumberFormat="1" applyFont="1"/>
    <xf numFmtId="164" fontId="39" fillId="0" borderId="0" xfId="10" applyNumberFormat="1" applyFont="1"/>
    <xf numFmtId="0" fontId="39" fillId="0" borderId="40" xfId="10" applyFont="1" applyBorder="1"/>
    <xf numFmtId="164" fontId="38" fillId="0" borderId="40" xfId="13" applyNumberFormat="1" applyFont="1" applyFill="1" applyBorder="1"/>
    <xf numFmtId="166" fontId="38" fillId="0" borderId="40" xfId="13" applyNumberFormat="1" applyFont="1" applyFill="1" applyBorder="1"/>
    <xf numFmtId="164" fontId="42" fillId="0" borderId="40" xfId="10" applyNumberFormat="1" applyFont="1" applyBorder="1"/>
    <xf numFmtId="0" fontId="42" fillId="16" borderId="37" xfId="10" applyFont="1" applyFill="1" applyBorder="1"/>
    <xf numFmtId="164" fontId="42" fillId="0" borderId="0" xfId="13" applyNumberFormat="1" applyFont="1" applyFill="1" applyBorder="1"/>
    <xf numFmtId="166" fontId="42" fillId="0" borderId="0" xfId="13" applyNumberFormat="1" applyFont="1" applyFill="1" applyBorder="1"/>
    <xf numFmtId="164" fontId="50" fillId="0" borderId="40" xfId="10" applyNumberFormat="1" applyFont="1" applyBorder="1"/>
    <xf numFmtId="164" fontId="16" fillId="0" borderId="0" xfId="13" applyNumberFormat="1" applyFill="1"/>
    <xf numFmtId="0" fontId="40" fillId="0" borderId="0" xfId="10" applyFont="1" applyAlignment="1">
      <alignment horizontal="right"/>
    </xf>
    <xf numFmtId="166" fontId="40" fillId="0" borderId="0" xfId="10" applyNumberFormat="1" applyFont="1"/>
    <xf numFmtId="166" fontId="38" fillId="0" borderId="0" xfId="13" applyNumberFormat="1" applyFont="1" applyFill="1" applyBorder="1" applyAlignment="1">
      <alignment horizontal="right"/>
    </xf>
    <xf numFmtId="166" fontId="42" fillId="0" borderId="0" xfId="13" applyNumberFormat="1" applyFont="1" applyFill="1" applyBorder="1" applyAlignment="1">
      <alignment horizontal="right"/>
    </xf>
    <xf numFmtId="164" fontId="39" fillId="0" borderId="5" xfId="10" applyNumberFormat="1" applyFont="1" applyBorder="1"/>
    <xf numFmtId="167" fontId="51" fillId="0" borderId="0" xfId="14" applyNumberFormat="1" applyFont="1"/>
    <xf numFmtId="164" fontId="51" fillId="0" borderId="0" xfId="10" applyNumberFormat="1" applyFont="1"/>
    <xf numFmtId="164" fontId="35" fillId="0" borderId="0" xfId="10" applyNumberFormat="1" applyFont="1"/>
    <xf numFmtId="164" fontId="52" fillId="0" borderId="0" xfId="13" applyNumberFormat="1" applyFont="1" applyFill="1"/>
    <xf numFmtId="166" fontId="38" fillId="0" borderId="42" xfId="13" applyNumberFormat="1" applyFont="1" applyFill="1" applyBorder="1"/>
    <xf numFmtId="0" fontId="41" fillId="0" borderId="0" xfId="10" applyFont="1"/>
    <xf numFmtId="166" fontId="42" fillId="0" borderId="43" xfId="13" applyNumberFormat="1" applyFont="1" applyFill="1" applyBorder="1"/>
    <xf numFmtId="0" fontId="43" fillId="0" borderId="0" xfId="10" applyFont="1"/>
    <xf numFmtId="14" fontId="43" fillId="0" borderId="37" xfId="10" applyNumberFormat="1" applyFont="1" applyBorder="1"/>
    <xf numFmtId="0" fontId="38" fillId="0" borderId="0" xfId="10" applyFont="1"/>
    <xf numFmtId="0" fontId="38" fillId="0" borderId="0" xfId="10" applyFont="1" applyAlignment="1">
      <alignment horizontal="right"/>
    </xf>
    <xf numFmtId="164" fontId="38" fillId="0" borderId="5" xfId="10" applyNumberFormat="1" applyFont="1" applyBorder="1"/>
    <xf numFmtId="164" fontId="38" fillId="0" borderId="8" xfId="13" applyNumberFormat="1" applyFont="1" applyFill="1" applyBorder="1"/>
    <xf numFmtId="164" fontId="38" fillId="0" borderId="8" xfId="10" applyNumberFormat="1" applyFont="1" applyBorder="1"/>
    <xf numFmtId="0" fontId="35" fillId="0" borderId="0" xfId="12" applyFont="1" applyAlignment="1">
      <alignment horizontal="right"/>
    </xf>
    <xf numFmtId="164" fontId="35" fillId="0" borderId="44" xfId="10" applyNumberFormat="1" applyFont="1" applyBorder="1"/>
    <xf numFmtId="164" fontId="38" fillId="0" borderId="44" xfId="13" applyNumberFormat="1" applyFont="1" applyFill="1" applyBorder="1"/>
    <xf numFmtId="164" fontId="42" fillId="0" borderId="44" xfId="13" applyNumberFormat="1" applyFont="1" applyFill="1" applyBorder="1"/>
    <xf numFmtId="0" fontId="39" fillId="0" borderId="0" xfId="10" applyFont="1" applyAlignment="1">
      <alignment horizontal="right"/>
    </xf>
    <xf numFmtId="164" fontId="39" fillId="0" borderId="8" xfId="10" applyNumberFormat="1" applyFont="1" applyBorder="1"/>
    <xf numFmtId="168" fontId="39" fillId="0" borderId="8" xfId="8" applyNumberFormat="1" applyFont="1" applyFill="1" applyBorder="1"/>
    <xf numFmtId="168" fontId="39" fillId="0" borderId="0" xfId="8" applyNumberFormat="1" applyFont="1" applyFill="1"/>
    <xf numFmtId="0" fontId="53" fillId="0" borderId="0" xfId="12" applyFont="1" applyAlignment="1">
      <alignment horizontal="right"/>
    </xf>
    <xf numFmtId="164" fontId="54" fillId="16" borderId="0" xfId="13" applyNumberFormat="1" applyFont="1" applyFill="1"/>
    <xf numFmtId="168" fontId="2" fillId="0" borderId="0" xfId="8" applyNumberFormat="1" applyFont="1" applyFill="1"/>
    <xf numFmtId="164" fontId="45" fillId="0" borderId="0" xfId="13" applyNumberFormat="1" applyFont="1" applyFill="1"/>
    <xf numFmtId="9" fontId="7" fillId="0" borderId="9" xfId="4" applyFont="1" applyBorder="1" applyAlignment="1">
      <alignment wrapText="1"/>
    </xf>
    <xf numFmtId="9" fontId="7" fillId="2" borderId="9" xfId="4" applyFont="1" applyFill="1" applyBorder="1" applyAlignment="1">
      <alignment wrapText="1"/>
    </xf>
    <xf numFmtId="9" fontId="4" fillId="0" borderId="19" xfId="4" applyFont="1" applyFill="1" applyBorder="1" applyAlignment="1">
      <alignment horizontal="left"/>
    </xf>
    <xf numFmtId="9" fontId="4" fillId="0" borderId="12" xfId="4" applyFont="1" applyFill="1" applyBorder="1" applyAlignment="1">
      <alignment horizontal="left"/>
    </xf>
    <xf numFmtId="0" fontId="11" fillId="0" borderId="0" xfId="3" applyFont="1"/>
    <xf numFmtId="0" fontId="1" fillId="0" borderId="0" xfId="2"/>
    <xf numFmtId="9" fontId="4" fillId="0" borderId="11" xfId="4" applyFont="1" applyFill="1" applyBorder="1" applyAlignment="1">
      <alignment horizontal="left" wrapText="1"/>
    </xf>
    <xf numFmtId="9" fontId="4" fillId="0" borderId="12" xfId="4" applyFont="1" applyFill="1" applyBorder="1" applyAlignment="1">
      <alignment horizontal="left" wrapText="1"/>
    </xf>
    <xf numFmtId="0" fontId="5" fillId="0" borderId="0" xfId="3" applyFont="1"/>
  </cellXfs>
  <cellStyles count="15">
    <cellStyle name="Comma 2" xfId="13" xr:uid="{B6A8896E-DB00-4BC8-95EB-B2C2302F3B1C}"/>
    <cellStyle name="Hipersaite" xfId="6" builtinId="8"/>
    <cellStyle name="Komats" xfId="1" builtinId="3"/>
    <cellStyle name="Komats 10" xfId="5" xr:uid="{2FE70196-23E6-4E37-927D-08093ABB0FAC}"/>
    <cellStyle name="Komats 2" xfId="14" xr:uid="{F0AEED20-E767-410A-A4B3-901073434DAF}"/>
    <cellStyle name="Normal 2 2" xfId="7" xr:uid="{4E6BE321-7AF9-4739-A351-490A17902B01}"/>
    <cellStyle name="Normal 2 2 2" xfId="10" xr:uid="{B48DC240-8FEC-43A0-A8AA-A09C5FB4FC67}"/>
    <cellStyle name="Normal 4" xfId="12" xr:uid="{C8AB54D2-2452-4E70-B410-9DFE4D79E590}"/>
    <cellStyle name="Parasts" xfId="0" builtinId="0"/>
    <cellStyle name="Parasts 2 2 2 2 3" xfId="11" xr:uid="{874150A2-38A2-48DF-9B0C-9F9A0F0332D3}"/>
    <cellStyle name="Parasts 2 2 5" xfId="2" xr:uid="{D35A2FD5-6A43-4458-A8B7-C54707A9E19E}"/>
    <cellStyle name="Parasts 2 2 5 2" xfId="3" xr:uid="{F10E65B2-08E9-4C44-8BF2-5D72A7599BFC}"/>
    <cellStyle name="Parasts 2 5" xfId="9" xr:uid="{AE8F5904-B012-4926-A6BC-70B16CBE10E7}"/>
    <cellStyle name="Percent 4" xfId="8" xr:uid="{B2E80A19-C98F-404D-AC5E-63E0DCF06CAC}"/>
    <cellStyle name="Procenti 2 3" xfId="4" xr:uid="{CDCE3D67-17E6-46FD-A763-090D34A77722}"/>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armite.Muze\Nextcloud\Finansu%20nodala%20kopmape\2026\05_2026\1_Budzets_2026_21012026_Maijs.xlsx" TargetMode="External"/><Relationship Id="rId1" Type="http://schemas.openxmlformats.org/officeDocument/2006/relationships/externalLinkPath" Target="file:///C:\Users\Sarmite.Muze\Nextcloud\Finansu%20nodala%20kopmape\2026\05_2026\1_Budzets_2026_21012026_Maij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
      <sheetName val="IIN_PFIF"/>
      <sheetName val="Faila apraksts"/>
      <sheetName val="BAZE_2026"/>
      <sheetName val="INPUT"/>
      <sheetName val="Ieņēmumi"/>
      <sheetName val="Investīcijas_2026"/>
      <sheetName val="GRAF"/>
      <sheetName val="Tames"/>
      <sheetName val="2025_izpilde"/>
      <sheetName val="Komentāri_statuss2026"/>
      <sheetName val="2026.gada budzeta plans_apvieno"/>
      <sheetName val="Grafiki_budžeta_izpilde"/>
      <sheetName val="Grafiki_SNOT"/>
      <sheetName val="KA_31122025"/>
      <sheetName val="KA_31122024"/>
      <sheetName val="Brivpusdienas"/>
      <sheetName val="0110_tames"/>
      <sheetName val="0630_Iveta Budzets 2026"/>
      <sheetName val="0812_Pasākumi"/>
      <sheetName val="0841.1 Gaujas svetki"/>
      <sheetName val="0841.1 kulises_aprēķins"/>
      <sheetName val=" 0930_Tāmes"/>
      <sheetName val="0930.2_Tāmes "/>
      <sheetName val="0940_Tames"/>
      <sheetName val="0950_0981_Inventars"/>
      <sheetName val="0950 AVS 40 gadi"/>
      <sheetName val="0950 Rūta 35"/>
      <sheetName val="0982_tames"/>
      <sheetName val="0990_tames"/>
      <sheetName val="1010_tames"/>
      <sheetName val="Grafiki_2024"/>
      <sheetName val="Investicijas_2023_2026"/>
      <sheetName val="Algas_2026"/>
      <sheetName val="EKK"/>
      <sheetName val="5.piel.EKK"/>
      <sheetName val="Deputāti"/>
      <sheetName val="dep 2026"/>
      <sheetName val="Velesanu_komis"/>
      <sheetName val="Adm_komisija"/>
      <sheetName val="Iepirk_komisija"/>
      <sheetName val="Komisijas"/>
    </sheetNames>
    <sheetDataSet>
      <sheetData sheetId="0"/>
      <sheetData sheetId="1"/>
      <sheetData sheetId="2"/>
      <sheetData sheetId="3">
        <row r="5">
          <cell r="G5">
            <v>42599718</v>
          </cell>
        </row>
        <row r="8">
          <cell r="G8">
            <v>1945590.9982352939</v>
          </cell>
        </row>
        <row r="9">
          <cell r="G9">
            <v>101202</v>
          </cell>
        </row>
        <row r="11">
          <cell r="G11">
            <v>392303.99941176467</v>
          </cell>
        </row>
        <row r="12">
          <cell r="G12">
            <v>54624</v>
          </cell>
        </row>
        <row r="14">
          <cell r="G14">
            <v>670098.99529411772</v>
          </cell>
        </row>
        <row r="15">
          <cell r="G15">
            <v>60185</v>
          </cell>
        </row>
        <row r="17">
          <cell r="G17">
            <v>5000</v>
          </cell>
        </row>
        <row r="21">
          <cell r="G21">
            <v>38727.72</v>
          </cell>
        </row>
        <row r="22">
          <cell r="G22">
            <v>0</v>
          </cell>
        </row>
        <row r="28">
          <cell r="G28">
            <v>355000</v>
          </cell>
        </row>
        <row r="32">
          <cell r="G32">
            <v>12318</v>
          </cell>
        </row>
        <row r="33">
          <cell r="G33">
            <v>162800</v>
          </cell>
        </row>
        <row r="36">
          <cell r="G36">
            <v>236911.78</v>
          </cell>
        </row>
        <row r="37">
          <cell r="G37">
            <v>103000</v>
          </cell>
        </row>
        <row r="39">
          <cell r="G39">
            <v>108535</v>
          </cell>
        </row>
        <row r="40">
          <cell r="G40">
            <v>2000</v>
          </cell>
        </row>
        <row r="41">
          <cell r="G41">
            <v>90000</v>
          </cell>
        </row>
        <row r="64">
          <cell r="G64">
            <v>2212727.3495767009</v>
          </cell>
        </row>
        <row r="69">
          <cell r="G69">
            <v>339144.07014400006</v>
          </cell>
        </row>
        <row r="70">
          <cell r="G70">
            <v>43957.508800000003</v>
          </cell>
        </row>
        <row r="75">
          <cell r="G75">
            <v>45157.195200000002</v>
          </cell>
        </row>
        <row r="76">
          <cell r="G76">
            <v>10035</v>
          </cell>
        </row>
        <row r="77">
          <cell r="G77">
            <v>16343.5416</v>
          </cell>
        </row>
        <row r="80">
          <cell r="G80">
            <v>1402431</v>
          </cell>
        </row>
        <row r="81">
          <cell r="G81">
            <v>7376681</v>
          </cell>
        </row>
        <row r="82">
          <cell r="G82">
            <v>470829.77775500005</v>
          </cell>
        </row>
        <row r="87">
          <cell r="G87">
            <v>1176624.5502102957</v>
          </cell>
        </row>
        <row r="93">
          <cell r="G93">
            <v>196188.72003630002</v>
          </cell>
        </row>
        <row r="96">
          <cell r="G96">
            <v>35766.883000000002</v>
          </cell>
        </row>
        <row r="107">
          <cell r="G107">
            <v>70000</v>
          </cell>
        </row>
        <row r="108">
          <cell r="G108">
            <v>81528.099960000007</v>
          </cell>
        </row>
        <row r="109">
          <cell r="G109">
            <v>356794.14234167995</v>
          </cell>
        </row>
        <row r="114">
          <cell r="G114">
            <v>478784.73851270002</v>
          </cell>
        </row>
        <row r="125">
          <cell r="G125">
            <v>291215.77191479993</v>
          </cell>
        </row>
        <row r="130">
          <cell r="G130">
            <v>209418.00219655002</v>
          </cell>
        </row>
        <row r="135">
          <cell r="G135">
            <v>210654.76799999998</v>
          </cell>
        </row>
        <row r="139">
          <cell r="G139">
            <v>5125848.62</v>
          </cell>
        </row>
        <row r="146">
          <cell r="G146">
            <v>483268</v>
          </cell>
        </row>
        <row r="158">
          <cell r="G158">
            <v>505245.31177860021</v>
          </cell>
        </row>
        <row r="165">
          <cell r="G165">
            <v>298403.48484048498</v>
          </cell>
        </row>
        <row r="172">
          <cell r="G172">
            <v>162922.30499610002</v>
          </cell>
        </row>
        <row r="177">
          <cell r="G177">
            <v>77819.794303670002</v>
          </cell>
        </row>
        <row r="182">
          <cell r="G182">
            <v>616696.74413639004</v>
          </cell>
        </row>
        <row r="186">
          <cell r="G186">
            <v>324250</v>
          </cell>
        </row>
        <row r="192">
          <cell r="G192">
            <v>190846.13068499998</v>
          </cell>
        </row>
        <row r="198">
          <cell r="G198">
            <v>38448.979999999996</v>
          </cell>
        </row>
        <row r="204">
          <cell r="G204">
            <v>19228.173900000002</v>
          </cell>
        </row>
        <row r="217">
          <cell r="G217">
            <v>1960815.87565216</v>
          </cell>
        </row>
        <row r="220">
          <cell r="G220">
            <v>1228999</v>
          </cell>
        </row>
        <row r="222">
          <cell r="G222">
            <v>1767</v>
          </cell>
        </row>
        <row r="226">
          <cell r="G226">
            <v>51371.453300000001</v>
          </cell>
        </row>
        <row r="229">
          <cell r="G229">
            <v>424883.80452180997</v>
          </cell>
        </row>
        <row r="232">
          <cell r="G232">
            <v>11649</v>
          </cell>
        </row>
        <row r="235">
          <cell r="G235">
            <v>1000</v>
          </cell>
        </row>
        <row r="238">
          <cell r="G238">
            <v>167398.67136832001</v>
          </cell>
        </row>
        <row r="250">
          <cell r="G250">
            <v>800000</v>
          </cell>
        </row>
        <row r="251">
          <cell r="G251">
            <v>2028795.1654177664</v>
          </cell>
        </row>
        <row r="254">
          <cell r="G254">
            <v>337000</v>
          </cell>
        </row>
        <row r="259">
          <cell r="G259">
            <v>1290852.60840098</v>
          </cell>
        </row>
        <row r="262">
          <cell r="G262">
            <v>229039</v>
          </cell>
        </row>
        <row r="267">
          <cell r="G267">
            <v>1551392.5447528549</v>
          </cell>
        </row>
        <row r="270">
          <cell r="G270">
            <v>228960</v>
          </cell>
        </row>
        <row r="275">
          <cell r="G275">
            <v>1378286.1722946241</v>
          </cell>
        </row>
        <row r="278">
          <cell r="G278">
            <v>176322</v>
          </cell>
        </row>
        <row r="282">
          <cell r="G282">
            <v>188192.33701575996</v>
          </cell>
        </row>
        <row r="285">
          <cell r="G285">
            <v>17871</v>
          </cell>
        </row>
        <row r="290">
          <cell r="G290">
            <v>631048.16</v>
          </cell>
        </row>
        <row r="293">
          <cell r="G293">
            <v>2381500</v>
          </cell>
        </row>
        <row r="294">
          <cell r="G294">
            <v>285300</v>
          </cell>
        </row>
        <row r="295">
          <cell r="G295">
            <v>805390.33000000007</v>
          </cell>
        </row>
        <row r="298">
          <cell r="G298">
            <v>385101</v>
          </cell>
        </row>
        <row r="303">
          <cell r="G303">
            <v>1038752.1955473166</v>
          </cell>
        </row>
        <row r="306">
          <cell r="G306">
            <v>329532</v>
          </cell>
        </row>
        <row r="315">
          <cell r="G315">
            <v>1760475.2350305999</v>
          </cell>
        </row>
        <row r="318">
          <cell r="G318">
            <v>611254</v>
          </cell>
        </row>
        <row r="327">
          <cell r="G327">
            <v>1102719.2991771204</v>
          </cell>
        </row>
        <row r="335">
          <cell r="G335">
            <v>544212.22812243586</v>
          </cell>
        </row>
        <row r="341">
          <cell r="G341">
            <v>358299.26008769998</v>
          </cell>
        </row>
        <row r="348">
          <cell r="G348">
            <v>14703</v>
          </cell>
        </row>
        <row r="356">
          <cell r="G356">
            <v>3907497</v>
          </cell>
        </row>
      </sheetData>
      <sheetData sheetId="4"/>
      <sheetData sheetId="5">
        <row r="3">
          <cell r="R3" t="str">
            <v>Row Labels</v>
          </cell>
        </row>
        <row r="4">
          <cell r="L4">
            <v>-947155</v>
          </cell>
        </row>
        <row r="68">
          <cell r="K68">
            <v>70000</v>
          </cell>
        </row>
      </sheetData>
      <sheetData sheetId="6">
        <row r="18">
          <cell r="L18">
            <v>3923667.7333333334</v>
          </cell>
        </row>
        <row r="19">
          <cell r="L19">
            <v>150304.4939201111</v>
          </cell>
        </row>
        <row r="29">
          <cell r="L29">
            <v>11274865.470542617</v>
          </cell>
          <cell r="M29">
            <v>10307001.549000002</v>
          </cell>
        </row>
        <row r="30">
          <cell r="L30">
            <v>30420</v>
          </cell>
        </row>
        <row r="32">
          <cell r="L32">
            <v>0</v>
          </cell>
        </row>
        <row r="91">
          <cell r="L91">
            <v>888703</v>
          </cell>
        </row>
        <row r="386">
          <cell r="L386">
            <v>0</v>
          </cell>
        </row>
        <row r="387">
          <cell r="L387">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C7871-F1C1-4566-BDE6-C23CB2F7D105}">
  <sheetPr>
    <tabColor rgb="FF92D050"/>
  </sheetPr>
  <dimension ref="A1:T316"/>
  <sheetViews>
    <sheetView tabSelected="1" zoomScale="106" zoomScaleNormal="106" zoomScaleSheetLayoutView="80" workbookViewId="0">
      <pane xSplit="4" ySplit="5" topLeftCell="N174" activePane="bottomRight" state="frozen"/>
      <selection activeCell="C1" sqref="C1"/>
      <selection pane="topRight" activeCell="E1" sqref="E1"/>
      <selection pane="bottomLeft" activeCell="C6" sqref="C6"/>
      <selection pane="bottomRight" activeCell="T260" sqref="T260"/>
    </sheetView>
  </sheetViews>
  <sheetFormatPr defaultRowHeight="15" outlineLevelRow="1" outlineLevelCol="2" x14ac:dyDescent="0.25"/>
  <cols>
    <col min="1" max="1" width="7" style="1" hidden="1" customWidth="1" outlineLevel="2"/>
    <col min="2" max="2" width="10.140625" style="1" hidden="1" customWidth="1" outlineLevel="2"/>
    <col min="3" max="3" width="13.28515625" style="159" customWidth="1" collapsed="1"/>
    <col min="4" max="4" width="39.140625" style="8" customWidth="1"/>
    <col min="5" max="5" width="13.28515625" style="102" hidden="1" customWidth="1" outlineLevel="1"/>
    <col min="6" max="6" width="14.7109375" style="102" hidden="1" customWidth="1" outlineLevel="1"/>
    <col min="7" max="11" width="13.28515625" style="102" hidden="1" customWidth="1" outlineLevel="1"/>
    <col min="12" max="13" width="13.28515625" style="11" hidden="1" customWidth="1" outlineLevel="1"/>
    <col min="14" max="15" width="13.28515625" style="12" customWidth="1" collapsed="1"/>
    <col min="16" max="16" width="13.28515625" style="1" hidden="1" customWidth="1" outlineLevel="1"/>
    <col min="17" max="17" width="45.28515625" style="21" hidden="1" customWidth="1" outlineLevel="1" collapsed="1"/>
    <col min="18" max="18" width="13.28515625" style="12" customWidth="1" collapsed="1"/>
    <col min="19" max="19" width="13.28515625" style="1" customWidth="1"/>
    <col min="20" max="20" width="94.7109375" style="21" customWidth="1" collapsed="1"/>
    <col min="21" max="177" width="8.85546875" style="1"/>
    <col min="178" max="179" width="0" style="1" hidden="1" customWidth="1"/>
    <col min="180" max="180" width="12.28515625" style="1" customWidth="1"/>
    <col min="181" max="181" width="47" style="1" customWidth="1"/>
    <col min="182" max="221" width="0" style="1" hidden="1" customWidth="1"/>
    <col min="222" max="223" width="13.28515625" style="1" customWidth="1"/>
    <col min="224" max="225" width="0" style="1" hidden="1" customWidth="1"/>
    <col min="226" max="226" width="13.28515625" style="1" customWidth="1"/>
    <col min="227" max="228" width="0" style="1" hidden="1" customWidth="1"/>
    <col min="229" max="229" width="13.28515625" style="1" customWidth="1"/>
    <col min="230" max="231" width="0" style="1" hidden="1" customWidth="1"/>
    <col min="232" max="232" width="13.28515625" style="1" customWidth="1"/>
    <col min="233" max="234" width="0" style="1" hidden="1" customWidth="1"/>
    <col min="235" max="235" width="13.28515625" style="1" customWidth="1"/>
    <col min="236" max="237" width="0" style="1" hidden="1" customWidth="1"/>
    <col min="238" max="239" width="13.28515625" style="1" customWidth="1"/>
    <col min="240" max="240" width="39.42578125" style="1" customWidth="1"/>
    <col min="241" max="245" width="13.28515625" style="1" customWidth="1"/>
    <col min="246" max="246" width="56.7109375" style="1" customWidth="1"/>
    <col min="247" max="247" width="11.7109375" style="1" customWidth="1"/>
    <col min="248" max="433" width="8.85546875" style="1"/>
    <col min="434" max="435" width="0" style="1" hidden="1" customWidth="1"/>
    <col min="436" max="436" width="12.28515625" style="1" customWidth="1"/>
    <col min="437" max="437" width="47" style="1" customWidth="1"/>
    <col min="438" max="477" width="0" style="1" hidden="1" customWidth="1"/>
    <col min="478" max="479" width="13.28515625" style="1" customWidth="1"/>
    <col min="480" max="481" width="0" style="1" hidden="1" customWidth="1"/>
    <col min="482" max="482" width="13.28515625" style="1" customWidth="1"/>
    <col min="483" max="484" width="0" style="1" hidden="1" customWidth="1"/>
    <col min="485" max="485" width="13.28515625" style="1" customWidth="1"/>
    <col min="486" max="487" width="0" style="1" hidden="1" customWidth="1"/>
    <col min="488" max="488" width="13.28515625" style="1" customWidth="1"/>
    <col min="489" max="490" width="0" style="1" hidden="1" customWidth="1"/>
    <col min="491" max="491" width="13.28515625" style="1" customWidth="1"/>
    <col min="492" max="493" width="0" style="1" hidden="1" customWidth="1"/>
    <col min="494" max="495" width="13.28515625" style="1" customWidth="1"/>
    <col min="496" max="496" width="39.42578125" style="1" customWidth="1"/>
    <col min="497" max="501" width="13.28515625" style="1" customWidth="1"/>
    <col min="502" max="502" width="56.7109375" style="1" customWidth="1"/>
    <col min="503" max="503" width="11.7109375" style="1" customWidth="1"/>
    <col min="504" max="689" width="8.85546875" style="1"/>
    <col min="690" max="691" width="0" style="1" hidden="1" customWidth="1"/>
    <col min="692" max="692" width="12.28515625" style="1" customWidth="1"/>
    <col min="693" max="693" width="47" style="1" customWidth="1"/>
    <col min="694" max="733" width="0" style="1" hidden="1" customWidth="1"/>
    <col min="734" max="735" width="13.28515625" style="1" customWidth="1"/>
    <col min="736" max="737" width="0" style="1" hidden="1" customWidth="1"/>
    <col min="738" max="738" width="13.28515625" style="1" customWidth="1"/>
    <col min="739" max="740" width="0" style="1" hidden="1" customWidth="1"/>
    <col min="741" max="741" width="13.28515625" style="1" customWidth="1"/>
    <col min="742" max="743" width="0" style="1" hidden="1" customWidth="1"/>
    <col min="744" max="744" width="13.28515625" style="1" customWidth="1"/>
    <col min="745" max="746" width="0" style="1" hidden="1" customWidth="1"/>
    <col min="747" max="747" width="13.28515625" style="1" customWidth="1"/>
    <col min="748" max="749" width="0" style="1" hidden="1" customWidth="1"/>
    <col min="750" max="751" width="13.28515625" style="1" customWidth="1"/>
    <col min="752" max="752" width="39.42578125" style="1" customWidth="1"/>
    <col min="753" max="757" width="13.28515625" style="1" customWidth="1"/>
    <col min="758" max="758" width="56.7109375" style="1" customWidth="1"/>
    <col min="759" max="759" width="11.7109375" style="1" customWidth="1"/>
    <col min="760" max="945" width="8.85546875" style="1"/>
    <col min="946" max="947" width="0" style="1" hidden="1" customWidth="1"/>
    <col min="948" max="948" width="12.28515625" style="1" customWidth="1"/>
    <col min="949" max="949" width="47" style="1" customWidth="1"/>
    <col min="950" max="989" width="0" style="1" hidden="1" customWidth="1"/>
    <col min="990" max="991" width="13.28515625" style="1" customWidth="1"/>
    <col min="992" max="993" width="0" style="1" hidden="1" customWidth="1"/>
    <col min="994" max="994" width="13.28515625" style="1" customWidth="1"/>
    <col min="995" max="996" width="0" style="1" hidden="1" customWidth="1"/>
    <col min="997" max="997" width="13.28515625" style="1" customWidth="1"/>
    <col min="998" max="999" width="0" style="1" hidden="1" customWidth="1"/>
    <col min="1000" max="1000" width="13.28515625" style="1" customWidth="1"/>
    <col min="1001" max="1002" width="0" style="1" hidden="1" customWidth="1"/>
    <col min="1003" max="1003" width="13.28515625" style="1" customWidth="1"/>
    <col min="1004" max="1005" width="0" style="1" hidden="1" customWidth="1"/>
    <col min="1006" max="1007" width="13.28515625" style="1" customWidth="1"/>
    <col min="1008" max="1008" width="39.42578125" style="1" customWidth="1"/>
    <col min="1009" max="1013" width="13.28515625" style="1" customWidth="1"/>
    <col min="1014" max="1014" width="56.7109375" style="1" customWidth="1"/>
    <col min="1015" max="1015" width="11.7109375" style="1" customWidth="1"/>
    <col min="1016" max="1201" width="8.85546875" style="1"/>
    <col min="1202" max="1203" width="0" style="1" hidden="1" customWidth="1"/>
    <col min="1204" max="1204" width="12.28515625" style="1" customWidth="1"/>
    <col min="1205" max="1205" width="47" style="1" customWidth="1"/>
    <col min="1206" max="1245" width="0" style="1" hidden="1" customWidth="1"/>
    <col min="1246" max="1247" width="13.28515625" style="1" customWidth="1"/>
    <col min="1248" max="1249" width="0" style="1" hidden="1" customWidth="1"/>
    <col min="1250" max="1250" width="13.28515625" style="1" customWidth="1"/>
    <col min="1251" max="1252" width="0" style="1" hidden="1" customWidth="1"/>
    <col min="1253" max="1253" width="13.28515625" style="1" customWidth="1"/>
    <col min="1254" max="1255" width="0" style="1" hidden="1" customWidth="1"/>
    <col min="1256" max="1256" width="13.28515625" style="1" customWidth="1"/>
    <col min="1257" max="1258" width="0" style="1" hidden="1" customWidth="1"/>
    <col min="1259" max="1259" width="13.28515625" style="1" customWidth="1"/>
    <col min="1260" max="1261" width="0" style="1" hidden="1" customWidth="1"/>
    <col min="1262" max="1263" width="13.28515625" style="1" customWidth="1"/>
    <col min="1264" max="1264" width="39.42578125" style="1" customWidth="1"/>
    <col min="1265" max="1269" width="13.28515625" style="1" customWidth="1"/>
    <col min="1270" max="1270" width="56.7109375" style="1" customWidth="1"/>
    <col min="1271" max="1271" width="11.7109375" style="1" customWidth="1"/>
    <col min="1272" max="1457" width="8.85546875" style="1"/>
    <col min="1458" max="1459" width="0" style="1" hidden="1" customWidth="1"/>
    <col min="1460" max="1460" width="12.28515625" style="1" customWidth="1"/>
    <col min="1461" max="1461" width="47" style="1" customWidth="1"/>
    <col min="1462" max="1501" width="0" style="1" hidden="1" customWidth="1"/>
    <col min="1502" max="1503" width="13.28515625" style="1" customWidth="1"/>
    <col min="1504" max="1505" width="0" style="1" hidden="1" customWidth="1"/>
    <col min="1506" max="1506" width="13.28515625" style="1" customWidth="1"/>
    <col min="1507" max="1508" width="0" style="1" hidden="1" customWidth="1"/>
    <col min="1509" max="1509" width="13.28515625" style="1" customWidth="1"/>
    <col min="1510" max="1511" width="0" style="1" hidden="1" customWidth="1"/>
    <col min="1512" max="1512" width="13.28515625" style="1" customWidth="1"/>
    <col min="1513" max="1514" width="0" style="1" hidden="1" customWidth="1"/>
    <col min="1515" max="1515" width="13.28515625" style="1" customWidth="1"/>
    <col min="1516" max="1517" width="0" style="1" hidden="1" customWidth="1"/>
    <col min="1518" max="1519" width="13.28515625" style="1" customWidth="1"/>
    <col min="1520" max="1520" width="39.42578125" style="1" customWidth="1"/>
    <col min="1521" max="1525" width="13.28515625" style="1" customWidth="1"/>
    <col min="1526" max="1526" width="56.7109375" style="1" customWidth="1"/>
    <col min="1527" max="1527" width="11.7109375" style="1" customWidth="1"/>
    <col min="1528" max="1713" width="8.85546875" style="1"/>
    <col min="1714" max="1715" width="0" style="1" hidden="1" customWidth="1"/>
    <col min="1716" max="1716" width="12.28515625" style="1" customWidth="1"/>
    <col min="1717" max="1717" width="47" style="1" customWidth="1"/>
    <col min="1718" max="1757" width="0" style="1" hidden="1" customWidth="1"/>
    <col min="1758" max="1759" width="13.28515625" style="1" customWidth="1"/>
    <col min="1760" max="1761" width="0" style="1" hidden="1" customWidth="1"/>
    <col min="1762" max="1762" width="13.28515625" style="1" customWidth="1"/>
    <col min="1763" max="1764" width="0" style="1" hidden="1" customWidth="1"/>
    <col min="1765" max="1765" width="13.28515625" style="1" customWidth="1"/>
    <col min="1766" max="1767" width="0" style="1" hidden="1" customWidth="1"/>
    <col min="1768" max="1768" width="13.28515625" style="1" customWidth="1"/>
    <col min="1769" max="1770" width="0" style="1" hidden="1" customWidth="1"/>
    <col min="1771" max="1771" width="13.28515625" style="1" customWidth="1"/>
    <col min="1772" max="1773" width="0" style="1" hidden="1" customWidth="1"/>
    <col min="1774" max="1775" width="13.28515625" style="1" customWidth="1"/>
    <col min="1776" max="1776" width="39.42578125" style="1" customWidth="1"/>
    <col min="1777" max="1781" width="13.28515625" style="1" customWidth="1"/>
    <col min="1782" max="1782" width="56.7109375" style="1" customWidth="1"/>
    <col min="1783" max="1783" width="11.7109375" style="1" customWidth="1"/>
    <col min="1784" max="1969" width="8.85546875" style="1"/>
    <col min="1970" max="1971" width="0" style="1" hidden="1" customWidth="1"/>
    <col min="1972" max="1972" width="12.28515625" style="1" customWidth="1"/>
    <col min="1973" max="1973" width="47" style="1" customWidth="1"/>
    <col min="1974" max="2013" width="0" style="1" hidden="1" customWidth="1"/>
    <col min="2014" max="2015" width="13.28515625" style="1" customWidth="1"/>
    <col min="2016" max="2017" width="0" style="1" hidden="1" customWidth="1"/>
    <col min="2018" max="2018" width="13.28515625" style="1" customWidth="1"/>
    <col min="2019" max="2020" width="0" style="1" hidden="1" customWidth="1"/>
    <col min="2021" max="2021" width="13.28515625" style="1" customWidth="1"/>
    <col min="2022" max="2023" width="0" style="1" hidden="1" customWidth="1"/>
    <col min="2024" max="2024" width="13.28515625" style="1" customWidth="1"/>
    <col min="2025" max="2026" width="0" style="1" hidden="1" customWidth="1"/>
    <col min="2027" max="2027" width="13.28515625" style="1" customWidth="1"/>
    <col min="2028" max="2029" width="0" style="1" hidden="1" customWidth="1"/>
    <col min="2030" max="2031" width="13.28515625" style="1" customWidth="1"/>
    <col min="2032" max="2032" width="39.42578125" style="1" customWidth="1"/>
    <col min="2033" max="2037" width="13.28515625" style="1" customWidth="1"/>
    <col min="2038" max="2038" width="56.7109375" style="1" customWidth="1"/>
    <col min="2039" max="2039" width="11.7109375" style="1" customWidth="1"/>
    <col min="2040" max="2225" width="8.85546875" style="1"/>
    <col min="2226" max="2227" width="0" style="1" hidden="1" customWidth="1"/>
    <col min="2228" max="2228" width="12.28515625" style="1" customWidth="1"/>
    <col min="2229" max="2229" width="47" style="1" customWidth="1"/>
    <col min="2230" max="2269" width="0" style="1" hidden="1" customWidth="1"/>
    <col min="2270" max="2271" width="13.28515625" style="1" customWidth="1"/>
    <col min="2272" max="2273" width="0" style="1" hidden="1" customWidth="1"/>
    <col min="2274" max="2274" width="13.28515625" style="1" customWidth="1"/>
    <col min="2275" max="2276" width="0" style="1" hidden="1" customWidth="1"/>
    <col min="2277" max="2277" width="13.28515625" style="1" customWidth="1"/>
    <col min="2278" max="2279" width="0" style="1" hidden="1" customWidth="1"/>
    <col min="2280" max="2280" width="13.28515625" style="1" customWidth="1"/>
    <col min="2281" max="2282" width="0" style="1" hidden="1" customWidth="1"/>
    <col min="2283" max="2283" width="13.28515625" style="1" customWidth="1"/>
    <col min="2284" max="2285" width="0" style="1" hidden="1" customWidth="1"/>
    <col min="2286" max="2287" width="13.28515625" style="1" customWidth="1"/>
    <col min="2288" max="2288" width="39.42578125" style="1" customWidth="1"/>
    <col min="2289" max="2293" width="13.28515625" style="1" customWidth="1"/>
    <col min="2294" max="2294" width="56.7109375" style="1" customWidth="1"/>
    <col min="2295" max="2295" width="11.7109375" style="1" customWidth="1"/>
    <col min="2296" max="2481" width="8.85546875" style="1"/>
    <col min="2482" max="2483" width="0" style="1" hidden="1" customWidth="1"/>
    <col min="2484" max="2484" width="12.28515625" style="1" customWidth="1"/>
    <col min="2485" max="2485" width="47" style="1" customWidth="1"/>
    <col min="2486" max="2525" width="0" style="1" hidden="1" customWidth="1"/>
    <col min="2526" max="2527" width="13.28515625" style="1" customWidth="1"/>
    <col min="2528" max="2529" width="0" style="1" hidden="1" customWidth="1"/>
    <col min="2530" max="2530" width="13.28515625" style="1" customWidth="1"/>
    <col min="2531" max="2532" width="0" style="1" hidden="1" customWidth="1"/>
    <col min="2533" max="2533" width="13.28515625" style="1" customWidth="1"/>
    <col min="2534" max="2535" width="0" style="1" hidden="1" customWidth="1"/>
    <col min="2536" max="2536" width="13.28515625" style="1" customWidth="1"/>
    <col min="2537" max="2538" width="0" style="1" hidden="1" customWidth="1"/>
    <col min="2539" max="2539" width="13.28515625" style="1" customWidth="1"/>
    <col min="2540" max="2541" width="0" style="1" hidden="1" customWidth="1"/>
    <col min="2542" max="2543" width="13.28515625" style="1" customWidth="1"/>
    <col min="2544" max="2544" width="39.42578125" style="1" customWidth="1"/>
    <col min="2545" max="2549" width="13.28515625" style="1" customWidth="1"/>
    <col min="2550" max="2550" width="56.7109375" style="1" customWidth="1"/>
    <col min="2551" max="2551" width="11.7109375" style="1" customWidth="1"/>
    <col min="2552" max="2737" width="8.85546875" style="1"/>
    <col min="2738" max="2739" width="0" style="1" hidden="1" customWidth="1"/>
    <col min="2740" max="2740" width="12.28515625" style="1" customWidth="1"/>
    <col min="2741" max="2741" width="47" style="1" customWidth="1"/>
    <col min="2742" max="2781" width="0" style="1" hidden="1" customWidth="1"/>
    <col min="2782" max="2783" width="13.28515625" style="1" customWidth="1"/>
    <col min="2784" max="2785" width="0" style="1" hidden="1" customWidth="1"/>
    <col min="2786" max="2786" width="13.28515625" style="1" customWidth="1"/>
    <col min="2787" max="2788" width="0" style="1" hidden="1" customWidth="1"/>
    <col min="2789" max="2789" width="13.28515625" style="1" customWidth="1"/>
    <col min="2790" max="2791" width="0" style="1" hidden="1" customWidth="1"/>
    <col min="2792" max="2792" width="13.28515625" style="1" customWidth="1"/>
    <col min="2793" max="2794" width="0" style="1" hidden="1" customWidth="1"/>
    <col min="2795" max="2795" width="13.28515625" style="1" customWidth="1"/>
    <col min="2796" max="2797" width="0" style="1" hidden="1" customWidth="1"/>
    <col min="2798" max="2799" width="13.28515625" style="1" customWidth="1"/>
    <col min="2800" max="2800" width="39.42578125" style="1" customWidth="1"/>
    <col min="2801" max="2805" width="13.28515625" style="1" customWidth="1"/>
    <col min="2806" max="2806" width="56.7109375" style="1" customWidth="1"/>
    <col min="2807" max="2807" width="11.7109375" style="1" customWidth="1"/>
    <col min="2808" max="2993" width="8.85546875" style="1"/>
    <col min="2994" max="2995" width="0" style="1" hidden="1" customWidth="1"/>
    <col min="2996" max="2996" width="12.28515625" style="1" customWidth="1"/>
    <col min="2997" max="2997" width="47" style="1" customWidth="1"/>
    <col min="2998" max="3037" width="0" style="1" hidden="1" customWidth="1"/>
    <col min="3038" max="3039" width="13.28515625" style="1" customWidth="1"/>
    <col min="3040" max="3041" width="0" style="1" hidden="1" customWidth="1"/>
    <col min="3042" max="3042" width="13.28515625" style="1" customWidth="1"/>
    <col min="3043" max="3044" width="0" style="1" hidden="1" customWidth="1"/>
    <col min="3045" max="3045" width="13.28515625" style="1" customWidth="1"/>
    <col min="3046" max="3047" width="0" style="1" hidden="1" customWidth="1"/>
    <col min="3048" max="3048" width="13.28515625" style="1" customWidth="1"/>
    <col min="3049" max="3050" width="0" style="1" hidden="1" customWidth="1"/>
    <col min="3051" max="3051" width="13.28515625" style="1" customWidth="1"/>
    <col min="3052" max="3053" width="0" style="1" hidden="1" customWidth="1"/>
    <col min="3054" max="3055" width="13.28515625" style="1" customWidth="1"/>
    <col min="3056" max="3056" width="39.42578125" style="1" customWidth="1"/>
    <col min="3057" max="3061" width="13.28515625" style="1" customWidth="1"/>
    <col min="3062" max="3062" width="56.7109375" style="1" customWidth="1"/>
    <col min="3063" max="3063" width="11.7109375" style="1" customWidth="1"/>
    <col min="3064" max="3249" width="8.85546875" style="1"/>
    <col min="3250" max="3251" width="0" style="1" hidden="1" customWidth="1"/>
    <col min="3252" max="3252" width="12.28515625" style="1" customWidth="1"/>
    <col min="3253" max="3253" width="47" style="1" customWidth="1"/>
    <col min="3254" max="3293" width="0" style="1" hidden="1" customWidth="1"/>
    <col min="3294" max="3295" width="13.28515625" style="1" customWidth="1"/>
    <col min="3296" max="3297" width="0" style="1" hidden="1" customWidth="1"/>
    <col min="3298" max="3298" width="13.28515625" style="1" customWidth="1"/>
    <col min="3299" max="3300" width="0" style="1" hidden="1" customWidth="1"/>
    <col min="3301" max="3301" width="13.28515625" style="1" customWidth="1"/>
    <col min="3302" max="3303" width="0" style="1" hidden="1" customWidth="1"/>
    <col min="3304" max="3304" width="13.28515625" style="1" customWidth="1"/>
    <col min="3305" max="3306" width="0" style="1" hidden="1" customWidth="1"/>
    <col min="3307" max="3307" width="13.28515625" style="1" customWidth="1"/>
    <col min="3308" max="3309" width="0" style="1" hidden="1" customWidth="1"/>
    <col min="3310" max="3311" width="13.28515625" style="1" customWidth="1"/>
    <col min="3312" max="3312" width="39.42578125" style="1" customWidth="1"/>
    <col min="3313" max="3317" width="13.28515625" style="1" customWidth="1"/>
    <col min="3318" max="3318" width="56.7109375" style="1" customWidth="1"/>
    <col min="3319" max="3319" width="11.7109375" style="1" customWidth="1"/>
    <col min="3320" max="3505" width="8.85546875" style="1"/>
    <col min="3506" max="3507" width="0" style="1" hidden="1" customWidth="1"/>
    <col min="3508" max="3508" width="12.28515625" style="1" customWidth="1"/>
    <col min="3509" max="3509" width="47" style="1" customWidth="1"/>
    <col min="3510" max="3549" width="0" style="1" hidden="1" customWidth="1"/>
    <col min="3550" max="3551" width="13.28515625" style="1" customWidth="1"/>
    <col min="3552" max="3553" width="0" style="1" hidden="1" customWidth="1"/>
    <col min="3554" max="3554" width="13.28515625" style="1" customWidth="1"/>
    <col min="3555" max="3556" width="0" style="1" hidden="1" customWidth="1"/>
    <col min="3557" max="3557" width="13.28515625" style="1" customWidth="1"/>
    <col min="3558" max="3559" width="0" style="1" hidden="1" customWidth="1"/>
    <col min="3560" max="3560" width="13.28515625" style="1" customWidth="1"/>
    <col min="3561" max="3562" width="0" style="1" hidden="1" customWidth="1"/>
    <col min="3563" max="3563" width="13.28515625" style="1" customWidth="1"/>
    <col min="3564" max="3565" width="0" style="1" hidden="1" customWidth="1"/>
    <col min="3566" max="3567" width="13.28515625" style="1" customWidth="1"/>
    <col min="3568" max="3568" width="39.42578125" style="1" customWidth="1"/>
    <col min="3569" max="3573" width="13.28515625" style="1" customWidth="1"/>
    <col min="3574" max="3574" width="56.7109375" style="1" customWidth="1"/>
    <col min="3575" max="3575" width="11.7109375" style="1" customWidth="1"/>
    <col min="3576" max="3761" width="8.85546875" style="1"/>
    <col min="3762" max="3763" width="0" style="1" hidden="1" customWidth="1"/>
    <col min="3764" max="3764" width="12.28515625" style="1" customWidth="1"/>
    <col min="3765" max="3765" width="47" style="1" customWidth="1"/>
    <col min="3766" max="3805" width="0" style="1" hidden="1" customWidth="1"/>
    <col min="3806" max="3807" width="13.28515625" style="1" customWidth="1"/>
    <col min="3808" max="3809" width="0" style="1" hidden="1" customWidth="1"/>
    <col min="3810" max="3810" width="13.28515625" style="1" customWidth="1"/>
    <col min="3811" max="3812" width="0" style="1" hidden="1" customWidth="1"/>
    <col min="3813" max="3813" width="13.28515625" style="1" customWidth="1"/>
    <col min="3814" max="3815" width="0" style="1" hidden="1" customWidth="1"/>
    <col min="3816" max="3816" width="13.28515625" style="1" customWidth="1"/>
    <col min="3817" max="3818" width="0" style="1" hidden="1" customWidth="1"/>
    <col min="3819" max="3819" width="13.28515625" style="1" customWidth="1"/>
    <col min="3820" max="3821" width="0" style="1" hidden="1" customWidth="1"/>
    <col min="3822" max="3823" width="13.28515625" style="1" customWidth="1"/>
    <col min="3824" max="3824" width="39.42578125" style="1" customWidth="1"/>
    <col min="3825" max="3829" width="13.28515625" style="1" customWidth="1"/>
    <col min="3830" max="3830" width="56.7109375" style="1" customWidth="1"/>
    <col min="3831" max="3831" width="11.7109375" style="1" customWidth="1"/>
    <col min="3832" max="4017" width="8.85546875" style="1"/>
    <col min="4018" max="4019" width="0" style="1" hidden="1" customWidth="1"/>
    <col min="4020" max="4020" width="12.28515625" style="1" customWidth="1"/>
    <col min="4021" max="4021" width="47" style="1" customWidth="1"/>
    <col min="4022" max="4061" width="0" style="1" hidden="1" customWidth="1"/>
    <col min="4062" max="4063" width="13.28515625" style="1" customWidth="1"/>
    <col min="4064" max="4065" width="0" style="1" hidden="1" customWidth="1"/>
    <col min="4066" max="4066" width="13.28515625" style="1" customWidth="1"/>
    <col min="4067" max="4068" width="0" style="1" hidden="1" customWidth="1"/>
    <col min="4069" max="4069" width="13.28515625" style="1" customWidth="1"/>
    <col min="4070" max="4071" width="0" style="1" hidden="1" customWidth="1"/>
    <col min="4072" max="4072" width="13.28515625" style="1" customWidth="1"/>
    <col min="4073" max="4074" width="0" style="1" hidden="1" customWidth="1"/>
    <col min="4075" max="4075" width="13.28515625" style="1" customWidth="1"/>
    <col min="4076" max="4077" width="0" style="1" hidden="1" customWidth="1"/>
    <col min="4078" max="4079" width="13.28515625" style="1" customWidth="1"/>
    <col min="4080" max="4080" width="39.42578125" style="1" customWidth="1"/>
    <col min="4081" max="4085" width="13.28515625" style="1" customWidth="1"/>
    <col min="4086" max="4086" width="56.7109375" style="1" customWidth="1"/>
    <col min="4087" max="4087" width="11.7109375" style="1" customWidth="1"/>
    <col min="4088" max="4273" width="8.85546875" style="1"/>
    <col min="4274" max="4275" width="0" style="1" hidden="1" customWidth="1"/>
    <col min="4276" max="4276" width="12.28515625" style="1" customWidth="1"/>
    <col min="4277" max="4277" width="47" style="1" customWidth="1"/>
    <col min="4278" max="4317" width="0" style="1" hidden="1" customWidth="1"/>
    <col min="4318" max="4319" width="13.28515625" style="1" customWidth="1"/>
    <col min="4320" max="4321" width="0" style="1" hidden="1" customWidth="1"/>
    <col min="4322" max="4322" width="13.28515625" style="1" customWidth="1"/>
    <col min="4323" max="4324" width="0" style="1" hidden="1" customWidth="1"/>
    <col min="4325" max="4325" width="13.28515625" style="1" customWidth="1"/>
    <col min="4326" max="4327" width="0" style="1" hidden="1" customWidth="1"/>
    <col min="4328" max="4328" width="13.28515625" style="1" customWidth="1"/>
    <col min="4329" max="4330" width="0" style="1" hidden="1" customWidth="1"/>
    <col min="4331" max="4331" width="13.28515625" style="1" customWidth="1"/>
    <col min="4332" max="4333" width="0" style="1" hidden="1" customWidth="1"/>
    <col min="4334" max="4335" width="13.28515625" style="1" customWidth="1"/>
    <col min="4336" max="4336" width="39.42578125" style="1" customWidth="1"/>
    <col min="4337" max="4341" width="13.28515625" style="1" customWidth="1"/>
    <col min="4342" max="4342" width="56.7109375" style="1" customWidth="1"/>
    <col min="4343" max="4343" width="11.7109375" style="1" customWidth="1"/>
    <col min="4344" max="4529" width="8.85546875" style="1"/>
    <col min="4530" max="4531" width="0" style="1" hidden="1" customWidth="1"/>
    <col min="4532" max="4532" width="12.28515625" style="1" customWidth="1"/>
    <col min="4533" max="4533" width="47" style="1" customWidth="1"/>
    <col min="4534" max="4573" width="0" style="1" hidden="1" customWidth="1"/>
    <col min="4574" max="4575" width="13.28515625" style="1" customWidth="1"/>
    <col min="4576" max="4577" width="0" style="1" hidden="1" customWidth="1"/>
    <col min="4578" max="4578" width="13.28515625" style="1" customWidth="1"/>
    <col min="4579" max="4580" width="0" style="1" hidden="1" customWidth="1"/>
    <col min="4581" max="4581" width="13.28515625" style="1" customWidth="1"/>
    <col min="4582" max="4583" width="0" style="1" hidden="1" customWidth="1"/>
    <col min="4584" max="4584" width="13.28515625" style="1" customWidth="1"/>
    <col min="4585" max="4586" width="0" style="1" hidden="1" customWidth="1"/>
    <col min="4587" max="4587" width="13.28515625" style="1" customWidth="1"/>
    <col min="4588" max="4589" width="0" style="1" hidden="1" customWidth="1"/>
    <col min="4590" max="4591" width="13.28515625" style="1" customWidth="1"/>
    <col min="4592" max="4592" width="39.42578125" style="1" customWidth="1"/>
    <col min="4593" max="4597" width="13.28515625" style="1" customWidth="1"/>
    <col min="4598" max="4598" width="56.7109375" style="1" customWidth="1"/>
    <col min="4599" max="4599" width="11.7109375" style="1" customWidth="1"/>
    <col min="4600" max="4785" width="8.85546875" style="1"/>
    <col min="4786" max="4787" width="0" style="1" hidden="1" customWidth="1"/>
    <col min="4788" max="4788" width="12.28515625" style="1" customWidth="1"/>
    <col min="4789" max="4789" width="47" style="1" customWidth="1"/>
    <col min="4790" max="4829" width="0" style="1" hidden="1" customWidth="1"/>
    <col min="4830" max="4831" width="13.28515625" style="1" customWidth="1"/>
    <col min="4832" max="4833" width="0" style="1" hidden="1" customWidth="1"/>
    <col min="4834" max="4834" width="13.28515625" style="1" customWidth="1"/>
    <col min="4835" max="4836" width="0" style="1" hidden="1" customWidth="1"/>
    <col min="4837" max="4837" width="13.28515625" style="1" customWidth="1"/>
    <col min="4838" max="4839" width="0" style="1" hidden="1" customWidth="1"/>
    <col min="4840" max="4840" width="13.28515625" style="1" customWidth="1"/>
    <col min="4841" max="4842" width="0" style="1" hidden="1" customWidth="1"/>
    <col min="4843" max="4843" width="13.28515625" style="1" customWidth="1"/>
    <col min="4844" max="4845" width="0" style="1" hidden="1" customWidth="1"/>
    <col min="4846" max="4847" width="13.28515625" style="1" customWidth="1"/>
    <col min="4848" max="4848" width="39.42578125" style="1" customWidth="1"/>
    <col min="4849" max="4853" width="13.28515625" style="1" customWidth="1"/>
    <col min="4854" max="4854" width="56.7109375" style="1" customWidth="1"/>
    <col min="4855" max="4855" width="11.7109375" style="1" customWidth="1"/>
    <col min="4856" max="5041" width="8.85546875" style="1"/>
    <col min="5042" max="5043" width="0" style="1" hidden="1" customWidth="1"/>
    <col min="5044" max="5044" width="12.28515625" style="1" customWidth="1"/>
    <col min="5045" max="5045" width="47" style="1" customWidth="1"/>
    <col min="5046" max="5085" width="0" style="1" hidden="1" customWidth="1"/>
    <col min="5086" max="5087" width="13.28515625" style="1" customWidth="1"/>
    <col min="5088" max="5089" width="0" style="1" hidden="1" customWidth="1"/>
    <col min="5090" max="5090" width="13.28515625" style="1" customWidth="1"/>
    <col min="5091" max="5092" width="0" style="1" hidden="1" customWidth="1"/>
    <col min="5093" max="5093" width="13.28515625" style="1" customWidth="1"/>
    <col min="5094" max="5095" width="0" style="1" hidden="1" customWidth="1"/>
    <col min="5096" max="5096" width="13.28515625" style="1" customWidth="1"/>
    <col min="5097" max="5098" width="0" style="1" hidden="1" customWidth="1"/>
    <col min="5099" max="5099" width="13.28515625" style="1" customWidth="1"/>
    <col min="5100" max="5101" width="0" style="1" hidden="1" customWidth="1"/>
    <col min="5102" max="5103" width="13.28515625" style="1" customWidth="1"/>
    <col min="5104" max="5104" width="39.42578125" style="1" customWidth="1"/>
    <col min="5105" max="5109" width="13.28515625" style="1" customWidth="1"/>
    <col min="5110" max="5110" width="56.7109375" style="1" customWidth="1"/>
    <col min="5111" max="5111" width="11.7109375" style="1" customWidth="1"/>
    <col min="5112" max="5297" width="8.85546875" style="1"/>
    <col min="5298" max="5299" width="0" style="1" hidden="1" customWidth="1"/>
    <col min="5300" max="5300" width="12.28515625" style="1" customWidth="1"/>
    <col min="5301" max="5301" width="47" style="1" customWidth="1"/>
    <col min="5302" max="5341" width="0" style="1" hidden="1" customWidth="1"/>
    <col min="5342" max="5343" width="13.28515625" style="1" customWidth="1"/>
    <col min="5344" max="5345" width="0" style="1" hidden="1" customWidth="1"/>
    <col min="5346" max="5346" width="13.28515625" style="1" customWidth="1"/>
    <col min="5347" max="5348" width="0" style="1" hidden="1" customWidth="1"/>
    <col min="5349" max="5349" width="13.28515625" style="1" customWidth="1"/>
    <col min="5350" max="5351" width="0" style="1" hidden="1" customWidth="1"/>
    <col min="5352" max="5352" width="13.28515625" style="1" customWidth="1"/>
    <col min="5353" max="5354" width="0" style="1" hidden="1" customWidth="1"/>
    <col min="5355" max="5355" width="13.28515625" style="1" customWidth="1"/>
    <col min="5356" max="5357" width="0" style="1" hidden="1" customWidth="1"/>
    <col min="5358" max="5359" width="13.28515625" style="1" customWidth="1"/>
    <col min="5360" max="5360" width="39.42578125" style="1" customWidth="1"/>
    <col min="5361" max="5365" width="13.28515625" style="1" customWidth="1"/>
    <col min="5366" max="5366" width="56.7109375" style="1" customWidth="1"/>
    <col min="5367" max="5367" width="11.7109375" style="1" customWidth="1"/>
    <col min="5368" max="5553" width="8.85546875" style="1"/>
    <col min="5554" max="5555" width="0" style="1" hidden="1" customWidth="1"/>
    <col min="5556" max="5556" width="12.28515625" style="1" customWidth="1"/>
    <col min="5557" max="5557" width="47" style="1" customWidth="1"/>
    <col min="5558" max="5597" width="0" style="1" hidden="1" customWidth="1"/>
    <col min="5598" max="5599" width="13.28515625" style="1" customWidth="1"/>
    <col min="5600" max="5601" width="0" style="1" hidden="1" customWidth="1"/>
    <col min="5602" max="5602" width="13.28515625" style="1" customWidth="1"/>
    <col min="5603" max="5604" width="0" style="1" hidden="1" customWidth="1"/>
    <col min="5605" max="5605" width="13.28515625" style="1" customWidth="1"/>
    <col min="5606" max="5607" width="0" style="1" hidden="1" customWidth="1"/>
    <col min="5608" max="5608" width="13.28515625" style="1" customWidth="1"/>
    <col min="5609" max="5610" width="0" style="1" hidden="1" customWidth="1"/>
    <col min="5611" max="5611" width="13.28515625" style="1" customWidth="1"/>
    <col min="5612" max="5613" width="0" style="1" hidden="1" customWidth="1"/>
    <col min="5614" max="5615" width="13.28515625" style="1" customWidth="1"/>
    <col min="5616" max="5616" width="39.42578125" style="1" customWidth="1"/>
    <col min="5617" max="5621" width="13.28515625" style="1" customWidth="1"/>
    <col min="5622" max="5622" width="56.7109375" style="1" customWidth="1"/>
    <col min="5623" max="5623" width="11.7109375" style="1" customWidth="1"/>
    <col min="5624" max="5809" width="8.85546875" style="1"/>
    <col min="5810" max="5811" width="0" style="1" hidden="1" customWidth="1"/>
    <col min="5812" max="5812" width="12.28515625" style="1" customWidth="1"/>
    <col min="5813" max="5813" width="47" style="1" customWidth="1"/>
    <col min="5814" max="5853" width="0" style="1" hidden="1" customWidth="1"/>
    <col min="5854" max="5855" width="13.28515625" style="1" customWidth="1"/>
    <col min="5856" max="5857" width="0" style="1" hidden="1" customWidth="1"/>
    <col min="5858" max="5858" width="13.28515625" style="1" customWidth="1"/>
    <col min="5859" max="5860" width="0" style="1" hidden="1" customWidth="1"/>
    <col min="5861" max="5861" width="13.28515625" style="1" customWidth="1"/>
    <col min="5862" max="5863" width="0" style="1" hidden="1" customWidth="1"/>
    <col min="5864" max="5864" width="13.28515625" style="1" customWidth="1"/>
    <col min="5865" max="5866" width="0" style="1" hidden="1" customWidth="1"/>
    <col min="5867" max="5867" width="13.28515625" style="1" customWidth="1"/>
    <col min="5868" max="5869" width="0" style="1" hidden="1" customWidth="1"/>
    <col min="5870" max="5871" width="13.28515625" style="1" customWidth="1"/>
    <col min="5872" max="5872" width="39.42578125" style="1" customWidth="1"/>
    <col min="5873" max="5877" width="13.28515625" style="1" customWidth="1"/>
    <col min="5878" max="5878" width="56.7109375" style="1" customWidth="1"/>
    <col min="5879" max="5879" width="11.7109375" style="1" customWidth="1"/>
    <col min="5880" max="6065" width="8.85546875" style="1"/>
    <col min="6066" max="6067" width="0" style="1" hidden="1" customWidth="1"/>
    <col min="6068" max="6068" width="12.28515625" style="1" customWidth="1"/>
    <col min="6069" max="6069" width="47" style="1" customWidth="1"/>
    <col min="6070" max="6109" width="0" style="1" hidden="1" customWidth="1"/>
    <col min="6110" max="6111" width="13.28515625" style="1" customWidth="1"/>
    <col min="6112" max="6113" width="0" style="1" hidden="1" customWidth="1"/>
    <col min="6114" max="6114" width="13.28515625" style="1" customWidth="1"/>
    <col min="6115" max="6116" width="0" style="1" hidden="1" customWidth="1"/>
    <col min="6117" max="6117" width="13.28515625" style="1" customWidth="1"/>
    <col min="6118" max="6119" width="0" style="1" hidden="1" customWidth="1"/>
    <col min="6120" max="6120" width="13.28515625" style="1" customWidth="1"/>
    <col min="6121" max="6122" width="0" style="1" hidden="1" customWidth="1"/>
    <col min="6123" max="6123" width="13.28515625" style="1" customWidth="1"/>
    <col min="6124" max="6125" width="0" style="1" hidden="1" customWidth="1"/>
    <col min="6126" max="6127" width="13.28515625" style="1" customWidth="1"/>
    <col min="6128" max="6128" width="39.42578125" style="1" customWidth="1"/>
    <col min="6129" max="6133" width="13.28515625" style="1" customWidth="1"/>
    <col min="6134" max="6134" width="56.7109375" style="1" customWidth="1"/>
    <col min="6135" max="6135" width="11.7109375" style="1" customWidth="1"/>
    <col min="6136" max="6321" width="8.85546875" style="1"/>
    <col min="6322" max="6323" width="0" style="1" hidden="1" customWidth="1"/>
    <col min="6324" max="6324" width="12.28515625" style="1" customWidth="1"/>
    <col min="6325" max="6325" width="47" style="1" customWidth="1"/>
    <col min="6326" max="6365" width="0" style="1" hidden="1" customWidth="1"/>
    <col min="6366" max="6367" width="13.28515625" style="1" customWidth="1"/>
    <col min="6368" max="6369" width="0" style="1" hidden="1" customWidth="1"/>
    <col min="6370" max="6370" width="13.28515625" style="1" customWidth="1"/>
    <col min="6371" max="6372" width="0" style="1" hidden="1" customWidth="1"/>
    <col min="6373" max="6373" width="13.28515625" style="1" customWidth="1"/>
    <col min="6374" max="6375" width="0" style="1" hidden="1" customWidth="1"/>
    <col min="6376" max="6376" width="13.28515625" style="1" customWidth="1"/>
    <col min="6377" max="6378" width="0" style="1" hidden="1" customWidth="1"/>
    <col min="6379" max="6379" width="13.28515625" style="1" customWidth="1"/>
    <col min="6380" max="6381" width="0" style="1" hidden="1" customWidth="1"/>
    <col min="6382" max="6383" width="13.28515625" style="1" customWidth="1"/>
    <col min="6384" max="6384" width="39.42578125" style="1" customWidth="1"/>
    <col min="6385" max="6389" width="13.28515625" style="1" customWidth="1"/>
    <col min="6390" max="6390" width="56.7109375" style="1" customWidth="1"/>
    <col min="6391" max="6391" width="11.7109375" style="1" customWidth="1"/>
    <col min="6392" max="6577" width="8.85546875" style="1"/>
    <col min="6578" max="6579" width="0" style="1" hidden="1" customWidth="1"/>
    <col min="6580" max="6580" width="12.28515625" style="1" customWidth="1"/>
    <col min="6581" max="6581" width="47" style="1" customWidth="1"/>
    <col min="6582" max="6621" width="0" style="1" hidden="1" customWidth="1"/>
    <col min="6622" max="6623" width="13.28515625" style="1" customWidth="1"/>
    <col min="6624" max="6625" width="0" style="1" hidden="1" customWidth="1"/>
    <col min="6626" max="6626" width="13.28515625" style="1" customWidth="1"/>
    <col min="6627" max="6628" width="0" style="1" hidden="1" customWidth="1"/>
    <col min="6629" max="6629" width="13.28515625" style="1" customWidth="1"/>
    <col min="6630" max="6631" width="0" style="1" hidden="1" customWidth="1"/>
    <col min="6632" max="6632" width="13.28515625" style="1" customWidth="1"/>
    <col min="6633" max="6634" width="0" style="1" hidden="1" customWidth="1"/>
    <col min="6635" max="6635" width="13.28515625" style="1" customWidth="1"/>
    <col min="6636" max="6637" width="0" style="1" hidden="1" customWidth="1"/>
    <col min="6638" max="6639" width="13.28515625" style="1" customWidth="1"/>
    <col min="6640" max="6640" width="39.42578125" style="1" customWidth="1"/>
    <col min="6641" max="6645" width="13.28515625" style="1" customWidth="1"/>
    <col min="6646" max="6646" width="56.7109375" style="1" customWidth="1"/>
    <col min="6647" max="6647" width="11.7109375" style="1" customWidth="1"/>
    <col min="6648" max="6833" width="8.85546875" style="1"/>
    <col min="6834" max="6835" width="0" style="1" hidden="1" customWidth="1"/>
    <col min="6836" max="6836" width="12.28515625" style="1" customWidth="1"/>
    <col min="6837" max="6837" width="47" style="1" customWidth="1"/>
    <col min="6838" max="6877" width="0" style="1" hidden="1" customWidth="1"/>
    <col min="6878" max="6879" width="13.28515625" style="1" customWidth="1"/>
    <col min="6880" max="6881" width="0" style="1" hidden="1" customWidth="1"/>
    <col min="6882" max="6882" width="13.28515625" style="1" customWidth="1"/>
    <col min="6883" max="6884" width="0" style="1" hidden="1" customWidth="1"/>
    <col min="6885" max="6885" width="13.28515625" style="1" customWidth="1"/>
    <col min="6886" max="6887" width="0" style="1" hidden="1" customWidth="1"/>
    <col min="6888" max="6888" width="13.28515625" style="1" customWidth="1"/>
    <col min="6889" max="6890" width="0" style="1" hidden="1" customWidth="1"/>
    <col min="6891" max="6891" width="13.28515625" style="1" customWidth="1"/>
    <col min="6892" max="6893" width="0" style="1" hidden="1" customWidth="1"/>
    <col min="6894" max="6895" width="13.28515625" style="1" customWidth="1"/>
    <col min="6896" max="6896" width="39.42578125" style="1" customWidth="1"/>
    <col min="6897" max="6901" width="13.28515625" style="1" customWidth="1"/>
    <col min="6902" max="6902" width="56.7109375" style="1" customWidth="1"/>
    <col min="6903" max="6903" width="11.7109375" style="1" customWidth="1"/>
    <col min="6904" max="7089" width="8.85546875" style="1"/>
    <col min="7090" max="7091" width="0" style="1" hidden="1" customWidth="1"/>
    <col min="7092" max="7092" width="12.28515625" style="1" customWidth="1"/>
    <col min="7093" max="7093" width="47" style="1" customWidth="1"/>
    <col min="7094" max="7133" width="0" style="1" hidden="1" customWidth="1"/>
    <col min="7134" max="7135" width="13.28515625" style="1" customWidth="1"/>
    <col min="7136" max="7137" width="0" style="1" hidden="1" customWidth="1"/>
    <col min="7138" max="7138" width="13.28515625" style="1" customWidth="1"/>
    <col min="7139" max="7140" width="0" style="1" hidden="1" customWidth="1"/>
    <col min="7141" max="7141" width="13.28515625" style="1" customWidth="1"/>
    <col min="7142" max="7143" width="0" style="1" hidden="1" customWidth="1"/>
    <col min="7144" max="7144" width="13.28515625" style="1" customWidth="1"/>
    <col min="7145" max="7146" width="0" style="1" hidden="1" customWidth="1"/>
    <col min="7147" max="7147" width="13.28515625" style="1" customWidth="1"/>
    <col min="7148" max="7149" width="0" style="1" hidden="1" customWidth="1"/>
    <col min="7150" max="7151" width="13.28515625" style="1" customWidth="1"/>
    <col min="7152" max="7152" width="39.42578125" style="1" customWidth="1"/>
    <col min="7153" max="7157" width="13.28515625" style="1" customWidth="1"/>
    <col min="7158" max="7158" width="56.7109375" style="1" customWidth="1"/>
    <col min="7159" max="7159" width="11.7109375" style="1" customWidth="1"/>
    <col min="7160" max="7345" width="8.85546875" style="1"/>
    <col min="7346" max="7347" width="0" style="1" hidden="1" customWidth="1"/>
    <col min="7348" max="7348" width="12.28515625" style="1" customWidth="1"/>
    <col min="7349" max="7349" width="47" style="1" customWidth="1"/>
    <col min="7350" max="7389" width="0" style="1" hidden="1" customWidth="1"/>
    <col min="7390" max="7391" width="13.28515625" style="1" customWidth="1"/>
    <col min="7392" max="7393" width="0" style="1" hidden="1" customWidth="1"/>
    <col min="7394" max="7394" width="13.28515625" style="1" customWidth="1"/>
    <col min="7395" max="7396" width="0" style="1" hidden="1" customWidth="1"/>
    <col min="7397" max="7397" width="13.28515625" style="1" customWidth="1"/>
    <col min="7398" max="7399" width="0" style="1" hidden="1" customWidth="1"/>
    <col min="7400" max="7400" width="13.28515625" style="1" customWidth="1"/>
    <col min="7401" max="7402" width="0" style="1" hidden="1" customWidth="1"/>
    <col min="7403" max="7403" width="13.28515625" style="1" customWidth="1"/>
    <col min="7404" max="7405" width="0" style="1" hidden="1" customWidth="1"/>
    <col min="7406" max="7407" width="13.28515625" style="1" customWidth="1"/>
    <col min="7408" max="7408" width="39.42578125" style="1" customWidth="1"/>
    <col min="7409" max="7413" width="13.28515625" style="1" customWidth="1"/>
    <col min="7414" max="7414" width="56.7109375" style="1" customWidth="1"/>
    <col min="7415" max="7415" width="11.7109375" style="1" customWidth="1"/>
    <col min="7416" max="7601" width="8.85546875" style="1"/>
    <col min="7602" max="7603" width="0" style="1" hidden="1" customWidth="1"/>
    <col min="7604" max="7604" width="12.28515625" style="1" customWidth="1"/>
    <col min="7605" max="7605" width="47" style="1" customWidth="1"/>
    <col min="7606" max="7645" width="0" style="1" hidden="1" customWidth="1"/>
    <col min="7646" max="7647" width="13.28515625" style="1" customWidth="1"/>
    <col min="7648" max="7649" width="0" style="1" hidden="1" customWidth="1"/>
    <col min="7650" max="7650" width="13.28515625" style="1" customWidth="1"/>
    <col min="7651" max="7652" width="0" style="1" hidden="1" customWidth="1"/>
    <col min="7653" max="7653" width="13.28515625" style="1" customWidth="1"/>
    <col min="7654" max="7655" width="0" style="1" hidden="1" customWidth="1"/>
    <col min="7656" max="7656" width="13.28515625" style="1" customWidth="1"/>
    <col min="7657" max="7658" width="0" style="1" hidden="1" customWidth="1"/>
    <col min="7659" max="7659" width="13.28515625" style="1" customWidth="1"/>
    <col min="7660" max="7661" width="0" style="1" hidden="1" customWidth="1"/>
    <col min="7662" max="7663" width="13.28515625" style="1" customWidth="1"/>
    <col min="7664" max="7664" width="39.42578125" style="1" customWidth="1"/>
    <col min="7665" max="7669" width="13.28515625" style="1" customWidth="1"/>
    <col min="7670" max="7670" width="56.7109375" style="1" customWidth="1"/>
    <col min="7671" max="7671" width="11.7109375" style="1" customWidth="1"/>
    <col min="7672" max="7857" width="8.85546875" style="1"/>
    <col min="7858" max="7859" width="0" style="1" hidden="1" customWidth="1"/>
    <col min="7860" max="7860" width="12.28515625" style="1" customWidth="1"/>
    <col min="7861" max="7861" width="47" style="1" customWidth="1"/>
    <col min="7862" max="7901" width="0" style="1" hidden="1" customWidth="1"/>
    <col min="7902" max="7903" width="13.28515625" style="1" customWidth="1"/>
    <col min="7904" max="7905" width="0" style="1" hidden="1" customWidth="1"/>
    <col min="7906" max="7906" width="13.28515625" style="1" customWidth="1"/>
    <col min="7907" max="7908" width="0" style="1" hidden="1" customWidth="1"/>
    <col min="7909" max="7909" width="13.28515625" style="1" customWidth="1"/>
    <col min="7910" max="7911" width="0" style="1" hidden="1" customWidth="1"/>
    <col min="7912" max="7912" width="13.28515625" style="1" customWidth="1"/>
    <col min="7913" max="7914" width="0" style="1" hidden="1" customWidth="1"/>
    <col min="7915" max="7915" width="13.28515625" style="1" customWidth="1"/>
    <col min="7916" max="7917" width="0" style="1" hidden="1" customWidth="1"/>
    <col min="7918" max="7919" width="13.28515625" style="1" customWidth="1"/>
    <col min="7920" max="7920" width="39.42578125" style="1" customWidth="1"/>
    <col min="7921" max="7925" width="13.28515625" style="1" customWidth="1"/>
    <col min="7926" max="7926" width="56.7109375" style="1" customWidth="1"/>
    <col min="7927" max="7927" width="11.7109375" style="1" customWidth="1"/>
    <col min="7928" max="8113" width="8.85546875" style="1"/>
    <col min="8114" max="8115" width="0" style="1" hidden="1" customWidth="1"/>
    <col min="8116" max="8116" width="12.28515625" style="1" customWidth="1"/>
    <col min="8117" max="8117" width="47" style="1" customWidth="1"/>
    <col min="8118" max="8157" width="0" style="1" hidden="1" customWidth="1"/>
    <col min="8158" max="8159" width="13.28515625" style="1" customWidth="1"/>
    <col min="8160" max="8161" width="0" style="1" hidden="1" customWidth="1"/>
    <col min="8162" max="8162" width="13.28515625" style="1" customWidth="1"/>
    <col min="8163" max="8164" width="0" style="1" hidden="1" customWidth="1"/>
    <col min="8165" max="8165" width="13.28515625" style="1" customWidth="1"/>
    <col min="8166" max="8167" width="0" style="1" hidden="1" customWidth="1"/>
    <col min="8168" max="8168" width="13.28515625" style="1" customWidth="1"/>
    <col min="8169" max="8170" width="0" style="1" hidden="1" customWidth="1"/>
    <col min="8171" max="8171" width="13.28515625" style="1" customWidth="1"/>
    <col min="8172" max="8173" width="0" style="1" hidden="1" customWidth="1"/>
    <col min="8174" max="8175" width="13.28515625" style="1" customWidth="1"/>
    <col min="8176" max="8176" width="39.42578125" style="1" customWidth="1"/>
    <col min="8177" max="8181" width="13.28515625" style="1" customWidth="1"/>
    <col min="8182" max="8182" width="56.7109375" style="1" customWidth="1"/>
    <col min="8183" max="8183" width="11.7109375" style="1" customWidth="1"/>
    <col min="8184" max="8369" width="8.85546875" style="1"/>
    <col min="8370" max="8371" width="0" style="1" hidden="1" customWidth="1"/>
    <col min="8372" max="8372" width="12.28515625" style="1" customWidth="1"/>
    <col min="8373" max="8373" width="47" style="1" customWidth="1"/>
    <col min="8374" max="8413" width="0" style="1" hidden="1" customWidth="1"/>
    <col min="8414" max="8415" width="13.28515625" style="1" customWidth="1"/>
    <col min="8416" max="8417" width="0" style="1" hidden="1" customWidth="1"/>
    <col min="8418" max="8418" width="13.28515625" style="1" customWidth="1"/>
    <col min="8419" max="8420" width="0" style="1" hidden="1" customWidth="1"/>
    <col min="8421" max="8421" width="13.28515625" style="1" customWidth="1"/>
    <col min="8422" max="8423" width="0" style="1" hidden="1" customWidth="1"/>
    <col min="8424" max="8424" width="13.28515625" style="1" customWidth="1"/>
    <col min="8425" max="8426" width="0" style="1" hidden="1" customWidth="1"/>
    <col min="8427" max="8427" width="13.28515625" style="1" customWidth="1"/>
    <col min="8428" max="8429" width="0" style="1" hidden="1" customWidth="1"/>
    <col min="8430" max="8431" width="13.28515625" style="1" customWidth="1"/>
    <col min="8432" max="8432" width="39.42578125" style="1" customWidth="1"/>
    <col min="8433" max="8437" width="13.28515625" style="1" customWidth="1"/>
    <col min="8438" max="8438" width="56.7109375" style="1" customWidth="1"/>
    <col min="8439" max="8439" width="11.7109375" style="1" customWidth="1"/>
    <col min="8440" max="8625" width="8.85546875" style="1"/>
    <col min="8626" max="8627" width="0" style="1" hidden="1" customWidth="1"/>
    <col min="8628" max="8628" width="12.28515625" style="1" customWidth="1"/>
    <col min="8629" max="8629" width="47" style="1" customWidth="1"/>
    <col min="8630" max="8669" width="0" style="1" hidden="1" customWidth="1"/>
    <col min="8670" max="8671" width="13.28515625" style="1" customWidth="1"/>
    <col min="8672" max="8673" width="0" style="1" hidden="1" customWidth="1"/>
    <col min="8674" max="8674" width="13.28515625" style="1" customWidth="1"/>
    <col min="8675" max="8676" width="0" style="1" hidden="1" customWidth="1"/>
    <col min="8677" max="8677" width="13.28515625" style="1" customWidth="1"/>
    <col min="8678" max="8679" width="0" style="1" hidden="1" customWidth="1"/>
    <col min="8680" max="8680" width="13.28515625" style="1" customWidth="1"/>
    <col min="8681" max="8682" width="0" style="1" hidden="1" customWidth="1"/>
    <col min="8683" max="8683" width="13.28515625" style="1" customWidth="1"/>
    <col min="8684" max="8685" width="0" style="1" hidden="1" customWidth="1"/>
    <col min="8686" max="8687" width="13.28515625" style="1" customWidth="1"/>
    <col min="8688" max="8688" width="39.42578125" style="1" customWidth="1"/>
    <col min="8689" max="8693" width="13.28515625" style="1" customWidth="1"/>
    <col min="8694" max="8694" width="56.7109375" style="1" customWidth="1"/>
    <col min="8695" max="8695" width="11.7109375" style="1" customWidth="1"/>
    <col min="8696" max="8881" width="8.85546875" style="1"/>
    <col min="8882" max="8883" width="0" style="1" hidden="1" customWidth="1"/>
    <col min="8884" max="8884" width="12.28515625" style="1" customWidth="1"/>
    <col min="8885" max="8885" width="47" style="1" customWidth="1"/>
    <col min="8886" max="8925" width="0" style="1" hidden="1" customWidth="1"/>
    <col min="8926" max="8927" width="13.28515625" style="1" customWidth="1"/>
    <col min="8928" max="8929" width="0" style="1" hidden="1" customWidth="1"/>
    <col min="8930" max="8930" width="13.28515625" style="1" customWidth="1"/>
    <col min="8931" max="8932" width="0" style="1" hidden="1" customWidth="1"/>
    <col min="8933" max="8933" width="13.28515625" style="1" customWidth="1"/>
    <col min="8934" max="8935" width="0" style="1" hidden="1" customWidth="1"/>
    <col min="8936" max="8936" width="13.28515625" style="1" customWidth="1"/>
    <col min="8937" max="8938" width="0" style="1" hidden="1" customWidth="1"/>
    <col min="8939" max="8939" width="13.28515625" style="1" customWidth="1"/>
    <col min="8940" max="8941" width="0" style="1" hidden="1" customWidth="1"/>
    <col min="8942" max="8943" width="13.28515625" style="1" customWidth="1"/>
    <col min="8944" max="8944" width="39.42578125" style="1" customWidth="1"/>
    <col min="8945" max="8949" width="13.28515625" style="1" customWidth="1"/>
    <col min="8950" max="8950" width="56.7109375" style="1" customWidth="1"/>
    <col min="8951" max="8951" width="11.7109375" style="1" customWidth="1"/>
    <col min="8952" max="9137" width="8.85546875" style="1"/>
    <col min="9138" max="9139" width="0" style="1" hidden="1" customWidth="1"/>
    <col min="9140" max="9140" width="12.28515625" style="1" customWidth="1"/>
    <col min="9141" max="9141" width="47" style="1" customWidth="1"/>
    <col min="9142" max="9181" width="0" style="1" hidden="1" customWidth="1"/>
    <col min="9182" max="9183" width="13.28515625" style="1" customWidth="1"/>
    <col min="9184" max="9185" width="0" style="1" hidden="1" customWidth="1"/>
    <col min="9186" max="9186" width="13.28515625" style="1" customWidth="1"/>
    <col min="9187" max="9188" width="0" style="1" hidden="1" customWidth="1"/>
    <col min="9189" max="9189" width="13.28515625" style="1" customWidth="1"/>
    <col min="9190" max="9191" width="0" style="1" hidden="1" customWidth="1"/>
    <col min="9192" max="9192" width="13.28515625" style="1" customWidth="1"/>
    <col min="9193" max="9194" width="0" style="1" hidden="1" customWidth="1"/>
    <col min="9195" max="9195" width="13.28515625" style="1" customWidth="1"/>
    <col min="9196" max="9197" width="0" style="1" hidden="1" customWidth="1"/>
    <col min="9198" max="9199" width="13.28515625" style="1" customWidth="1"/>
    <col min="9200" max="9200" width="39.42578125" style="1" customWidth="1"/>
    <col min="9201" max="9205" width="13.28515625" style="1" customWidth="1"/>
    <col min="9206" max="9206" width="56.7109375" style="1" customWidth="1"/>
    <col min="9207" max="9207" width="11.7109375" style="1" customWidth="1"/>
    <col min="9208" max="9393" width="8.85546875" style="1"/>
    <col min="9394" max="9395" width="0" style="1" hidden="1" customWidth="1"/>
    <col min="9396" max="9396" width="12.28515625" style="1" customWidth="1"/>
    <col min="9397" max="9397" width="47" style="1" customWidth="1"/>
    <col min="9398" max="9437" width="0" style="1" hidden="1" customWidth="1"/>
    <col min="9438" max="9439" width="13.28515625" style="1" customWidth="1"/>
    <col min="9440" max="9441" width="0" style="1" hidden="1" customWidth="1"/>
    <col min="9442" max="9442" width="13.28515625" style="1" customWidth="1"/>
    <col min="9443" max="9444" width="0" style="1" hidden="1" customWidth="1"/>
    <col min="9445" max="9445" width="13.28515625" style="1" customWidth="1"/>
    <col min="9446" max="9447" width="0" style="1" hidden="1" customWidth="1"/>
    <col min="9448" max="9448" width="13.28515625" style="1" customWidth="1"/>
    <col min="9449" max="9450" width="0" style="1" hidden="1" customWidth="1"/>
    <col min="9451" max="9451" width="13.28515625" style="1" customWidth="1"/>
    <col min="9452" max="9453" width="0" style="1" hidden="1" customWidth="1"/>
    <col min="9454" max="9455" width="13.28515625" style="1" customWidth="1"/>
    <col min="9456" max="9456" width="39.42578125" style="1" customWidth="1"/>
    <col min="9457" max="9461" width="13.28515625" style="1" customWidth="1"/>
    <col min="9462" max="9462" width="56.7109375" style="1" customWidth="1"/>
    <col min="9463" max="9463" width="11.7109375" style="1" customWidth="1"/>
    <col min="9464" max="9649" width="8.85546875" style="1"/>
    <col min="9650" max="9651" width="0" style="1" hidden="1" customWidth="1"/>
    <col min="9652" max="9652" width="12.28515625" style="1" customWidth="1"/>
    <col min="9653" max="9653" width="47" style="1" customWidth="1"/>
    <col min="9654" max="9693" width="0" style="1" hidden="1" customWidth="1"/>
    <col min="9694" max="9695" width="13.28515625" style="1" customWidth="1"/>
    <col min="9696" max="9697" width="0" style="1" hidden="1" customWidth="1"/>
    <col min="9698" max="9698" width="13.28515625" style="1" customWidth="1"/>
    <col min="9699" max="9700" width="0" style="1" hidden="1" customWidth="1"/>
    <col min="9701" max="9701" width="13.28515625" style="1" customWidth="1"/>
    <col min="9702" max="9703" width="0" style="1" hidden="1" customWidth="1"/>
    <col min="9704" max="9704" width="13.28515625" style="1" customWidth="1"/>
    <col min="9705" max="9706" width="0" style="1" hidden="1" customWidth="1"/>
    <col min="9707" max="9707" width="13.28515625" style="1" customWidth="1"/>
    <col min="9708" max="9709" width="0" style="1" hidden="1" customWidth="1"/>
    <col min="9710" max="9711" width="13.28515625" style="1" customWidth="1"/>
    <col min="9712" max="9712" width="39.42578125" style="1" customWidth="1"/>
    <col min="9713" max="9717" width="13.28515625" style="1" customWidth="1"/>
    <col min="9718" max="9718" width="56.7109375" style="1" customWidth="1"/>
    <col min="9719" max="9719" width="11.7109375" style="1" customWidth="1"/>
    <col min="9720" max="9905" width="8.85546875" style="1"/>
    <col min="9906" max="9907" width="0" style="1" hidden="1" customWidth="1"/>
    <col min="9908" max="9908" width="12.28515625" style="1" customWidth="1"/>
    <col min="9909" max="9909" width="47" style="1" customWidth="1"/>
    <col min="9910" max="9949" width="0" style="1" hidden="1" customWidth="1"/>
    <col min="9950" max="9951" width="13.28515625" style="1" customWidth="1"/>
    <col min="9952" max="9953" width="0" style="1" hidden="1" customWidth="1"/>
    <col min="9954" max="9954" width="13.28515625" style="1" customWidth="1"/>
    <col min="9955" max="9956" width="0" style="1" hidden="1" customWidth="1"/>
    <col min="9957" max="9957" width="13.28515625" style="1" customWidth="1"/>
    <col min="9958" max="9959" width="0" style="1" hidden="1" customWidth="1"/>
    <col min="9960" max="9960" width="13.28515625" style="1" customWidth="1"/>
    <col min="9961" max="9962" width="0" style="1" hidden="1" customWidth="1"/>
    <col min="9963" max="9963" width="13.28515625" style="1" customWidth="1"/>
    <col min="9964" max="9965" width="0" style="1" hidden="1" customWidth="1"/>
    <col min="9966" max="9967" width="13.28515625" style="1" customWidth="1"/>
    <col min="9968" max="9968" width="39.42578125" style="1" customWidth="1"/>
    <col min="9969" max="9973" width="13.28515625" style="1" customWidth="1"/>
    <col min="9974" max="9974" width="56.7109375" style="1" customWidth="1"/>
    <col min="9975" max="9975" width="11.7109375" style="1" customWidth="1"/>
    <col min="9976" max="10161" width="8.85546875" style="1"/>
    <col min="10162" max="10163" width="0" style="1" hidden="1" customWidth="1"/>
    <col min="10164" max="10164" width="12.28515625" style="1" customWidth="1"/>
    <col min="10165" max="10165" width="47" style="1" customWidth="1"/>
    <col min="10166" max="10205" width="0" style="1" hidden="1" customWidth="1"/>
    <col min="10206" max="10207" width="13.28515625" style="1" customWidth="1"/>
    <col min="10208" max="10209" width="0" style="1" hidden="1" customWidth="1"/>
    <col min="10210" max="10210" width="13.28515625" style="1" customWidth="1"/>
    <col min="10211" max="10212" width="0" style="1" hidden="1" customWidth="1"/>
    <col min="10213" max="10213" width="13.28515625" style="1" customWidth="1"/>
    <col min="10214" max="10215" width="0" style="1" hidden="1" customWidth="1"/>
    <col min="10216" max="10216" width="13.28515625" style="1" customWidth="1"/>
    <col min="10217" max="10218" width="0" style="1" hidden="1" customWidth="1"/>
    <col min="10219" max="10219" width="13.28515625" style="1" customWidth="1"/>
    <col min="10220" max="10221" width="0" style="1" hidden="1" customWidth="1"/>
    <col min="10222" max="10223" width="13.28515625" style="1" customWidth="1"/>
    <col min="10224" max="10224" width="39.42578125" style="1" customWidth="1"/>
    <col min="10225" max="10229" width="13.28515625" style="1" customWidth="1"/>
    <col min="10230" max="10230" width="56.7109375" style="1" customWidth="1"/>
    <col min="10231" max="10231" width="11.7109375" style="1" customWidth="1"/>
    <col min="10232" max="10417" width="8.85546875" style="1"/>
    <col min="10418" max="10419" width="0" style="1" hidden="1" customWidth="1"/>
    <col min="10420" max="10420" width="12.28515625" style="1" customWidth="1"/>
    <col min="10421" max="10421" width="47" style="1" customWidth="1"/>
    <col min="10422" max="10461" width="0" style="1" hidden="1" customWidth="1"/>
    <col min="10462" max="10463" width="13.28515625" style="1" customWidth="1"/>
    <col min="10464" max="10465" width="0" style="1" hidden="1" customWidth="1"/>
    <col min="10466" max="10466" width="13.28515625" style="1" customWidth="1"/>
    <col min="10467" max="10468" width="0" style="1" hidden="1" customWidth="1"/>
    <col min="10469" max="10469" width="13.28515625" style="1" customWidth="1"/>
    <col min="10470" max="10471" width="0" style="1" hidden="1" customWidth="1"/>
    <col min="10472" max="10472" width="13.28515625" style="1" customWidth="1"/>
    <col min="10473" max="10474" width="0" style="1" hidden="1" customWidth="1"/>
    <col min="10475" max="10475" width="13.28515625" style="1" customWidth="1"/>
    <col min="10476" max="10477" width="0" style="1" hidden="1" customWidth="1"/>
    <col min="10478" max="10479" width="13.28515625" style="1" customWidth="1"/>
    <col min="10480" max="10480" width="39.42578125" style="1" customWidth="1"/>
    <col min="10481" max="10485" width="13.28515625" style="1" customWidth="1"/>
    <col min="10486" max="10486" width="56.7109375" style="1" customWidth="1"/>
    <col min="10487" max="10487" width="11.7109375" style="1" customWidth="1"/>
    <col min="10488" max="10673" width="8.85546875" style="1"/>
    <col min="10674" max="10675" width="0" style="1" hidden="1" customWidth="1"/>
    <col min="10676" max="10676" width="12.28515625" style="1" customWidth="1"/>
    <col min="10677" max="10677" width="47" style="1" customWidth="1"/>
    <col min="10678" max="10717" width="0" style="1" hidden="1" customWidth="1"/>
    <col min="10718" max="10719" width="13.28515625" style="1" customWidth="1"/>
    <col min="10720" max="10721" width="0" style="1" hidden="1" customWidth="1"/>
    <col min="10722" max="10722" width="13.28515625" style="1" customWidth="1"/>
    <col min="10723" max="10724" width="0" style="1" hidden="1" customWidth="1"/>
    <col min="10725" max="10725" width="13.28515625" style="1" customWidth="1"/>
    <col min="10726" max="10727" width="0" style="1" hidden="1" customWidth="1"/>
    <col min="10728" max="10728" width="13.28515625" style="1" customWidth="1"/>
    <col min="10729" max="10730" width="0" style="1" hidden="1" customWidth="1"/>
    <col min="10731" max="10731" width="13.28515625" style="1" customWidth="1"/>
    <col min="10732" max="10733" width="0" style="1" hidden="1" customWidth="1"/>
    <col min="10734" max="10735" width="13.28515625" style="1" customWidth="1"/>
    <col min="10736" max="10736" width="39.42578125" style="1" customWidth="1"/>
    <col min="10737" max="10741" width="13.28515625" style="1" customWidth="1"/>
    <col min="10742" max="10742" width="56.7109375" style="1" customWidth="1"/>
    <col min="10743" max="10743" width="11.7109375" style="1" customWidth="1"/>
    <col min="10744" max="10929" width="8.85546875" style="1"/>
    <col min="10930" max="10931" width="0" style="1" hidden="1" customWidth="1"/>
    <col min="10932" max="10932" width="12.28515625" style="1" customWidth="1"/>
    <col min="10933" max="10933" width="47" style="1" customWidth="1"/>
    <col min="10934" max="10973" width="0" style="1" hidden="1" customWidth="1"/>
    <col min="10974" max="10975" width="13.28515625" style="1" customWidth="1"/>
    <col min="10976" max="10977" width="0" style="1" hidden="1" customWidth="1"/>
    <col min="10978" max="10978" width="13.28515625" style="1" customWidth="1"/>
    <col min="10979" max="10980" width="0" style="1" hidden="1" customWidth="1"/>
    <col min="10981" max="10981" width="13.28515625" style="1" customWidth="1"/>
    <col min="10982" max="10983" width="0" style="1" hidden="1" customWidth="1"/>
    <col min="10984" max="10984" width="13.28515625" style="1" customWidth="1"/>
    <col min="10985" max="10986" width="0" style="1" hidden="1" customWidth="1"/>
    <col min="10987" max="10987" width="13.28515625" style="1" customWidth="1"/>
    <col min="10988" max="10989" width="0" style="1" hidden="1" customWidth="1"/>
    <col min="10990" max="10991" width="13.28515625" style="1" customWidth="1"/>
    <col min="10992" max="10992" width="39.42578125" style="1" customWidth="1"/>
    <col min="10993" max="10997" width="13.28515625" style="1" customWidth="1"/>
    <col min="10998" max="10998" width="56.7109375" style="1" customWidth="1"/>
    <col min="10999" max="10999" width="11.7109375" style="1" customWidth="1"/>
    <col min="11000" max="11185" width="8.85546875" style="1"/>
    <col min="11186" max="11187" width="0" style="1" hidden="1" customWidth="1"/>
    <col min="11188" max="11188" width="12.28515625" style="1" customWidth="1"/>
    <col min="11189" max="11189" width="47" style="1" customWidth="1"/>
    <col min="11190" max="11229" width="0" style="1" hidden="1" customWidth="1"/>
    <col min="11230" max="11231" width="13.28515625" style="1" customWidth="1"/>
    <col min="11232" max="11233" width="0" style="1" hidden="1" customWidth="1"/>
    <col min="11234" max="11234" width="13.28515625" style="1" customWidth="1"/>
    <col min="11235" max="11236" width="0" style="1" hidden="1" customWidth="1"/>
    <col min="11237" max="11237" width="13.28515625" style="1" customWidth="1"/>
    <col min="11238" max="11239" width="0" style="1" hidden="1" customWidth="1"/>
    <col min="11240" max="11240" width="13.28515625" style="1" customWidth="1"/>
    <col min="11241" max="11242" width="0" style="1" hidden="1" customWidth="1"/>
    <col min="11243" max="11243" width="13.28515625" style="1" customWidth="1"/>
    <col min="11244" max="11245" width="0" style="1" hidden="1" customWidth="1"/>
    <col min="11246" max="11247" width="13.28515625" style="1" customWidth="1"/>
    <col min="11248" max="11248" width="39.42578125" style="1" customWidth="1"/>
    <col min="11249" max="11253" width="13.28515625" style="1" customWidth="1"/>
    <col min="11254" max="11254" width="56.7109375" style="1" customWidth="1"/>
    <col min="11255" max="11255" width="11.7109375" style="1" customWidth="1"/>
    <col min="11256" max="11441" width="8.85546875" style="1"/>
    <col min="11442" max="11443" width="0" style="1" hidden="1" customWidth="1"/>
    <col min="11444" max="11444" width="12.28515625" style="1" customWidth="1"/>
    <col min="11445" max="11445" width="47" style="1" customWidth="1"/>
    <col min="11446" max="11485" width="0" style="1" hidden="1" customWidth="1"/>
    <col min="11486" max="11487" width="13.28515625" style="1" customWidth="1"/>
    <col min="11488" max="11489" width="0" style="1" hidden="1" customWidth="1"/>
    <col min="11490" max="11490" width="13.28515625" style="1" customWidth="1"/>
    <col min="11491" max="11492" width="0" style="1" hidden="1" customWidth="1"/>
    <col min="11493" max="11493" width="13.28515625" style="1" customWidth="1"/>
    <col min="11494" max="11495" width="0" style="1" hidden="1" customWidth="1"/>
    <col min="11496" max="11496" width="13.28515625" style="1" customWidth="1"/>
    <col min="11497" max="11498" width="0" style="1" hidden="1" customWidth="1"/>
    <col min="11499" max="11499" width="13.28515625" style="1" customWidth="1"/>
    <col min="11500" max="11501" width="0" style="1" hidden="1" customWidth="1"/>
    <col min="11502" max="11503" width="13.28515625" style="1" customWidth="1"/>
    <col min="11504" max="11504" width="39.42578125" style="1" customWidth="1"/>
    <col min="11505" max="11509" width="13.28515625" style="1" customWidth="1"/>
    <col min="11510" max="11510" width="56.7109375" style="1" customWidth="1"/>
    <col min="11511" max="11511" width="11.7109375" style="1" customWidth="1"/>
    <col min="11512" max="11697" width="8.85546875" style="1"/>
    <col min="11698" max="11699" width="0" style="1" hidden="1" customWidth="1"/>
    <col min="11700" max="11700" width="12.28515625" style="1" customWidth="1"/>
    <col min="11701" max="11701" width="47" style="1" customWidth="1"/>
    <col min="11702" max="11741" width="0" style="1" hidden="1" customWidth="1"/>
    <col min="11742" max="11743" width="13.28515625" style="1" customWidth="1"/>
    <col min="11744" max="11745" width="0" style="1" hidden="1" customWidth="1"/>
    <col min="11746" max="11746" width="13.28515625" style="1" customWidth="1"/>
    <col min="11747" max="11748" width="0" style="1" hidden="1" customWidth="1"/>
    <col min="11749" max="11749" width="13.28515625" style="1" customWidth="1"/>
    <col min="11750" max="11751" width="0" style="1" hidden="1" customWidth="1"/>
    <col min="11752" max="11752" width="13.28515625" style="1" customWidth="1"/>
    <col min="11753" max="11754" width="0" style="1" hidden="1" customWidth="1"/>
    <col min="11755" max="11755" width="13.28515625" style="1" customWidth="1"/>
    <col min="11756" max="11757" width="0" style="1" hidden="1" customWidth="1"/>
    <col min="11758" max="11759" width="13.28515625" style="1" customWidth="1"/>
    <col min="11760" max="11760" width="39.42578125" style="1" customWidth="1"/>
    <col min="11761" max="11765" width="13.28515625" style="1" customWidth="1"/>
    <col min="11766" max="11766" width="56.7109375" style="1" customWidth="1"/>
    <col min="11767" max="11767" width="11.7109375" style="1" customWidth="1"/>
    <col min="11768" max="11953" width="8.85546875" style="1"/>
    <col min="11954" max="11955" width="0" style="1" hidden="1" customWidth="1"/>
    <col min="11956" max="11956" width="12.28515625" style="1" customWidth="1"/>
    <col min="11957" max="11957" width="47" style="1" customWidth="1"/>
    <col min="11958" max="11997" width="0" style="1" hidden="1" customWidth="1"/>
    <col min="11998" max="11999" width="13.28515625" style="1" customWidth="1"/>
    <col min="12000" max="12001" width="0" style="1" hidden="1" customWidth="1"/>
    <col min="12002" max="12002" width="13.28515625" style="1" customWidth="1"/>
    <col min="12003" max="12004" width="0" style="1" hidden="1" customWidth="1"/>
    <col min="12005" max="12005" width="13.28515625" style="1" customWidth="1"/>
    <col min="12006" max="12007" width="0" style="1" hidden="1" customWidth="1"/>
    <col min="12008" max="12008" width="13.28515625" style="1" customWidth="1"/>
    <col min="12009" max="12010" width="0" style="1" hidden="1" customWidth="1"/>
    <col min="12011" max="12011" width="13.28515625" style="1" customWidth="1"/>
    <col min="12012" max="12013" width="0" style="1" hidden="1" customWidth="1"/>
    <col min="12014" max="12015" width="13.28515625" style="1" customWidth="1"/>
    <col min="12016" max="12016" width="39.42578125" style="1" customWidth="1"/>
    <col min="12017" max="12021" width="13.28515625" style="1" customWidth="1"/>
    <col min="12022" max="12022" width="56.7109375" style="1" customWidth="1"/>
    <col min="12023" max="12023" width="11.7109375" style="1" customWidth="1"/>
    <col min="12024" max="12209" width="8.85546875" style="1"/>
    <col min="12210" max="12211" width="0" style="1" hidden="1" customWidth="1"/>
    <col min="12212" max="12212" width="12.28515625" style="1" customWidth="1"/>
    <col min="12213" max="12213" width="47" style="1" customWidth="1"/>
    <col min="12214" max="12253" width="0" style="1" hidden="1" customWidth="1"/>
    <col min="12254" max="12255" width="13.28515625" style="1" customWidth="1"/>
    <col min="12256" max="12257" width="0" style="1" hidden="1" customWidth="1"/>
    <col min="12258" max="12258" width="13.28515625" style="1" customWidth="1"/>
    <col min="12259" max="12260" width="0" style="1" hidden="1" customWidth="1"/>
    <col min="12261" max="12261" width="13.28515625" style="1" customWidth="1"/>
    <col min="12262" max="12263" width="0" style="1" hidden="1" customWidth="1"/>
    <col min="12264" max="12264" width="13.28515625" style="1" customWidth="1"/>
    <col min="12265" max="12266" width="0" style="1" hidden="1" customWidth="1"/>
    <col min="12267" max="12267" width="13.28515625" style="1" customWidth="1"/>
    <col min="12268" max="12269" width="0" style="1" hidden="1" customWidth="1"/>
    <col min="12270" max="12271" width="13.28515625" style="1" customWidth="1"/>
    <col min="12272" max="12272" width="39.42578125" style="1" customWidth="1"/>
    <col min="12273" max="12277" width="13.28515625" style="1" customWidth="1"/>
    <col min="12278" max="12278" width="56.7109375" style="1" customWidth="1"/>
    <col min="12279" max="12279" width="11.7109375" style="1" customWidth="1"/>
    <col min="12280" max="12465" width="8.85546875" style="1"/>
    <col min="12466" max="12467" width="0" style="1" hidden="1" customWidth="1"/>
    <col min="12468" max="12468" width="12.28515625" style="1" customWidth="1"/>
    <col min="12469" max="12469" width="47" style="1" customWidth="1"/>
    <col min="12470" max="12509" width="0" style="1" hidden="1" customWidth="1"/>
    <col min="12510" max="12511" width="13.28515625" style="1" customWidth="1"/>
    <col min="12512" max="12513" width="0" style="1" hidden="1" customWidth="1"/>
    <col min="12514" max="12514" width="13.28515625" style="1" customWidth="1"/>
    <col min="12515" max="12516" width="0" style="1" hidden="1" customWidth="1"/>
    <col min="12517" max="12517" width="13.28515625" style="1" customWidth="1"/>
    <col min="12518" max="12519" width="0" style="1" hidden="1" customWidth="1"/>
    <col min="12520" max="12520" width="13.28515625" style="1" customWidth="1"/>
    <col min="12521" max="12522" width="0" style="1" hidden="1" customWidth="1"/>
    <col min="12523" max="12523" width="13.28515625" style="1" customWidth="1"/>
    <col min="12524" max="12525" width="0" style="1" hidden="1" customWidth="1"/>
    <col min="12526" max="12527" width="13.28515625" style="1" customWidth="1"/>
    <col min="12528" max="12528" width="39.42578125" style="1" customWidth="1"/>
    <col min="12529" max="12533" width="13.28515625" style="1" customWidth="1"/>
    <col min="12534" max="12534" width="56.7109375" style="1" customWidth="1"/>
    <col min="12535" max="12535" width="11.7109375" style="1" customWidth="1"/>
    <col min="12536" max="12721" width="8.85546875" style="1"/>
    <col min="12722" max="12723" width="0" style="1" hidden="1" customWidth="1"/>
    <col min="12724" max="12724" width="12.28515625" style="1" customWidth="1"/>
    <col min="12725" max="12725" width="47" style="1" customWidth="1"/>
    <col min="12726" max="12765" width="0" style="1" hidden="1" customWidth="1"/>
    <col min="12766" max="12767" width="13.28515625" style="1" customWidth="1"/>
    <col min="12768" max="12769" width="0" style="1" hidden="1" customWidth="1"/>
    <col min="12770" max="12770" width="13.28515625" style="1" customWidth="1"/>
    <col min="12771" max="12772" width="0" style="1" hidden="1" customWidth="1"/>
    <col min="12773" max="12773" width="13.28515625" style="1" customWidth="1"/>
    <col min="12774" max="12775" width="0" style="1" hidden="1" customWidth="1"/>
    <col min="12776" max="12776" width="13.28515625" style="1" customWidth="1"/>
    <col min="12777" max="12778" width="0" style="1" hidden="1" customWidth="1"/>
    <col min="12779" max="12779" width="13.28515625" style="1" customWidth="1"/>
    <col min="12780" max="12781" width="0" style="1" hidden="1" customWidth="1"/>
    <col min="12782" max="12783" width="13.28515625" style="1" customWidth="1"/>
    <col min="12784" max="12784" width="39.42578125" style="1" customWidth="1"/>
    <col min="12785" max="12789" width="13.28515625" style="1" customWidth="1"/>
    <col min="12790" max="12790" width="56.7109375" style="1" customWidth="1"/>
    <col min="12791" max="12791" width="11.7109375" style="1" customWidth="1"/>
    <col min="12792" max="12977" width="8.85546875" style="1"/>
    <col min="12978" max="12979" width="0" style="1" hidden="1" customWidth="1"/>
    <col min="12980" max="12980" width="12.28515625" style="1" customWidth="1"/>
    <col min="12981" max="12981" width="47" style="1" customWidth="1"/>
    <col min="12982" max="13021" width="0" style="1" hidden="1" customWidth="1"/>
    <col min="13022" max="13023" width="13.28515625" style="1" customWidth="1"/>
    <col min="13024" max="13025" width="0" style="1" hidden="1" customWidth="1"/>
    <col min="13026" max="13026" width="13.28515625" style="1" customWidth="1"/>
    <col min="13027" max="13028" width="0" style="1" hidden="1" customWidth="1"/>
    <col min="13029" max="13029" width="13.28515625" style="1" customWidth="1"/>
    <col min="13030" max="13031" width="0" style="1" hidden="1" customWidth="1"/>
    <col min="13032" max="13032" width="13.28515625" style="1" customWidth="1"/>
    <col min="13033" max="13034" width="0" style="1" hidden="1" customWidth="1"/>
    <col min="13035" max="13035" width="13.28515625" style="1" customWidth="1"/>
    <col min="13036" max="13037" width="0" style="1" hidden="1" customWidth="1"/>
    <col min="13038" max="13039" width="13.28515625" style="1" customWidth="1"/>
    <col min="13040" max="13040" width="39.42578125" style="1" customWidth="1"/>
    <col min="13041" max="13045" width="13.28515625" style="1" customWidth="1"/>
    <col min="13046" max="13046" width="56.7109375" style="1" customWidth="1"/>
    <col min="13047" max="13047" width="11.7109375" style="1" customWidth="1"/>
    <col min="13048" max="13233" width="8.85546875" style="1"/>
    <col min="13234" max="13235" width="0" style="1" hidden="1" customWidth="1"/>
    <col min="13236" max="13236" width="12.28515625" style="1" customWidth="1"/>
    <col min="13237" max="13237" width="47" style="1" customWidth="1"/>
    <col min="13238" max="13277" width="0" style="1" hidden="1" customWidth="1"/>
    <col min="13278" max="13279" width="13.28515625" style="1" customWidth="1"/>
    <col min="13280" max="13281" width="0" style="1" hidden="1" customWidth="1"/>
    <col min="13282" max="13282" width="13.28515625" style="1" customWidth="1"/>
    <col min="13283" max="13284" width="0" style="1" hidden="1" customWidth="1"/>
    <col min="13285" max="13285" width="13.28515625" style="1" customWidth="1"/>
    <col min="13286" max="13287" width="0" style="1" hidden="1" customWidth="1"/>
    <col min="13288" max="13288" width="13.28515625" style="1" customWidth="1"/>
    <col min="13289" max="13290" width="0" style="1" hidden="1" customWidth="1"/>
    <col min="13291" max="13291" width="13.28515625" style="1" customWidth="1"/>
    <col min="13292" max="13293" width="0" style="1" hidden="1" customWidth="1"/>
    <col min="13294" max="13295" width="13.28515625" style="1" customWidth="1"/>
    <col min="13296" max="13296" width="39.42578125" style="1" customWidth="1"/>
    <col min="13297" max="13301" width="13.28515625" style="1" customWidth="1"/>
    <col min="13302" max="13302" width="56.7109375" style="1" customWidth="1"/>
    <col min="13303" max="13303" width="11.7109375" style="1" customWidth="1"/>
    <col min="13304" max="13489" width="8.85546875" style="1"/>
    <col min="13490" max="13491" width="0" style="1" hidden="1" customWidth="1"/>
    <col min="13492" max="13492" width="12.28515625" style="1" customWidth="1"/>
    <col min="13493" max="13493" width="47" style="1" customWidth="1"/>
    <col min="13494" max="13533" width="0" style="1" hidden="1" customWidth="1"/>
    <col min="13534" max="13535" width="13.28515625" style="1" customWidth="1"/>
    <col min="13536" max="13537" width="0" style="1" hidden="1" customWidth="1"/>
    <col min="13538" max="13538" width="13.28515625" style="1" customWidth="1"/>
    <col min="13539" max="13540" width="0" style="1" hidden="1" customWidth="1"/>
    <col min="13541" max="13541" width="13.28515625" style="1" customWidth="1"/>
    <col min="13542" max="13543" width="0" style="1" hidden="1" customWidth="1"/>
    <col min="13544" max="13544" width="13.28515625" style="1" customWidth="1"/>
    <col min="13545" max="13546" width="0" style="1" hidden="1" customWidth="1"/>
    <col min="13547" max="13547" width="13.28515625" style="1" customWidth="1"/>
    <col min="13548" max="13549" width="0" style="1" hidden="1" customWidth="1"/>
    <col min="13550" max="13551" width="13.28515625" style="1" customWidth="1"/>
    <col min="13552" max="13552" width="39.42578125" style="1" customWidth="1"/>
    <col min="13553" max="13557" width="13.28515625" style="1" customWidth="1"/>
    <col min="13558" max="13558" width="56.7109375" style="1" customWidth="1"/>
    <col min="13559" max="13559" width="11.7109375" style="1" customWidth="1"/>
    <col min="13560" max="13745" width="8.85546875" style="1"/>
    <col min="13746" max="13747" width="0" style="1" hidden="1" customWidth="1"/>
    <col min="13748" max="13748" width="12.28515625" style="1" customWidth="1"/>
    <col min="13749" max="13749" width="47" style="1" customWidth="1"/>
    <col min="13750" max="13789" width="0" style="1" hidden="1" customWidth="1"/>
    <col min="13790" max="13791" width="13.28515625" style="1" customWidth="1"/>
    <col min="13792" max="13793" width="0" style="1" hidden="1" customWidth="1"/>
    <col min="13794" max="13794" width="13.28515625" style="1" customWidth="1"/>
    <col min="13795" max="13796" width="0" style="1" hidden="1" customWidth="1"/>
    <col min="13797" max="13797" width="13.28515625" style="1" customWidth="1"/>
    <col min="13798" max="13799" width="0" style="1" hidden="1" customWidth="1"/>
    <col min="13800" max="13800" width="13.28515625" style="1" customWidth="1"/>
    <col min="13801" max="13802" width="0" style="1" hidden="1" customWidth="1"/>
    <col min="13803" max="13803" width="13.28515625" style="1" customWidth="1"/>
    <col min="13804" max="13805" width="0" style="1" hidden="1" customWidth="1"/>
    <col min="13806" max="13807" width="13.28515625" style="1" customWidth="1"/>
    <col min="13808" max="13808" width="39.42578125" style="1" customWidth="1"/>
    <col min="13809" max="13813" width="13.28515625" style="1" customWidth="1"/>
    <col min="13814" max="13814" width="56.7109375" style="1" customWidth="1"/>
    <col min="13815" max="13815" width="11.7109375" style="1" customWidth="1"/>
    <col min="13816" max="14001" width="8.85546875" style="1"/>
    <col min="14002" max="14003" width="0" style="1" hidden="1" customWidth="1"/>
    <col min="14004" max="14004" width="12.28515625" style="1" customWidth="1"/>
    <col min="14005" max="14005" width="47" style="1" customWidth="1"/>
    <col min="14006" max="14045" width="0" style="1" hidden="1" customWidth="1"/>
    <col min="14046" max="14047" width="13.28515625" style="1" customWidth="1"/>
    <col min="14048" max="14049" width="0" style="1" hidden="1" customWidth="1"/>
    <col min="14050" max="14050" width="13.28515625" style="1" customWidth="1"/>
    <col min="14051" max="14052" width="0" style="1" hidden="1" customWidth="1"/>
    <col min="14053" max="14053" width="13.28515625" style="1" customWidth="1"/>
    <col min="14054" max="14055" width="0" style="1" hidden="1" customWidth="1"/>
    <col min="14056" max="14056" width="13.28515625" style="1" customWidth="1"/>
    <col min="14057" max="14058" width="0" style="1" hidden="1" customWidth="1"/>
    <col min="14059" max="14059" width="13.28515625" style="1" customWidth="1"/>
    <col min="14060" max="14061" width="0" style="1" hidden="1" customWidth="1"/>
    <col min="14062" max="14063" width="13.28515625" style="1" customWidth="1"/>
    <col min="14064" max="14064" width="39.42578125" style="1" customWidth="1"/>
    <col min="14065" max="14069" width="13.28515625" style="1" customWidth="1"/>
    <col min="14070" max="14070" width="56.7109375" style="1" customWidth="1"/>
    <col min="14071" max="14071" width="11.7109375" style="1" customWidth="1"/>
    <col min="14072" max="14257" width="8.85546875" style="1"/>
    <col min="14258" max="14259" width="0" style="1" hidden="1" customWidth="1"/>
    <col min="14260" max="14260" width="12.28515625" style="1" customWidth="1"/>
    <col min="14261" max="14261" width="47" style="1" customWidth="1"/>
    <col min="14262" max="14301" width="0" style="1" hidden="1" customWidth="1"/>
    <col min="14302" max="14303" width="13.28515625" style="1" customWidth="1"/>
    <col min="14304" max="14305" width="0" style="1" hidden="1" customWidth="1"/>
    <col min="14306" max="14306" width="13.28515625" style="1" customWidth="1"/>
    <col min="14307" max="14308" width="0" style="1" hidden="1" customWidth="1"/>
    <col min="14309" max="14309" width="13.28515625" style="1" customWidth="1"/>
    <col min="14310" max="14311" width="0" style="1" hidden="1" customWidth="1"/>
    <col min="14312" max="14312" width="13.28515625" style="1" customWidth="1"/>
    <col min="14313" max="14314" width="0" style="1" hidden="1" customWidth="1"/>
    <col min="14315" max="14315" width="13.28515625" style="1" customWidth="1"/>
    <col min="14316" max="14317" width="0" style="1" hidden="1" customWidth="1"/>
    <col min="14318" max="14319" width="13.28515625" style="1" customWidth="1"/>
    <col min="14320" max="14320" width="39.42578125" style="1" customWidth="1"/>
    <col min="14321" max="14325" width="13.28515625" style="1" customWidth="1"/>
    <col min="14326" max="14326" width="56.7109375" style="1" customWidth="1"/>
    <col min="14327" max="14327" width="11.7109375" style="1" customWidth="1"/>
    <col min="14328" max="14513" width="8.85546875" style="1"/>
    <col min="14514" max="14515" width="0" style="1" hidden="1" customWidth="1"/>
    <col min="14516" max="14516" width="12.28515625" style="1" customWidth="1"/>
    <col min="14517" max="14517" width="47" style="1" customWidth="1"/>
    <col min="14518" max="14557" width="0" style="1" hidden="1" customWidth="1"/>
    <col min="14558" max="14559" width="13.28515625" style="1" customWidth="1"/>
    <col min="14560" max="14561" width="0" style="1" hidden="1" customWidth="1"/>
    <col min="14562" max="14562" width="13.28515625" style="1" customWidth="1"/>
    <col min="14563" max="14564" width="0" style="1" hidden="1" customWidth="1"/>
    <col min="14565" max="14565" width="13.28515625" style="1" customWidth="1"/>
    <col min="14566" max="14567" width="0" style="1" hidden="1" customWidth="1"/>
    <col min="14568" max="14568" width="13.28515625" style="1" customWidth="1"/>
    <col min="14569" max="14570" width="0" style="1" hidden="1" customWidth="1"/>
    <col min="14571" max="14571" width="13.28515625" style="1" customWidth="1"/>
    <col min="14572" max="14573" width="0" style="1" hidden="1" customWidth="1"/>
    <col min="14574" max="14575" width="13.28515625" style="1" customWidth="1"/>
    <col min="14576" max="14576" width="39.42578125" style="1" customWidth="1"/>
    <col min="14577" max="14581" width="13.28515625" style="1" customWidth="1"/>
    <col min="14582" max="14582" width="56.7109375" style="1" customWidth="1"/>
    <col min="14583" max="14583" width="11.7109375" style="1" customWidth="1"/>
    <col min="14584" max="14769" width="8.85546875" style="1"/>
    <col min="14770" max="14771" width="0" style="1" hidden="1" customWidth="1"/>
    <col min="14772" max="14772" width="12.28515625" style="1" customWidth="1"/>
    <col min="14773" max="14773" width="47" style="1" customWidth="1"/>
    <col min="14774" max="14813" width="0" style="1" hidden="1" customWidth="1"/>
    <col min="14814" max="14815" width="13.28515625" style="1" customWidth="1"/>
    <col min="14816" max="14817" width="0" style="1" hidden="1" customWidth="1"/>
    <col min="14818" max="14818" width="13.28515625" style="1" customWidth="1"/>
    <col min="14819" max="14820" width="0" style="1" hidden="1" customWidth="1"/>
    <col min="14821" max="14821" width="13.28515625" style="1" customWidth="1"/>
    <col min="14822" max="14823" width="0" style="1" hidden="1" customWidth="1"/>
    <col min="14824" max="14824" width="13.28515625" style="1" customWidth="1"/>
    <col min="14825" max="14826" width="0" style="1" hidden="1" customWidth="1"/>
    <col min="14827" max="14827" width="13.28515625" style="1" customWidth="1"/>
    <col min="14828" max="14829" width="0" style="1" hidden="1" customWidth="1"/>
    <col min="14830" max="14831" width="13.28515625" style="1" customWidth="1"/>
    <col min="14832" max="14832" width="39.42578125" style="1" customWidth="1"/>
    <col min="14833" max="14837" width="13.28515625" style="1" customWidth="1"/>
    <col min="14838" max="14838" width="56.7109375" style="1" customWidth="1"/>
    <col min="14839" max="14839" width="11.7109375" style="1" customWidth="1"/>
    <col min="14840" max="15025" width="8.85546875" style="1"/>
    <col min="15026" max="15027" width="0" style="1" hidden="1" customWidth="1"/>
    <col min="15028" max="15028" width="12.28515625" style="1" customWidth="1"/>
    <col min="15029" max="15029" width="47" style="1" customWidth="1"/>
    <col min="15030" max="15069" width="0" style="1" hidden="1" customWidth="1"/>
    <col min="15070" max="15071" width="13.28515625" style="1" customWidth="1"/>
    <col min="15072" max="15073" width="0" style="1" hidden="1" customWidth="1"/>
    <col min="15074" max="15074" width="13.28515625" style="1" customWidth="1"/>
    <col min="15075" max="15076" width="0" style="1" hidden="1" customWidth="1"/>
    <col min="15077" max="15077" width="13.28515625" style="1" customWidth="1"/>
    <col min="15078" max="15079" width="0" style="1" hidden="1" customWidth="1"/>
    <col min="15080" max="15080" width="13.28515625" style="1" customWidth="1"/>
    <col min="15081" max="15082" width="0" style="1" hidden="1" customWidth="1"/>
    <col min="15083" max="15083" width="13.28515625" style="1" customWidth="1"/>
    <col min="15084" max="15085" width="0" style="1" hidden="1" customWidth="1"/>
    <col min="15086" max="15087" width="13.28515625" style="1" customWidth="1"/>
    <col min="15088" max="15088" width="39.42578125" style="1" customWidth="1"/>
    <col min="15089" max="15093" width="13.28515625" style="1" customWidth="1"/>
    <col min="15094" max="15094" width="56.7109375" style="1" customWidth="1"/>
    <col min="15095" max="15095" width="11.7109375" style="1" customWidth="1"/>
    <col min="15096" max="15281" width="8.85546875" style="1"/>
    <col min="15282" max="15283" width="0" style="1" hidden="1" customWidth="1"/>
    <col min="15284" max="15284" width="12.28515625" style="1" customWidth="1"/>
    <col min="15285" max="15285" width="47" style="1" customWidth="1"/>
    <col min="15286" max="15325" width="0" style="1" hidden="1" customWidth="1"/>
    <col min="15326" max="15327" width="13.28515625" style="1" customWidth="1"/>
    <col min="15328" max="15329" width="0" style="1" hidden="1" customWidth="1"/>
    <col min="15330" max="15330" width="13.28515625" style="1" customWidth="1"/>
    <col min="15331" max="15332" width="0" style="1" hidden="1" customWidth="1"/>
    <col min="15333" max="15333" width="13.28515625" style="1" customWidth="1"/>
    <col min="15334" max="15335" width="0" style="1" hidden="1" customWidth="1"/>
    <col min="15336" max="15336" width="13.28515625" style="1" customWidth="1"/>
    <col min="15337" max="15338" width="0" style="1" hidden="1" customWidth="1"/>
    <col min="15339" max="15339" width="13.28515625" style="1" customWidth="1"/>
    <col min="15340" max="15341" width="0" style="1" hidden="1" customWidth="1"/>
    <col min="15342" max="15343" width="13.28515625" style="1" customWidth="1"/>
    <col min="15344" max="15344" width="39.42578125" style="1" customWidth="1"/>
    <col min="15345" max="15349" width="13.28515625" style="1" customWidth="1"/>
    <col min="15350" max="15350" width="56.7109375" style="1" customWidth="1"/>
    <col min="15351" max="15351" width="11.7109375" style="1" customWidth="1"/>
    <col min="15352" max="15537" width="8.85546875" style="1"/>
    <col min="15538" max="15539" width="0" style="1" hidden="1" customWidth="1"/>
    <col min="15540" max="15540" width="12.28515625" style="1" customWidth="1"/>
    <col min="15541" max="15541" width="47" style="1" customWidth="1"/>
    <col min="15542" max="15581" width="0" style="1" hidden="1" customWidth="1"/>
    <col min="15582" max="15583" width="13.28515625" style="1" customWidth="1"/>
    <col min="15584" max="15585" width="0" style="1" hidden="1" customWidth="1"/>
    <col min="15586" max="15586" width="13.28515625" style="1" customWidth="1"/>
    <col min="15587" max="15588" width="0" style="1" hidden="1" customWidth="1"/>
    <col min="15589" max="15589" width="13.28515625" style="1" customWidth="1"/>
    <col min="15590" max="15591" width="0" style="1" hidden="1" customWidth="1"/>
    <col min="15592" max="15592" width="13.28515625" style="1" customWidth="1"/>
    <col min="15593" max="15594" width="0" style="1" hidden="1" customWidth="1"/>
    <col min="15595" max="15595" width="13.28515625" style="1" customWidth="1"/>
    <col min="15596" max="15597" width="0" style="1" hidden="1" customWidth="1"/>
    <col min="15598" max="15599" width="13.28515625" style="1" customWidth="1"/>
    <col min="15600" max="15600" width="39.42578125" style="1" customWidth="1"/>
    <col min="15601" max="15605" width="13.28515625" style="1" customWidth="1"/>
    <col min="15606" max="15606" width="56.7109375" style="1" customWidth="1"/>
    <col min="15607" max="15607" width="11.7109375" style="1" customWidth="1"/>
    <col min="15608" max="15793" width="8.85546875" style="1"/>
    <col min="15794" max="15795" width="0" style="1" hidden="1" customWidth="1"/>
    <col min="15796" max="15796" width="12.28515625" style="1" customWidth="1"/>
    <col min="15797" max="15797" width="47" style="1" customWidth="1"/>
    <col min="15798" max="15837" width="0" style="1" hidden="1" customWidth="1"/>
    <col min="15838" max="15839" width="13.28515625" style="1" customWidth="1"/>
    <col min="15840" max="15841" width="0" style="1" hidden="1" customWidth="1"/>
    <col min="15842" max="15842" width="13.28515625" style="1" customWidth="1"/>
    <col min="15843" max="15844" width="0" style="1" hidden="1" customWidth="1"/>
    <col min="15845" max="15845" width="13.28515625" style="1" customWidth="1"/>
    <col min="15846" max="15847" width="0" style="1" hidden="1" customWidth="1"/>
    <col min="15848" max="15848" width="13.28515625" style="1" customWidth="1"/>
    <col min="15849" max="15850" width="0" style="1" hidden="1" customWidth="1"/>
    <col min="15851" max="15851" width="13.28515625" style="1" customWidth="1"/>
    <col min="15852" max="15853" width="0" style="1" hidden="1" customWidth="1"/>
    <col min="15854" max="15855" width="13.28515625" style="1" customWidth="1"/>
    <col min="15856" max="15856" width="39.42578125" style="1" customWidth="1"/>
    <col min="15857" max="15861" width="13.28515625" style="1" customWidth="1"/>
    <col min="15862" max="15862" width="56.7109375" style="1" customWidth="1"/>
    <col min="15863" max="15863" width="11.7109375" style="1" customWidth="1"/>
    <col min="15864" max="16049" width="8.85546875" style="1"/>
    <col min="16050" max="16051" width="0" style="1" hidden="1" customWidth="1"/>
    <col min="16052" max="16052" width="12.28515625" style="1" customWidth="1"/>
    <col min="16053" max="16053" width="47" style="1" customWidth="1"/>
    <col min="16054" max="16093" width="0" style="1" hidden="1" customWidth="1"/>
    <col min="16094" max="16095" width="13.28515625" style="1" customWidth="1"/>
    <col min="16096" max="16097" width="0" style="1" hidden="1" customWidth="1"/>
    <col min="16098" max="16098" width="13.28515625" style="1" customWidth="1"/>
    <col min="16099" max="16100" width="0" style="1" hidden="1" customWidth="1"/>
    <col min="16101" max="16101" width="13.28515625" style="1" customWidth="1"/>
    <col min="16102" max="16103" width="0" style="1" hidden="1" customWidth="1"/>
    <col min="16104" max="16104" width="13.28515625" style="1" customWidth="1"/>
    <col min="16105" max="16106" width="0" style="1" hidden="1" customWidth="1"/>
    <col min="16107" max="16107" width="13.28515625" style="1" customWidth="1"/>
    <col min="16108" max="16109" width="0" style="1" hidden="1" customWidth="1"/>
    <col min="16110" max="16111" width="13.28515625" style="1" customWidth="1"/>
    <col min="16112" max="16112" width="39.42578125" style="1" customWidth="1"/>
    <col min="16113" max="16117" width="13.28515625" style="1" customWidth="1"/>
    <col min="16118" max="16118" width="56.7109375" style="1" customWidth="1"/>
    <col min="16119" max="16119" width="11.7109375" style="1" customWidth="1"/>
    <col min="16120" max="16318" width="8.85546875" style="1"/>
    <col min="16319" max="16351" width="8.140625" style="1" customWidth="1"/>
    <col min="16352" max="16359" width="8.85546875" style="1"/>
    <col min="16360" max="16360" width="8.140625" style="1" customWidth="1"/>
    <col min="16361" max="16366" width="8.85546875" style="1"/>
    <col min="16367" max="16384" width="8.140625" style="1" customWidth="1"/>
  </cols>
  <sheetData>
    <row r="1" spans="1:20" ht="25.5" outlineLevel="1" x14ac:dyDescent="0.35">
      <c r="C1" s="2" t="s">
        <v>0</v>
      </c>
      <c r="D1" s="3"/>
      <c r="E1" s="4"/>
      <c r="F1" s="4"/>
      <c r="G1" s="4"/>
      <c r="H1" s="5"/>
      <c r="I1" s="4"/>
      <c r="J1" s="4"/>
      <c r="K1" s="4"/>
      <c r="L1" s="6"/>
      <c r="M1" s="6"/>
      <c r="N1" s="7"/>
      <c r="O1" s="7"/>
      <c r="P1" s="8"/>
      <c r="Q1" s="9"/>
      <c r="R1" s="7"/>
      <c r="S1" s="8"/>
      <c r="T1" s="9"/>
    </row>
    <row r="2" spans="1:20" ht="24.6" outlineLevel="1" x14ac:dyDescent="0.4">
      <c r="C2" s="419" t="s">
        <v>1</v>
      </c>
      <c r="D2" s="419"/>
      <c r="E2" s="5"/>
      <c r="F2" s="5"/>
      <c r="G2" s="5"/>
      <c r="H2" s="5"/>
      <c r="I2" s="4"/>
      <c r="J2" s="10"/>
      <c r="K2" s="5"/>
      <c r="P2" s="13"/>
      <c r="Q2" s="14"/>
      <c r="S2" s="13"/>
      <c r="T2" s="14"/>
    </row>
    <row r="3" spans="1:20" ht="20.25" outlineLevel="1" x14ac:dyDescent="0.3">
      <c r="C3" s="415" t="s">
        <v>2</v>
      </c>
      <c r="D3" s="415"/>
      <c r="E3" s="16"/>
      <c r="F3" s="16"/>
      <c r="G3" s="16"/>
      <c r="H3" s="5"/>
      <c r="I3" s="4"/>
      <c r="J3" s="17"/>
      <c r="K3" s="16"/>
      <c r="L3" s="18"/>
      <c r="M3" s="18">
        <f>M113-M141-M42</f>
        <v>38975952</v>
      </c>
      <c r="N3" s="19">
        <f>N113-N141-N42</f>
        <v>38975952</v>
      </c>
      <c r="O3" s="19">
        <f>O113-O141-O43-O67</f>
        <v>39937037</v>
      </c>
      <c r="P3" s="20"/>
      <c r="R3" s="19">
        <f>R113-R141-R43-R67</f>
        <v>40016099</v>
      </c>
      <c r="S3" s="20"/>
    </row>
    <row r="4" spans="1:20" ht="15.75" outlineLevel="1" thickBot="1" x14ac:dyDescent="0.3">
      <c r="C4" s="22"/>
      <c r="E4" s="23"/>
      <c r="F4" s="23"/>
      <c r="G4" s="16"/>
      <c r="H4" s="5"/>
      <c r="I4" s="4"/>
      <c r="J4" s="4"/>
      <c r="K4" s="23"/>
      <c r="L4" s="18"/>
      <c r="M4" s="18"/>
      <c r="N4" s="19" t="s">
        <v>3</v>
      </c>
      <c r="O4" s="19"/>
      <c r="P4" s="21"/>
      <c r="R4" s="19"/>
      <c r="S4" s="21"/>
    </row>
    <row r="5" spans="1:20" ht="55.15" customHeight="1" thickBot="1" x14ac:dyDescent="0.3">
      <c r="C5" s="24" t="s">
        <v>4</v>
      </c>
      <c r="D5" s="25" t="s">
        <v>5</v>
      </c>
      <c r="E5" s="26" t="s">
        <v>6</v>
      </c>
      <c r="F5" s="26" t="s">
        <v>7</v>
      </c>
      <c r="G5" s="26" t="s">
        <v>8</v>
      </c>
      <c r="H5" s="26" t="s">
        <v>9</v>
      </c>
      <c r="I5" s="27" t="s">
        <v>10</v>
      </c>
      <c r="J5" s="26" t="s">
        <v>11</v>
      </c>
      <c r="K5" s="27" t="s">
        <v>12</v>
      </c>
      <c r="L5" s="28" t="s">
        <v>13</v>
      </c>
      <c r="M5" s="28" t="s">
        <v>13</v>
      </c>
      <c r="N5" s="29" t="s">
        <v>13</v>
      </c>
      <c r="O5" s="29" t="s">
        <v>14</v>
      </c>
      <c r="P5" s="27" t="s">
        <v>15</v>
      </c>
      <c r="Q5" s="30" t="s">
        <v>16</v>
      </c>
      <c r="R5" s="29" t="s">
        <v>17</v>
      </c>
      <c r="S5" s="27" t="s">
        <v>18</v>
      </c>
      <c r="T5" s="30" t="s">
        <v>16</v>
      </c>
    </row>
    <row r="6" spans="1:20" x14ac:dyDescent="0.25">
      <c r="C6" s="31" t="s">
        <v>19</v>
      </c>
      <c r="D6" s="32" t="s">
        <v>20</v>
      </c>
      <c r="E6" s="33">
        <f t="shared" ref="E6:O6" si="0">ROUND((E7+E10+E13+E16+E19),0)</f>
        <v>243531</v>
      </c>
      <c r="F6" s="33">
        <f t="shared" si="0"/>
        <v>70000</v>
      </c>
      <c r="G6" s="33">
        <f t="shared" si="0"/>
        <v>0</v>
      </c>
      <c r="H6" s="33">
        <f t="shared" si="0"/>
        <v>0</v>
      </c>
      <c r="I6" s="34">
        <f t="shared" si="0"/>
        <v>0</v>
      </c>
      <c r="J6" s="33">
        <f t="shared" si="0"/>
        <v>0</v>
      </c>
      <c r="K6" s="34">
        <f>ROUND((K7+K10+K13+K16+K19),0)</f>
        <v>44881568</v>
      </c>
      <c r="L6" s="35">
        <f>ROUND((L7+L10+L13+L16+L19),0)</f>
        <v>44951568</v>
      </c>
      <c r="M6" s="35">
        <f t="shared" si="0"/>
        <v>44951568</v>
      </c>
      <c r="N6" s="34">
        <f>ROUND((N7+N10+N13+N16+N19),0)</f>
        <v>44951568</v>
      </c>
      <c r="O6" s="34">
        <f t="shared" si="0"/>
        <v>44951568</v>
      </c>
      <c r="P6" s="36">
        <f>O6-N6</f>
        <v>0</v>
      </c>
      <c r="Q6" s="37"/>
      <c r="R6" s="34">
        <f t="shared" ref="R6" si="1">ROUND((R7+R10+R13+R16+R19),0)</f>
        <v>44951568</v>
      </c>
      <c r="S6" s="36">
        <f t="shared" ref="S6:S10" si="2">R6-O6</f>
        <v>0</v>
      </c>
      <c r="T6" s="37"/>
    </row>
    <row r="7" spans="1:20" x14ac:dyDescent="0.25">
      <c r="B7" s="1" t="s">
        <v>21</v>
      </c>
      <c r="C7" s="38" t="s">
        <v>22</v>
      </c>
      <c r="D7" s="39" t="s">
        <v>23</v>
      </c>
      <c r="E7" s="40">
        <f t="shared" ref="E7:N7" si="3">SUM(E8:E8)</f>
        <v>0</v>
      </c>
      <c r="F7" s="40">
        <f t="shared" si="3"/>
        <v>0</v>
      </c>
      <c r="G7" s="40">
        <f t="shared" si="3"/>
        <v>0</v>
      </c>
      <c r="H7" s="40">
        <f t="shared" si="3"/>
        <v>0</v>
      </c>
      <c r="I7" s="41">
        <f t="shared" si="3"/>
        <v>0</v>
      </c>
      <c r="J7" s="40">
        <f t="shared" si="3"/>
        <v>0</v>
      </c>
      <c r="K7" s="41">
        <f t="shared" si="3"/>
        <v>41652563</v>
      </c>
      <c r="L7" s="42">
        <f>SUM(L8:L8)</f>
        <v>41652563</v>
      </c>
      <c r="M7" s="42">
        <f t="shared" si="3"/>
        <v>41652563</v>
      </c>
      <c r="N7" s="43">
        <f t="shared" si="3"/>
        <v>41652563</v>
      </c>
      <c r="O7" s="43">
        <f>SUM(O8:O8)</f>
        <v>41652563</v>
      </c>
      <c r="P7" s="41">
        <f t="shared" ref="P7:P71" si="4">O7-N7</f>
        <v>0</v>
      </c>
      <c r="Q7" s="44"/>
      <c r="R7" s="43">
        <f>SUM(R8:R8)</f>
        <v>41652563</v>
      </c>
      <c r="S7" s="41">
        <f t="shared" si="2"/>
        <v>0</v>
      </c>
      <c r="T7" s="44"/>
    </row>
    <row r="8" spans="1:20" ht="33" customHeight="1" x14ac:dyDescent="0.25">
      <c r="A8" s="1" t="s">
        <v>24</v>
      </c>
      <c r="B8" s="45" t="s">
        <v>25</v>
      </c>
      <c r="C8" s="46" t="s">
        <v>26</v>
      </c>
      <c r="D8" s="47" t="s">
        <v>27</v>
      </c>
      <c r="E8" s="48"/>
      <c r="F8" s="48"/>
      <c r="G8" s="48"/>
      <c r="H8" s="48"/>
      <c r="I8" s="49"/>
      <c r="J8" s="48"/>
      <c r="K8" s="49">
        <f>[1]BAZE_2026!G5-K94</f>
        <v>41652563</v>
      </c>
      <c r="L8" s="50">
        <f>F8+G8+H8+I8+J8+K8</f>
        <v>41652563</v>
      </c>
      <c r="M8" s="50">
        <f>ROUND(L8,0)</f>
        <v>41652563</v>
      </c>
      <c r="N8" s="51">
        <v>41652563</v>
      </c>
      <c r="O8" s="51">
        <f>ROUND(N8,0)</f>
        <v>41652563</v>
      </c>
      <c r="P8" s="49">
        <f t="shared" si="4"/>
        <v>0</v>
      </c>
      <c r="Q8" s="52"/>
      <c r="R8" s="51">
        <f>ROUND(O8,0)</f>
        <v>41652563</v>
      </c>
      <c r="S8" s="49">
        <f t="shared" si="2"/>
        <v>0</v>
      </c>
      <c r="T8" s="52"/>
    </row>
    <row r="9" spans="1:20" ht="32.450000000000003" customHeight="1" x14ac:dyDescent="0.25">
      <c r="C9" s="31" t="s">
        <v>28</v>
      </c>
      <c r="D9" s="32" t="s">
        <v>29</v>
      </c>
      <c r="E9" s="33"/>
      <c r="F9" s="33"/>
      <c r="G9" s="33"/>
      <c r="H9" s="33"/>
      <c r="I9" s="34"/>
      <c r="J9" s="33"/>
      <c r="K9" s="34"/>
      <c r="L9" s="35">
        <f>L10+L13+L16</f>
        <v>3224004.9929411765</v>
      </c>
      <c r="M9" s="35">
        <f>M10+M13+M16</f>
        <v>3224005</v>
      </c>
      <c r="N9" s="34">
        <f>N10+N13+N16</f>
        <v>3224005</v>
      </c>
      <c r="O9" s="34">
        <f>O10+O13+O16</f>
        <v>3224005</v>
      </c>
      <c r="P9" s="36">
        <f t="shared" si="4"/>
        <v>0</v>
      </c>
      <c r="Q9" s="37"/>
      <c r="R9" s="34">
        <f>R10+R13+R16</f>
        <v>3224005</v>
      </c>
      <c r="S9" s="36">
        <f t="shared" si="2"/>
        <v>0</v>
      </c>
      <c r="T9" s="37"/>
    </row>
    <row r="10" spans="1:20" x14ac:dyDescent="0.25">
      <c r="B10" s="1" t="s">
        <v>30</v>
      </c>
      <c r="C10" s="53" t="s">
        <v>31</v>
      </c>
      <c r="D10" s="54" t="s">
        <v>32</v>
      </c>
      <c r="E10" s="55">
        <f t="shared" ref="E10:K10" si="5">SUM(E11:E12)</f>
        <v>0</v>
      </c>
      <c r="F10" s="55">
        <f t="shared" si="5"/>
        <v>0</v>
      </c>
      <c r="G10" s="55">
        <f t="shared" si="5"/>
        <v>0</v>
      </c>
      <c r="H10" s="55">
        <f t="shared" si="5"/>
        <v>0</v>
      </c>
      <c r="I10" s="56">
        <f>SUM(I11:I12)</f>
        <v>0</v>
      </c>
      <c r="J10" s="55">
        <f t="shared" si="5"/>
        <v>0</v>
      </c>
      <c r="K10" s="56">
        <f t="shared" si="5"/>
        <v>2046792.9982352939</v>
      </c>
      <c r="L10" s="57">
        <f>SUM(L11:L12)</f>
        <v>2046792.9982352939</v>
      </c>
      <c r="M10" s="57">
        <f>SUM(M11:M12)</f>
        <v>2046793</v>
      </c>
      <c r="N10" s="58">
        <f>SUM(N11:N12)</f>
        <v>2046793</v>
      </c>
      <c r="O10" s="58">
        <f>SUM(O11:O12)</f>
        <v>2046793</v>
      </c>
      <c r="P10" s="56">
        <f t="shared" si="4"/>
        <v>0</v>
      </c>
      <c r="Q10" s="59"/>
      <c r="R10" s="58">
        <f>SUM(R11:R12)</f>
        <v>2046793</v>
      </c>
      <c r="S10" s="56">
        <f t="shared" si="2"/>
        <v>0</v>
      </c>
      <c r="T10" s="59"/>
    </row>
    <row r="11" spans="1:20" x14ac:dyDescent="0.25">
      <c r="A11" s="1" t="s">
        <v>24</v>
      </c>
      <c r="B11" s="45" t="s">
        <v>33</v>
      </c>
      <c r="C11" s="46" t="s">
        <v>34</v>
      </c>
      <c r="D11" s="47" t="s">
        <v>27</v>
      </c>
      <c r="E11" s="48"/>
      <c r="F11" s="48"/>
      <c r="G11" s="48"/>
      <c r="H11" s="48"/>
      <c r="I11" s="49"/>
      <c r="J11" s="48"/>
      <c r="K11" s="49">
        <f>[1]BAZE_2026!G8</f>
        <v>1945590.9982352939</v>
      </c>
      <c r="L11" s="50">
        <f>F11+G11+H11+I11+J11+K11</f>
        <v>1945590.9982352939</v>
      </c>
      <c r="M11" s="50">
        <f t="shared" ref="M11:M21" si="6">ROUND(L11,0)</f>
        <v>1945591</v>
      </c>
      <c r="N11" s="51">
        <v>1945591</v>
      </c>
      <c r="O11" s="51">
        <f>ROUND(N11,0)</f>
        <v>1945591</v>
      </c>
      <c r="P11" s="49">
        <f t="shared" si="4"/>
        <v>0</v>
      </c>
      <c r="Q11" s="60"/>
      <c r="R11" s="51">
        <f t="shared" ref="R11:R12" si="7">ROUND(O11,0)</f>
        <v>1945591</v>
      </c>
      <c r="S11" s="49">
        <f>R11-O11</f>
        <v>0</v>
      </c>
      <c r="T11" s="60"/>
    </row>
    <row r="12" spans="1:20" x14ac:dyDescent="0.25">
      <c r="A12" s="1" t="s">
        <v>24</v>
      </c>
      <c r="B12" s="45" t="s">
        <v>35</v>
      </c>
      <c r="C12" s="46" t="s">
        <v>36</v>
      </c>
      <c r="D12" s="47" t="s">
        <v>37</v>
      </c>
      <c r="E12" s="48"/>
      <c r="F12" s="48"/>
      <c r="G12" s="48"/>
      <c r="H12" s="48"/>
      <c r="I12" s="49"/>
      <c r="J12" s="48"/>
      <c r="K12" s="49">
        <f>[1]BAZE_2026!G9</f>
        <v>101202</v>
      </c>
      <c r="L12" s="50">
        <f>F12+G12+H12+I12+J12+K12</f>
        <v>101202</v>
      </c>
      <c r="M12" s="50">
        <f t="shared" si="6"/>
        <v>101202</v>
      </c>
      <c r="N12" s="51">
        <v>101202</v>
      </c>
      <c r="O12" s="51">
        <f>ROUND(N12,0)</f>
        <v>101202</v>
      </c>
      <c r="P12" s="49">
        <f t="shared" si="4"/>
        <v>0</v>
      </c>
      <c r="Q12" s="52"/>
      <c r="R12" s="51">
        <f t="shared" si="7"/>
        <v>101202</v>
      </c>
      <c r="S12" s="49">
        <f t="shared" ref="S12:S75" si="8">R12-O12</f>
        <v>0</v>
      </c>
      <c r="T12" s="52"/>
    </row>
    <row r="13" spans="1:20" x14ac:dyDescent="0.25">
      <c r="B13" s="1" t="s">
        <v>38</v>
      </c>
      <c r="C13" s="53" t="s">
        <v>39</v>
      </c>
      <c r="D13" s="54" t="s">
        <v>40</v>
      </c>
      <c r="E13" s="55">
        <f t="shared" ref="E13:K13" si="9">SUM(E14:E15)</f>
        <v>0</v>
      </c>
      <c r="F13" s="55">
        <f t="shared" si="9"/>
        <v>0</v>
      </c>
      <c r="G13" s="55">
        <f t="shared" si="9"/>
        <v>0</v>
      </c>
      <c r="H13" s="55">
        <f t="shared" si="9"/>
        <v>0</v>
      </c>
      <c r="I13" s="56">
        <f>SUM(I14:I15)</f>
        <v>0</v>
      </c>
      <c r="J13" s="55">
        <f t="shared" si="9"/>
        <v>0</v>
      </c>
      <c r="K13" s="56">
        <f t="shared" si="9"/>
        <v>446927.99941176467</v>
      </c>
      <c r="L13" s="57">
        <f>SUM(L14:L15)</f>
        <v>446927.99941176467</v>
      </c>
      <c r="M13" s="57">
        <f>SUM(M14:M15)</f>
        <v>446928</v>
      </c>
      <c r="N13" s="58">
        <f>SUM(N14:N15)</f>
        <v>446928</v>
      </c>
      <c r="O13" s="58">
        <f>SUM(O14:O15)</f>
        <v>446928</v>
      </c>
      <c r="P13" s="56">
        <f t="shared" si="4"/>
        <v>0</v>
      </c>
      <c r="Q13" s="59"/>
      <c r="R13" s="58">
        <f>SUM(R14:R15)</f>
        <v>446928</v>
      </c>
      <c r="S13" s="56">
        <f t="shared" si="8"/>
        <v>0</v>
      </c>
      <c r="T13" s="59"/>
    </row>
    <row r="14" spans="1:20" x14ac:dyDescent="0.25">
      <c r="A14" s="1" t="s">
        <v>24</v>
      </c>
      <c r="B14" s="45" t="s">
        <v>41</v>
      </c>
      <c r="C14" s="46" t="s">
        <v>42</v>
      </c>
      <c r="D14" s="47" t="s">
        <v>43</v>
      </c>
      <c r="E14" s="48"/>
      <c r="F14" s="48"/>
      <c r="G14" s="48"/>
      <c r="H14" s="48"/>
      <c r="I14" s="49"/>
      <c r="J14" s="48"/>
      <c r="K14" s="49">
        <f>[1]BAZE_2026!G11</f>
        <v>392303.99941176467</v>
      </c>
      <c r="L14" s="50">
        <f>F14+G14+H14+I14+J14+K14</f>
        <v>392303.99941176467</v>
      </c>
      <c r="M14" s="50">
        <f t="shared" si="6"/>
        <v>392304</v>
      </c>
      <c r="N14" s="51">
        <v>392304</v>
      </c>
      <c r="O14" s="51">
        <f>ROUND(N14,0)</f>
        <v>392304</v>
      </c>
      <c r="P14" s="49">
        <f t="shared" si="4"/>
        <v>0</v>
      </c>
      <c r="Q14" s="61"/>
      <c r="R14" s="51">
        <f t="shared" ref="R14:R15" si="10">ROUND(O14,0)</f>
        <v>392304</v>
      </c>
      <c r="S14" s="49">
        <f t="shared" si="8"/>
        <v>0</v>
      </c>
      <c r="T14" s="61"/>
    </row>
    <row r="15" spans="1:20" x14ac:dyDescent="0.25">
      <c r="A15" s="1" t="s">
        <v>24</v>
      </c>
      <c r="B15" s="45" t="s">
        <v>44</v>
      </c>
      <c r="C15" s="46" t="s">
        <v>45</v>
      </c>
      <c r="D15" s="47" t="s">
        <v>37</v>
      </c>
      <c r="E15" s="48"/>
      <c r="F15" s="48"/>
      <c r="G15" s="48"/>
      <c r="H15" s="48"/>
      <c r="I15" s="49"/>
      <c r="J15" s="48"/>
      <c r="K15" s="49">
        <f>[1]BAZE_2026!G12</f>
        <v>54624</v>
      </c>
      <c r="L15" s="50">
        <f>F15+G15+H15+I15+J15+K15</f>
        <v>54624</v>
      </c>
      <c r="M15" s="50">
        <f t="shared" si="6"/>
        <v>54624</v>
      </c>
      <c r="N15" s="51">
        <v>54624</v>
      </c>
      <c r="O15" s="51">
        <f>ROUND(N15,0)</f>
        <v>54624</v>
      </c>
      <c r="P15" s="49">
        <f t="shared" si="4"/>
        <v>0</v>
      </c>
      <c r="Q15" s="52"/>
      <c r="R15" s="51">
        <f t="shared" si="10"/>
        <v>54624</v>
      </c>
      <c r="S15" s="49">
        <f t="shared" si="8"/>
        <v>0</v>
      </c>
      <c r="T15" s="52"/>
    </row>
    <row r="16" spans="1:20" ht="29.25" x14ac:dyDescent="0.25">
      <c r="B16" s="1" t="s">
        <v>46</v>
      </c>
      <c r="C16" s="53" t="s">
        <v>47</v>
      </c>
      <c r="D16" s="54" t="s">
        <v>48</v>
      </c>
      <c r="E16" s="55">
        <f t="shared" ref="E16:K16" si="11">SUM(E17:E18)</f>
        <v>0</v>
      </c>
      <c r="F16" s="55">
        <f t="shared" si="11"/>
        <v>0</v>
      </c>
      <c r="G16" s="55">
        <f t="shared" si="11"/>
        <v>0</v>
      </c>
      <c r="H16" s="55">
        <f t="shared" si="11"/>
        <v>0</v>
      </c>
      <c r="I16" s="56">
        <f>SUM(I17:I18)</f>
        <v>0</v>
      </c>
      <c r="J16" s="55">
        <f t="shared" si="11"/>
        <v>0</v>
      </c>
      <c r="K16" s="56">
        <f t="shared" si="11"/>
        <v>730283.99529411772</v>
      </c>
      <c r="L16" s="57">
        <f>SUM(L17:L18)</f>
        <v>730283.99529411772</v>
      </c>
      <c r="M16" s="57">
        <f>SUM(M17:M18)</f>
        <v>730284</v>
      </c>
      <c r="N16" s="58">
        <f>SUM(N17:N18)</f>
        <v>730284</v>
      </c>
      <c r="O16" s="58">
        <f>SUM(O17:O18)</f>
        <v>730284</v>
      </c>
      <c r="P16" s="56">
        <f t="shared" si="4"/>
        <v>0</v>
      </c>
      <c r="Q16" s="59"/>
      <c r="R16" s="58">
        <f>SUM(R17:R18)</f>
        <v>730284</v>
      </c>
      <c r="S16" s="56">
        <f t="shared" si="8"/>
        <v>0</v>
      </c>
      <c r="T16" s="59"/>
    </row>
    <row r="17" spans="1:20" ht="18.75" customHeight="1" x14ac:dyDescent="0.25">
      <c r="A17" s="1" t="s">
        <v>24</v>
      </c>
      <c r="B17" s="45" t="s">
        <v>49</v>
      </c>
      <c r="C17" s="46" t="s">
        <v>50</v>
      </c>
      <c r="D17" s="47" t="s">
        <v>43</v>
      </c>
      <c r="E17" s="48"/>
      <c r="F17" s="48"/>
      <c r="G17" s="48"/>
      <c r="H17" s="48"/>
      <c r="I17" s="49"/>
      <c r="J17" s="48"/>
      <c r="K17" s="49">
        <f>[1]BAZE_2026!G14</f>
        <v>670098.99529411772</v>
      </c>
      <c r="L17" s="50">
        <f>F17+G17+H17+I17+J17+K17</f>
        <v>670098.99529411772</v>
      </c>
      <c r="M17" s="50">
        <f t="shared" si="6"/>
        <v>670099</v>
      </c>
      <c r="N17" s="51">
        <v>670099</v>
      </c>
      <c r="O17" s="51">
        <f>ROUND(N17,0)</f>
        <v>670099</v>
      </c>
      <c r="P17" s="49">
        <f t="shared" si="4"/>
        <v>0</v>
      </c>
      <c r="Q17" s="61"/>
      <c r="R17" s="51">
        <f t="shared" ref="R17:R18" si="12">ROUND(O17,0)</f>
        <v>670099</v>
      </c>
      <c r="S17" s="49">
        <f t="shared" si="8"/>
        <v>0</v>
      </c>
      <c r="T17" s="61"/>
    </row>
    <row r="18" spans="1:20" x14ac:dyDescent="0.25">
      <c r="A18" s="1" t="s">
        <v>24</v>
      </c>
      <c r="B18" s="45" t="s">
        <v>51</v>
      </c>
      <c r="C18" s="46" t="s">
        <v>52</v>
      </c>
      <c r="D18" s="47" t="s">
        <v>37</v>
      </c>
      <c r="E18" s="48"/>
      <c r="F18" s="48"/>
      <c r="G18" s="48"/>
      <c r="H18" s="48"/>
      <c r="I18" s="49"/>
      <c r="J18" s="48"/>
      <c r="K18" s="49">
        <f>[1]BAZE_2026!G15</f>
        <v>60185</v>
      </c>
      <c r="L18" s="50">
        <f>F18+G18+H18+I18+J18+K18</f>
        <v>60185</v>
      </c>
      <c r="M18" s="50">
        <f t="shared" si="6"/>
        <v>60185</v>
      </c>
      <c r="N18" s="51">
        <v>60185</v>
      </c>
      <c r="O18" s="51">
        <f>ROUND(N18,0)</f>
        <v>60185</v>
      </c>
      <c r="P18" s="49">
        <f t="shared" si="4"/>
        <v>0</v>
      </c>
      <c r="Q18" s="60"/>
      <c r="R18" s="51">
        <f t="shared" si="12"/>
        <v>60185</v>
      </c>
      <c r="S18" s="49">
        <f t="shared" si="8"/>
        <v>0</v>
      </c>
      <c r="T18" s="60"/>
    </row>
    <row r="19" spans="1:20" ht="29.25" x14ac:dyDescent="0.25">
      <c r="B19" s="62"/>
      <c r="C19" s="53" t="s">
        <v>53</v>
      </c>
      <c r="D19" s="54" t="s">
        <v>54</v>
      </c>
      <c r="E19" s="55">
        <f t="shared" ref="E19:O19" si="13">SUM(E20:E21)</f>
        <v>243531.3</v>
      </c>
      <c r="F19" s="55">
        <f t="shared" si="13"/>
        <v>70000</v>
      </c>
      <c r="G19" s="55">
        <f t="shared" si="13"/>
        <v>0</v>
      </c>
      <c r="H19" s="55">
        <f t="shared" si="13"/>
        <v>0</v>
      </c>
      <c r="I19" s="56">
        <f t="shared" si="13"/>
        <v>0</v>
      </c>
      <c r="J19" s="55">
        <f t="shared" si="13"/>
        <v>0</v>
      </c>
      <c r="K19" s="56">
        <f t="shared" si="13"/>
        <v>5000</v>
      </c>
      <c r="L19" s="57">
        <f t="shared" si="13"/>
        <v>75000</v>
      </c>
      <c r="M19" s="57">
        <f t="shared" si="13"/>
        <v>75000</v>
      </c>
      <c r="N19" s="58">
        <f>SUM(N20:N21)</f>
        <v>75000</v>
      </c>
      <c r="O19" s="58">
        <f t="shared" si="13"/>
        <v>75000</v>
      </c>
      <c r="P19" s="56">
        <f t="shared" si="4"/>
        <v>0</v>
      </c>
      <c r="Q19" s="59"/>
      <c r="R19" s="58">
        <f t="shared" ref="R19" si="14">SUM(R20:R21)</f>
        <v>75000</v>
      </c>
      <c r="S19" s="56">
        <f t="shared" si="8"/>
        <v>0</v>
      </c>
      <c r="T19" s="59"/>
    </row>
    <row r="20" spans="1:20" ht="14.45" customHeight="1" outlineLevel="1" x14ac:dyDescent="0.25">
      <c r="B20" s="45" t="s">
        <v>55</v>
      </c>
      <c r="C20" s="46" t="s">
        <v>56</v>
      </c>
      <c r="D20" s="47" t="s">
        <v>57</v>
      </c>
      <c r="E20" s="48"/>
      <c r="F20" s="48"/>
      <c r="G20" s="48"/>
      <c r="H20" s="48"/>
      <c r="I20" s="49"/>
      <c r="J20" s="48"/>
      <c r="K20" s="49">
        <f>[1]BAZE_2026!G17</f>
        <v>5000</v>
      </c>
      <c r="L20" s="50">
        <f>F20+G20+H20+I20+J20+K20</f>
        <v>5000</v>
      </c>
      <c r="M20" s="50">
        <f t="shared" si="6"/>
        <v>5000</v>
      </c>
      <c r="N20" s="51">
        <v>5000</v>
      </c>
      <c r="O20" s="51">
        <f>ROUND(N20,0)</f>
        <v>5000</v>
      </c>
      <c r="P20" s="49">
        <f t="shared" si="4"/>
        <v>0</v>
      </c>
      <c r="Q20" s="61"/>
      <c r="R20" s="51">
        <f t="shared" ref="R20:R21" si="15">ROUND(O20,0)</f>
        <v>5000</v>
      </c>
      <c r="S20" s="49">
        <f t="shared" si="8"/>
        <v>0</v>
      </c>
      <c r="T20" s="61"/>
    </row>
    <row r="21" spans="1:20" ht="15.6" customHeight="1" x14ac:dyDescent="0.25">
      <c r="B21" s="45" t="s">
        <v>58</v>
      </c>
      <c r="C21" s="46" t="s">
        <v>56</v>
      </c>
      <c r="D21" s="47" t="s">
        <v>59</v>
      </c>
      <c r="E21" s="48">
        <f>238982.3+4549</f>
        <v>243531.3</v>
      </c>
      <c r="F21" s="48">
        <f>[1]Ieņēmumi!K68</f>
        <v>70000</v>
      </c>
      <c r="G21" s="48"/>
      <c r="H21" s="48"/>
      <c r="I21" s="49"/>
      <c r="J21" s="48"/>
      <c r="K21" s="49"/>
      <c r="L21" s="50">
        <f>F21+G21+H21+I21+J21+K21</f>
        <v>70000</v>
      </c>
      <c r="M21" s="50">
        <f t="shared" si="6"/>
        <v>70000</v>
      </c>
      <c r="N21" s="51">
        <v>70000</v>
      </c>
      <c r="O21" s="51">
        <f>ROUND(N21,0)</f>
        <v>70000</v>
      </c>
      <c r="P21" s="49">
        <f t="shared" si="4"/>
        <v>0</v>
      </c>
      <c r="Q21" s="63"/>
      <c r="R21" s="51">
        <f t="shared" si="15"/>
        <v>70000</v>
      </c>
      <c r="S21" s="49">
        <f t="shared" si="8"/>
        <v>0</v>
      </c>
      <c r="T21" s="63"/>
    </row>
    <row r="22" spans="1:20" ht="15.75" customHeight="1" x14ac:dyDescent="0.25">
      <c r="B22" s="1" t="s">
        <v>60</v>
      </c>
      <c r="C22" s="53" t="s">
        <v>61</v>
      </c>
      <c r="D22" s="54" t="s">
        <v>62</v>
      </c>
      <c r="E22" s="55">
        <f>E23+E27</f>
        <v>0</v>
      </c>
      <c r="F22" s="55">
        <f t="shared" ref="F22:O22" si="16">F23+F27</f>
        <v>0</v>
      </c>
      <c r="G22" s="55">
        <f t="shared" si="16"/>
        <v>0</v>
      </c>
      <c r="H22" s="55">
        <f t="shared" si="16"/>
        <v>0</v>
      </c>
      <c r="I22" s="56">
        <f t="shared" si="16"/>
        <v>0</v>
      </c>
      <c r="J22" s="55">
        <f t="shared" si="16"/>
        <v>0</v>
      </c>
      <c r="K22" s="56">
        <f t="shared" si="16"/>
        <v>144300</v>
      </c>
      <c r="L22" s="57">
        <f t="shared" si="16"/>
        <v>144300</v>
      </c>
      <c r="M22" s="57">
        <f t="shared" si="16"/>
        <v>144300</v>
      </c>
      <c r="N22" s="58">
        <f>N23+N27</f>
        <v>144300</v>
      </c>
      <c r="O22" s="58">
        <f t="shared" si="16"/>
        <v>144300</v>
      </c>
      <c r="P22" s="56">
        <f t="shared" si="4"/>
        <v>0</v>
      </c>
      <c r="Q22" s="59"/>
      <c r="R22" s="58">
        <f t="shared" ref="R22" si="17">R23+R27</f>
        <v>144300</v>
      </c>
      <c r="S22" s="56">
        <f t="shared" si="8"/>
        <v>0</v>
      </c>
      <c r="T22" s="59"/>
    </row>
    <row r="23" spans="1:20" ht="13.9" x14ac:dyDescent="0.25">
      <c r="A23" s="1" t="s">
        <v>24</v>
      </c>
      <c r="B23" s="1" t="s">
        <v>63</v>
      </c>
      <c r="C23" s="46" t="s">
        <v>64</v>
      </c>
      <c r="D23" s="47" t="s">
        <v>65</v>
      </c>
      <c r="E23" s="48">
        <f>E24+E25+E26</f>
        <v>0</v>
      </c>
      <c r="F23" s="48">
        <f t="shared" ref="F23:M23" si="18">F24+F25+F26</f>
        <v>0</v>
      </c>
      <c r="G23" s="48">
        <f t="shared" si="18"/>
        <v>0</v>
      </c>
      <c r="H23" s="48">
        <f t="shared" si="18"/>
        <v>0</v>
      </c>
      <c r="I23" s="49">
        <f>I24+I25+I26</f>
        <v>0</v>
      </c>
      <c r="J23" s="48">
        <f t="shared" si="18"/>
        <v>0</v>
      </c>
      <c r="K23" s="49">
        <f t="shared" si="18"/>
        <v>6100</v>
      </c>
      <c r="L23" s="50">
        <f t="shared" si="18"/>
        <v>6100</v>
      </c>
      <c r="M23" s="50">
        <f t="shared" si="18"/>
        <v>6100</v>
      </c>
      <c r="N23" s="51">
        <f>N24+N25+N26</f>
        <v>6100</v>
      </c>
      <c r="O23" s="51">
        <f>O24+O25+O26</f>
        <v>6100</v>
      </c>
      <c r="P23" s="49">
        <f t="shared" si="4"/>
        <v>0</v>
      </c>
      <c r="Q23" s="60"/>
      <c r="R23" s="51">
        <f>R24+R25+R26</f>
        <v>6100</v>
      </c>
      <c r="S23" s="49">
        <f t="shared" si="8"/>
        <v>0</v>
      </c>
      <c r="T23" s="60"/>
    </row>
    <row r="24" spans="1:20" ht="26.25" x14ac:dyDescent="0.25">
      <c r="B24" s="45" t="s">
        <v>66</v>
      </c>
      <c r="C24" s="64" t="s">
        <v>67</v>
      </c>
      <c r="D24" s="65" t="s">
        <v>68</v>
      </c>
      <c r="E24" s="48"/>
      <c r="F24" s="48"/>
      <c r="G24" s="48"/>
      <c r="H24" s="48"/>
      <c r="I24" s="49"/>
      <c r="J24" s="48"/>
      <c r="K24" s="49">
        <f>GETPIVOTDATA("Summa no  2026.gada plāns EUR ",[1]Ieņēmumi!$R$3,"EKK","9.4.2.0.")</f>
        <v>1100</v>
      </c>
      <c r="L24" s="50">
        <f>F24+G24+H24+I24+J24+K24</f>
        <v>1100</v>
      </c>
      <c r="M24" s="50">
        <f>ROUND(L24,0)</f>
        <v>1100</v>
      </c>
      <c r="N24" s="51">
        <v>1100</v>
      </c>
      <c r="O24" s="51">
        <f>ROUND(N24,0)</f>
        <v>1100</v>
      </c>
      <c r="P24" s="49">
        <f t="shared" si="4"/>
        <v>0</v>
      </c>
      <c r="Q24" s="60"/>
      <c r="R24" s="51">
        <f t="shared" ref="R24:R26" si="19">ROUND(O24,0)</f>
        <v>1100</v>
      </c>
      <c r="S24" s="49">
        <f t="shared" si="8"/>
        <v>0</v>
      </c>
      <c r="T24" s="60"/>
    </row>
    <row r="25" spans="1:20" ht="26.25" x14ac:dyDescent="0.25">
      <c r="B25" s="45" t="s">
        <v>69</v>
      </c>
      <c r="C25" s="64" t="s">
        <v>70</v>
      </c>
      <c r="D25" s="65" t="s">
        <v>71</v>
      </c>
      <c r="E25" s="48"/>
      <c r="F25" s="48"/>
      <c r="G25" s="48"/>
      <c r="H25" s="48"/>
      <c r="I25" s="49"/>
      <c r="J25" s="48"/>
      <c r="K25" s="49">
        <f>GETPIVOTDATA("Summa no  2026.gada plāns EUR ",[1]Ieņēmumi!$R$3,"EKK","9.4.5.0.")</f>
        <v>4500</v>
      </c>
      <c r="L25" s="50">
        <f>F25+G25+H25+I25+J25+K25</f>
        <v>4500</v>
      </c>
      <c r="M25" s="50">
        <f>ROUND(L25,0)</f>
        <v>4500</v>
      </c>
      <c r="N25" s="51">
        <v>4500</v>
      </c>
      <c r="O25" s="51">
        <f>ROUND(N25,0)</f>
        <v>4500</v>
      </c>
      <c r="P25" s="49">
        <f t="shared" si="4"/>
        <v>0</v>
      </c>
      <c r="Q25" s="60"/>
      <c r="R25" s="51">
        <f t="shared" si="19"/>
        <v>4500</v>
      </c>
      <c r="S25" s="49">
        <f t="shared" si="8"/>
        <v>0</v>
      </c>
      <c r="T25" s="60"/>
    </row>
    <row r="26" spans="1:20" ht="26.25" x14ac:dyDescent="0.25">
      <c r="B26" s="45" t="s">
        <v>72</v>
      </c>
      <c r="C26" s="64" t="s">
        <v>73</v>
      </c>
      <c r="D26" s="65" t="s">
        <v>74</v>
      </c>
      <c r="E26" s="48"/>
      <c r="F26" s="48"/>
      <c r="G26" s="48"/>
      <c r="H26" s="48"/>
      <c r="I26" s="49"/>
      <c r="J26" s="48"/>
      <c r="K26" s="49">
        <f>GETPIVOTDATA("Summa no  2026.gada plāns EUR ",[1]Ieņēmumi!$R$3,"EKK","9.4.9.0.")</f>
        <v>500</v>
      </c>
      <c r="L26" s="50">
        <f>F26+G26+H26+I26+J26+K26</f>
        <v>500</v>
      </c>
      <c r="M26" s="50">
        <f>ROUND(L26,0)</f>
        <v>500</v>
      </c>
      <c r="N26" s="51">
        <v>500</v>
      </c>
      <c r="O26" s="51">
        <f>ROUND(N26,0)</f>
        <v>500</v>
      </c>
      <c r="P26" s="49">
        <f t="shared" si="4"/>
        <v>0</v>
      </c>
      <c r="Q26" s="60"/>
      <c r="R26" s="51">
        <f t="shared" si="19"/>
        <v>500</v>
      </c>
      <c r="S26" s="49">
        <f t="shared" si="8"/>
        <v>0</v>
      </c>
      <c r="T26" s="60"/>
    </row>
    <row r="27" spans="1:20" x14ac:dyDescent="0.25">
      <c r="A27" s="1" t="s">
        <v>24</v>
      </c>
      <c r="B27" s="1" t="s">
        <v>75</v>
      </c>
      <c r="C27" s="46" t="s">
        <v>76</v>
      </c>
      <c r="D27" s="47" t="s">
        <v>77</v>
      </c>
      <c r="E27" s="48">
        <f t="shared" ref="E27:O27" si="20">SUM(E28:E33)</f>
        <v>0</v>
      </c>
      <c r="F27" s="48">
        <f t="shared" si="20"/>
        <v>0</v>
      </c>
      <c r="G27" s="48">
        <f t="shared" si="20"/>
        <v>0</v>
      </c>
      <c r="H27" s="48">
        <f t="shared" si="20"/>
        <v>0</v>
      </c>
      <c r="I27" s="49">
        <f t="shared" si="20"/>
        <v>0</v>
      </c>
      <c r="J27" s="48">
        <f t="shared" si="20"/>
        <v>0</v>
      </c>
      <c r="K27" s="49">
        <f t="shared" si="20"/>
        <v>138200</v>
      </c>
      <c r="L27" s="50">
        <f t="shared" si="20"/>
        <v>138200</v>
      </c>
      <c r="M27" s="50">
        <f t="shared" si="20"/>
        <v>138200</v>
      </c>
      <c r="N27" s="51">
        <f>SUM(N28:N33)</f>
        <v>138200</v>
      </c>
      <c r="O27" s="51">
        <f t="shared" si="20"/>
        <v>138200</v>
      </c>
      <c r="P27" s="49">
        <f t="shared" si="4"/>
        <v>0</v>
      </c>
      <c r="Q27" s="60"/>
      <c r="R27" s="51">
        <f t="shared" ref="R27" si="21">SUM(R28:R33)</f>
        <v>138200</v>
      </c>
      <c r="S27" s="49">
        <f t="shared" si="8"/>
        <v>0</v>
      </c>
      <c r="T27" s="60"/>
    </row>
    <row r="28" spans="1:20" ht="26.25" x14ac:dyDescent="0.25">
      <c r="B28" s="45" t="s">
        <v>78</v>
      </c>
      <c r="C28" s="64" t="s">
        <v>79</v>
      </c>
      <c r="D28" s="65" t="s">
        <v>80</v>
      </c>
      <c r="E28" s="48"/>
      <c r="F28" s="48"/>
      <c r="G28" s="48"/>
      <c r="H28" s="48"/>
      <c r="I28" s="49"/>
      <c r="J28" s="48"/>
      <c r="K28" s="49">
        <f>GETPIVOTDATA("Summa no  2026.gada plāns EUR ",[1]Ieņēmumi!$R$3,"EKK","9.5.1.1.")</f>
        <v>100</v>
      </c>
      <c r="L28" s="50">
        <f t="shared" ref="L28:L33" si="22">F28+G28+H28+I28+J28+K28</f>
        <v>100</v>
      </c>
      <c r="M28" s="50">
        <f t="shared" ref="M28:M33" si="23">ROUND(L28,0)</f>
        <v>100</v>
      </c>
      <c r="N28" s="51">
        <v>100</v>
      </c>
      <c r="O28" s="51">
        <f t="shared" ref="O28:O33" si="24">ROUND(N28,0)</f>
        <v>100</v>
      </c>
      <c r="P28" s="49">
        <f t="shared" si="4"/>
        <v>0</v>
      </c>
      <c r="Q28" s="60"/>
      <c r="R28" s="51">
        <f t="shared" ref="R28:R33" si="25">ROUND(O28,0)</f>
        <v>100</v>
      </c>
      <c r="S28" s="49">
        <f t="shared" si="8"/>
        <v>0</v>
      </c>
      <c r="T28" s="60"/>
    </row>
    <row r="29" spans="1:20" ht="26.25" x14ac:dyDescent="0.25">
      <c r="B29" s="66" t="s">
        <v>81</v>
      </c>
      <c r="C29" s="64" t="s">
        <v>82</v>
      </c>
      <c r="D29" s="65" t="s">
        <v>83</v>
      </c>
      <c r="E29" s="48"/>
      <c r="F29" s="48"/>
      <c r="G29" s="48"/>
      <c r="H29" s="48"/>
      <c r="I29" s="49"/>
      <c r="J29" s="48"/>
      <c r="K29" s="49">
        <f>GETPIVOTDATA("Summa no  2026.gada plāns EUR ",[1]Ieņēmumi!$R$3,"EKK","9.5.1.2.")</f>
        <v>4300</v>
      </c>
      <c r="L29" s="50">
        <f t="shared" si="22"/>
        <v>4300</v>
      </c>
      <c r="M29" s="50">
        <f t="shared" si="23"/>
        <v>4300</v>
      </c>
      <c r="N29" s="51">
        <v>4300</v>
      </c>
      <c r="O29" s="51">
        <f t="shared" si="24"/>
        <v>4300</v>
      </c>
      <c r="P29" s="49">
        <f t="shared" si="4"/>
        <v>0</v>
      </c>
      <c r="Q29" s="60"/>
      <c r="R29" s="51">
        <f t="shared" si="25"/>
        <v>4300</v>
      </c>
      <c r="S29" s="49">
        <f t="shared" si="8"/>
        <v>0</v>
      </c>
      <c r="T29" s="60"/>
    </row>
    <row r="30" spans="1:20" ht="25.9" customHeight="1" x14ac:dyDescent="0.25">
      <c r="B30" s="45" t="s">
        <v>84</v>
      </c>
      <c r="C30" s="64" t="s">
        <v>85</v>
      </c>
      <c r="D30" s="65" t="s">
        <v>86</v>
      </c>
      <c r="E30" s="48"/>
      <c r="F30" s="48"/>
      <c r="G30" s="48"/>
      <c r="H30" s="48"/>
      <c r="I30" s="49"/>
      <c r="J30" s="48"/>
      <c r="K30" s="49">
        <f>GETPIVOTDATA("Summa no  2026.gada plāns EUR ",[1]Ieņēmumi!$R$3,"EKK","9.5.1.4.")</f>
        <v>37000</v>
      </c>
      <c r="L30" s="50">
        <f t="shared" si="22"/>
        <v>37000</v>
      </c>
      <c r="M30" s="50">
        <f t="shared" si="23"/>
        <v>37000</v>
      </c>
      <c r="N30" s="51">
        <v>37000</v>
      </c>
      <c r="O30" s="51">
        <f t="shared" si="24"/>
        <v>37000</v>
      </c>
      <c r="P30" s="49">
        <f t="shared" si="4"/>
        <v>0</v>
      </c>
      <c r="Q30" s="60"/>
      <c r="R30" s="51">
        <f t="shared" si="25"/>
        <v>37000</v>
      </c>
      <c r="S30" s="49">
        <f t="shared" si="8"/>
        <v>0</v>
      </c>
      <c r="T30" s="60"/>
    </row>
    <row r="31" spans="1:20" ht="26.25" x14ac:dyDescent="0.25">
      <c r="B31" s="45" t="s">
        <v>87</v>
      </c>
      <c r="C31" s="64" t="s">
        <v>88</v>
      </c>
      <c r="D31" s="65" t="s">
        <v>89</v>
      </c>
      <c r="E31" s="48"/>
      <c r="F31" s="48"/>
      <c r="G31" s="48"/>
      <c r="H31" s="48"/>
      <c r="I31" s="49"/>
      <c r="J31" s="48"/>
      <c r="K31" s="49">
        <f>GETPIVOTDATA("Summa no  2026.gada plāns EUR ",[1]Ieņēmumi!$R$3,"EKK","9.5.1.7.")</f>
        <v>22000</v>
      </c>
      <c r="L31" s="50">
        <f t="shared" si="22"/>
        <v>22000</v>
      </c>
      <c r="M31" s="50">
        <f t="shared" si="23"/>
        <v>22000</v>
      </c>
      <c r="N31" s="51">
        <v>22000</v>
      </c>
      <c r="O31" s="51">
        <f t="shared" si="24"/>
        <v>22000</v>
      </c>
      <c r="P31" s="49">
        <f t="shared" si="4"/>
        <v>0</v>
      </c>
      <c r="Q31" s="60"/>
      <c r="R31" s="51">
        <f t="shared" si="25"/>
        <v>22000</v>
      </c>
      <c r="S31" s="49">
        <f t="shared" si="8"/>
        <v>0</v>
      </c>
      <c r="T31" s="60"/>
    </row>
    <row r="32" spans="1:20" x14ac:dyDescent="0.25">
      <c r="B32" s="45" t="s">
        <v>90</v>
      </c>
      <c r="C32" s="64" t="s">
        <v>91</v>
      </c>
      <c r="D32" s="65" t="s">
        <v>92</v>
      </c>
      <c r="E32" s="48"/>
      <c r="F32" s="48"/>
      <c r="G32" s="48"/>
      <c r="H32" s="48"/>
      <c r="I32" s="49"/>
      <c r="J32" s="48"/>
      <c r="K32" s="49">
        <f>GETPIVOTDATA("Summa no  2026.gada plāns EUR ",[1]Ieņēmumi!$R$3,"EKK","9.5.2.1.")</f>
        <v>70000</v>
      </c>
      <c r="L32" s="50">
        <f t="shared" si="22"/>
        <v>70000</v>
      </c>
      <c r="M32" s="50">
        <f t="shared" si="23"/>
        <v>70000</v>
      </c>
      <c r="N32" s="51">
        <v>70000</v>
      </c>
      <c r="O32" s="51">
        <f t="shared" si="24"/>
        <v>70000</v>
      </c>
      <c r="P32" s="49">
        <f t="shared" si="4"/>
        <v>0</v>
      </c>
      <c r="Q32" s="60"/>
      <c r="R32" s="51">
        <f t="shared" si="25"/>
        <v>70000</v>
      </c>
      <c r="S32" s="49">
        <f t="shared" si="8"/>
        <v>0</v>
      </c>
      <c r="T32" s="60"/>
    </row>
    <row r="33" spans="1:20" x14ac:dyDescent="0.25">
      <c r="B33" s="45" t="s">
        <v>93</v>
      </c>
      <c r="C33" s="64" t="s">
        <v>94</v>
      </c>
      <c r="D33" s="65" t="s">
        <v>95</v>
      </c>
      <c r="E33" s="48"/>
      <c r="F33" s="48"/>
      <c r="G33" s="48"/>
      <c r="H33" s="48"/>
      <c r="I33" s="49"/>
      <c r="J33" s="48"/>
      <c r="K33" s="49">
        <f>GETPIVOTDATA("Summa no  2026.gada plāns EUR ",[1]Ieņēmumi!$R$3,"EKK","9.5.2.9.")</f>
        <v>4800</v>
      </c>
      <c r="L33" s="50">
        <f t="shared" si="22"/>
        <v>4800</v>
      </c>
      <c r="M33" s="50">
        <f t="shared" si="23"/>
        <v>4800</v>
      </c>
      <c r="N33" s="51">
        <v>4800</v>
      </c>
      <c r="O33" s="51">
        <f t="shared" si="24"/>
        <v>4800</v>
      </c>
      <c r="P33" s="49">
        <f t="shared" si="4"/>
        <v>0</v>
      </c>
      <c r="Q33" s="60"/>
      <c r="R33" s="51">
        <f t="shared" si="25"/>
        <v>4800</v>
      </c>
      <c r="S33" s="49">
        <f t="shared" si="8"/>
        <v>0</v>
      </c>
      <c r="T33" s="60"/>
    </row>
    <row r="34" spans="1:20" ht="18" customHeight="1" x14ac:dyDescent="0.25">
      <c r="B34" s="1" t="s">
        <v>96</v>
      </c>
      <c r="C34" s="53" t="s">
        <v>97</v>
      </c>
      <c r="D34" s="54" t="s">
        <v>98</v>
      </c>
      <c r="E34" s="55">
        <f t="shared" ref="E34:L34" si="26">E35+E36</f>
        <v>0</v>
      </c>
      <c r="F34" s="55">
        <f t="shared" si="26"/>
        <v>0</v>
      </c>
      <c r="G34" s="55">
        <f t="shared" si="26"/>
        <v>0</v>
      </c>
      <c r="H34" s="55">
        <f t="shared" si="26"/>
        <v>0</v>
      </c>
      <c r="I34" s="56">
        <f>I35+I36</f>
        <v>0</v>
      </c>
      <c r="J34" s="55">
        <f t="shared" si="26"/>
        <v>0</v>
      </c>
      <c r="K34" s="56">
        <f t="shared" si="26"/>
        <v>130000</v>
      </c>
      <c r="L34" s="57">
        <f t="shared" si="26"/>
        <v>130000</v>
      </c>
      <c r="M34" s="57">
        <f>M35+M36</f>
        <v>130000</v>
      </c>
      <c r="N34" s="58">
        <f>N35+N36</f>
        <v>130000</v>
      </c>
      <c r="O34" s="58">
        <f>O35+O36</f>
        <v>130000</v>
      </c>
      <c r="P34" s="56">
        <f t="shared" si="4"/>
        <v>0</v>
      </c>
      <c r="Q34" s="67"/>
      <c r="R34" s="58">
        <f>R35+R36</f>
        <v>130000</v>
      </c>
      <c r="S34" s="56">
        <f t="shared" si="8"/>
        <v>0</v>
      </c>
      <c r="T34" s="67"/>
    </row>
    <row r="35" spans="1:20" ht="16.5" customHeight="1" x14ac:dyDescent="0.3">
      <c r="B35" s="62" t="s">
        <v>99</v>
      </c>
      <c r="C35" s="46" t="s">
        <v>100</v>
      </c>
      <c r="D35" s="47" t="s">
        <v>98</v>
      </c>
      <c r="E35" s="48"/>
      <c r="F35" s="48"/>
      <c r="G35" s="48"/>
      <c r="H35" s="48"/>
      <c r="I35" s="49"/>
      <c r="J35" s="48"/>
      <c r="K35" s="49">
        <f>GETPIVOTDATA("Summa no  2026.gada plāns EUR ",[1]Ieņēmumi!$R$3,"EKK","10.1.4.0.")</f>
        <v>90000</v>
      </c>
      <c r="L35" s="50">
        <f>F35+G35+H35+I35+J35+K35</f>
        <v>90000</v>
      </c>
      <c r="M35" s="50">
        <f>ROUND(L35,0)</f>
        <v>90000</v>
      </c>
      <c r="N35" s="51">
        <v>90000</v>
      </c>
      <c r="O35" s="51">
        <f>ROUND(N35,0)</f>
        <v>90000</v>
      </c>
      <c r="P35" s="49">
        <f t="shared" si="4"/>
        <v>0</v>
      </c>
      <c r="Q35" s="52"/>
      <c r="R35" s="51">
        <f t="shared" ref="R35:R36" si="27">ROUND(O35,0)</f>
        <v>90000</v>
      </c>
      <c r="S35" s="49">
        <f t="shared" si="8"/>
        <v>0</v>
      </c>
      <c r="T35" s="52"/>
    </row>
    <row r="36" spans="1:20" ht="30" x14ac:dyDescent="0.25">
      <c r="B36" s="62" t="s">
        <v>101</v>
      </c>
      <c r="C36" s="46" t="s">
        <v>102</v>
      </c>
      <c r="D36" s="47" t="s">
        <v>103</v>
      </c>
      <c r="E36" s="48"/>
      <c r="F36" s="48"/>
      <c r="G36" s="48"/>
      <c r="H36" s="48"/>
      <c r="I36" s="49"/>
      <c r="J36" s="48"/>
      <c r="K36" s="49">
        <f>GETPIVOTDATA("Summa no  2026.gada plāns EUR ",[1]Ieņēmumi!$R$3,"EKK","10.1.5.4.")</f>
        <v>40000</v>
      </c>
      <c r="L36" s="50">
        <f>F36+G36+H36+I36+J36+K36</f>
        <v>40000</v>
      </c>
      <c r="M36" s="50">
        <f>ROUND(L36,0)</f>
        <v>40000</v>
      </c>
      <c r="N36" s="51">
        <v>40000</v>
      </c>
      <c r="O36" s="51">
        <f>ROUND(N36,0)</f>
        <v>40000</v>
      </c>
      <c r="P36" s="49">
        <f t="shared" si="4"/>
        <v>0</v>
      </c>
      <c r="Q36" s="52"/>
      <c r="R36" s="51">
        <f t="shared" si="27"/>
        <v>40000</v>
      </c>
      <c r="S36" s="49">
        <f t="shared" si="8"/>
        <v>0</v>
      </c>
      <c r="T36" s="52"/>
    </row>
    <row r="37" spans="1:20" ht="15" customHeight="1" x14ac:dyDescent="0.25">
      <c r="B37" s="1" t="s">
        <v>104</v>
      </c>
      <c r="C37" s="53" t="s">
        <v>105</v>
      </c>
      <c r="D37" s="54" t="s">
        <v>106</v>
      </c>
      <c r="E37" s="55">
        <f t="shared" ref="E37:L37" si="28">E38+E39+E40</f>
        <v>0</v>
      </c>
      <c r="F37" s="55">
        <f t="shared" si="28"/>
        <v>0</v>
      </c>
      <c r="G37" s="55">
        <f t="shared" si="28"/>
        <v>0</v>
      </c>
      <c r="H37" s="55">
        <f t="shared" si="28"/>
        <v>0</v>
      </c>
      <c r="I37" s="56">
        <f>I38+I39+I40</f>
        <v>0</v>
      </c>
      <c r="J37" s="55">
        <f t="shared" si="28"/>
        <v>0</v>
      </c>
      <c r="K37" s="56">
        <f>[1]BAZE_2026!G21</f>
        <v>38727.72</v>
      </c>
      <c r="L37" s="57">
        <f t="shared" si="28"/>
        <v>38727.72</v>
      </c>
      <c r="M37" s="57">
        <f>M38+M39+M40</f>
        <v>38728</v>
      </c>
      <c r="N37" s="58">
        <f>N38+N39+N40</f>
        <v>38728</v>
      </c>
      <c r="O37" s="58">
        <f>O38+O39+O40</f>
        <v>38728</v>
      </c>
      <c r="P37" s="56">
        <f t="shared" si="4"/>
        <v>0</v>
      </c>
      <c r="Q37" s="59"/>
      <c r="R37" s="58">
        <f>R38+R39+R40</f>
        <v>38728</v>
      </c>
      <c r="S37" s="56">
        <f t="shared" si="8"/>
        <v>0</v>
      </c>
      <c r="T37" s="59"/>
    </row>
    <row r="38" spans="1:20" ht="15.6" customHeight="1" x14ac:dyDescent="0.25">
      <c r="A38" s="1" t="s">
        <v>24</v>
      </c>
      <c r="B38" s="8" t="s">
        <v>107</v>
      </c>
      <c r="C38" s="46" t="s">
        <v>108</v>
      </c>
      <c r="D38" s="68" t="s">
        <v>109</v>
      </c>
      <c r="E38" s="48"/>
      <c r="F38" s="48"/>
      <c r="G38" s="48"/>
      <c r="H38" s="48"/>
      <c r="I38" s="49"/>
      <c r="J38" s="48"/>
      <c r="K38" s="49">
        <f>GETPIVOTDATA("Summa no  2026.gada plāns EUR ",[1]Ieņēmumi!$R$3,"EKK","8.3.9.0.")+GETPIVOTDATA("Summa no  2026.gada plāns EUR ",[1]Ieņēmumi!$R$3,"EKK","8.6.1.2.")+GETPIVOTDATA("Summa no  2026.gada plāns EUR ",[1]Ieņēmumi!$R$3,"EKK","8.6.4.0.")+GETPIVOTDATA("Summa no  2026.gada plāns EUR ",[1]Ieņēmumi!$R$3,"EKK","12.3.9.9.")</f>
        <v>28727.72</v>
      </c>
      <c r="L38" s="50">
        <f>F38+G38+H38+I38+J38+K38</f>
        <v>28727.72</v>
      </c>
      <c r="M38" s="50">
        <f>ROUND(L38,0)</f>
        <v>28728</v>
      </c>
      <c r="N38" s="51">
        <v>28728</v>
      </c>
      <c r="O38" s="51">
        <f>ROUND(N38,0)</f>
        <v>28728</v>
      </c>
      <c r="P38" s="49">
        <f t="shared" si="4"/>
        <v>0</v>
      </c>
      <c r="Q38" s="69"/>
      <c r="R38" s="51">
        <f t="shared" ref="R38:R41" si="29">ROUND(O38,0)</f>
        <v>28728</v>
      </c>
      <c r="S38" s="49">
        <f t="shared" si="8"/>
        <v>0</v>
      </c>
      <c r="T38" s="69"/>
    </row>
    <row r="39" spans="1:20" ht="27.75" customHeight="1" x14ac:dyDescent="0.25">
      <c r="B39" s="1" t="s">
        <v>110</v>
      </c>
      <c r="C39" s="46" t="s">
        <v>111</v>
      </c>
      <c r="D39" s="47" t="s">
        <v>112</v>
      </c>
      <c r="E39" s="48"/>
      <c r="F39" s="48"/>
      <c r="G39" s="48"/>
      <c r="H39" s="48"/>
      <c r="I39" s="49"/>
      <c r="J39" s="48"/>
      <c r="K39" s="49"/>
      <c r="L39" s="50">
        <f>F39+G39+H39+I39+J39+K39</f>
        <v>0</v>
      </c>
      <c r="M39" s="50">
        <f>ROUND(L39,0)</f>
        <v>0</v>
      </c>
      <c r="N39" s="51">
        <v>0</v>
      </c>
      <c r="O39" s="51">
        <f>ROUND(N39,0)</f>
        <v>0</v>
      </c>
      <c r="P39" s="49">
        <f t="shared" si="4"/>
        <v>0</v>
      </c>
      <c r="Q39" s="69"/>
      <c r="R39" s="51">
        <f t="shared" si="29"/>
        <v>0</v>
      </c>
      <c r="S39" s="49">
        <f t="shared" si="8"/>
        <v>0</v>
      </c>
      <c r="T39" s="69"/>
    </row>
    <row r="40" spans="1:20" x14ac:dyDescent="0.25">
      <c r="B40" s="1" t="s">
        <v>113</v>
      </c>
      <c r="C40" s="46" t="s">
        <v>114</v>
      </c>
      <c r="D40" s="47" t="s">
        <v>115</v>
      </c>
      <c r="E40" s="48"/>
      <c r="F40" s="48"/>
      <c r="G40" s="48"/>
      <c r="H40" s="48"/>
      <c r="I40" s="49"/>
      <c r="J40" s="48"/>
      <c r="K40" s="49">
        <f>GETPIVOTDATA("Summa no  2026.gada plāns EUR ",[1]Ieņēmumi!$R$3,"EKK","12.2.3.0.")</f>
        <v>10000</v>
      </c>
      <c r="L40" s="50">
        <f>F40+G40+H40+I40+J40+K40</f>
        <v>10000</v>
      </c>
      <c r="M40" s="50">
        <f>ROUND(L40,0)</f>
        <v>10000</v>
      </c>
      <c r="N40" s="51">
        <v>10000</v>
      </c>
      <c r="O40" s="51">
        <f>ROUND(N40,0)</f>
        <v>10000</v>
      </c>
      <c r="P40" s="49">
        <f t="shared" si="4"/>
        <v>0</v>
      </c>
      <c r="Q40" s="52"/>
      <c r="R40" s="51">
        <f t="shared" si="29"/>
        <v>10000</v>
      </c>
      <c r="S40" s="49">
        <f t="shared" si="8"/>
        <v>0</v>
      </c>
      <c r="T40" s="52"/>
    </row>
    <row r="41" spans="1:20" ht="27" customHeight="1" x14ac:dyDescent="0.25">
      <c r="B41" s="1" t="s">
        <v>116</v>
      </c>
      <c r="C41" s="70" t="s">
        <v>117</v>
      </c>
      <c r="D41" s="54" t="s">
        <v>118</v>
      </c>
      <c r="E41" s="55"/>
      <c r="F41" s="55"/>
      <c r="G41" s="55"/>
      <c r="H41" s="55"/>
      <c r="I41" s="56"/>
      <c r="J41" s="55"/>
      <c r="K41" s="56">
        <f>[1]BAZE_2026!G22</f>
        <v>0</v>
      </c>
      <c r="L41" s="57">
        <f>F41+G41+H41+I41+J41+K41</f>
        <v>0</v>
      </c>
      <c r="M41" s="57">
        <f>ROUND(L41,0)</f>
        <v>0</v>
      </c>
      <c r="N41" s="58">
        <v>0</v>
      </c>
      <c r="O41" s="58">
        <f>ROUND(M41,0)</f>
        <v>0</v>
      </c>
      <c r="P41" s="56">
        <f t="shared" si="4"/>
        <v>0</v>
      </c>
      <c r="Q41" s="67"/>
      <c r="R41" s="58">
        <f t="shared" si="29"/>
        <v>0</v>
      </c>
      <c r="S41" s="56">
        <f t="shared" si="8"/>
        <v>0</v>
      </c>
      <c r="T41" s="67"/>
    </row>
    <row r="42" spans="1:20" ht="31.5" customHeight="1" x14ac:dyDescent="0.25">
      <c r="C42" s="70" t="s">
        <v>119</v>
      </c>
      <c r="D42" s="54" t="s">
        <v>120</v>
      </c>
      <c r="E42" s="55">
        <f>E43+E67+E94</f>
        <v>755911.19</v>
      </c>
      <c r="F42" s="55">
        <f t="shared" ref="F42:O42" si="30">F43+F67+F94</f>
        <v>10779799.98</v>
      </c>
      <c r="G42" s="55">
        <f>G43+G67+G94</f>
        <v>9380277.9615000002</v>
      </c>
      <c r="H42" s="55">
        <f t="shared" si="30"/>
        <v>0</v>
      </c>
      <c r="I42" s="56">
        <f t="shared" si="30"/>
        <v>0</v>
      </c>
      <c r="J42" s="55">
        <f t="shared" si="30"/>
        <v>0</v>
      </c>
      <c r="K42" s="56">
        <f t="shared" si="30"/>
        <v>947155</v>
      </c>
      <c r="L42" s="57">
        <f t="shared" si="30"/>
        <v>21107232.941500001</v>
      </c>
      <c r="M42" s="57">
        <f t="shared" si="30"/>
        <v>21107234</v>
      </c>
      <c r="N42" s="58">
        <f>N43+N67+N94</f>
        <v>21107234</v>
      </c>
      <c r="O42" s="58">
        <f t="shared" si="30"/>
        <v>21152808</v>
      </c>
      <c r="P42" s="56">
        <f t="shared" si="4"/>
        <v>45574</v>
      </c>
      <c r="Q42" s="56"/>
      <c r="R42" s="58">
        <f t="shared" ref="R42" si="31">R43+R67+R94</f>
        <v>21337925</v>
      </c>
      <c r="S42" s="56">
        <f t="shared" si="8"/>
        <v>185117</v>
      </c>
      <c r="T42" s="56"/>
    </row>
    <row r="43" spans="1:20" ht="17.45" customHeight="1" x14ac:dyDescent="0.25">
      <c r="B43" s="45"/>
      <c r="C43" s="71" t="s">
        <v>121</v>
      </c>
      <c r="D43" s="72" t="s">
        <v>122</v>
      </c>
      <c r="E43" s="73">
        <f>SUM(E44:E47)+E50+SUM(E54:E66)</f>
        <v>204602.94</v>
      </c>
      <c r="F43" s="73">
        <f t="shared" ref="F43:N43" si="32">SUM(F44:F47)+F50+SUM(F54:F66)</f>
        <v>10779799.98</v>
      </c>
      <c r="G43" s="73">
        <f t="shared" si="32"/>
        <v>52371</v>
      </c>
      <c r="H43" s="73">
        <f t="shared" si="32"/>
        <v>0</v>
      </c>
      <c r="I43" s="74">
        <f t="shared" si="32"/>
        <v>0</v>
      </c>
      <c r="J43" s="73">
        <f t="shared" si="32"/>
        <v>0</v>
      </c>
      <c r="K43" s="74">
        <f t="shared" si="32"/>
        <v>0</v>
      </c>
      <c r="L43" s="75">
        <f t="shared" si="32"/>
        <v>10832170.98</v>
      </c>
      <c r="M43" s="76">
        <f t="shared" si="32"/>
        <v>10832171</v>
      </c>
      <c r="N43" s="77">
        <f t="shared" si="32"/>
        <v>10832171</v>
      </c>
      <c r="O43" s="77">
        <f>SUM(O44:O47)+O50+SUM(O54:O66)</f>
        <v>10832211</v>
      </c>
      <c r="P43" s="78">
        <f t="shared" si="4"/>
        <v>40</v>
      </c>
      <c r="Q43" s="78"/>
      <c r="R43" s="77">
        <f>SUM(R44:R47)+R50+SUM(R54:R66)</f>
        <v>10943346</v>
      </c>
      <c r="S43" s="78">
        <f t="shared" si="8"/>
        <v>111135</v>
      </c>
      <c r="T43" s="78"/>
    </row>
    <row r="44" spans="1:20" ht="16.899999999999999" customHeight="1" x14ac:dyDescent="0.25">
      <c r="A44" s="1" t="s">
        <v>123</v>
      </c>
      <c r="B44" s="1" t="s">
        <v>124</v>
      </c>
      <c r="C44" s="64" t="s">
        <v>125</v>
      </c>
      <c r="D44" s="47" t="s">
        <v>126</v>
      </c>
      <c r="E44" s="48">
        <v>0</v>
      </c>
      <c r="F44" s="48">
        <f>792241+56826</f>
        <v>849067</v>
      </c>
      <c r="G44" s="48"/>
      <c r="H44" s="48"/>
      <c r="I44" s="49"/>
      <c r="J44" s="48"/>
      <c r="K44" s="49"/>
      <c r="L44" s="50">
        <f>F44+G44+H44+I44+J44+K44</f>
        <v>849067</v>
      </c>
      <c r="M44" s="50">
        <f>ROUND(L44,0)</f>
        <v>849067</v>
      </c>
      <c r="N44" s="51">
        <v>849067</v>
      </c>
      <c r="O44" s="51">
        <f>ROUND(N44,0)</f>
        <v>849067</v>
      </c>
      <c r="P44" s="49">
        <f t="shared" si="4"/>
        <v>0</v>
      </c>
      <c r="Q44" s="69"/>
      <c r="R44" s="51">
        <f t="shared" ref="R44:R46" si="33">ROUND(O44,0)</f>
        <v>849067</v>
      </c>
      <c r="S44" s="49">
        <f t="shared" si="8"/>
        <v>0</v>
      </c>
      <c r="T44" s="69"/>
    </row>
    <row r="45" spans="1:20" ht="13.9" customHeight="1" x14ac:dyDescent="0.25">
      <c r="A45" s="1" t="s">
        <v>123</v>
      </c>
      <c r="B45" s="62" t="s">
        <v>127</v>
      </c>
      <c r="C45" s="64" t="s">
        <v>128</v>
      </c>
      <c r="D45" s="47" t="s">
        <v>129</v>
      </c>
      <c r="E45" s="48">
        <v>23.02</v>
      </c>
      <c r="F45" s="48">
        <f>339485-E45</f>
        <v>339461.98</v>
      </c>
      <c r="G45" s="48"/>
      <c r="H45" s="48"/>
      <c r="I45" s="49"/>
      <c r="J45" s="48"/>
      <c r="K45" s="49"/>
      <c r="L45" s="80">
        <f>F45+G45+H45+I45+J45+K45</f>
        <v>339461.98</v>
      </c>
      <c r="M45" s="50">
        <f>ROUND(L45,0)</f>
        <v>339462</v>
      </c>
      <c r="N45" s="51">
        <v>339462</v>
      </c>
      <c r="O45" s="51">
        <f>ROUND(N45,0)</f>
        <v>339462</v>
      </c>
      <c r="P45" s="49">
        <f t="shared" si="4"/>
        <v>0</v>
      </c>
      <c r="Q45" s="52"/>
      <c r="R45" s="51">
        <f t="shared" si="33"/>
        <v>339462</v>
      </c>
      <c r="S45" s="49">
        <f t="shared" si="8"/>
        <v>0</v>
      </c>
      <c r="T45" s="52"/>
    </row>
    <row r="46" spans="1:20" x14ac:dyDescent="0.25">
      <c r="B46" s="62" t="s">
        <v>130</v>
      </c>
      <c r="C46" s="64" t="s">
        <v>131</v>
      </c>
      <c r="D46" s="47" t="s">
        <v>132</v>
      </c>
      <c r="E46" s="48">
        <v>19979</v>
      </c>
      <c r="F46" s="48">
        <f>(57337+46806)+(134427+102522)+(27062+20640)</f>
        <v>388794</v>
      </c>
      <c r="G46" s="48"/>
      <c r="H46" s="48"/>
      <c r="I46" s="49"/>
      <c r="J46" s="48"/>
      <c r="K46" s="49"/>
      <c r="L46" s="50">
        <f>F46+G46+H46+I46+J46+K46</f>
        <v>388794</v>
      </c>
      <c r="M46" s="50">
        <f>ROUND(L46,0)</f>
        <v>388794</v>
      </c>
      <c r="N46" s="51">
        <v>388794</v>
      </c>
      <c r="O46" s="51">
        <f>ROUND(N46,0)</f>
        <v>388794</v>
      </c>
      <c r="P46" s="49">
        <f t="shared" si="4"/>
        <v>0</v>
      </c>
      <c r="Q46" s="69"/>
      <c r="R46" s="51">
        <f t="shared" si="33"/>
        <v>388794</v>
      </c>
      <c r="S46" s="49">
        <f t="shared" si="8"/>
        <v>0</v>
      </c>
      <c r="T46" s="69"/>
    </row>
    <row r="47" spans="1:20" ht="14.25" customHeight="1" x14ac:dyDescent="0.25">
      <c r="A47" s="1" t="s">
        <v>123</v>
      </c>
      <c r="B47" s="62" t="s">
        <v>133</v>
      </c>
      <c r="C47" s="64" t="s">
        <v>134</v>
      </c>
      <c r="D47" s="47" t="s">
        <v>135</v>
      </c>
      <c r="E47" s="48">
        <f>E48+E49</f>
        <v>29892.92</v>
      </c>
      <c r="F47" s="48">
        <f t="shared" ref="F47:O47" si="34">F48+F49</f>
        <v>0</v>
      </c>
      <c r="G47" s="48">
        <f t="shared" si="34"/>
        <v>0</v>
      </c>
      <c r="H47" s="48">
        <f t="shared" si="34"/>
        <v>0</v>
      </c>
      <c r="I47" s="49">
        <f t="shared" si="34"/>
        <v>0</v>
      </c>
      <c r="J47" s="48">
        <f t="shared" si="34"/>
        <v>0</v>
      </c>
      <c r="K47" s="49">
        <f t="shared" si="34"/>
        <v>0</v>
      </c>
      <c r="L47" s="50">
        <f t="shared" si="34"/>
        <v>0</v>
      </c>
      <c r="M47" s="81">
        <f t="shared" si="34"/>
        <v>0</v>
      </c>
      <c r="N47" s="49">
        <f>N48+N49</f>
        <v>0</v>
      </c>
      <c r="O47" s="51">
        <f t="shared" si="34"/>
        <v>0</v>
      </c>
      <c r="P47" s="49">
        <f t="shared" si="4"/>
        <v>0</v>
      </c>
      <c r="Q47" s="49"/>
      <c r="R47" s="51">
        <f t="shared" ref="R47" si="35">R48+R49</f>
        <v>114044</v>
      </c>
      <c r="S47" s="49">
        <f t="shared" si="8"/>
        <v>114044</v>
      </c>
      <c r="T47" s="49" t="s">
        <v>136</v>
      </c>
    </row>
    <row r="48" spans="1:20" ht="14.25" customHeight="1" x14ac:dyDescent="0.25">
      <c r="B48" s="62"/>
      <c r="C48" s="64" t="s">
        <v>137</v>
      </c>
      <c r="D48" s="65" t="s">
        <v>138</v>
      </c>
      <c r="E48" s="48">
        <v>29892.92</v>
      </c>
      <c r="F48" s="48"/>
      <c r="G48" s="48"/>
      <c r="H48" s="48"/>
      <c r="I48" s="49"/>
      <c r="J48" s="48"/>
      <c r="K48" s="49"/>
      <c r="L48" s="50"/>
      <c r="M48" s="50">
        <f>ROUND(L48,0)</f>
        <v>0</v>
      </c>
      <c r="N48" s="51">
        <v>0</v>
      </c>
      <c r="O48" s="51">
        <f>ROUND(N48,0)</f>
        <v>0</v>
      </c>
      <c r="P48" s="49">
        <f t="shared" si="4"/>
        <v>0</v>
      </c>
      <c r="Q48" s="69"/>
      <c r="R48" s="51">
        <f>ROUND(O48,0)+10823+58265</f>
        <v>69088</v>
      </c>
      <c r="S48" s="49">
        <f t="shared" si="8"/>
        <v>69088</v>
      </c>
      <c r="T48" s="69"/>
    </row>
    <row r="49" spans="1:20" ht="29.45" customHeight="1" x14ac:dyDescent="0.25">
      <c r="B49" s="62"/>
      <c r="C49" s="64" t="s">
        <v>139</v>
      </c>
      <c r="D49" s="65" t="s">
        <v>140</v>
      </c>
      <c r="E49" s="48">
        <v>0</v>
      </c>
      <c r="F49" s="48"/>
      <c r="G49" s="48"/>
      <c r="H49" s="48"/>
      <c r="I49" s="49"/>
      <c r="J49" s="48"/>
      <c r="K49" s="49"/>
      <c r="L49" s="50"/>
      <c r="M49" s="50">
        <f>ROUND(L49,0)</f>
        <v>0</v>
      </c>
      <c r="N49" s="51">
        <v>0</v>
      </c>
      <c r="O49" s="51">
        <f>ROUND(N49,0)</f>
        <v>0</v>
      </c>
      <c r="P49" s="49">
        <f t="shared" si="4"/>
        <v>0</v>
      </c>
      <c r="Q49" s="69"/>
      <c r="R49" s="51">
        <f>ROUND(O49,0)+16471+567+12810+(4107+124)+(2812+60)+(4194+88)+(3647+76)</f>
        <v>44956</v>
      </c>
      <c r="S49" s="49">
        <f t="shared" si="8"/>
        <v>44956</v>
      </c>
      <c r="T49" s="69"/>
    </row>
    <row r="50" spans="1:20" ht="13.9" customHeight="1" x14ac:dyDescent="0.25">
      <c r="B50" s="1" t="s">
        <v>141</v>
      </c>
      <c r="C50" s="64" t="s">
        <v>142</v>
      </c>
      <c r="D50" s="47" t="s">
        <v>143</v>
      </c>
      <c r="E50" s="82">
        <f>E51+E52+E53</f>
        <v>65932</v>
      </c>
      <c r="F50" s="82">
        <f t="shared" ref="F50:L50" si="36">F51+F52+F53</f>
        <v>7742323</v>
      </c>
      <c r="G50" s="82">
        <f t="shared" si="36"/>
        <v>0</v>
      </c>
      <c r="H50" s="82">
        <f t="shared" si="36"/>
        <v>0</v>
      </c>
      <c r="I50" s="83">
        <f>I51+I52+I53</f>
        <v>0</v>
      </c>
      <c r="J50" s="82">
        <f t="shared" si="36"/>
        <v>0</v>
      </c>
      <c r="K50" s="83">
        <f t="shared" si="36"/>
        <v>0</v>
      </c>
      <c r="L50" s="84">
        <f t="shared" si="36"/>
        <v>7742323</v>
      </c>
      <c r="M50" s="84">
        <f>M51+M52+M53</f>
        <v>7742323</v>
      </c>
      <c r="N50" s="85">
        <f>N51+N52+N53</f>
        <v>7742323</v>
      </c>
      <c r="O50" s="85">
        <f>O51+O52+O53</f>
        <v>7742323</v>
      </c>
      <c r="P50" s="83">
        <f t="shared" si="4"/>
        <v>0</v>
      </c>
      <c r="Q50" s="86"/>
      <c r="R50" s="85">
        <f>R51+R52+R53</f>
        <v>7742323</v>
      </c>
      <c r="S50" s="83">
        <f t="shared" si="8"/>
        <v>0</v>
      </c>
      <c r="T50" s="86"/>
    </row>
    <row r="51" spans="1:20" s="92" customFormat="1" x14ac:dyDescent="0.25">
      <c r="A51" s="1" t="s">
        <v>123</v>
      </c>
      <c r="B51" s="62" t="s">
        <v>144</v>
      </c>
      <c r="C51" s="64" t="s">
        <v>145</v>
      </c>
      <c r="D51" s="65" t="s">
        <v>146</v>
      </c>
      <c r="E51" s="87">
        <f>8863+2979+2721+402+1492</f>
        <v>16457</v>
      </c>
      <c r="F51" s="87">
        <f>192779+210367+381878+166596+45627</f>
        <v>997247</v>
      </c>
      <c r="G51" s="87"/>
      <c r="H51" s="87"/>
      <c r="I51" s="88"/>
      <c r="J51" s="87"/>
      <c r="K51" s="88"/>
      <c r="L51" s="89">
        <f>F51+G51+H51+I51+J51+K51</f>
        <v>997247</v>
      </c>
      <c r="M51" s="89">
        <f t="shared" ref="M51:M66" si="37">ROUND(L51,0)</f>
        <v>997247</v>
      </c>
      <c r="N51" s="90">
        <v>997247</v>
      </c>
      <c r="O51" s="90">
        <f t="shared" ref="O51:O64" si="38">ROUND(N51,0)</f>
        <v>997247</v>
      </c>
      <c r="P51" s="88">
        <f t="shared" si="4"/>
        <v>0</v>
      </c>
      <c r="Q51" s="91"/>
      <c r="R51" s="90">
        <f t="shared" ref="R51:R65" si="39">ROUND(O51,0)</f>
        <v>997247</v>
      </c>
      <c r="S51" s="88">
        <f t="shared" si="8"/>
        <v>0</v>
      </c>
      <c r="T51" s="91"/>
    </row>
    <row r="52" spans="1:20" s="92" customFormat="1" x14ac:dyDescent="0.25">
      <c r="A52" s="1" t="s">
        <v>123</v>
      </c>
      <c r="B52" s="62" t="s">
        <v>147</v>
      </c>
      <c r="C52" s="64" t="s">
        <v>148</v>
      </c>
      <c r="D52" s="65" t="s">
        <v>149</v>
      </c>
      <c r="E52" s="87">
        <f>40583+12+3433</f>
        <v>44028</v>
      </c>
      <c r="F52" s="87">
        <f>1688787+(4475976+7446)</f>
        <v>6172209</v>
      </c>
      <c r="G52" s="87"/>
      <c r="H52" s="87"/>
      <c r="I52" s="88"/>
      <c r="J52" s="87"/>
      <c r="K52" s="88"/>
      <c r="L52" s="89">
        <f>F52+G52+H52+I52+J52+K52</f>
        <v>6172209</v>
      </c>
      <c r="M52" s="89">
        <f t="shared" si="37"/>
        <v>6172209</v>
      </c>
      <c r="N52" s="90">
        <v>6172209</v>
      </c>
      <c r="O52" s="90">
        <f t="shared" si="38"/>
        <v>6172209</v>
      </c>
      <c r="P52" s="88">
        <f t="shared" si="4"/>
        <v>0</v>
      </c>
      <c r="Q52" s="91"/>
      <c r="R52" s="90">
        <f t="shared" si="39"/>
        <v>6172209</v>
      </c>
      <c r="S52" s="88">
        <f t="shared" si="8"/>
        <v>0</v>
      </c>
      <c r="T52" s="91"/>
    </row>
    <row r="53" spans="1:20" s="92" customFormat="1" ht="18" customHeight="1" x14ac:dyDescent="0.25">
      <c r="A53" s="1" t="s">
        <v>123</v>
      </c>
      <c r="B53" s="1"/>
      <c r="C53" s="64" t="s">
        <v>150</v>
      </c>
      <c r="D53" s="65" t="s">
        <v>151</v>
      </c>
      <c r="E53" s="87">
        <f>3721+1619+107</f>
        <v>5447</v>
      </c>
      <c r="F53" s="87">
        <f>137762+(285496+132739)+16870</f>
        <v>572867</v>
      </c>
      <c r="G53" s="87"/>
      <c r="H53" s="87"/>
      <c r="I53" s="88"/>
      <c r="J53" s="87"/>
      <c r="K53" s="88"/>
      <c r="L53" s="89">
        <f>F53+G53+H53+I53+J53+K53</f>
        <v>572867</v>
      </c>
      <c r="M53" s="89">
        <f t="shared" si="37"/>
        <v>572867</v>
      </c>
      <c r="N53" s="90">
        <v>572867</v>
      </c>
      <c r="O53" s="90">
        <f>ROUND(N53,0)</f>
        <v>572867</v>
      </c>
      <c r="P53" s="88">
        <f t="shared" si="4"/>
        <v>0</v>
      </c>
      <c r="Q53" s="91"/>
      <c r="R53" s="90">
        <f t="shared" si="39"/>
        <v>572867</v>
      </c>
      <c r="S53" s="88">
        <f t="shared" si="8"/>
        <v>0</v>
      </c>
      <c r="T53" s="91"/>
    </row>
    <row r="54" spans="1:20" ht="31.5" customHeight="1" x14ac:dyDescent="0.25">
      <c r="A54" s="1" t="s">
        <v>123</v>
      </c>
      <c r="B54" s="1" t="s">
        <v>152</v>
      </c>
      <c r="C54" s="64" t="s">
        <v>153</v>
      </c>
      <c r="D54" s="47" t="s">
        <v>154</v>
      </c>
      <c r="E54" s="48"/>
      <c r="F54" s="48">
        <v>26226</v>
      </c>
      <c r="G54" s="48"/>
      <c r="H54" s="48"/>
      <c r="I54" s="49"/>
      <c r="J54" s="48"/>
      <c r="K54" s="49"/>
      <c r="L54" s="50">
        <f>F54+G54+H54+I54+J54+K54</f>
        <v>26226</v>
      </c>
      <c r="M54" s="50">
        <f t="shared" si="37"/>
        <v>26226</v>
      </c>
      <c r="N54" s="51">
        <v>26226</v>
      </c>
      <c r="O54" s="51">
        <f t="shared" si="38"/>
        <v>26226</v>
      </c>
      <c r="P54" s="49">
        <f t="shared" si="4"/>
        <v>0</v>
      </c>
      <c r="Q54" s="60"/>
      <c r="R54" s="51">
        <f t="shared" si="39"/>
        <v>26226</v>
      </c>
      <c r="S54" s="49">
        <f t="shared" si="8"/>
        <v>0</v>
      </c>
      <c r="T54" s="60"/>
    </row>
    <row r="55" spans="1:20" ht="19.149999999999999" customHeight="1" x14ac:dyDescent="0.25">
      <c r="A55" s="1" t="s">
        <v>123</v>
      </c>
      <c r="B55" s="62" t="s">
        <v>155</v>
      </c>
      <c r="C55" s="64" t="s">
        <v>156</v>
      </c>
      <c r="D55" s="47" t="s">
        <v>157</v>
      </c>
      <c r="E55" s="48">
        <v>102</v>
      </c>
      <c r="F55" s="48">
        <f>42000</f>
        <v>42000</v>
      </c>
      <c r="G55" s="48"/>
      <c r="H55" s="48"/>
      <c r="I55" s="49"/>
      <c r="J55" s="48"/>
      <c r="K55" s="49"/>
      <c r="L55" s="50">
        <f>F55+G55+H55+I55+J55+K55</f>
        <v>42000</v>
      </c>
      <c r="M55" s="50">
        <f t="shared" si="37"/>
        <v>42000</v>
      </c>
      <c r="N55" s="51">
        <v>42000</v>
      </c>
      <c r="O55" s="51">
        <f>ROUND(N55,0)+80</f>
        <v>42080</v>
      </c>
      <c r="P55" s="49">
        <f t="shared" si="4"/>
        <v>80</v>
      </c>
      <c r="Q55" s="52" t="s">
        <v>158</v>
      </c>
      <c r="R55" s="51">
        <f t="shared" si="39"/>
        <v>42080</v>
      </c>
      <c r="S55" s="49">
        <f t="shared" si="8"/>
        <v>0</v>
      </c>
      <c r="T55" s="52"/>
    </row>
    <row r="56" spans="1:20" ht="19.149999999999999" customHeight="1" x14ac:dyDescent="0.25">
      <c r="B56" s="62" t="s">
        <v>155</v>
      </c>
      <c r="C56" s="64" t="s">
        <v>159</v>
      </c>
      <c r="D56" s="47" t="s">
        <v>160</v>
      </c>
      <c r="E56" s="48">
        <v>1796</v>
      </c>
      <c r="F56" s="48">
        <v>15980</v>
      </c>
      <c r="G56" s="48"/>
      <c r="H56" s="48"/>
      <c r="I56" s="49"/>
      <c r="J56" s="48"/>
      <c r="K56" s="49"/>
      <c r="L56" s="50">
        <f t="shared" ref="L56:L64" si="40">F56+G56+H56+I56+J56+K56</f>
        <v>15980</v>
      </c>
      <c r="M56" s="50">
        <f t="shared" si="37"/>
        <v>15980</v>
      </c>
      <c r="N56" s="51">
        <v>15980</v>
      </c>
      <c r="O56" s="51">
        <f>ROUND(N56,0)-40</f>
        <v>15940</v>
      </c>
      <c r="P56" s="49">
        <f t="shared" si="4"/>
        <v>-40</v>
      </c>
      <c r="Q56" s="52" t="s">
        <v>158</v>
      </c>
      <c r="R56" s="51">
        <f t="shared" si="39"/>
        <v>15940</v>
      </c>
      <c r="S56" s="49">
        <f t="shared" si="8"/>
        <v>0</v>
      </c>
      <c r="T56" s="52"/>
    </row>
    <row r="57" spans="1:20" ht="30.6" customHeight="1" x14ac:dyDescent="0.25">
      <c r="B57" s="1" t="s">
        <v>161</v>
      </c>
      <c r="C57" s="64" t="s">
        <v>162</v>
      </c>
      <c r="D57" s="47" t="s">
        <v>163</v>
      </c>
      <c r="E57" s="48"/>
      <c r="F57" s="48">
        <v>642000</v>
      </c>
      <c r="G57" s="48"/>
      <c r="H57" s="48"/>
      <c r="I57" s="49"/>
      <c r="J57" s="48"/>
      <c r="K57" s="49"/>
      <c r="L57" s="50">
        <f t="shared" si="40"/>
        <v>642000</v>
      </c>
      <c r="M57" s="50">
        <f t="shared" si="37"/>
        <v>642000</v>
      </c>
      <c r="N57" s="51">
        <v>642000</v>
      </c>
      <c r="O57" s="51">
        <f t="shared" si="38"/>
        <v>642000</v>
      </c>
      <c r="P57" s="49">
        <f t="shared" si="4"/>
        <v>0</v>
      </c>
      <c r="Q57" s="69"/>
      <c r="R57" s="51">
        <f t="shared" si="39"/>
        <v>642000</v>
      </c>
      <c r="S57" s="49">
        <f t="shared" si="8"/>
        <v>0</v>
      </c>
      <c r="T57" s="69"/>
    </row>
    <row r="58" spans="1:20" ht="31.5" customHeight="1" x14ac:dyDescent="0.25">
      <c r="C58" s="64" t="s">
        <v>164</v>
      </c>
      <c r="D58" s="47" t="s">
        <v>165</v>
      </c>
      <c r="E58" s="48"/>
      <c r="F58" s="48"/>
      <c r="G58" s="48"/>
      <c r="H58" s="48"/>
      <c r="I58" s="49"/>
      <c r="J58" s="48"/>
      <c r="K58" s="49"/>
      <c r="L58" s="50">
        <f t="shared" si="40"/>
        <v>0</v>
      </c>
      <c r="M58" s="50">
        <f t="shared" si="37"/>
        <v>0</v>
      </c>
      <c r="N58" s="51">
        <v>0</v>
      </c>
      <c r="O58" s="51">
        <f t="shared" si="38"/>
        <v>0</v>
      </c>
      <c r="P58" s="49">
        <f t="shared" si="4"/>
        <v>0</v>
      </c>
      <c r="Q58" s="52"/>
      <c r="R58" s="51">
        <f t="shared" si="39"/>
        <v>0</v>
      </c>
      <c r="S58" s="49">
        <f t="shared" si="8"/>
        <v>0</v>
      </c>
      <c r="T58" s="52"/>
    </row>
    <row r="59" spans="1:20" ht="31.5" customHeight="1" x14ac:dyDescent="0.25">
      <c r="C59" s="64"/>
      <c r="D59" s="47" t="s">
        <v>166</v>
      </c>
      <c r="E59" s="48"/>
      <c r="F59" s="48"/>
      <c r="G59" s="48"/>
      <c r="H59" s="48"/>
      <c r="I59" s="49"/>
      <c r="J59" s="48"/>
      <c r="K59" s="49"/>
      <c r="L59" s="50">
        <f t="shared" si="40"/>
        <v>0</v>
      </c>
      <c r="M59" s="50">
        <f t="shared" si="37"/>
        <v>0</v>
      </c>
      <c r="N59" s="51">
        <v>0</v>
      </c>
      <c r="O59" s="51">
        <f t="shared" si="38"/>
        <v>0</v>
      </c>
      <c r="P59" s="49">
        <f t="shared" si="4"/>
        <v>0</v>
      </c>
      <c r="Q59" s="52"/>
      <c r="R59" s="51">
        <f t="shared" si="39"/>
        <v>0</v>
      </c>
      <c r="S59" s="49">
        <f t="shared" si="8"/>
        <v>0</v>
      </c>
      <c r="T59" s="52"/>
    </row>
    <row r="60" spans="1:20" ht="18.600000000000001" customHeight="1" x14ac:dyDescent="0.25">
      <c r="B60" s="94" t="s">
        <v>167</v>
      </c>
      <c r="C60" s="64" t="s">
        <v>168</v>
      </c>
      <c r="D60" s="95" t="s">
        <v>169</v>
      </c>
      <c r="E60" s="96">
        <v>81343</v>
      </c>
      <c r="F60" s="48">
        <f>482345-E60</f>
        <v>401002</v>
      </c>
      <c r="G60" s="48"/>
      <c r="H60" s="48"/>
      <c r="I60" s="49"/>
      <c r="J60" s="48"/>
      <c r="K60" s="49"/>
      <c r="L60" s="50">
        <f>F60+G60+H60+I60+J60+K60</f>
        <v>401002</v>
      </c>
      <c r="M60" s="50">
        <f t="shared" si="37"/>
        <v>401002</v>
      </c>
      <c r="N60" s="51">
        <v>401002</v>
      </c>
      <c r="O60" s="51">
        <f t="shared" si="38"/>
        <v>401002</v>
      </c>
      <c r="P60" s="49">
        <f t="shared" si="4"/>
        <v>0</v>
      </c>
      <c r="Q60" s="69"/>
      <c r="R60" s="51">
        <f t="shared" si="39"/>
        <v>401002</v>
      </c>
      <c r="S60" s="49">
        <f t="shared" si="8"/>
        <v>0</v>
      </c>
      <c r="T60" s="69"/>
    </row>
    <row r="61" spans="1:20" ht="58.9" customHeight="1" x14ac:dyDescent="0.25">
      <c r="B61" s="94" t="s">
        <v>170</v>
      </c>
      <c r="C61" s="64"/>
      <c r="D61" s="47" t="s">
        <v>171</v>
      </c>
      <c r="E61" s="96">
        <v>502</v>
      </c>
      <c r="F61" s="48"/>
      <c r="G61" s="48"/>
      <c r="H61" s="48"/>
      <c r="I61" s="49"/>
      <c r="J61" s="48"/>
      <c r="K61" s="49"/>
      <c r="L61" s="50">
        <f t="shared" si="40"/>
        <v>0</v>
      </c>
      <c r="M61" s="50">
        <f t="shared" si="37"/>
        <v>0</v>
      </c>
      <c r="N61" s="51">
        <v>0</v>
      </c>
      <c r="O61" s="51">
        <f t="shared" si="38"/>
        <v>0</v>
      </c>
      <c r="P61" s="49">
        <f t="shared" si="4"/>
        <v>0</v>
      </c>
      <c r="Q61" s="69"/>
      <c r="R61" s="51">
        <f t="shared" si="39"/>
        <v>0</v>
      </c>
      <c r="S61" s="49">
        <f t="shared" si="8"/>
        <v>0</v>
      </c>
      <c r="T61" s="69"/>
    </row>
    <row r="62" spans="1:20" ht="33.75" customHeight="1" x14ac:dyDescent="0.25">
      <c r="B62" s="1" t="s">
        <v>172</v>
      </c>
      <c r="C62" s="64" t="s">
        <v>173</v>
      </c>
      <c r="D62" s="47" t="s">
        <v>174</v>
      </c>
      <c r="E62" s="48"/>
      <c r="F62" s="48">
        <v>52500</v>
      </c>
      <c r="G62" s="48"/>
      <c r="H62" s="48"/>
      <c r="I62" s="49"/>
      <c r="J62" s="48"/>
      <c r="K62" s="49"/>
      <c r="L62" s="50">
        <f t="shared" si="40"/>
        <v>52500</v>
      </c>
      <c r="M62" s="50">
        <f t="shared" si="37"/>
        <v>52500</v>
      </c>
      <c r="N62" s="51">
        <v>52500</v>
      </c>
      <c r="O62" s="51">
        <f t="shared" si="38"/>
        <v>52500</v>
      </c>
      <c r="P62" s="49">
        <f t="shared" si="4"/>
        <v>0</v>
      </c>
      <c r="Q62" s="69"/>
      <c r="R62" s="51">
        <f t="shared" si="39"/>
        <v>52500</v>
      </c>
      <c r="S62" s="49">
        <f t="shared" si="8"/>
        <v>0</v>
      </c>
      <c r="T62" s="69"/>
    </row>
    <row r="63" spans="1:20" ht="17.45" customHeight="1" x14ac:dyDescent="0.25">
      <c r="B63" s="1" t="s">
        <v>141</v>
      </c>
      <c r="C63" s="64" t="s">
        <v>175</v>
      </c>
      <c r="D63" s="47" t="s">
        <v>176</v>
      </c>
      <c r="E63" s="48"/>
      <c r="F63" s="48"/>
      <c r="G63" s="48"/>
      <c r="H63" s="48"/>
      <c r="I63" s="49"/>
      <c r="J63" s="48"/>
      <c r="K63" s="49"/>
      <c r="L63" s="50">
        <f t="shared" si="40"/>
        <v>0</v>
      </c>
      <c r="M63" s="50">
        <f t="shared" si="37"/>
        <v>0</v>
      </c>
      <c r="N63" s="51">
        <v>0</v>
      </c>
      <c r="O63" s="51">
        <f t="shared" si="38"/>
        <v>0</v>
      </c>
      <c r="P63" s="49">
        <f t="shared" si="4"/>
        <v>0</v>
      </c>
      <c r="Q63" s="69"/>
      <c r="R63" s="51">
        <f t="shared" si="39"/>
        <v>0</v>
      </c>
      <c r="S63" s="49">
        <f t="shared" si="8"/>
        <v>0</v>
      </c>
      <c r="T63" s="69"/>
    </row>
    <row r="64" spans="1:20" x14ac:dyDescent="0.25">
      <c r="A64" s="1" t="s">
        <v>123</v>
      </c>
      <c r="B64" s="62" t="s">
        <v>177</v>
      </c>
      <c r="C64" s="64" t="s">
        <v>178</v>
      </c>
      <c r="D64" s="98" t="s">
        <v>179</v>
      </c>
      <c r="E64" s="48">
        <v>869</v>
      </c>
      <c r="F64" s="48">
        <v>5000</v>
      </c>
      <c r="G64" s="48"/>
      <c r="H64" s="48"/>
      <c r="I64" s="49"/>
      <c r="J64" s="48"/>
      <c r="K64" s="49"/>
      <c r="L64" s="50">
        <f t="shared" si="40"/>
        <v>5000</v>
      </c>
      <c r="M64" s="50">
        <f t="shared" si="37"/>
        <v>5000</v>
      </c>
      <c r="N64" s="51">
        <v>5000</v>
      </c>
      <c r="O64" s="51">
        <f t="shared" si="38"/>
        <v>5000</v>
      </c>
      <c r="P64" s="49">
        <f t="shared" si="4"/>
        <v>0</v>
      </c>
      <c r="Q64" s="99"/>
      <c r="R64" s="51">
        <f t="shared" si="39"/>
        <v>5000</v>
      </c>
      <c r="S64" s="49">
        <f t="shared" si="8"/>
        <v>0</v>
      </c>
      <c r="T64" s="99"/>
    </row>
    <row r="65" spans="1:20" ht="14.45" x14ac:dyDescent="0.3">
      <c r="B65" s="62"/>
      <c r="C65" s="64" t="s">
        <v>180</v>
      </c>
      <c r="D65" s="98" t="s">
        <v>181</v>
      </c>
      <c r="E65" s="48"/>
      <c r="F65" s="48"/>
      <c r="G65" s="48"/>
      <c r="H65" s="48"/>
      <c r="I65" s="49"/>
      <c r="J65" s="48"/>
      <c r="K65" s="49"/>
      <c r="L65" s="50"/>
      <c r="M65" s="50"/>
      <c r="N65" s="51"/>
      <c r="O65" s="51"/>
      <c r="P65" s="49"/>
      <c r="Q65" s="99"/>
      <c r="R65" s="51">
        <f t="shared" si="39"/>
        <v>0</v>
      </c>
      <c r="S65" s="49">
        <f t="shared" si="8"/>
        <v>0</v>
      </c>
      <c r="T65" s="99"/>
    </row>
    <row r="66" spans="1:20" ht="76.5" customHeight="1" x14ac:dyDescent="0.25">
      <c r="A66" s="100" t="s">
        <v>182</v>
      </c>
      <c r="B66" s="1" t="s">
        <v>183</v>
      </c>
      <c r="C66" s="64" t="s">
        <v>184</v>
      </c>
      <c r="D66" s="47" t="s">
        <v>185</v>
      </c>
      <c r="E66" s="48">
        <f>225+2+3937</f>
        <v>4164</v>
      </c>
      <c r="F66" s="48">
        <f>88984+3000+3000+18000+30000+14170+30420+51372+12000+1000+23500</f>
        <v>275446</v>
      </c>
      <c r="G66" s="48">
        <f>41749+10622</f>
        <v>52371</v>
      </c>
      <c r="H66" s="48"/>
      <c r="I66" s="49"/>
      <c r="J66" s="48"/>
      <c r="K66" s="49"/>
      <c r="L66" s="50">
        <f>F66+G66+H66+I66+J66+K66</f>
        <v>327817</v>
      </c>
      <c r="M66" s="50">
        <f t="shared" si="37"/>
        <v>327817</v>
      </c>
      <c r="N66" s="51">
        <v>327817</v>
      </c>
      <c r="O66" s="51">
        <f>ROUND(N66,0)</f>
        <v>327817</v>
      </c>
      <c r="P66" s="49">
        <f t="shared" si="4"/>
        <v>0</v>
      </c>
      <c r="Q66" s="99"/>
      <c r="R66" s="51">
        <f>ROUND(O66,0)-13411+6615+3887</f>
        <v>324908</v>
      </c>
      <c r="S66" s="49">
        <f t="shared" si="8"/>
        <v>-2909</v>
      </c>
      <c r="T66" s="99" t="s">
        <v>186</v>
      </c>
    </row>
    <row r="67" spans="1:20" ht="33" customHeight="1" x14ac:dyDescent="0.25">
      <c r="C67" s="71" t="s">
        <v>187</v>
      </c>
      <c r="D67" s="72" t="s">
        <v>188</v>
      </c>
      <c r="E67" s="73">
        <f>SUM(E68:E93)</f>
        <v>551308.25</v>
      </c>
      <c r="F67" s="73">
        <f t="shared" ref="F67:N67" si="41">SUM(F68:F93)</f>
        <v>0</v>
      </c>
      <c r="G67" s="73">
        <f t="shared" si="41"/>
        <v>9327906.9615000002</v>
      </c>
      <c r="H67" s="73">
        <f t="shared" si="41"/>
        <v>0</v>
      </c>
      <c r="I67" s="74">
        <f t="shared" si="41"/>
        <v>0</v>
      </c>
      <c r="J67" s="73">
        <f t="shared" si="41"/>
        <v>0</v>
      </c>
      <c r="K67" s="74">
        <f t="shared" si="41"/>
        <v>0</v>
      </c>
      <c r="L67" s="75">
        <f t="shared" si="41"/>
        <v>9327906.9615000002</v>
      </c>
      <c r="M67" s="75">
        <f t="shared" si="41"/>
        <v>9327908</v>
      </c>
      <c r="N67" s="101">
        <f t="shared" si="41"/>
        <v>9327908</v>
      </c>
      <c r="O67" s="101">
        <f>SUM(O68:O93)</f>
        <v>9373442</v>
      </c>
      <c r="P67" s="101">
        <f t="shared" si="4"/>
        <v>45534</v>
      </c>
      <c r="Q67" s="101"/>
      <c r="R67" s="101">
        <f>SUM(R68:R93)</f>
        <v>9447424</v>
      </c>
      <c r="S67" s="101">
        <f t="shared" si="8"/>
        <v>73982</v>
      </c>
      <c r="T67" s="101"/>
    </row>
    <row r="68" spans="1:20" x14ac:dyDescent="0.25">
      <c r="A68" s="1" t="s">
        <v>189</v>
      </c>
      <c r="B68" s="1" t="s">
        <v>190</v>
      </c>
      <c r="C68" s="64" t="s">
        <v>191</v>
      </c>
      <c r="D68" s="98" t="s">
        <v>192</v>
      </c>
      <c r="E68" s="48"/>
      <c r="F68" s="48"/>
      <c r="G68" s="48">
        <v>0</v>
      </c>
      <c r="H68" s="48"/>
      <c r="I68" s="49"/>
      <c r="J68" s="48"/>
      <c r="K68" s="49"/>
      <c r="L68" s="50">
        <f t="shared" ref="L68:L94" si="42">F68+G68+H68+I68+J68+K68</f>
        <v>0</v>
      </c>
      <c r="M68" s="50">
        <f t="shared" ref="M68:M94" si="43">ROUND(L68,0)</f>
        <v>0</v>
      </c>
      <c r="N68" s="51">
        <v>0</v>
      </c>
      <c r="O68" s="51">
        <f t="shared" ref="O68:O93" si="44">ROUND(N68,0)</f>
        <v>0</v>
      </c>
      <c r="P68" s="49">
        <f t="shared" si="4"/>
        <v>0</v>
      </c>
      <c r="Q68" s="61"/>
      <c r="R68" s="51">
        <f t="shared" ref="R68:R94" si="45">ROUND(O68,0)</f>
        <v>0</v>
      </c>
      <c r="S68" s="49">
        <f t="shared" si="8"/>
        <v>0</v>
      </c>
      <c r="T68" s="61"/>
    </row>
    <row r="69" spans="1:20" ht="28.5" customHeight="1" x14ac:dyDescent="0.25">
      <c r="B69" s="94" t="s">
        <v>193</v>
      </c>
      <c r="C69" s="64" t="s">
        <v>194</v>
      </c>
      <c r="D69" s="98" t="s">
        <v>195</v>
      </c>
      <c r="E69" s="48">
        <v>30654</v>
      </c>
      <c r="F69" s="48"/>
      <c r="G69" s="48"/>
      <c r="H69" s="48"/>
      <c r="I69" s="49"/>
      <c r="J69" s="48"/>
      <c r="K69" s="49"/>
      <c r="L69" s="50">
        <f>F69+G69+H69+I69+J69+K69</f>
        <v>0</v>
      </c>
      <c r="M69" s="50">
        <f t="shared" si="43"/>
        <v>0</v>
      </c>
      <c r="N69" s="51">
        <v>0</v>
      </c>
      <c r="O69" s="51">
        <f t="shared" si="44"/>
        <v>0</v>
      </c>
      <c r="P69" s="49">
        <f t="shared" si="4"/>
        <v>0</v>
      </c>
      <c r="Q69" s="69"/>
      <c r="R69" s="51">
        <f t="shared" si="45"/>
        <v>0</v>
      </c>
      <c r="S69" s="49">
        <f t="shared" si="8"/>
        <v>0</v>
      </c>
      <c r="T69" s="69"/>
    </row>
    <row r="70" spans="1:20" ht="30" customHeight="1" x14ac:dyDescent="0.25">
      <c r="B70" s="1" t="s">
        <v>196</v>
      </c>
      <c r="C70" s="64" t="s">
        <v>197</v>
      </c>
      <c r="D70" s="98" t="s">
        <v>198</v>
      </c>
      <c r="E70" s="48">
        <f>3650</f>
        <v>3650</v>
      </c>
      <c r="F70" s="48"/>
      <c r="G70" s="48">
        <f>638646-E70+283727</f>
        <v>918723</v>
      </c>
      <c r="H70" s="48"/>
      <c r="I70" s="49"/>
      <c r="J70" s="48"/>
      <c r="K70" s="49"/>
      <c r="L70" s="50">
        <f t="shared" si="42"/>
        <v>918723</v>
      </c>
      <c r="M70" s="50">
        <f t="shared" si="43"/>
        <v>918723</v>
      </c>
      <c r="N70" s="51">
        <v>918723</v>
      </c>
      <c r="O70" s="51">
        <f t="shared" si="44"/>
        <v>918723</v>
      </c>
      <c r="P70" s="49">
        <f t="shared" si="4"/>
        <v>0</v>
      </c>
      <c r="Q70" s="61"/>
      <c r="R70" s="51">
        <f t="shared" si="45"/>
        <v>918723</v>
      </c>
      <c r="S70" s="49">
        <f t="shared" si="8"/>
        <v>0</v>
      </c>
      <c r="T70" s="61"/>
    </row>
    <row r="71" spans="1:20" ht="30" x14ac:dyDescent="0.25">
      <c r="B71" s="1" t="s">
        <v>199</v>
      </c>
      <c r="C71" s="64" t="s">
        <v>200</v>
      </c>
      <c r="D71" s="98" t="s">
        <v>201</v>
      </c>
      <c r="E71" s="48">
        <v>33556</v>
      </c>
      <c r="F71" s="48"/>
      <c r="G71" s="48">
        <f>390980-E71</f>
        <v>357424</v>
      </c>
      <c r="H71" s="48"/>
      <c r="I71" s="49"/>
      <c r="J71" s="48"/>
      <c r="K71" s="49"/>
      <c r="L71" s="50">
        <f t="shared" si="42"/>
        <v>357424</v>
      </c>
      <c r="M71" s="50">
        <f t="shared" si="43"/>
        <v>357424</v>
      </c>
      <c r="N71" s="51">
        <v>357424</v>
      </c>
      <c r="O71" s="51">
        <f t="shared" si="44"/>
        <v>357424</v>
      </c>
      <c r="P71" s="49">
        <f t="shared" si="4"/>
        <v>0</v>
      </c>
      <c r="Q71" s="61"/>
      <c r="R71" s="51">
        <f t="shared" si="45"/>
        <v>357424</v>
      </c>
      <c r="S71" s="49">
        <f t="shared" si="8"/>
        <v>0</v>
      </c>
      <c r="T71" s="61"/>
    </row>
    <row r="72" spans="1:20" ht="45" x14ac:dyDescent="0.25">
      <c r="B72" s="102"/>
      <c r="C72" s="64" t="s">
        <v>202</v>
      </c>
      <c r="D72" s="98" t="s">
        <v>203</v>
      </c>
      <c r="E72" s="48">
        <v>60970.06</v>
      </c>
      <c r="F72" s="48"/>
      <c r="G72" s="48">
        <v>7315</v>
      </c>
      <c r="H72" s="48"/>
      <c r="I72" s="49"/>
      <c r="J72" s="48"/>
      <c r="K72" s="49"/>
      <c r="L72" s="50">
        <f t="shared" si="42"/>
        <v>7315</v>
      </c>
      <c r="M72" s="50">
        <f t="shared" si="43"/>
        <v>7315</v>
      </c>
      <c r="N72" s="51">
        <v>7315</v>
      </c>
      <c r="O72" s="51">
        <f t="shared" si="44"/>
        <v>7315</v>
      </c>
      <c r="P72" s="49">
        <f t="shared" ref="P72:P127" si="46">O72-N72</f>
        <v>0</v>
      </c>
      <c r="Q72" s="61"/>
      <c r="R72" s="51">
        <f t="shared" si="45"/>
        <v>7315</v>
      </c>
      <c r="S72" s="49">
        <f t="shared" si="8"/>
        <v>0</v>
      </c>
      <c r="T72" s="61"/>
    </row>
    <row r="73" spans="1:20" ht="62.25" customHeight="1" x14ac:dyDescent="0.25">
      <c r="B73" s="1">
        <v>1018</v>
      </c>
      <c r="C73" s="64" t="s">
        <v>204</v>
      </c>
      <c r="D73" s="98" t="s">
        <v>205</v>
      </c>
      <c r="E73" s="48"/>
      <c r="F73" s="48"/>
      <c r="G73" s="48"/>
      <c r="H73" s="48"/>
      <c r="I73" s="49"/>
      <c r="J73" s="48"/>
      <c r="K73" s="49"/>
      <c r="L73" s="50">
        <f t="shared" si="42"/>
        <v>0</v>
      </c>
      <c r="M73" s="50">
        <f t="shared" si="43"/>
        <v>0</v>
      </c>
      <c r="N73" s="51">
        <v>0</v>
      </c>
      <c r="O73" s="51">
        <f t="shared" si="44"/>
        <v>0</v>
      </c>
      <c r="P73" s="49">
        <f t="shared" si="46"/>
        <v>0</v>
      </c>
      <c r="Q73" s="61"/>
      <c r="R73" s="51">
        <f>ROUND(O73,0)+40772+33210</f>
        <v>73982</v>
      </c>
      <c r="S73" s="49">
        <f t="shared" si="8"/>
        <v>73982</v>
      </c>
      <c r="T73" s="63" t="s">
        <v>206</v>
      </c>
    </row>
    <row r="74" spans="1:20" ht="60" x14ac:dyDescent="0.25">
      <c r="B74" s="102"/>
      <c r="C74" s="64" t="s">
        <v>207</v>
      </c>
      <c r="D74" s="98" t="s">
        <v>208</v>
      </c>
      <c r="E74" s="48"/>
      <c r="F74" s="48"/>
      <c r="G74" s="48">
        <v>0</v>
      </c>
      <c r="H74" s="48"/>
      <c r="I74" s="49"/>
      <c r="J74" s="48"/>
      <c r="K74" s="49"/>
      <c r="L74" s="50">
        <f t="shared" si="42"/>
        <v>0</v>
      </c>
      <c r="M74" s="50">
        <f t="shared" si="43"/>
        <v>0</v>
      </c>
      <c r="N74" s="51">
        <v>0</v>
      </c>
      <c r="O74" s="51">
        <f t="shared" si="44"/>
        <v>0</v>
      </c>
      <c r="P74" s="49">
        <f t="shared" si="46"/>
        <v>0</v>
      </c>
      <c r="Q74" s="61"/>
      <c r="R74" s="51">
        <f t="shared" si="45"/>
        <v>0</v>
      </c>
      <c r="S74" s="49">
        <f t="shared" si="8"/>
        <v>0</v>
      </c>
      <c r="T74" s="61"/>
    </row>
    <row r="75" spans="1:20" ht="13.9" x14ac:dyDescent="0.25">
      <c r="A75" s="94" t="s">
        <v>209</v>
      </c>
      <c r="B75" s="102"/>
      <c r="C75" s="64" t="s">
        <v>204</v>
      </c>
      <c r="D75" s="98" t="s">
        <v>210</v>
      </c>
      <c r="E75" s="48">
        <v>172192.97</v>
      </c>
      <c r="F75" s="48"/>
      <c r="G75" s="48"/>
      <c r="H75" s="48"/>
      <c r="I75" s="49"/>
      <c r="J75" s="48"/>
      <c r="K75" s="49"/>
      <c r="L75" s="50">
        <f t="shared" si="42"/>
        <v>0</v>
      </c>
      <c r="M75" s="50">
        <f t="shared" si="43"/>
        <v>0</v>
      </c>
      <c r="N75" s="51">
        <v>0</v>
      </c>
      <c r="O75" s="51">
        <f t="shared" si="44"/>
        <v>0</v>
      </c>
      <c r="P75" s="49">
        <f t="shared" si="46"/>
        <v>0</v>
      </c>
      <c r="Q75" s="61"/>
      <c r="R75" s="51">
        <f t="shared" si="45"/>
        <v>0</v>
      </c>
      <c r="S75" s="49">
        <f t="shared" si="8"/>
        <v>0</v>
      </c>
      <c r="T75" s="61"/>
    </row>
    <row r="76" spans="1:20" ht="43.15" customHeight="1" x14ac:dyDescent="0.25">
      <c r="A76" s="94" t="s">
        <v>211</v>
      </c>
      <c r="B76" s="102"/>
      <c r="C76" s="64" t="s">
        <v>207</v>
      </c>
      <c r="D76" s="98" t="s">
        <v>212</v>
      </c>
      <c r="E76" s="48">
        <v>8432</v>
      </c>
      <c r="F76" s="48"/>
      <c r="G76" s="48">
        <v>60717</v>
      </c>
      <c r="H76" s="48"/>
      <c r="I76" s="49"/>
      <c r="J76" s="48"/>
      <c r="K76" s="49"/>
      <c r="L76" s="50">
        <f t="shared" si="42"/>
        <v>60717</v>
      </c>
      <c r="M76" s="50">
        <f t="shared" si="43"/>
        <v>60717</v>
      </c>
      <c r="N76" s="51">
        <v>60717</v>
      </c>
      <c r="O76" s="51">
        <f>ROUND(N76,0)+45534</f>
        <v>106251</v>
      </c>
      <c r="P76" s="49">
        <f t="shared" si="46"/>
        <v>45534</v>
      </c>
      <c r="Q76" s="103" t="s">
        <v>213</v>
      </c>
      <c r="R76" s="51">
        <f t="shared" si="45"/>
        <v>106251</v>
      </c>
      <c r="S76" s="49">
        <f t="shared" ref="S76:S127" si="47">R76-O76</f>
        <v>0</v>
      </c>
      <c r="T76" s="103"/>
    </row>
    <row r="77" spans="1:20" ht="45" x14ac:dyDescent="0.25">
      <c r="B77" s="1" t="s">
        <v>214</v>
      </c>
      <c r="C77" s="64" t="s">
        <v>215</v>
      </c>
      <c r="D77" s="98" t="s">
        <v>216</v>
      </c>
      <c r="E77" s="48">
        <v>37419.74</v>
      </c>
      <c r="F77" s="48"/>
      <c r="G77" s="48">
        <f>47219-E77</f>
        <v>9799.260000000002</v>
      </c>
      <c r="H77" s="48"/>
      <c r="I77" s="49"/>
      <c r="J77" s="48"/>
      <c r="K77" s="49"/>
      <c r="L77" s="50">
        <f t="shared" si="42"/>
        <v>9799.260000000002</v>
      </c>
      <c r="M77" s="50">
        <f t="shared" si="43"/>
        <v>9799</v>
      </c>
      <c r="N77" s="51">
        <v>9799</v>
      </c>
      <c r="O77" s="51">
        <f t="shared" si="44"/>
        <v>9799</v>
      </c>
      <c r="P77" s="49">
        <f t="shared" si="46"/>
        <v>0</v>
      </c>
      <c r="Q77" s="63"/>
      <c r="R77" s="51">
        <f t="shared" si="45"/>
        <v>9799</v>
      </c>
      <c r="S77" s="49">
        <f t="shared" si="47"/>
        <v>0</v>
      </c>
      <c r="T77" s="63"/>
    </row>
    <row r="78" spans="1:20" ht="45" x14ac:dyDescent="0.25">
      <c r="B78" s="62" t="s">
        <v>217</v>
      </c>
      <c r="C78" s="64" t="s">
        <v>218</v>
      </c>
      <c r="D78" s="98" t="s">
        <v>219</v>
      </c>
      <c r="E78" s="48"/>
      <c r="F78" s="48"/>
      <c r="G78" s="48"/>
      <c r="H78" s="48"/>
      <c r="I78" s="49"/>
      <c r="J78" s="48"/>
      <c r="K78" s="49"/>
      <c r="L78" s="50">
        <f t="shared" si="42"/>
        <v>0</v>
      </c>
      <c r="M78" s="50">
        <f t="shared" si="43"/>
        <v>0</v>
      </c>
      <c r="N78" s="51">
        <v>0</v>
      </c>
      <c r="O78" s="51">
        <f t="shared" si="44"/>
        <v>0</v>
      </c>
      <c r="P78" s="49">
        <f t="shared" si="46"/>
        <v>0</v>
      </c>
      <c r="Q78" s="104"/>
      <c r="R78" s="51">
        <f t="shared" si="45"/>
        <v>0</v>
      </c>
      <c r="S78" s="49">
        <f t="shared" si="47"/>
        <v>0</v>
      </c>
      <c r="T78" s="104"/>
    </row>
    <row r="79" spans="1:20" ht="14.45" x14ac:dyDescent="0.3">
      <c r="B79" s="62" t="s">
        <v>220</v>
      </c>
      <c r="C79" s="64" t="s">
        <v>221</v>
      </c>
      <c r="D79" s="98" t="s">
        <v>222</v>
      </c>
      <c r="E79" s="48">
        <v>100642.28</v>
      </c>
      <c r="F79" s="48"/>
      <c r="G79" s="48">
        <f>1072582-E79</f>
        <v>971939.72</v>
      </c>
      <c r="H79" s="48"/>
      <c r="I79" s="49"/>
      <c r="J79" s="48"/>
      <c r="K79" s="49"/>
      <c r="L79" s="50">
        <f t="shared" si="42"/>
        <v>971939.72</v>
      </c>
      <c r="M79" s="50">
        <f t="shared" si="43"/>
        <v>971940</v>
      </c>
      <c r="N79" s="51">
        <v>971940</v>
      </c>
      <c r="O79" s="51">
        <f t="shared" si="44"/>
        <v>971940</v>
      </c>
      <c r="P79" s="49">
        <f t="shared" si="46"/>
        <v>0</v>
      </c>
      <c r="Q79" s="104"/>
      <c r="R79" s="51">
        <f t="shared" si="45"/>
        <v>971940</v>
      </c>
      <c r="S79" s="49">
        <f t="shared" si="47"/>
        <v>0</v>
      </c>
      <c r="T79" s="104"/>
    </row>
    <row r="80" spans="1:20" ht="14.45" x14ac:dyDescent="0.3">
      <c r="B80" s="62"/>
      <c r="C80" s="64" t="s">
        <v>223</v>
      </c>
      <c r="D80" s="98" t="s">
        <v>181</v>
      </c>
      <c r="E80" s="48"/>
      <c r="F80" s="48"/>
      <c r="G80" s="48"/>
      <c r="H80" s="48"/>
      <c r="I80" s="49"/>
      <c r="J80" s="48"/>
      <c r="K80" s="49">
        <f>[1]BAZE_2026!G26</f>
        <v>0</v>
      </c>
      <c r="L80" s="50">
        <f t="shared" si="42"/>
        <v>0</v>
      </c>
      <c r="M80" s="50">
        <f t="shared" si="43"/>
        <v>0</v>
      </c>
      <c r="N80" s="51">
        <v>0</v>
      </c>
      <c r="O80" s="51">
        <f t="shared" si="44"/>
        <v>0</v>
      </c>
      <c r="P80" s="49">
        <f t="shared" si="46"/>
        <v>0</v>
      </c>
      <c r="Q80" s="104"/>
      <c r="R80" s="51">
        <f t="shared" si="45"/>
        <v>0</v>
      </c>
      <c r="S80" s="49">
        <f t="shared" si="47"/>
        <v>0</v>
      </c>
      <c r="T80" s="104"/>
    </row>
    <row r="81" spans="2:20" ht="30" x14ac:dyDescent="0.25">
      <c r="B81" s="62" t="s">
        <v>224</v>
      </c>
      <c r="C81" s="64" t="s">
        <v>225</v>
      </c>
      <c r="D81" s="98" t="s">
        <v>226</v>
      </c>
      <c r="E81" s="48"/>
      <c r="F81" s="48"/>
      <c r="G81" s="48">
        <v>1403713.71</v>
      </c>
      <c r="H81" s="48"/>
      <c r="I81" s="49"/>
      <c r="J81" s="48"/>
      <c r="K81" s="49"/>
      <c r="L81" s="50">
        <f t="shared" si="42"/>
        <v>1403713.71</v>
      </c>
      <c r="M81" s="50">
        <f t="shared" si="43"/>
        <v>1403714</v>
      </c>
      <c r="N81" s="51">
        <v>1403714</v>
      </c>
      <c r="O81" s="51">
        <f t="shared" si="44"/>
        <v>1403714</v>
      </c>
      <c r="P81" s="49">
        <f t="shared" si="46"/>
        <v>0</v>
      </c>
      <c r="Q81" s="104"/>
      <c r="R81" s="51">
        <f t="shared" si="45"/>
        <v>1403714</v>
      </c>
      <c r="S81" s="49">
        <f t="shared" si="47"/>
        <v>0</v>
      </c>
      <c r="T81" s="104"/>
    </row>
    <row r="82" spans="2:20" ht="44.45" customHeight="1" x14ac:dyDescent="0.25">
      <c r="B82" s="105" t="s">
        <v>227</v>
      </c>
      <c r="C82" s="64" t="s">
        <v>228</v>
      </c>
      <c r="D82" s="98" t="s">
        <v>229</v>
      </c>
      <c r="E82" s="48"/>
      <c r="F82" s="48"/>
      <c r="G82" s="48">
        <v>529141.19249999989</v>
      </c>
      <c r="H82" s="48"/>
      <c r="I82" s="49"/>
      <c r="J82" s="48"/>
      <c r="K82" s="49"/>
      <c r="L82" s="50">
        <f>F82+G82+H82+I82+J82+K82</f>
        <v>529141.19249999989</v>
      </c>
      <c r="M82" s="50">
        <f>ROUND(L82,0)</f>
        <v>529141</v>
      </c>
      <c r="N82" s="51">
        <v>529141</v>
      </c>
      <c r="O82" s="51">
        <f>ROUND(N82,0)</f>
        <v>529141</v>
      </c>
      <c r="P82" s="49">
        <f>O82-N82</f>
        <v>0</v>
      </c>
      <c r="Q82" s="106"/>
      <c r="R82" s="51">
        <f t="shared" si="45"/>
        <v>529141</v>
      </c>
      <c r="S82" s="49">
        <f t="shared" si="47"/>
        <v>0</v>
      </c>
      <c r="T82" s="106"/>
    </row>
    <row r="83" spans="2:20" ht="30.75" customHeight="1" x14ac:dyDescent="0.25">
      <c r="B83" s="105" t="s">
        <v>230</v>
      </c>
      <c r="C83" s="64" t="s">
        <v>218</v>
      </c>
      <c r="D83" s="98" t="s">
        <v>231</v>
      </c>
      <c r="E83" s="48">
        <v>15132</v>
      </c>
      <c r="F83" s="48"/>
      <c r="G83" s="48">
        <v>714</v>
      </c>
      <c r="H83" s="48"/>
      <c r="I83" s="49"/>
      <c r="J83" s="48"/>
      <c r="K83" s="49"/>
      <c r="L83" s="50">
        <f t="shared" si="42"/>
        <v>714</v>
      </c>
      <c r="M83" s="50">
        <f t="shared" si="43"/>
        <v>714</v>
      </c>
      <c r="N83" s="51">
        <v>714</v>
      </c>
      <c r="O83" s="51">
        <f>ROUND(N83,0)</f>
        <v>714</v>
      </c>
      <c r="P83" s="49">
        <f t="shared" si="46"/>
        <v>0</v>
      </c>
      <c r="Q83" s="106"/>
      <c r="R83" s="51">
        <f t="shared" si="45"/>
        <v>714</v>
      </c>
      <c r="S83" s="49">
        <f t="shared" si="47"/>
        <v>0</v>
      </c>
      <c r="T83" s="106"/>
    </row>
    <row r="84" spans="2:20" ht="48.6" customHeight="1" x14ac:dyDescent="0.25">
      <c r="B84" s="62" t="s">
        <v>232</v>
      </c>
      <c r="C84" s="64" t="s">
        <v>233</v>
      </c>
      <c r="D84" s="98" t="s">
        <v>234</v>
      </c>
      <c r="E84" s="48">
        <v>0</v>
      </c>
      <c r="F84" s="48"/>
      <c r="G84" s="48">
        <v>345549</v>
      </c>
      <c r="H84" s="48"/>
      <c r="I84" s="49"/>
      <c r="J84" s="48"/>
      <c r="K84" s="49"/>
      <c r="L84" s="50">
        <f t="shared" si="42"/>
        <v>345549</v>
      </c>
      <c r="M84" s="50">
        <f t="shared" si="43"/>
        <v>345549</v>
      </c>
      <c r="N84" s="51">
        <v>345549</v>
      </c>
      <c r="O84" s="51">
        <f t="shared" si="44"/>
        <v>345549</v>
      </c>
      <c r="P84" s="49">
        <f t="shared" si="46"/>
        <v>0</v>
      </c>
      <c r="Q84" s="104"/>
      <c r="R84" s="51">
        <f t="shared" si="45"/>
        <v>345549</v>
      </c>
      <c r="S84" s="49">
        <f t="shared" si="47"/>
        <v>0</v>
      </c>
      <c r="T84" s="104"/>
    </row>
    <row r="85" spans="2:20" ht="30" x14ac:dyDescent="0.25">
      <c r="B85" s="105" t="s">
        <v>235</v>
      </c>
      <c r="C85" s="64" t="s">
        <v>236</v>
      </c>
      <c r="D85" s="98" t="s">
        <v>237</v>
      </c>
      <c r="E85" s="48">
        <v>1612.2</v>
      </c>
      <c r="F85" s="48"/>
      <c r="G85" s="48">
        <f>3051714-E85</f>
        <v>3050101.8</v>
      </c>
      <c r="H85" s="48"/>
      <c r="I85" s="49"/>
      <c r="J85" s="48"/>
      <c r="K85" s="49"/>
      <c r="L85" s="50">
        <f t="shared" si="42"/>
        <v>3050101.8</v>
      </c>
      <c r="M85" s="50">
        <f t="shared" si="43"/>
        <v>3050102</v>
      </c>
      <c r="N85" s="51">
        <v>3050102</v>
      </c>
      <c r="O85" s="51">
        <f t="shared" si="44"/>
        <v>3050102</v>
      </c>
      <c r="P85" s="49">
        <f t="shared" si="46"/>
        <v>0</v>
      </c>
      <c r="Q85" s="104"/>
      <c r="R85" s="51">
        <f t="shared" si="45"/>
        <v>3050102</v>
      </c>
      <c r="S85" s="49">
        <f t="shared" si="47"/>
        <v>0</v>
      </c>
      <c r="T85" s="104"/>
    </row>
    <row r="86" spans="2:20" ht="30" x14ac:dyDescent="0.25">
      <c r="B86" s="94" t="s">
        <v>238</v>
      </c>
      <c r="C86" s="64" t="s">
        <v>239</v>
      </c>
      <c r="D86" s="98" t="s">
        <v>240</v>
      </c>
      <c r="E86" s="48">
        <v>76125</v>
      </c>
      <c r="F86" s="48"/>
      <c r="G86" s="48"/>
      <c r="H86" s="48"/>
      <c r="I86" s="49"/>
      <c r="J86" s="48"/>
      <c r="K86" s="49"/>
      <c r="L86" s="50">
        <f t="shared" si="42"/>
        <v>0</v>
      </c>
      <c r="M86" s="50">
        <f t="shared" si="43"/>
        <v>0</v>
      </c>
      <c r="N86" s="51">
        <v>0</v>
      </c>
      <c r="O86" s="51">
        <f t="shared" si="44"/>
        <v>0</v>
      </c>
      <c r="P86" s="49">
        <f t="shared" si="46"/>
        <v>0</v>
      </c>
      <c r="Q86" s="104"/>
      <c r="R86" s="51">
        <f t="shared" si="45"/>
        <v>0</v>
      </c>
      <c r="S86" s="49">
        <f t="shared" si="47"/>
        <v>0</v>
      </c>
      <c r="T86" s="104"/>
    </row>
    <row r="87" spans="2:20" ht="18.75" customHeight="1" x14ac:dyDescent="0.25">
      <c r="B87" s="94"/>
      <c r="C87" s="64" t="s">
        <v>239</v>
      </c>
      <c r="D87" s="98" t="s">
        <v>241</v>
      </c>
      <c r="E87" s="48">
        <f>4500+6422</f>
        <v>10922</v>
      </c>
      <c r="F87" s="48"/>
      <c r="G87" s="48">
        <f>25689-6422+14400-4500+20249</f>
        <v>49416</v>
      </c>
      <c r="H87" s="48"/>
      <c r="I87" s="49"/>
      <c r="J87" s="48"/>
      <c r="K87" s="49"/>
      <c r="L87" s="50">
        <f t="shared" si="42"/>
        <v>49416</v>
      </c>
      <c r="M87" s="50">
        <f t="shared" si="43"/>
        <v>49416</v>
      </c>
      <c r="N87" s="51">
        <v>49416</v>
      </c>
      <c r="O87" s="51">
        <f t="shared" si="44"/>
        <v>49416</v>
      </c>
      <c r="P87" s="49">
        <f t="shared" si="46"/>
        <v>0</v>
      </c>
      <c r="Q87" s="104"/>
      <c r="R87" s="51">
        <f t="shared" si="45"/>
        <v>49416</v>
      </c>
      <c r="S87" s="49">
        <f t="shared" si="47"/>
        <v>0</v>
      </c>
      <c r="T87" s="104"/>
    </row>
    <row r="88" spans="2:20" ht="46.5" customHeight="1" x14ac:dyDescent="0.25">
      <c r="B88" s="94" t="s">
        <v>242</v>
      </c>
      <c r="C88" s="64" t="s">
        <v>243</v>
      </c>
      <c r="D88" s="98" t="s">
        <v>244</v>
      </c>
      <c r="E88" s="48"/>
      <c r="F88" s="48"/>
      <c r="G88" s="48">
        <v>36495</v>
      </c>
      <c r="H88" s="48"/>
      <c r="I88" s="49"/>
      <c r="J88" s="48"/>
      <c r="K88" s="49"/>
      <c r="L88" s="50">
        <f t="shared" si="42"/>
        <v>36495</v>
      </c>
      <c r="M88" s="50">
        <f t="shared" si="43"/>
        <v>36495</v>
      </c>
      <c r="N88" s="51">
        <v>36495</v>
      </c>
      <c r="O88" s="51">
        <f t="shared" si="44"/>
        <v>36495</v>
      </c>
      <c r="P88" s="49">
        <f t="shared" si="46"/>
        <v>0</v>
      </c>
      <c r="Q88" s="104"/>
      <c r="R88" s="51">
        <f t="shared" si="45"/>
        <v>36495</v>
      </c>
      <c r="S88" s="49">
        <f t="shared" si="47"/>
        <v>0</v>
      </c>
      <c r="T88" s="104"/>
    </row>
    <row r="89" spans="2:20" ht="63" customHeight="1" x14ac:dyDescent="0.25">
      <c r="B89" s="94"/>
      <c r="C89" s="64" t="s">
        <v>245</v>
      </c>
      <c r="D89" s="98" t="s">
        <v>246</v>
      </c>
      <c r="E89" s="48"/>
      <c r="F89" s="48"/>
      <c r="G89" s="48">
        <v>768794.7790000001</v>
      </c>
      <c r="H89" s="48"/>
      <c r="I89" s="49"/>
      <c r="J89" s="48"/>
      <c r="K89" s="49"/>
      <c r="L89" s="50">
        <f t="shared" si="42"/>
        <v>768794.7790000001</v>
      </c>
      <c r="M89" s="50">
        <f t="shared" si="43"/>
        <v>768795</v>
      </c>
      <c r="N89" s="51">
        <v>768795</v>
      </c>
      <c r="O89" s="51">
        <f t="shared" si="44"/>
        <v>768795</v>
      </c>
      <c r="P89" s="49">
        <f t="shared" si="46"/>
        <v>0</v>
      </c>
      <c r="Q89" s="104"/>
      <c r="R89" s="51">
        <f t="shared" si="45"/>
        <v>768795</v>
      </c>
      <c r="S89" s="49">
        <f t="shared" si="47"/>
        <v>0</v>
      </c>
      <c r="T89" s="104"/>
    </row>
    <row r="90" spans="2:20" ht="33.75" customHeight="1" x14ac:dyDescent="0.25">
      <c r="B90" s="94"/>
      <c r="C90" s="64" t="s">
        <v>247</v>
      </c>
      <c r="D90" s="98" t="s">
        <v>248</v>
      </c>
      <c r="E90" s="48"/>
      <c r="F90" s="48"/>
      <c r="G90" s="48">
        <f>36542+76315+35684+63719+58080+39567</f>
        <v>309907</v>
      </c>
      <c r="H90" s="48"/>
      <c r="I90" s="49"/>
      <c r="J90" s="48"/>
      <c r="K90" s="49"/>
      <c r="L90" s="50">
        <f t="shared" si="42"/>
        <v>309907</v>
      </c>
      <c r="M90" s="50">
        <f t="shared" si="43"/>
        <v>309907</v>
      </c>
      <c r="N90" s="51">
        <v>309907</v>
      </c>
      <c r="O90" s="51">
        <f t="shared" si="44"/>
        <v>309907</v>
      </c>
      <c r="P90" s="49">
        <f t="shared" si="46"/>
        <v>0</v>
      </c>
      <c r="Q90" s="104"/>
      <c r="R90" s="51">
        <f t="shared" si="45"/>
        <v>309907</v>
      </c>
      <c r="S90" s="49">
        <f t="shared" si="47"/>
        <v>0</v>
      </c>
      <c r="T90" s="104"/>
    </row>
    <row r="91" spans="2:20" ht="36" customHeight="1" x14ac:dyDescent="0.25">
      <c r="B91" s="94"/>
      <c r="C91" s="64" t="s">
        <v>249</v>
      </c>
      <c r="D91" s="98" t="s">
        <v>250</v>
      </c>
      <c r="E91" s="48"/>
      <c r="F91" s="48"/>
      <c r="G91" s="48">
        <v>97352.5</v>
      </c>
      <c r="H91" s="48"/>
      <c r="I91" s="49"/>
      <c r="J91" s="48"/>
      <c r="K91" s="49"/>
      <c r="L91" s="50">
        <f t="shared" si="42"/>
        <v>97352.5</v>
      </c>
      <c r="M91" s="50">
        <f t="shared" si="43"/>
        <v>97353</v>
      </c>
      <c r="N91" s="51">
        <v>97353</v>
      </c>
      <c r="O91" s="51">
        <f t="shared" si="44"/>
        <v>97353</v>
      </c>
      <c r="P91" s="49">
        <f t="shared" si="46"/>
        <v>0</v>
      </c>
      <c r="Q91" s="104"/>
      <c r="R91" s="51">
        <f t="shared" si="45"/>
        <v>97353</v>
      </c>
      <c r="S91" s="49">
        <f t="shared" si="47"/>
        <v>0</v>
      </c>
      <c r="T91" s="104"/>
    </row>
    <row r="92" spans="2:20" ht="36" customHeight="1" x14ac:dyDescent="0.25">
      <c r="B92" s="94"/>
      <c r="C92" s="64" t="s">
        <v>251</v>
      </c>
      <c r="D92" s="107" t="s">
        <v>252</v>
      </c>
      <c r="E92" s="48"/>
      <c r="F92" s="48"/>
      <c r="G92" s="48">
        <f>122404+4400+14000</f>
        <v>140804</v>
      </c>
      <c r="H92" s="48"/>
      <c r="I92" s="49"/>
      <c r="J92" s="48"/>
      <c r="K92" s="49"/>
      <c r="L92" s="50">
        <f t="shared" si="42"/>
        <v>140804</v>
      </c>
      <c r="M92" s="50">
        <f t="shared" si="43"/>
        <v>140804</v>
      </c>
      <c r="N92" s="51">
        <v>140804</v>
      </c>
      <c r="O92" s="51">
        <f t="shared" si="44"/>
        <v>140804</v>
      </c>
      <c r="P92" s="49">
        <f t="shared" si="46"/>
        <v>0</v>
      </c>
      <c r="Q92" s="104"/>
      <c r="R92" s="51">
        <f t="shared" si="45"/>
        <v>140804</v>
      </c>
      <c r="S92" s="49">
        <f t="shared" si="47"/>
        <v>0</v>
      </c>
      <c r="T92" s="104"/>
    </row>
    <row r="93" spans="2:20" ht="18.75" customHeight="1" x14ac:dyDescent="0.25">
      <c r="B93" s="94"/>
      <c r="C93" s="64" t="s">
        <v>253</v>
      </c>
      <c r="D93" s="107" t="s">
        <v>254</v>
      </c>
      <c r="E93" s="48"/>
      <c r="F93" s="48"/>
      <c r="G93" s="48">
        <v>270000</v>
      </c>
      <c r="H93" s="48"/>
      <c r="I93" s="49"/>
      <c r="J93" s="48"/>
      <c r="K93" s="49"/>
      <c r="L93" s="50">
        <f t="shared" si="42"/>
        <v>270000</v>
      </c>
      <c r="M93" s="50">
        <f t="shared" si="43"/>
        <v>270000</v>
      </c>
      <c r="N93" s="51">
        <v>270000</v>
      </c>
      <c r="O93" s="51">
        <f t="shared" si="44"/>
        <v>270000</v>
      </c>
      <c r="P93" s="49">
        <f t="shared" si="46"/>
        <v>0</v>
      </c>
      <c r="Q93" s="104"/>
      <c r="R93" s="51">
        <f t="shared" si="45"/>
        <v>270000</v>
      </c>
      <c r="S93" s="49">
        <f t="shared" si="47"/>
        <v>0</v>
      </c>
      <c r="T93" s="104"/>
    </row>
    <row r="94" spans="2:20" ht="22.5" customHeight="1" x14ac:dyDescent="0.25">
      <c r="B94" s="45" t="s">
        <v>255</v>
      </c>
      <c r="C94" s="71" t="s">
        <v>256</v>
      </c>
      <c r="D94" s="72" t="s">
        <v>257</v>
      </c>
      <c r="E94" s="73"/>
      <c r="F94" s="73"/>
      <c r="G94" s="73"/>
      <c r="H94" s="73"/>
      <c r="I94" s="74"/>
      <c r="J94" s="73"/>
      <c r="K94" s="74">
        <f>-[1]Ieņēmumi!L4</f>
        <v>947155</v>
      </c>
      <c r="L94" s="75">
        <f t="shared" si="42"/>
        <v>947155</v>
      </c>
      <c r="M94" s="75">
        <f t="shared" si="43"/>
        <v>947155</v>
      </c>
      <c r="N94" s="101">
        <v>947155</v>
      </c>
      <c r="O94" s="101">
        <f>ROUND(M94,0)</f>
        <v>947155</v>
      </c>
      <c r="P94" s="74">
        <f t="shared" si="46"/>
        <v>0</v>
      </c>
      <c r="Q94" s="108"/>
      <c r="R94" s="101">
        <f t="shared" si="45"/>
        <v>947155</v>
      </c>
      <c r="S94" s="74">
        <f t="shared" si="47"/>
        <v>0</v>
      </c>
      <c r="T94" s="108"/>
    </row>
    <row r="95" spans="2:20" x14ac:dyDescent="0.25">
      <c r="C95" s="70" t="s">
        <v>258</v>
      </c>
      <c r="D95" s="54" t="s">
        <v>259</v>
      </c>
      <c r="E95" s="55">
        <f t="shared" ref="E95:L95" si="48">E96+E97</f>
        <v>0</v>
      </c>
      <c r="F95" s="55">
        <f t="shared" si="48"/>
        <v>0</v>
      </c>
      <c r="G95" s="55">
        <f t="shared" si="48"/>
        <v>0</v>
      </c>
      <c r="H95" s="55">
        <f t="shared" si="48"/>
        <v>0</v>
      </c>
      <c r="I95" s="56">
        <f>I96+I97</f>
        <v>0</v>
      </c>
      <c r="J95" s="55">
        <f t="shared" si="48"/>
        <v>0</v>
      </c>
      <c r="K95" s="56">
        <f t="shared" si="48"/>
        <v>355000</v>
      </c>
      <c r="L95" s="57">
        <f t="shared" si="48"/>
        <v>355000</v>
      </c>
      <c r="M95" s="57">
        <f>M96+M97</f>
        <v>355000</v>
      </c>
      <c r="N95" s="58">
        <f>N96+N97</f>
        <v>355000</v>
      </c>
      <c r="O95" s="58">
        <f>O96+O97</f>
        <v>355000</v>
      </c>
      <c r="P95" s="56">
        <f t="shared" si="46"/>
        <v>0</v>
      </c>
      <c r="Q95" s="59"/>
      <c r="R95" s="58">
        <f>R96+R97</f>
        <v>355000</v>
      </c>
      <c r="S95" s="56">
        <f t="shared" si="47"/>
        <v>0</v>
      </c>
      <c r="T95" s="59"/>
    </row>
    <row r="96" spans="2:20" ht="32.25" customHeight="1" x14ac:dyDescent="0.25">
      <c r="B96" s="1" t="s">
        <v>260</v>
      </c>
      <c r="C96" s="46" t="s">
        <v>261</v>
      </c>
      <c r="D96" s="47" t="s">
        <v>262</v>
      </c>
      <c r="E96" s="48"/>
      <c r="F96" s="48"/>
      <c r="G96" s="48"/>
      <c r="H96" s="48"/>
      <c r="I96" s="49"/>
      <c r="J96" s="48"/>
      <c r="K96" s="49">
        <f>[1]BAZE_2026!G28</f>
        <v>355000</v>
      </c>
      <c r="L96" s="50">
        <f>F96+G96+H96+I96+J96+K96</f>
        <v>355000</v>
      </c>
      <c r="M96" s="50">
        <f>ROUND(L96,0)</f>
        <v>355000</v>
      </c>
      <c r="N96" s="51">
        <v>355000</v>
      </c>
      <c r="O96" s="51">
        <f>ROUND(N96,0)</f>
        <v>355000</v>
      </c>
      <c r="P96" s="49">
        <f t="shared" si="46"/>
        <v>0</v>
      </c>
      <c r="Q96" s="69"/>
      <c r="R96" s="51">
        <f t="shared" ref="R96:R97" si="49">ROUND(O96,0)</f>
        <v>355000</v>
      </c>
      <c r="S96" s="49">
        <f t="shared" si="47"/>
        <v>0</v>
      </c>
      <c r="T96" s="69"/>
    </row>
    <row r="97" spans="1:20" ht="16.149999999999999" customHeight="1" x14ac:dyDescent="0.25">
      <c r="B97" s="1" t="s">
        <v>263</v>
      </c>
      <c r="C97" s="46" t="s">
        <v>264</v>
      </c>
      <c r="D97" s="47" t="s">
        <v>265</v>
      </c>
      <c r="E97" s="48"/>
      <c r="F97" s="48"/>
      <c r="G97" s="48"/>
      <c r="H97" s="48"/>
      <c r="I97" s="49"/>
      <c r="J97" s="48"/>
      <c r="K97" s="49">
        <f>[1]BAZE_2026!G29</f>
        <v>0</v>
      </c>
      <c r="L97" s="50">
        <f>F97+G97+H97+I97+J97+K97</f>
        <v>0</v>
      </c>
      <c r="M97" s="50">
        <f>ROUND(L97,0)</f>
        <v>0</v>
      </c>
      <c r="N97" s="51">
        <v>0</v>
      </c>
      <c r="O97" s="51">
        <f>ROUND(N97,0)</f>
        <v>0</v>
      </c>
      <c r="P97" s="49">
        <f t="shared" si="46"/>
        <v>0</v>
      </c>
      <c r="Q97" s="52"/>
      <c r="R97" s="51">
        <f t="shared" si="49"/>
        <v>0</v>
      </c>
      <c r="S97" s="49">
        <f t="shared" si="47"/>
        <v>0</v>
      </c>
      <c r="T97" s="52"/>
    </row>
    <row r="98" spans="1:20" ht="18" customHeight="1" x14ac:dyDescent="0.25">
      <c r="C98" s="70" t="s">
        <v>266</v>
      </c>
      <c r="D98" s="54" t="s">
        <v>267</v>
      </c>
      <c r="E98" s="55">
        <f>E99+E102+E105+E109+E112</f>
        <v>106960</v>
      </c>
      <c r="F98" s="55">
        <f t="shared" ref="F98:N98" si="50">F99+F102+F105+F109+F112</f>
        <v>0</v>
      </c>
      <c r="G98" s="55">
        <f t="shared" si="50"/>
        <v>17472</v>
      </c>
      <c r="H98" s="55">
        <f t="shared" si="50"/>
        <v>0</v>
      </c>
      <c r="I98" s="56">
        <f t="shared" si="50"/>
        <v>90000</v>
      </c>
      <c r="J98" s="55">
        <f t="shared" si="50"/>
        <v>0</v>
      </c>
      <c r="K98" s="56">
        <f t="shared" si="50"/>
        <v>625564.78</v>
      </c>
      <c r="L98" s="57">
        <f t="shared" si="50"/>
        <v>733036.78</v>
      </c>
      <c r="M98" s="57">
        <f t="shared" si="50"/>
        <v>733037</v>
      </c>
      <c r="N98" s="58">
        <f t="shared" si="50"/>
        <v>733037</v>
      </c>
      <c r="O98" s="58">
        <f>O99+O102+O105+O109+O112</f>
        <v>746967</v>
      </c>
      <c r="P98" s="56">
        <f t="shared" si="46"/>
        <v>13930</v>
      </c>
      <c r="Q98" s="109"/>
      <c r="R98" s="58">
        <f>R99+R102+R105+R109+R112</f>
        <v>826029</v>
      </c>
      <c r="S98" s="56">
        <f t="shared" si="47"/>
        <v>79062</v>
      </c>
      <c r="T98" s="109"/>
    </row>
    <row r="99" spans="1:20" x14ac:dyDescent="0.25">
      <c r="A99" s="1" t="s">
        <v>24</v>
      </c>
      <c r="B99" s="1" t="s">
        <v>268</v>
      </c>
      <c r="C99" s="46" t="s">
        <v>269</v>
      </c>
      <c r="D99" s="47" t="s">
        <v>270</v>
      </c>
      <c r="E99" s="48">
        <f t="shared" ref="E99:K99" si="51">SUM(E100:E101)</f>
        <v>0</v>
      </c>
      <c r="F99" s="48">
        <f t="shared" si="51"/>
        <v>0</v>
      </c>
      <c r="G99" s="48">
        <f t="shared" si="51"/>
        <v>0</v>
      </c>
      <c r="H99" s="48">
        <f t="shared" si="51"/>
        <v>0</v>
      </c>
      <c r="I99" s="49">
        <f>SUM(I100:I101)</f>
        <v>0</v>
      </c>
      <c r="J99" s="48">
        <f t="shared" si="51"/>
        <v>0</v>
      </c>
      <c r="K99" s="49">
        <f t="shared" si="51"/>
        <v>175118</v>
      </c>
      <c r="L99" s="50">
        <f>SUM(L100:L101)</f>
        <v>175118</v>
      </c>
      <c r="M99" s="50">
        <f>SUM(M100:M101)</f>
        <v>175118</v>
      </c>
      <c r="N99" s="51">
        <f>SUM(N100:N101)</f>
        <v>175118</v>
      </c>
      <c r="O99" s="51">
        <f>SUM(O100:O101)</f>
        <v>175118</v>
      </c>
      <c r="P99" s="49">
        <f t="shared" si="46"/>
        <v>0</v>
      </c>
      <c r="Q99" s="52"/>
      <c r="R99" s="51">
        <f>SUM(R100:R101)</f>
        <v>175118</v>
      </c>
      <c r="S99" s="49">
        <f t="shared" si="47"/>
        <v>0</v>
      </c>
      <c r="T99" s="52"/>
    </row>
    <row r="100" spans="1:20" ht="14.25" customHeight="1" x14ac:dyDescent="0.25">
      <c r="B100" s="1" t="s">
        <v>271</v>
      </c>
      <c r="C100" s="110" t="s">
        <v>272</v>
      </c>
      <c r="D100" s="111" t="s">
        <v>273</v>
      </c>
      <c r="E100" s="48"/>
      <c r="F100" s="48"/>
      <c r="G100" s="48"/>
      <c r="H100" s="48"/>
      <c r="I100" s="49"/>
      <c r="J100" s="48"/>
      <c r="K100" s="49">
        <f>[1]BAZE_2026!G32</f>
        <v>12318</v>
      </c>
      <c r="L100" s="50">
        <f>F100+G100+H100+I100+J100+K100</f>
        <v>12318</v>
      </c>
      <c r="M100" s="50">
        <f>ROUND(L100,0)</f>
        <v>12318</v>
      </c>
      <c r="N100" s="51">
        <v>12318</v>
      </c>
      <c r="O100" s="51">
        <f>ROUND(N100,0)</f>
        <v>12318</v>
      </c>
      <c r="P100" s="49">
        <f t="shared" si="46"/>
        <v>0</v>
      </c>
      <c r="Q100" s="60"/>
      <c r="R100" s="51">
        <f t="shared" ref="R100:R101" si="52">ROUND(O100,0)</f>
        <v>12318</v>
      </c>
      <c r="S100" s="49">
        <f t="shared" si="47"/>
        <v>0</v>
      </c>
      <c r="T100" s="60"/>
    </row>
    <row r="101" spans="1:20" ht="30" customHeight="1" x14ac:dyDescent="0.25">
      <c r="B101" s="1" t="s">
        <v>274</v>
      </c>
      <c r="C101" s="110" t="s">
        <v>275</v>
      </c>
      <c r="D101" s="111" t="s">
        <v>276</v>
      </c>
      <c r="E101" s="48"/>
      <c r="F101" s="48"/>
      <c r="G101" s="48"/>
      <c r="H101" s="48"/>
      <c r="I101" s="49"/>
      <c r="J101" s="48"/>
      <c r="K101" s="49">
        <f>[1]BAZE_2026!G33</f>
        <v>162800</v>
      </c>
      <c r="L101" s="50">
        <f>F101+G101+H101+I101+J101+K101</f>
        <v>162800</v>
      </c>
      <c r="M101" s="50">
        <f>ROUND(L101,0)</f>
        <v>162800</v>
      </c>
      <c r="N101" s="51">
        <v>162800</v>
      </c>
      <c r="O101" s="51">
        <f>ROUND(N101,0)</f>
        <v>162800</v>
      </c>
      <c r="P101" s="49">
        <f t="shared" si="46"/>
        <v>0</v>
      </c>
      <c r="Q101" s="60"/>
      <c r="R101" s="51">
        <f t="shared" si="52"/>
        <v>162800</v>
      </c>
      <c r="S101" s="49">
        <f t="shared" si="47"/>
        <v>0</v>
      </c>
      <c r="T101" s="60"/>
    </row>
    <row r="102" spans="1:20" ht="13.9" customHeight="1" x14ac:dyDescent="0.25">
      <c r="C102" s="46" t="s">
        <v>277</v>
      </c>
      <c r="D102" s="47" t="s">
        <v>278</v>
      </c>
      <c r="E102" s="48">
        <f t="shared" ref="E102:O102" si="53">E103+E104</f>
        <v>106960</v>
      </c>
      <c r="F102" s="48">
        <f t="shared" si="53"/>
        <v>0</v>
      </c>
      <c r="G102" s="48">
        <f t="shared" si="53"/>
        <v>17472</v>
      </c>
      <c r="H102" s="48">
        <f t="shared" si="53"/>
        <v>0</v>
      </c>
      <c r="I102" s="49">
        <f t="shared" si="53"/>
        <v>0</v>
      </c>
      <c r="J102" s="48">
        <f t="shared" si="53"/>
        <v>0</v>
      </c>
      <c r="K102" s="49">
        <f t="shared" si="53"/>
        <v>0</v>
      </c>
      <c r="L102" s="50">
        <f t="shared" si="53"/>
        <v>17472</v>
      </c>
      <c r="M102" s="50">
        <f t="shared" si="53"/>
        <v>17472</v>
      </c>
      <c r="N102" s="51">
        <f t="shared" si="53"/>
        <v>17472</v>
      </c>
      <c r="O102" s="51">
        <f t="shared" si="53"/>
        <v>17472</v>
      </c>
      <c r="P102" s="49">
        <f t="shared" si="46"/>
        <v>0</v>
      </c>
      <c r="Q102" s="112"/>
      <c r="R102" s="51">
        <f t="shared" ref="R102" si="54">R103+R104</f>
        <v>84534</v>
      </c>
      <c r="S102" s="49">
        <f t="shared" si="47"/>
        <v>67062</v>
      </c>
      <c r="T102" s="112"/>
    </row>
    <row r="103" spans="1:20" x14ac:dyDescent="0.25">
      <c r="B103" s="1" t="s">
        <v>279</v>
      </c>
      <c r="C103" s="110" t="s">
        <v>280</v>
      </c>
      <c r="D103" s="111" t="s">
        <v>281</v>
      </c>
      <c r="E103" s="48">
        <f>35969+70991</f>
        <v>106960</v>
      </c>
      <c r="F103" s="48"/>
      <c r="G103" s="48">
        <f>13204+4268</f>
        <v>17472</v>
      </c>
      <c r="H103" s="48"/>
      <c r="I103" s="49"/>
      <c r="J103" s="48"/>
      <c r="K103" s="49"/>
      <c r="L103" s="50">
        <f>F103+G103+H103+I103+J103+K103</f>
        <v>17472</v>
      </c>
      <c r="M103" s="50">
        <f>ROUND(L103,0)</f>
        <v>17472</v>
      </c>
      <c r="N103" s="51">
        <v>17472</v>
      </c>
      <c r="O103" s="51">
        <f>ROUND(N103,0)</f>
        <v>17472</v>
      </c>
      <c r="P103" s="49">
        <f>O103-N103</f>
        <v>0</v>
      </c>
      <c r="Q103" s="99"/>
      <c r="R103" s="51">
        <f>ROUND(O103,0)+67062</f>
        <v>84534</v>
      </c>
      <c r="S103" s="49">
        <f t="shared" si="47"/>
        <v>67062</v>
      </c>
      <c r="T103" s="99" t="s">
        <v>282</v>
      </c>
    </row>
    <row r="104" spans="1:20" ht="15.75" customHeight="1" x14ac:dyDescent="0.25">
      <c r="B104" s="113" t="s">
        <v>283</v>
      </c>
      <c r="C104" s="110" t="s">
        <v>284</v>
      </c>
      <c r="D104" s="98" t="s">
        <v>285</v>
      </c>
      <c r="E104" s="48"/>
      <c r="F104" s="48"/>
      <c r="G104" s="48"/>
      <c r="H104" s="48"/>
      <c r="I104" s="49"/>
      <c r="J104" s="48"/>
      <c r="K104" s="49"/>
      <c r="L104" s="50">
        <f>F104+G104+H104+I104+J104+K104</f>
        <v>0</v>
      </c>
      <c r="M104" s="50">
        <f>ROUND(L104,0)</f>
        <v>0</v>
      </c>
      <c r="N104" s="51">
        <v>0</v>
      </c>
      <c r="O104" s="51">
        <f>ROUND(N104,0)</f>
        <v>0</v>
      </c>
      <c r="P104" s="49">
        <f t="shared" si="46"/>
        <v>0</v>
      </c>
      <c r="Q104" s="60"/>
      <c r="R104" s="51">
        <f t="shared" ref="R104" si="55">ROUND(O104,0)</f>
        <v>0</v>
      </c>
      <c r="S104" s="49">
        <f t="shared" si="47"/>
        <v>0</v>
      </c>
      <c r="T104" s="60"/>
    </row>
    <row r="105" spans="1:20" x14ac:dyDescent="0.25">
      <c r="A105" s="1" t="s">
        <v>24</v>
      </c>
      <c r="B105" s="1" t="s">
        <v>286</v>
      </c>
      <c r="C105" s="46" t="s">
        <v>287</v>
      </c>
      <c r="D105" s="47" t="s">
        <v>288</v>
      </c>
      <c r="E105" s="48">
        <f t="shared" ref="E105:K105" si="56">SUM(E106:E108)</f>
        <v>0</v>
      </c>
      <c r="F105" s="48">
        <f t="shared" si="56"/>
        <v>0</v>
      </c>
      <c r="G105" s="48">
        <f t="shared" si="56"/>
        <v>0</v>
      </c>
      <c r="H105" s="48">
        <f t="shared" si="56"/>
        <v>0</v>
      </c>
      <c r="I105" s="49">
        <f>SUM(I106:I108)</f>
        <v>0</v>
      </c>
      <c r="J105" s="48">
        <f t="shared" si="56"/>
        <v>0</v>
      </c>
      <c r="K105" s="49">
        <f t="shared" si="56"/>
        <v>339911.78</v>
      </c>
      <c r="L105" s="50">
        <f>SUM(L106:L108)</f>
        <v>339911.78</v>
      </c>
      <c r="M105" s="50">
        <f>SUM(M106:M108)</f>
        <v>339912</v>
      </c>
      <c r="N105" s="51">
        <f>SUM(N106:N108)</f>
        <v>339912</v>
      </c>
      <c r="O105" s="51">
        <f>SUM(O106:O108)</f>
        <v>339912</v>
      </c>
      <c r="P105" s="49">
        <f t="shared" si="46"/>
        <v>0</v>
      </c>
      <c r="Q105" s="52"/>
      <c r="R105" s="51">
        <f>SUM(R106:R108)</f>
        <v>339912</v>
      </c>
      <c r="S105" s="49">
        <f t="shared" si="47"/>
        <v>0</v>
      </c>
      <c r="T105" s="52"/>
    </row>
    <row r="106" spans="1:20" ht="16.5" customHeight="1" x14ac:dyDescent="0.25">
      <c r="B106" s="1" t="s">
        <v>289</v>
      </c>
      <c r="C106" s="110" t="s">
        <v>290</v>
      </c>
      <c r="D106" s="111" t="s">
        <v>291</v>
      </c>
      <c r="E106" s="48"/>
      <c r="F106" s="48"/>
      <c r="G106" s="48"/>
      <c r="H106" s="48"/>
      <c r="I106" s="49"/>
      <c r="J106" s="48"/>
      <c r="K106" s="49">
        <f>[1]BAZE_2026!G36</f>
        <v>236911.78</v>
      </c>
      <c r="L106" s="50">
        <f>F106+G106+H106+I106+J106+K106</f>
        <v>236911.78</v>
      </c>
      <c r="M106" s="50">
        <f>ROUND(L106,0)</f>
        <v>236912</v>
      </c>
      <c r="N106" s="51">
        <v>236912</v>
      </c>
      <c r="O106" s="51">
        <f>ROUND(N106,0)</f>
        <v>236912</v>
      </c>
      <c r="P106" s="49">
        <f t="shared" si="46"/>
        <v>0</v>
      </c>
      <c r="Q106" s="69"/>
      <c r="R106" s="51">
        <f t="shared" ref="R106:R108" si="57">ROUND(O106,0)</f>
        <v>236912</v>
      </c>
      <c r="S106" s="49">
        <f t="shared" si="47"/>
        <v>0</v>
      </c>
      <c r="T106" s="69"/>
    </row>
    <row r="107" spans="1:20" x14ac:dyDescent="0.25">
      <c r="B107" s="1" t="s">
        <v>292</v>
      </c>
      <c r="C107" s="110" t="s">
        <v>293</v>
      </c>
      <c r="D107" s="111" t="s">
        <v>294</v>
      </c>
      <c r="E107" s="48"/>
      <c r="F107" s="48"/>
      <c r="G107" s="48"/>
      <c r="H107" s="48"/>
      <c r="I107" s="49"/>
      <c r="J107" s="48"/>
      <c r="K107" s="49">
        <f>[1]BAZE_2026!G37</f>
        <v>103000</v>
      </c>
      <c r="L107" s="50">
        <f>F107+G107+H107+I107+J107+K107</f>
        <v>103000</v>
      </c>
      <c r="M107" s="50">
        <f>ROUND(L107,0)</f>
        <v>103000</v>
      </c>
      <c r="N107" s="51">
        <v>103000</v>
      </c>
      <c r="O107" s="51">
        <f>ROUND(N107,0)</f>
        <v>103000</v>
      </c>
      <c r="P107" s="49">
        <f t="shared" si="46"/>
        <v>0</v>
      </c>
      <c r="Q107" s="52"/>
      <c r="R107" s="51">
        <f t="shared" si="57"/>
        <v>103000</v>
      </c>
      <c r="S107" s="49">
        <f t="shared" si="47"/>
        <v>0</v>
      </c>
      <c r="T107" s="52"/>
    </row>
    <row r="108" spans="1:20" x14ac:dyDescent="0.25">
      <c r="B108" s="1" t="s">
        <v>295</v>
      </c>
      <c r="C108" s="110" t="s">
        <v>296</v>
      </c>
      <c r="D108" s="98" t="s">
        <v>297</v>
      </c>
      <c r="E108" s="48"/>
      <c r="F108" s="48"/>
      <c r="G108" s="48"/>
      <c r="H108" s="48"/>
      <c r="I108" s="49"/>
      <c r="J108" s="48"/>
      <c r="K108" s="49">
        <v>0</v>
      </c>
      <c r="L108" s="50">
        <f>F108+G108+H108+I108+J108+K108</f>
        <v>0</v>
      </c>
      <c r="M108" s="50">
        <f>ROUND(L108,0)</f>
        <v>0</v>
      </c>
      <c r="N108" s="51">
        <v>0</v>
      </c>
      <c r="O108" s="51">
        <f>ROUND(N108,0)</f>
        <v>0</v>
      </c>
      <c r="P108" s="49">
        <f t="shared" si="46"/>
        <v>0</v>
      </c>
      <c r="Q108" s="52"/>
      <c r="R108" s="51">
        <f t="shared" si="57"/>
        <v>0</v>
      </c>
      <c r="S108" s="49">
        <f t="shared" si="47"/>
        <v>0</v>
      </c>
      <c r="T108" s="52"/>
    </row>
    <row r="109" spans="1:20" ht="16.899999999999999" customHeight="1" x14ac:dyDescent="0.25">
      <c r="A109" s="1" t="s">
        <v>24</v>
      </c>
      <c r="B109" s="1" t="s">
        <v>298</v>
      </c>
      <c r="C109" s="46" t="s">
        <v>299</v>
      </c>
      <c r="D109" s="47" t="s">
        <v>300</v>
      </c>
      <c r="E109" s="48">
        <f t="shared" ref="E109:O109" si="58">SUM(E110:E111)</f>
        <v>0</v>
      </c>
      <c r="F109" s="48">
        <f t="shared" si="58"/>
        <v>0</v>
      </c>
      <c r="G109" s="48">
        <f t="shared" si="58"/>
        <v>0</v>
      </c>
      <c r="H109" s="48">
        <f t="shared" si="58"/>
        <v>0</v>
      </c>
      <c r="I109" s="49">
        <f t="shared" si="58"/>
        <v>0</v>
      </c>
      <c r="J109" s="48">
        <f t="shared" si="58"/>
        <v>0</v>
      </c>
      <c r="K109" s="49">
        <f t="shared" si="58"/>
        <v>110535</v>
      </c>
      <c r="L109" s="50">
        <f t="shared" si="58"/>
        <v>110535</v>
      </c>
      <c r="M109" s="50">
        <f t="shared" si="58"/>
        <v>110535</v>
      </c>
      <c r="N109" s="51">
        <f>SUM(N110:N111)</f>
        <v>110535</v>
      </c>
      <c r="O109" s="51">
        <f t="shared" si="58"/>
        <v>110535</v>
      </c>
      <c r="P109" s="49">
        <f t="shared" si="46"/>
        <v>0</v>
      </c>
      <c r="Q109" s="69"/>
      <c r="R109" s="51">
        <f t="shared" ref="R109" si="59">SUM(R110:R111)</f>
        <v>122535</v>
      </c>
      <c r="S109" s="49">
        <f t="shared" si="47"/>
        <v>12000</v>
      </c>
      <c r="T109" s="69"/>
    </row>
    <row r="110" spans="1:20" ht="16.899999999999999" customHeight="1" x14ac:dyDescent="0.25">
      <c r="A110" s="94" t="s">
        <v>301</v>
      </c>
      <c r="C110" s="110" t="s">
        <v>302</v>
      </c>
      <c r="D110" s="111" t="s">
        <v>300</v>
      </c>
      <c r="E110" s="48"/>
      <c r="F110" s="48"/>
      <c r="G110" s="48"/>
      <c r="H110" s="48"/>
      <c r="I110" s="49"/>
      <c r="J110" s="48"/>
      <c r="K110" s="49">
        <f>[1]BAZE_2026!G39</f>
        <v>108535</v>
      </c>
      <c r="L110" s="50">
        <f>F110+G110+H110+I110+J110+K110</f>
        <v>108535</v>
      </c>
      <c r="M110" s="50">
        <f>ROUND(L110,0)</f>
        <v>108535</v>
      </c>
      <c r="N110" s="51">
        <v>108535</v>
      </c>
      <c r="O110" s="51">
        <f>ROUND(N110,0)</f>
        <v>108535</v>
      </c>
      <c r="P110" s="49">
        <f t="shared" si="46"/>
        <v>0</v>
      </c>
      <c r="Q110" s="52"/>
      <c r="R110" s="51">
        <f t="shared" ref="R110:R112" si="60">ROUND(O110,0)</f>
        <v>108535</v>
      </c>
      <c r="S110" s="49">
        <f t="shared" si="47"/>
        <v>0</v>
      </c>
      <c r="T110" s="52"/>
    </row>
    <row r="111" spans="1:20" ht="43.15" customHeight="1" x14ac:dyDescent="0.25">
      <c r="B111" s="1" t="s">
        <v>303</v>
      </c>
      <c r="C111" s="110" t="s">
        <v>304</v>
      </c>
      <c r="D111" s="111" t="s">
        <v>305</v>
      </c>
      <c r="E111" s="48"/>
      <c r="F111" s="48"/>
      <c r="G111" s="48"/>
      <c r="H111" s="48"/>
      <c r="I111" s="49"/>
      <c r="J111" s="48"/>
      <c r="K111" s="49">
        <f>[1]BAZE_2026!G40</f>
        <v>2000</v>
      </c>
      <c r="L111" s="50">
        <f>F111+G111+H111+I111+J111+K111</f>
        <v>2000</v>
      </c>
      <c r="M111" s="50">
        <f>ROUND(L111,0)</f>
        <v>2000</v>
      </c>
      <c r="N111" s="51">
        <v>2000</v>
      </c>
      <c r="O111" s="51">
        <f>ROUND(N111,0)</f>
        <v>2000</v>
      </c>
      <c r="P111" s="49">
        <f t="shared" si="46"/>
        <v>0</v>
      </c>
      <c r="Q111" s="52"/>
      <c r="R111" s="51">
        <f>ROUND(O111,0)+12000</f>
        <v>14000</v>
      </c>
      <c r="S111" s="49">
        <f t="shared" si="47"/>
        <v>12000</v>
      </c>
      <c r="T111" s="69" t="s">
        <v>306</v>
      </c>
    </row>
    <row r="112" spans="1:20" ht="17.45" customHeight="1" thickBot="1" x14ac:dyDescent="0.3">
      <c r="A112" s="1" t="s">
        <v>24</v>
      </c>
      <c r="B112" s="62" t="s">
        <v>307</v>
      </c>
      <c r="C112" s="46" t="s">
        <v>308</v>
      </c>
      <c r="D112" s="47" t="s">
        <v>309</v>
      </c>
      <c r="E112" s="48"/>
      <c r="F112" s="48"/>
      <c r="G112" s="48"/>
      <c r="H112" s="48"/>
      <c r="I112" s="114">
        <f>81000+7000+1000+1000</f>
        <v>90000</v>
      </c>
      <c r="J112" s="48"/>
      <c r="K112" s="49">
        <f>[1]BAZE_2026!G41-SUM(E112:J112)</f>
        <v>0</v>
      </c>
      <c r="L112" s="50">
        <f>F112+G112+H112+I112+J112+K112</f>
        <v>90000</v>
      </c>
      <c r="M112" s="50">
        <f>ROUND(L112,0)</f>
        <v>90000</v>
      </c>
      <c r="N112" s="51">
        <v>90000</v>
      </c>
      <c r="O112" s="51">
        <f>ROUND(N112,0)+13930</f>
        <v>103930</v>
      </c>
      <c r="P112" s="49">
        <f t="shared" si="46"/>
        <v>13930</v>
      </c>
      <c r="Q112" s="69" t="s">
        <v>310</v>
      </c>
      <c r="R112" s="51">
        <f t="shared" si="60"/>
        <v>103930</v>
      </c>
      <c r="S112" s="49">
        <f t="shared" si="47"/>
        <v>0</v>
      </c>
      <c r="T112" s="69"/>
    </row>
    <row r="113" spans="1:20" ht="15" customHeight="1" thickBot="1" x14ac:dyDescent="0.3">
      <c r="C113" s="115"/>
      <c r="D113" s="116" t="s">
        <v>311</v>
      </c>
      <c r="E113" s="117">
        <f>E7+E10+E13+E16+E19+E22+E34+E37+E41+E42+E95+E98</f>
        <v>1106402.49</v>
      </c>
      <c r="F113" s="117">
        <f t="shared" ref="F113:O113" si="61">F7+F10+F13+F16+F19+F22+F34+F37+F41+F42+F95+F98</f>
        <v>10849799.98</v>
      </c>
      <c r="G113" s="117">
        <f>G7+G10+G13+G16+G19+G22+G34+G37+G41+G42+G95+G98</f>
        <v>9397749.9615000002</v>
      </c>
      <c r="H113" s="117">
        <f t="shared" si="61"/>
        <v>0</v>
      </c>
      <c r="I113" s="118">
        <f t="shared" si="61"/>
        <v>90000</v>
      </c>
      <c r="J113" s="117">
        <f t="shared" si="61"/>
        <v>0</v>
      </c>
      <c r="K113" s="118">
        <f t="shared" si="61"/>
        <v>47122315.492941171</v>
      </c>
      <c r="L113" s="119">
        <f t="shared" si="61"/>
        <v>67459865.434441164</v>
      </c>
      <c r="M113" s="119">
        <f t="shared" si="61"/>
        <v>67459867</v>
      </c>
      <c r="N113" s="120">
        <f t="shared" si="61"/>
        <v>67459867</v>
      </c>
      <c r="O113" s="120">
        <f t="shared" si="61"/>
        <v>67519371</v>
      </c>
      <c r="P113" s="118">
        <f t="shared" si="46"/>
        <v>59504</v>
      </c>
      <c r="Q113" s="121"/>
      <c r="R113" s="120">
        <f t="shared" ref="R113" si="62">R7+R10+R13+R16+R19+R22+R34+R37+R41+R42+R95+R98</f>
        <v>67783550</v>
      </c>
      <c r="S113" s="118">
        <f t="shared" si="47"/>
        <v>264179</v>
      </c>
      <c r="T113" s="121"/>
    </row>
    <row r="114" spans="1:20" ht="15.75" thickBot="1" x14ac:dyDescent="0.3">
      <c r="C114" s="122" t="s">
        <v>312</v>
      </c>
      <c r="D114" s="123" t="s">
        <v>313</v>
      </c>
      <c r="E114" s="124">
        <f>SUM(E115:E116)</f>
        <v>8710284</v>
      </c>
      <c r="F114" s="124">
        <f t="shared" ref="F114:L114" si="63">SUM(F115:F116)</f>
        <v>0</v>
      </c>
      <c r="G114" s="124">
        <f t="shared" si="63"/>
        <v>0</v>
      </c>
      <c r="H114" s="124">
        <f t="shared" si="63"/>
        <v>0</v>
      </c>
      <c r="I114" s="124">
        <f>SUM(I115:I116)</f>
        <v>0</v>
      </c>
      <c r="J114" s="124">
        <f t="shared" si="63"/>
        <v>0</v>
      </c>
      <c r="K114" s="124">
        <f t="shared" si="63"/>
        <v>0</v>
      </c>
      <c r="L114" s="125">
        <f t="shared" si="63"/>
        <v>8710284</v>
      </c>
      <c r="M114" s="125">
        <f>SUM(M115:M116)+0.2</f>
        <v>8710284.1999999993</v>
      </c>
      <c r="N114" s="126">
        <f>SUM(N115:N116)+0.2</f>
        <v>8710284.1999999993</v>
      </c>
      <c r="O114" s="126">
        <f>SUM(O115:O116)</f>
        <v>8711325</v>
      </c>
      <c r="P114" s="127">
        <f t="shared" si="46"/>
        <v>1040.8000000007451</v>
      </c>
      <c r="Q114" s="128"/>
      <c r="R114" s="126">
        <f>SUM(R115:R116)</f>
        <v>8711325</v>
      </c>
      <c r="S114" s="127">
        <f t="shared" si="47"/>
        <v>0</v>
      </c>
      <c r="T114" s="128"/>
    </row>
    <row r="115" spans="1:20" ht="14.45" customHeight="1" x14ac:dyDescent="0.25">
      <c r="B115" s="129">
        <f>E115-E310</f>
        <v>0.36000000010244548</v>
      </c>
      <c r="C115" s="46" t="s">
        <v>314</v>
      </c>
      <c r="D115" s="47" t="s">
        <v>315</v>
      </c>
      <c r="E115" s="48">
        <f>E113+9996+888703+2193</f>
        <v>2007294.49</v>
      </c>
      <c r="F115" s="48"/>
      <c r="G115" s="48"/>
      <c r="H115" s="48"/>
      <c r="I115" s="48"/>
      <c r="J115" s="48"/>
      <c r="K115" s="48"/>
      <c r="L115" s="50">
        <f>E115</f>
        <v>2007294.49</v>
      </c>
      <c r="M115" s="50">
        <f>ROUND(L115,0)</f>
        <v>2007294</v>
      </c>
      <c r="N115" s="51">
        <v>2007294</v>
      </c>
      <c r="O115" s="51">
        <f>ROUND(N115,0)</f>
        <v>2007294</v>
      </c>
      <c r="P115" s="49">
        <f t="shared" si="46"/>
        <v>0</v>
      </c>
      <c r="Q115" s="69"/>
      <c r="R115" s="51">
        <f>ROUND(O115,0)-21948</f>
        <v>1985346</v>
      </c>
      <c r="S115" s="49">
        <f t="shared" si="47"/>
        <v>-21948</v>
      </c>
      <c r="T115" s="413" t="s">
        <v>316</v>
      </c>
    </row>
    <row r="116" spans="1:20" x14ac:dyDescent="0.25">
      <c r="C116" s="46" t="s">
        <v>317</v>
      </c>
      <c r="D116" s="47" t="s">
        <v>318</v>
      </c>
      <c r="E116" s="48">
        <f>8710284-E115</f>
        <v>6702989.5099999998</v>
      </c>
      <c r="F116" s="48"/>
      <c r="G116" s="48"/>
      <c r="H116" s="48"/>
      <c r="I116" s="48"/>
      <c r="J116" s="48"/>
      <c r="K116" s="48"/>
      <c r="L116" s="50">
        <f>E116</f>
        <v>6702989.5099999998</v>
      </c>
      <c r="M116" s="50">
        <f>ROUND(L116,0)</f>
        <v>6702990</v>
      </c>
      <c r="N116" s="51">
        <v>6702990</v>
      </c>
      <c r="O116" s="51">
        <f>ROUND(N116,0)+1041</f>
        <v>6704031</v>
      </c>
      <c r="P116" s="49">
        <f t="shared" si="46"/>
        <v>1041</v>
      </c>
      <c r="Q116" s="52" t="s">
        <v>319</v>
      </c>
      <c r="R116" s="51">
        <f>ROUND(O116,0)+21948</f>
        <v>6725979</v>
      </c>
      <c r="S116" s="49">
        <f t="shared" si="47"/>
        <v>21948</v>
      </c>
      <c r="T116" s="414"/>
    </row>
    <row r="117" spans="1:20" x14ac:dyDescent="0.25">
      <c r="C117" s="70" t="s">
        <v>320</v>
      </c>
      <c r="D117" s="130" t="s">
        <v>321</v>
      </c>
      <c r="E117" s="131">
        <f t="shared" ref="E117:O117" si="64">SUM(E118:E126)</f>
        <v>0</v>
      </c>
      <c r="F117" s="131">
        <f t="shared" si="64"/>
        <v>0</v>
      </c>
      <c r="G117" s="131">
        <f t="shared" si="64"/>
        <v>0</v>
      </c>
      <c r="H117" s="131">
        <f t="shared" si="64"/>
        <v>10307000.899</v>
      </c>
      <c r="I117" s="131">
        <f t="shared" si="64"/>
        <v>0</v>
      </c>
      <c r="J117" s="131">
        <f t="shared" si="64"/>
        <v>0</v>
      </c>
      <c r="K117" s="131">
        <f t="shared" si="64"/>
        <v>0</v>
      </c>
      <c r="L117" s="132">
        <f t="shared" si="64"/>
        <v>10307000.899</v>
      </c>
      <c r="M117" s="132">
        <f t="shared" si="64"/>
        <v>10307001</v>
      </c>
      <c r="N117" s="133">
        <f t="shared" si="64"/>
        <v>10307001</v>
      </c>
      <c r="O117" s="133">
        <f t="shared" si="64"/>
        <v>10307001</v>
      </c>
      <c r="P117" s="56">
        <f t="shared" si="46"/>
        <v>0</v>
      </c>
      <c r="Q117" s="59"/>
      <c r="R117" s="133">
        <f t="shared" ref="R117" si="65">SUM(R118:R126)</f>
        <v>10307001</v>
      </c>
      <c r="S117" s="56">
        <f t="shared" si="47"/>
        <v>0</v>
      </c>
      <c r="T117" s="59"/>
    </row>
    <row r="118" spans="1:20" ht="30" outlineLevel="1" x14ac:dyDescent="0.25">
      <c r="A118" s="94"/>
      <c r="B118" s="94"/>
      <c r="C118" s="110" t="s">
        <v>322</v>
      </c>
      <c r="D118" s="134" t="s">
        <v>323</v>
      </c>
      <c r="E118" s="135"/>
      <c r="F118" s="135"/>
      <c r="G118" s="135"/>
      <c r="H118" s="136"/>
      <c r="I118" s="135"/>
      <c r="J118" s="135"/>
      <c r="K118" s="135"/>
      <c r="L118" s="50">
        <f t="shared" ref="L118:L126" si="66">F118+G118+H118+I118+J118+K118</f>
        <v>0</v>
      </c>
      <c r="M118" s="137">
        <f t="shared" ref="M118:M126" si="67">ROUND(L118,0)</f>
        <v>0</v>
      </c>
      <c r="N118" s="138">
        <v>0</v>
      </c>
      <c r="O118" s="139">
        <f t="shared" ref="O118:O126" si="68">ROUND(N118,0)</f>
        <v>0</v>
      </c>
      <c r="P118" s="140">
        <f t="shared" si="46"/>
        <v>0</v>
      </c>
      <c r="Q118" s="63"/>
      <c r="R118" s="139">
        <f t="shared" ref="R118:R126" si="69">ROUND(O118,0)</f>
        <v>0</v>
      </c>
      <c r="S118" s="140">
        <f t="shared" si="47"/>
        <v>0</v>
      </c>
      <c r="T118" s="63"/>
    </row>
    <row r="119" spans="1:20" ht="30" customHeight="1" x14ac:dyDescent="0.25">
      <c r="A119" s="94" t="s">
        <v>224</v>
      </c>
      <c r="B119" s="94"/>
      <c r="C119" s="110" t="s">
        <v>324</v>
      </c>
      <c r="D119" s="134" t="s">
        <v>226</v>
      </c>
      <c r="E119" s="135"/>
      <c r="F119" s="135"/>
      <c r="G119" s="135"/>
      <c r="H119" s="136">
        <v>7506468.8990000011</v>
      </c>
      <c r="I119" s="135"/>
      <c r="J119" s="135"/>
      <c r="K119" s="135"/>
      <c r="L119" s="50">
        <f t="shared" si="66"/>
        <v>7506468.8990000011</v>
      </c>
      <c r="M119" s="137">
        <f t="shared" si="67"/>
        <v>7506469</v>
      </c>
      <c r="N119" s="138">
        <v>7506469</v>
      </c>
      <c r="O119" s="139">
        <f t="shared" si="68"/>
        <v>7506469</v>
      </c>
      <c r="P119" s="140">
        <f t="shared" si="46"/>
        <v>0</v>
      </c>
      <c r="Q119" s="63"/>
      <c r="R119" s="139">
        <f t="shared" si="69"/>
        <v>7506469</v>
      </c>
      <c r="S119" s="140">
        <f t="shared" si="47"/>
        <v>0</v>
      </c>
      <c r="T119" s="63"/>
    </row>
    <row r="120" spans="1:20" ht="17.45" customHeight="1" x14ac:dyDescent="0.25">
      <c r="A120" s="94"/>
      <c r="B120" s="94"/>
      <c r="C120" s="110" t="s">
        <v>325</v>
      </c>
      <c r="D120" s="134" t="s">
        <v>326</v>
      </c>
      <c r="E120" s="141"/>
      <c r="F120" s="142"/>
      <c r="G120" s="142"/>
      <c r="H120" s="143">
        <v>49699</v>
      </c>
      <c r="I120" s="142"/>
      <c r="J120" s="142"/>
      <c r="K120" s="142"/>
      <c r="L120" s="137">
        <f t="shared" si="66"/>
        <v>49699</v>
      </c>
      <c r="M120" s="137">
        <f t="shared" si="67"/>
        <v>49699</v>
      </c>
      <c r="N120" s="138">
        <v>49699</v>
      </c>
      <c r="O120" s="139">
        <f t="shared" si="68"/>
        <v>49699</v>
      </c>
      <c r="P120" s="140">
        <f t="shared" si="46"/>
        <v>0</v>
      </c>
      <c r="Q120" s="61"/>
      <c r="R120" s="139">
        <f t="shared" si="69"/>
        <v>49699</v>
      </c>
      <c r="S120" s="140">
        <f t="shared" si="47"/>
        <v>0</v>
      </c>
      <c r="T120" s="61"/>
    </row>
    <row r="121" spans="1:20" ht="59.45" customHeight="1" x14ac:dyDescent="0.25">
      <c r="A121" s="94"/>
      <c r="B121" s="94"/>
      <c r="C121" s="110" t="s">
        <v>327</v>
      </c>
      <c r="D121" s="144" t="s">
        <v>328</v>
      </c>
      <c r="E121" s="145"/>
      <c r="F121" s="142"/>
      <c r="G121" s="142"/>
      <c r="H121" s="143"/>
      <c r="I121" s="142"/>
      <c r="J121" s="142"/>
      <c r="K121" s="142"/>
      <c r="L121" s="137">
        <f t="shared" si="66"/>
        <v>0</v>
      </c>
      <c r="M121" s="137">
        <f t="shared" si="67"/>
        <v>0</v>
      </c>
      <c r="N121" s="146">
        <v>0</v>
      </c>
      <c r="O121" s="147">
        <f t="shared" si="68"/>
        <v>0</v>
      </c>
      <c r="P121" s="148">
        <f t="shared" si="46"/>
        <v>0</v>
      </c>
      <c r="Q121" s="61"/>
      <c r="R121" s="147">
        <f t="shared" si="69"/>
        <v>0</v>
      </c>
      <c r="S121" s="148">
        <f t="shared" si="47"/>
        <v>0</v>
      </c>
      <c r="T121" s="61"/>
    </row>
    <row r="122" spans="1:20" ht="16.899999999999999" customHeight="1" x14ac:dyDescent="0.25">
      <c r="B122" s="94"/>
      <c r="C122" s="110" t="s">
        <v>329</v>
      </c>
      <c r="D122" s="134" t="s">
        <v>330</v>
      </c>
      <c r="E122" s="141"/>
      <c r="F122" s="142"/>
      <c r="G122" s="142"/>
      <c r="H122" s="149">
        <f>480560-1080</f>
        <v>479480</v>
      </c>
      <c r="I122" s="142"/>
      <c r="J122" s="142"/>
      <c r="K122" s="142"/>
      <c r="L122" s="137">
        <f t="shared" si="66"/>
        <v>479480</v>
      </c>
      <c r="M122" s="137">
        <f t="shared" si="67"/>
        <v>479480</v>
      </c>
      <c r="N122" s="138">
        <v>479480</v>
      </c>
      <c r="O122" s="150">
        <f t="shared" si="68"/>
        <v>479480</v>
      </c>
      <c r="P122" s="148">
        <f t="shared" si="46"/>
        <v>0</v>
      </c>
      <c r="Q122" s="61"/>
      <c r="R122" s="150">
        <f t="shared" si="69"/>
        <v>479480</v>
      </c>
      <c r="S122" s="148">
        <f t="shared" si="47"/>
        <v>0</v>
      </c>
      <c r="T122" s="61"/>
    </row>
    <row r="123" spans="1:20" ht="29.25" customHeight="1" x14ac:dyDescent="0.25">
      <c r="B123" s="94" t="s">
        <v>196</v>
      </c>
      <c r="C123" s="110" t="s">
        <v>331</v>
      </c>
      <c r="D123" s="144" t="s">
        <v>198</v>
      </c>
      <c r="E123" s="145"/>
      <c r="F123" s="142"/>
      <c r="G123" s="142"/>
      <c r="H123" s="143">
        <v>240428</v>
      </c>
      <c r="I123" s="142"/>
      <c r="J123" s="142"/>
      <c r="K123" s="142"/>
      <c r="L123" s="137">
        <f t="shared" si="66"/>
        <v>240428</v>
      </c>
      <c r="M123" s="137">
        <f t="shared" si="67"/>
        <v>240428</v>
      </c>
      <c r="N123" s="146">
        <v>240428</v>
      </c>
      <c r="O123" s="147">
        <f t="shared" si="68"/>
        <v>240428</v>
      </c>
      <c r="P123" s="49">
        <f t="shared" si="46"/>
        <v>0</v>
      </c>
      <c r="Q123" s="151"/>
      <c r="R123" s="147">
        <f t="shared" si="69"/>
        <v>240428</v>
      </c>
      <c r="S123" s="49">
        <f t="shared" si="47"/>
        <v>0</v>
      </c>
      <c r="T123" s="151"/>
    </row>
    <row r="124" spans="1:20" ht="18.600000000000001" customHeight="1" outlineLevel="1" x14ac:dyDescent="0.25">
      <c r="B124" s="94" t="s">
        <v>220</v>
      </c>
      <c r="C124" s="152" t="s">
        <v>332</v>
      </c>
      <c r="D124" s="144" t="s">
        <v>222</v>
      </c>
      <c r="E124" s="145"/>
      <c r="F124" s="142"/>
      <c r="G124" s="142"/>
      <c r="H124" s="143">
        <f>320000+833191</f>
        <v>1153191</v>
      </c>
      <c r="I124" s="142"/>
      <c r="J124" s="142"/>
      <c r="K124" s="142"/>
      <c r="L124" s="137">
        <f t="shared" si="66"/>
        <v>1153191</v>
      </c>
      <c r="M124" s="137">
        <f t="shared" si="67"/>
        <v>1153191</v>
      </c>
      <c r="N124" s="146">
        <v>1153191</v>
      </c>
      <c r="O124" s="147">
        <f t="shared" si="68"/>
        <v>1153191</v>
      </c>
      <c r="P124" s="153">
        <f t="shared" si="46"/>
        <v>0</v>
      </c>
      <c r="Q124" s="61"/>
      <c r="R124" s="147">
        <f t="shared" si="69"/>
        <v>1153191</v>
      </c>
      <c r="S124" s="153">
        <f t="shared" si="47"/>
        <v>0</v>
      </c>
      <c r="T124" s="61"/>
    </row>
    <row r="125" spans="1:20" ht="41.45" customHeight="1" outlineLevel="1" x14ac:dyDescent="0.25">
      <c r="B125" s="94" t="s">
        <v>232</v>
      </c>
      <c r="C125" s="110" t="s">
        <v>333</v>
      </c>
      <c r="D125" s="144" t="s">
        <v>234</v>
      </c>
      <c r="E125" s="145"/>
      <c r="F125" s="142"/>
      <c r="G125" s="142"/>
      <c r="H125" s="143">
        <v>8588</v>
      </c>
      <c r="I125" s="142"/>
      <c r="J125" s="142"/>
      <c r="K125" s="142"/>
      <c r="L125" s="137">
        <f t="shared" si="66"/>
        <v>8588</v>
      </c>
      <c r="M125" s="137">
        <f t="shared" si="67"/>
        <v>8588</v>
      </c>
      <c r="N125" s="146">
        <v>8588</v>
      </c>
      <c r="O125" s="147">
        <f t="shared" si="68"/>
        <v>8588</v>
      </c>
      <c r="P125" s="148">
        <f t="shared" si="46"/>
        <v>0</v>
      </c>
      <c r="Q125" s="61"/>
      <c r="R125" s="147">
        <f t="shared" si="69"/>
        <v>8588</v>
      </c>
      <c r="S125" s="148">
        <f t="shared" si="47"/>
        <v>0</v>
      </c>
      <c r="T125" s="61"/>
    </row>
    <row r="126" spans="1:20" ht="26.45" customHeight="1" outlineLevel="1" x14ac:dyDescent="0.25">
      <c r="B126" s="94" t="s">
        <v>235</v>
      </c>
      <c r="C126" s="110" t="s">
        <v>334</v>
      </c>
      <c r="D126" s="154" t="s">
        <v>237</v>
      </c>
      <c r="E126" s="135"/>
      <c r="F126" s="135"/>
      <c r="G126" s="135"/>
      <c r="H126" s="136">
        <v>869146</v>
      </c>
      <c r="I126" s="135"/>
      <c r="J126" s="135"/>
      <c r="K126" s="135"/>
      <c r="L126" s="155">
        <f t="shared" si="66"/>
        <v>869146</v>
      </c>
      <c r="M126" s="137">
        <f t="shared" si="67"/>
        <v>869146</v>
      </c>
      <c r="N126" s="146">
        <v>869146</v>
      </c>
      <c r="O126" s="147">
        <f t="shared" si="68"/>
        <v>869146</v>
      </c>
      <c r="P126" s="49">
        <f t="shared" si="46"/>
        <v>0</v>
      </c>
      <c r="Q126" s="151"/>
      <c r="R126" s="147">
        <f t="shared" si="69"/>
        <v>869146</v>
      </c>
      <c r="S126" s="49">
        <f t="shared" si="47"/>
        <v>0</v>
      </c>
      <c r="T126" s="151"/>
    </row>
    <row r="127" spans="1:20" ht="15.75" thickBot="1" x14ac:dyDescent="0.3">
      <c r="C127" s="156"/>
      <c r="D127" s="157" t="s">
        <v>335</v>
      </c>
      <c r="E127" s="124">
        <f>E114</f>
        <v>8710284</v>
      </c>
      <c r="F127" s="124">
        <f t="shared" ref="F127:O127" si="70">F113+F114+F117</f>
        <v>10849799.98</v>
      </c>
      <c r="G127" s="124">
        <f t="shared" si="70"/>
        <v>9397749.9615000002</v>
      </c>
      <c r="H127" s="124">
        <f t="shared" si="70"/>
        <v>10307000.899</v>
      </c>
      <c r="I127" s="124">
        <f t="shared" si="70"/>
        <v>90000</v>
      </c>
      <c r="J127" s="124">
        <f t="shared" si="70"/>
        <v>0</v>
      </c>
      <c r="K127" s="124">
        <f t="shared" si="70"/>
        <v>47122315.492941171</v>
      </c>
      <c r="L127" s="125">
        <f t="shared" si="70"/>
        <v>86477150.333441168</v>
      </c>
      <c r="M127" s="125">
        <f t="shared" si="70"/>
        <v>86477152.200000003</v>
      </c>
      <c r="N127" s="126">
        <f t="shared" si="70"/>
        <v>86477152.200000003</v>
      </c>
      <c r="O127" s="126">
        <f t="shared" si="70"/>
        <v>86537697</v>
      </c>
      <c r="P127" s="127">
        <f t="shared" si="46"/>
        <v>60544.79999999702</v>
      </c>
      <c r="Q127" s="158"/>
      <c r="R127" s="126">
        <f t="shared" ref="R127" si="71">R113+R114+R117</f>
        <v>86801876</v>
      </c>
      <c r="S127" s="127">
        <f t="shared" si="47"/>
        <v>264179</v>
      </c>
      <c r="T127" s="158"/>
    </row>
    <row r="129" spans="2:20" ht="13.9" x14ac:dyDescent="0.25">
      <c r="E129" s="5"/>
      <c r="F129" s="5"/>
      <c r="G129" s="5"/>
      <c r="H129" s="5"/>
      <c r="I129" s="5"/>
      <c r="J129" s="5"/>
      <c r="K129" s="5" t="s">
        <v>336</v>
      </c>
      <c r="L129" s="11">
        <f>L127-SUM(F127:K127)</f>
        <v>8710284</v>
      </c>
      <c r="P129" s="12"/>
      <c r="S129" s="12"/>
    </row>
    <row r="130" spans="2:20" ht="20.25" x14ac:dyDescent="0.3">
      <c r="C130" s="415" t="s">
        <v>337</v>
      </c>
      <c r="D130" s="415"/>
      <c r="E130" s="5"/>
      <c r="F130" s="5"/>
      <c r="G130" s="5"/>
      <c r="H130" s="5"/>
      <c r="I130" s="5"/>
      <c r="J130" s="5"/>
      <c r="K130" s="5"/>
      <c r="P130" s="13"/>
      <c r="S130" s="13"/>
    </row>
    <row r="131" spans="2:20" thickBot="1" x14ac:dyDescent="0.35">
      <c r="C131" s="416"/>
      <c r="D131" s="416"/>
      <c r="E131" s="160"/>
      <c r="F131" s="160"/>
      <c r="G131" s="160"/>
      <c r="H131" s="160"/>
      <c r="I131" s="160"/>
      <c r="J131" s="160"/>
      <c r="K131" s="160"/>
      <c r="P131" s="161"/>
      <c r="S131" s="161"/>
    </row>
    <row r="132" spans="2:20" ht="57" customHeight="1" thickBot="1" x14ac:dyDescent="0.3">
      <c r="C132" s="24" t="s">
        <v>4</v>
      </c>
      <c r="D132" s="25" t="s">
        <v>5</v>
      </c>
      <c r="E132" s="26" t="str">
        <f t="shared" ref="E132:M132" si="72">E5</f>
        <v>KA 31.12.2025.</v>
      </c>
      <c r="F132" s="26" t="str">
        <f t="shared" si="72"/>
        <v>Valsts finansējums (mērķdotācijas)</v>
      </c>
      <c r="G132" s="26" t="str">
        <f t="shared" si="72"/>
        <v>Projektu finansējums</v>
      </c>
      <c r="H132" s="26" t="str">
        <f t="shared" si="72"/>
        <v>Aizņēmumi</v>
      </c>
      <c r="I132" s="26" t="str">
        <f t="shared" si="72"/>
        <v>CKS</v>
      </c>
      <c r="J132" s="26" t="str">
        <f t="shared" si="72"/>
        <v>2026. ĀND investīcijas</v>
      </c>
      <c r="K132" s="26" t="str">
        <f t="shared" si="72"/>
        <v>2026. ĀND bāze</v>
      </c>
      <c r="L132" s="162" t="str">
        <f t="shared" si="72"/>
        <v>2026. gada budžets</v>
      </c>
      <c r="M132" s="162" t="str">
        <f t="shared" si="72"/>
        <v>2026. gada budžets</v>
      </c>
      <c r="N132" s="29" t="str">
        <f>N5</f>
        <v>2026. gada budžets</v>
      </c>
      <c r="O132" s="29" t="str">
        <f>O5</f>
        <v>26.03.2026. grozījumi</v>
      </c>
      <c r="P132" s="29" t="str">
        <f>P5</f>
        <v>Izmaiņa 26.03.2026. - 29.01.2026.</v>
      </c>
      <c r="Q132" s="30" t="s">
        <v>338</v>
      </c>
      <c r="R132" s="29" t="str">
        <f>R5</f>
        <v>28.05.2026. grozījumi</v>
      </c>
      <c r="S132" s="29" t="str">
        <f>S5</f>
        <v>Izmaiņa 28.05.2026. -26.03.2026.</v>
      </c>
      <c r="T132" s="30" t="s">
        <v>338</v>
      </c>
    </row>
    <row r="133" spans="2:20" x14ac:dyDescent="0.25">
      <c r="C133" s="163" t="s">
        <v>22</v>
      </c>
      <c r="D133" s="164" t="s">
        <v>339</v>
      </c>
      <c r="E133" s="165">
        <f>SUM(E134:E142)</f>
        <v>227</v>
      </c>
      <c r="F133" s="165">
        <f t="shared" ref="F133:O133" si="73">SUM(F134:F142)</f>
        <v>88984</v>
      </c>
      <c r="G133" s="165">
        <f>SUM(G134:G142)</f>
        <v>0</v>
      </c>
      <c r="H133" s="165">
        <f t="shared" si="73"/>
        <v>0</v>
      </c>
      <c r="I133" s="165">
        <f t="shared" si="73"/>
        <v>0</v>
      </c>
      <c r="J133" s="165">
        <f>SUM(J134:J142)</f>
        <v>109257</v>
      </c>
      <c r="K133" s="166">
        <f t="shared" si="73"/>
        <v>11917307.9930757</v>
      </c>
      <c r="L133" s="167">
        <f t="shared" si="73"/>
        <v>12115775.9930757</v>
      </c>
      <c r="M133" s="167">
        <f t="shared" si="73"/>
        <v>12115776</v>
      </c>
      <c r="N133" s="168">
        <f>SUM(N134:N142)</f>
        <v>12115776</v>
      </c>
      <c r="O133" s="168">
        <f t="shared" si="73"/>
        <v>12133954</v>
      </c>
      <c r="P133" s="166">
        <f t="shared" ref="P133:P205" si="74">O133-N133</f>
        <v>18178</v>
      </c>
      <c r="Q133" s="169"/>
      <c r="R133" s="168">
        <f t="shared" ref="R133" si="75">SUM(R134:R142)</f>
        <v>12110543</v>
      </c>
      <c r="S133" s="166">
        <f t="shared" ref="S133" si="76">R133-O133</f>
        <v>-23411</v>
      </c>
      <c r="T133" s="169"/>
    </row>
    <row r="134" spans="2:20" ht="81.599999999999994" customHeight="1" x14ac:dyDescent="0.25">
      <c r="B134" s="94" t="s">
        <v>340</v>
      </c>
      <c r="C134" s="170" t="s">
        <v>26</v>
      </c>
      <c r="D134" s="171" t="s">
        <v>341</v>
      </c>
      <c r="E134" s="73"/>
      <c r="F134" s="73"/>
      <c r="G134" s="73"/>
      <c r="H134" s="73"/>
      <c r="I134" s="73"/>
      <c r="J134" s="73">
        <f>9257+10000+20000</f>
        <v>39257</v>
      </c>
      <c r="K134" s="101">
        <f>[1]BAZE_2026!G64+1.65</f>
        <v>2212728.9995767009</v>
      </c>
      <c r="L134" s="75">
        <f>E134+F134+G134+H134+I134+J134+K134</f>
        <v>2251985.9995767009</v>
      </c>
      <c r="M134" s="75">
        <f t="shared" ref="M134:M143" si="77">ROUND(L134,0)</f>
        <v>2251986</v>
      </c>
      <c r="N134" s="101">
        <v>2251986</v>
      </c>
      <c r="O134" s="101">
        <f>ROUND(N134,0)+28474-10296</f>
        <v>2270164</v>
      </c>
      <c r="P134" s="74">
        <f t="shared" si="74"/>
        <v>18178</v>
      </c>
      <c r="Q134" s="108" t="s">
        <v>342</v>
      </c>
      <c r="R134" s="101">
        <f>ROUND(O134,0)-8000-2000</f>
        <v>2260164</v>
      </c>
      <c r="S134" s="74">
        <f>R134-O134</f>
        <v>-10000</v>
      </c>
      <c r="T134" s="108" t="s">
        <v>1113</v>
      </c>
    </row>
    <row r="135" spans="2:20" x14ac:dyDescent="0.25">
      <c r="B135" s="94" t="s">
        <v>343</v>
      </c>
      <c r="C135" s="170" t="s">
        <v>344</v>
      </c>
      <c r="D135" s="171" t="s">
        <v>345</v>
      </c>
      <c r="E135" s="73"/>
      <c r="F135" s="73"/>
      <c r="G135" s="73"/>
      <c r="H135" s="73"/>
      <c r="I135" s="73"/>
      <c r="J135" s="73"/>
      <c r="K135" s="101">
        <f>[1]BAZE_2026!G69-0.07</f>
        <v>339144.00014400005</v>
      </c>
      <c r="L135" s="75">
        <f t="shared" ref="L135:L142" si="78">E135+F135+G135+H135+I135+J135+K135</f>
        <v>339144.00014400005</v>
      </c>
      <c r="M135" s="75">
        <f t="shared" si="77"/>
        <v>339144</v>
      </c>
      <c r="N135" s="101">
        <v>339144</v>
      </c>
      <c r="O135" s="101">
        <f t="shared" ref="O135:O143" si="79">ROUND(N135,0)</f>
        <v>339144</v>
      </c>
      <c r="P135" s="74">
        <f t="shared" si="74"/>
        <v>0</v>
      </c>
      <c r="Q135" s="172"/>
      <c r="R135" s="101">
        <f t="shared" ref="R135:R142" si="80">ROUND(O135,0)</f>
        <v>339144</v>
      </c>
      <c r="S135" s="74">
        <f t="shared" ref="S135:S198" si="81">R135-O135</f>
        <v>0</v>
      </c>
      <c r="T135" s="172"/>
    </row>
    <row r="136" spans="2:20" ht="13.15" customHeight="1" x14ac:dyDescent="0.25">
      <c r="B136" s="94" t="s">
        <v>346</v>
      </c>
      <c r="C136" s="170" t="s">
        <v>347</v>
      </c>
      <c r="D136" s="171" t="s">
        <v>348</v>
      </c>
      <c r="E136" s="73"/>
      <c r="F136" s="73"/>
      <c r="G136" s="73"/>
      <c r="H136" s="73"/>
      <c r="I136" s="73"/>
      <c r="J136" s="73"/>
      <c r="K136" s="101">
        <f>[1]BAZE_2026!G70-0.51</f>
        <v>43956.998800000001</v>
      </c>
      <c r="L136" s="75">
        <f t="shared" si="78"/>
        <v>43956.998800000001</v>
      </c>
      <c r="M136" s="75">
        <f t="shared" si="77"/>
        <v>43957</v>
      </c>
      <c r="N136" s="101">
        <v>43957</v>
      </c>
      <c r="O136" s="101">
        <f t="shared" si="79"/>
        <v>43957</v>
      </c>
      <c r="P136" s="74">
        <f t="shared" si="74"/>
        <v>0</v>
      </c>
      <c r="Q136" s="108"/>
      <c r="R136" s="101">
        <f t="shared" si="80"/>
        <v>43957</v>
      </c>
      <c r="S136" s="74">
        <f t="shared" si="81"/>
        <v>0</v>
      </c>
      <c r="T136" s="108"/>
    </row>
    <row r="137" spans="2:20" ht="14.45" customHeight="1" x14ac:dyDescent="0.25">
      <c r="B137" s="94" t="s">
        <v>349</v>
      </c>
      <c r="C137" s="170" t="s">
        <v>350</v>
      </c>
      <c r="D137" s="171" t="s">
        <v>351</v>
      </c>
      <c r="E137" s="73"/>
      <c r="F137" s="73"/>
      <c r="G137" s="73"/>
      <c r="H137" s="73"/>
      <c r="I137" s="73"/>
      <c r="J137" s="73"/>
      <c r="K137" s="101">
        <f>[1]BAZE_2026!G75-0.2</f>
        <v>45156.995200000005</v>
      </c>
      <c r="L137" s="75">
        <f t="shared" si="78"/>
        <v>45156.995200000005</v>
      </c>
      <c r="M137" s="75">
        <f t="shared" si="77"/>
        <v>45157</v>
      </c>
      <c r="N137" s="101">
        <v>45157</v>
      </c>
      <c r="O137" s="101">
        <f t="shared" si="79"/>
        <v>45157</v>
      </c>
      <c r="P137" s="74">
        <f t="shared" si="74"/>
        <v>0</v>
      </c>
      <c r="Q137" s="108"/>
      <c r="R137" s="101">
        <f t="shared" si="80"/>
        <v>45157</v>
      </c>
      <c r="S137" s="74">
        <f t="shared" si="81"/>
        <v>0</v>
      </c>
      <c r="T137" s="108"/>
    </row>
    <row r="138" spans="2:20" ht="30" customHeight="1" x14ac:dyDescent="0.25">
      <c r="B138" s="94" t="s">
        <v>352</v>
      </c>
      <c r="C138" s="170" t="s">
        <v>353</v>
      </c>
      <c r="D138" s="171" t="s">
        <v>354</v>
      </c>
      <c r="E138" s="73">
        <f>225+2</f>
        <v>227</v>
      </c>
      <c r="F138" s="73">
        <v>88984</v>
      </c>
      <c r="G138" s="73"/>
      <c r="H138" s="73"/>
      <c r="I138" s="73"/>
      <c r="J138" s="73"/>
      <c r="K138" s="101">
        <f>[1]BAZE_2026!G76</f>
        <v>10035</v>
      </c>
      <c r="L138" s="75">
        <f t="shared" si="78"/>
        <v>99246</v>
      </c>
      <c r="M138" s="75">
        <f t="shared" si="77"/>
        <v>99246</v>
      </c>
      <c r="N138" s="101">
        <v>99246</v>
      </c>
      <c r="O138" s="101">
        <f t="shared" si="79"/>
        <v>99246</v>
      </c>
      <c r="P138" s="74">
        <f t="shared" si="74"/>
        <v>0</v>
      </c>
      <c r="Q138" s="108"/>
      <c r="R138" s="101">
        <f>ROUND(O138,0)-13411</f>
        <v>85835</v>
      </c>
      <c r="S138" s="74">
        <f t="shared" si="81"/>
        <v>-13411</v>
      </c>
      <c r="T138" s="108" t="s">
        <v>355</v>
      </c>
    </row>
    <row r="139" spans="2:20" ht="14.45" customHeight="1" x14ac:dyDescent="0.25">
      <c r="B139" s="94" t="s">
        <v>356</v>
      </c>
      <c r="C139" s="170" t="s">
        <v>357</v>
      </c>
      <c r="D139" s="171" t="s">
        <v>358</v>
      </c>
      <c r="E139" s="73"/>
      <c r="F139" s="73"/>
      <c r="G139" s="73"/>
      <c r="H139" s="73"/>
      <c r="I139" s="73"/>
      <c r="J139" s="73"/>
      <c r="K139" s="101">
        <f>[1]BAZE_2026!G77+0.46</f>
        <v>16344.0016</v>
      </c>
      <c r="L139" s="75">
        <f t="shared" si="78"/>
        <v>16344.0016</v>
      </c>
      <c r="M139" s="75">
        <f t="shared" si="77"/>
        <v>16344</v>
      </c>
      <c r="N139" s="101">
        <v>16344</v>
      </c>
      <c r="O139" s="101">
        <f t="shared" si="79"/>
        <v>16344</v>
      </c>
      <c r="P139" s="74">
        <f t="shared" si="74"/>
        <v>0</v>
      </c>
      <c r="Q139" s="172"/>
      <c r="R139" s="101">
        <f t="shared" si="80"/>
        <v>16344</v>
      </c>
      <c r="S139" s="74">
        <f t="shared" si="81"/>
        <v>0</v>
      </c>
      <c r="T139" s="172"/>
    </row>
    <row r="140" spans="2:20" ht="16.5" customHeight="1" x14ac:dyDescent="0.25">
      <c r="B140" s="94" t="s">
        <v>340</v>
      </c>
      <c r="C140" s="170" t="s">
        <v>359</v>
      </c>
      <c r="D140" s="171" t="s">
        <v>360</v>
      </c>
      <c r="E140" s="73"/>
      <c r="F140" s="73"/>
      <c r="G140" s="73"/>
      <c r="H140" s="73"/>
      <c r="I140" s="73"/>
      <c r="J140" s="73"/>
      <c r="K140" s="101">
        <f>[1]BAZE_2026!G80</f>
        <v>1402431</v>
      </c>
      <c r="L140" s="75">
        <f t="shared" si="78"/>
        <v>1402431</v>
      </c>
      <c r="M140" s="75">
        <f t="shared" si="77"/>
        <v>1402431</v>
      </c>
      <c r="N140" s="101">
        <v>1402431</v>
      </c>
      <c r="O140" s="101">
        <f t="shared" si="79"/>
        <v>1402431</v>
      </c>
      <c r="P140" s="74">
        <f t="shared" si="74"/>
        <v>0</v>
      </c>
      <c r="Q140" s="108"/>
      <c r="R140" s="101">
        <f t="shared" si="80"/>
        <v>1402431</v>
      </c>
      <c r="S140" s="74">
        <f t="shared" si="81"/>
        <v>0</v>
      </c>
      <c r="T140" s="108"/>
    </row>
    <row r="141" spans="2:20" ht="13.9" customHeight="1" x14ac:dyDescent="0.25">
      <c r="B141" s="94" t="s">
        <v>340</v>
      </c>
      <c r="C141" s="170" t="s">
        <v>361</v>
      </c>
      <c r="D141" s="171" t="s">
        <v>362</v>
      </c>
      <c r="E141" s="73"/>
      <c r="F141" s="73"/>
      <c r="G141" s="73"/>
      <c r="H141" s="73"/>
      <c r="I141" s="73"/>
      <c r="J141" s="73"/>
      <c r="K141" s="101">
        <f>[1]BAZE_2026!G81</f>
        <v>7376681</v>
      </c>
      <c r="L141" s="75">
        <f t="shared" si="78"/>
        <v>7376681</v>
      </c>
      <c r="M141" s="75">
        <f t="shared" si="77"/>
        <v>7376681</v>
      </c>
      <c r="N141" s="101">
        <v>7376681</v>
      </c>
      <c r="O141" s="101">
        <f t="shared" si="79"/>
        <v>7376681</v>
      </c>
      <c r="P141" s="74">
        <f t="shared" si="74"/>
        <v>0</v>
      </c>
      <c r="Q141" s="172"/>
      <c r="R141" s="101">
        <f t="shared" si="80"/>
        <v>7376681</v>
      </c>
      <c r="S141" s="74">
        <f t="shared" si="81"/>
        <v>0</v>
      </c>
      <c r="T141" s="172"/>
    </row>
    <row r="142" spans="2:20" ht="42" customHeight="1" x14ac:dyDescent="0.25">
      <c r="B142" s="94" t="s">
        <v>363</v>
      </c>
      <c r="C142" s="170" t="s">
        <v>364</v>
      </c>
      <c r="D142" s="171" t="s">
        <v>365</v>
      </c>
      <c r="E142" s="73"/>
      <c r="F142" s="73"/>
      <c r="G142" s="73"/>
      <c r="H142" s="73"/>
      <c r="I142" s="73"/>
      <c r="J142" s="73">
        <f>50000-20000+40000</f>
        <v>70000</v>
      </c>
      <c r="K142" s="101">
        <f>[1]BAZE_2026!G82+0.22</f>
        <v>470829.99775500002</v>
      </c>
      <c r="L142" s="75">
        <f t="shared" si="78"/>
        <v>540829.99775500002</v>
      </c>
      <c r="M142" s="75">
        <f t="shared" si="77"/>
        <v>540830</v>
      </c>
      <c r="N142" s="101">
        <v>540830</v>
      </c>
      <c r="O142" s="101">
        <f t="shared" si="79"/>
        <v>540830</v>
      </c>
      <c r="P142" s="74">
        <f t="shared" si="74"/>
        <v>0</v>
      </c>
      <c r="Q142" s="108"/>
      <c r="R142" s="101">
        <f t="shared" si="80"/>
        <v>540830</v>
      </c>
      <c r="S142" s="74">
        <f t="shared" si="81"/>
        <v>0</v>
      </c>
      <c r="T142" s="108"/>
    </row>
    <row r="143" spans="2:20" ht="50.25" customHeight="1" collapsed="1" x14ac:dyDescent="0.25">
      <c r="B143" s="94" t="s">
        <v>366</v>
      </c>
      <c r="C143" s="173" t="s">
        <v>31</v>
      </c>
      <c r="D143" s="174" t="s">
        <v>367</v>
      </c>
      <c r="E143" s="55"/>
      <c r="F143" s="55"/>
      <c r="G143" s="55"/>
      <c r="H143" s="55"/>
      <c r="I143" s="55"/>
      <c r="J143" s="55">
        <f>41250+2000+4000</f>
        <v>47250</v>
      </c>
      <c r="K143" s="58">
        <f>[1]BAZE_2026!G87+0.45</f>
        <v>1176625.0002102957</v>
      </c>
      <c r="L143" s="57">
        <f>F143+G143+H143+I143+J143+K143</f>
        <v>1223875.0002102957</v>
      </c>
      <c r="M143" s="57">
        <f t="shared" si="77"/>
        <v>1223875</v>
      </c>
      <c r="N143" s="58">
        <v>1223875</v>
      </c>
      <c r="O143" s="58">
        <f t="shared" si="79"/>
        <v>1223875</v>
      </c>
      <c r="P143" s="56">
        <f t="shared" si="74"/>
        <v>0</v>
      </c>
      <c r="Q143" s="67"/>
      <c r="R143" s="58">
        <f>ROUND(O143,0)+6615</f>
        <v>1230490</v>
      </c>
      <c r="S143" s="56">
        <f t="shared" si="81"/>
        <v>6615</v>
      </c>
      <c r="T143" s="67" t="s">
        <v>368</v>
      </c>
    </row>
    <row r="144" spans="2:20" s="175" customFormat="1" ht="16.899999999999999" customHeight="1" x14ac:dyDescent="0.25">
      <c r="C144" s="173" t="s">
        <v>39</v>
      </c>
      <c r="D144" s="174" t="s">
        <v>369</v>
      </c>
      <c r="E144" s="55">
        <f>E145+E148</f>
        <v>81343</v>
      </c>
      <c r="F144" s="55">
        <f t="shared" ref="F144:O144" si="82">F145+F148</f>
        <v>401002</v>
      </c>
      <c r="G144" s="55">
        <f t="shared" si="82"/>
        <v>0</v>
      </c>
      <c r="H144" s="55">
        <f t="shared" si="82"/>
        <v>0</v>
      </c>
      <c r="I144" s="55">
        <f t="shared" si="82"/>
        <v>0</v>
      </c>
      <c r="J144" s="55">
        <f t="shared" si="82"/>
        <v>40000</v>
      </c>
      <c r="K144" s="56">
        <f t="shared" si="82"/>
        <v>196188.00003630001</v>
      </c>
      <c r="L144" s="57">
        <f t="shared" si="82"/>
        <v>718533.00003630004</v>
      </c>
      <c r="M144" s="57">
        <f t="shared" si="82"/>
        <v>718532</v>
      </c>
      <c r="N144" s="58">
        <f>N145+N148</f>
        <v>718532</v>
      </c>
      <c r="O144" s="58">
        <f t="shared" si="82"/>
        <v>718532</v>
      </c>
      <c r="P144" s="56">
        <f t="shared" si="74"/>
        <v>0</v>
      </c>
      <c r="Q144" s="67"/>
      <c r="R144" s="58">
        <f t="shared" ref="R144" si="83">R145+R148</f>
        <v>718532</v>
      </c>
      <c r="S144" s="56">
        <f t="shared" si="81"/>
        <v>0</v>
      </c>
      <c r="T144" s="67"/>
    </row>
    <row r="145" spans="2:20" x14ac:dyDescent="0.25">
      <c r="B145" s="94" t="s">
        <v>370</v>
      </c>
      <c r="C145" s="170" t="s">
        <v>42</v>
      </c>
      <c r="D145" s="171" t="s">
        <v>371</v>
      </c>
      <c r="E145" s="73">
        <f>SUM(E146:E147)</f>
        <v>0</v>
      </c>
      <c r="F145" s="73">
        <f t="shared" ref="F145:M145" si="84">SUM(F146:F147)</f>
        <v>0</v>
      </c>
      <c r="G145" s="73">
        <f t="shared" si="84"/>
        <v>0</v>
      </c>
      <c r="H145" s="73">
        <f t="shared" si="84"/>
        <v>0</v>
      </c>
      <c r="I145" s="73">
        <f t="shared" si="84"/>
        <v>0</v>
      </c>
      <c r="J145" s="73">
        <f t="shared" si="84"/>
        <v>40000</v>
      </c>
      <c r="K145" s="74">
        <f t="shared" si="84"/>
        <v>196188.00003630001</v>
      </c>
      <c r="L145" s="75">
        <f t="shared" si="84"/>
        <v>236188.00003630001</v>
      </c>
      <c r="M145" s="75">
        <f t="shared" si="84"/>
        <v>236187</v>
      </c>
      <c r="N145" s="101">
        <f>SUM(N146:N147)</f>
        <v>236187</v>
      </c>
      <c r="O145" s="101">
        <f>SUM(O146:O147)</f>
        <v>236187</v>
      </c>
      <c r="P145" s="74">
        <f t="shared" si="74"/>
        <v>0</v>
      </c>
      <c r="Q145" s="74"/>
      <c r="R145" s="101">
        <f>SUM(R146:R147)</f>
        <v>236187</v>
      </c>
      <c r="S145" s="74">
        <f t="shared" si="81"/>
        <v>0</v>
      </c>
      <c r="T145" s="74"/>
    </row>
    <row r="146" spans="2:20" ht="15.75" customHeight="1" x14ac:dyDescent="0.25">
      <c r="B146" s="94" t="s">
        <v>370</v>
      </c>
      <c r="C146" s="176" t="s">
        <v>372</v>
      </c>
      <c r="D146" s="177" t="s">
        <v>373</v>
      </c>
      <c r="E146" s="48"/>
      <c r="F146" s="48"/>
      <c r="G146" s="48"/>
      <c r="H146" s="48"/>
      <c r="I146" s="48"/>
      <c r="J146" s="48">
        <f>250000-250000+40000</f>
        <v>40000</v>
      </c>
      <c r="K146" s="51">
        <f>[1]BAZE_2026!G93-K147-0.72</f>
        <v>160420.99703630002</v>
      </c>
      <c r="L146" s="50">
        <f t="shared" ref="L146:L155" si="85">E146+F146+G146+H146+I146+J146+K146</f>
        <v>200420.99703630002</v>
      </c>
      <c r="M146" s="50">
        <f>ROUND(L146,0)-1</f>
        <v>200420</v>
      </c>
      <c r="N146" s="51">
        <v>200420</v>
      </c>
      <c r="O146" s="51">
        <f>ROUND(N146,0)</f>
        <v>200420</v>
      </c>
      <c r="P146" s="49">
        <f t="shared" si="74"/>
        <v>0</v>
      </c>
      <c r="Q146" s="52"/>
      <c r="R146" s="51">
        <f>ROUND(O146,0)-2000</f>
        <v>198420</v>
      </c>
      <c r="S146" s="49">
        <f t="shared" si="81"/>
        <v>-2000</v>
      </c>
      <c r="T146" s="417" t="s">
        <v>374</v>
      </c>
    </row>
    <row r="147" spans="2:20" ht="15.6" customHeight="1" x14ac:dyDescent="0.25">
      <c r="B147" s="94"/>
      <c r="C147" s="176" t="s">
        <v>375</v>
      </c>
      <c r="D147" s="177" t="s">
        <v>376</v>
      </c>
      <c r="E147" s="48"/>
      <c r="F147" s="48"/>
      <c r="G147" s="48"/>
      <c r="H147" s="48"/>
      <c r="I147" s="48"/>
      <c r="J147" s="48"/>
      <c r="K147" s="51">
        <f>[1]BAZE_2026!G96+0.12</f>
        <v>35767.003000000004</v>
      </c>
      <c r="L147" s="50">
        <f t="shared" si="85"/>
        <v>35767.003000000004</v>
      </c>
      <c r="M147" s="50">
        <f>ROUND(L147,0)</f>
        <v>35767</v>
      </c>
      <c r="N147" s="51">
        <v>35767</v>
      </c>
      <c r="O147" s="51">
        <f>ROUND(N147,0)</f>
        <v>35767</v>
      </c>
      <c r="P147" s="49">
        <f t="shared" si="74"/>
        <v>0</v>
      </c>
      <c r="Q147" s="52"/>
      <c r="R147" s="51">
        <f>ROUND(O147,0)+2000</f>
        <v>37767</v>
      </c>
      <c r="S147" s="49">
        <f t="shared" si="81"/>
        <v>2000</v>
      </c>
      <c r="T147" s="418"/>
    </row>
    <row r="148" spans="2:20" x14ac:dyDescent="0.25">
      <c r="B148" s="94" t="s">
        <v>377</v>
      </c>
      <c r="C148" s="170" t="s">
        <v>45</v>
      </c>
      <c r="D148" s="171" t="s">
        <v>378</v>
      </c>
      <c r="E148" s="73">
        <f>E60</f>
        <v>81343</v>
      </c>
      <c r="F148" s="73">
        <f>F60</f>
        <v>401002</v>
      </c>
      <c r="G148" s="73"/>
      <c r="H148" s="73"/>
      <c r="I148" s="74"/>
      <c r="J148" s="73"/>
      <c r="K148" s="74"/>
      <c r="L148" s="75">
        <f t="shared" si="85"/>
        <v>482345</v>
      </c>
      <c r="M148" s="75">
        <f>ROUND(L148,0)</f>
        <v>482345</v>
      </c>
      <c r="N148" s="101">
        <v>482345</v>
      </c>
      <c r="O148" s="101">
        <f>ROUND(N148,0)</f>
        <v>482345</v>
      </c>
      <c r="P148" s="74">
        <f t="shared" si="74"/>
        <v>0</v>
      </c>
      <c r="Q148" s="108"/>
      <c r="R148" s="101">
        <f t="shared" ref="R148" si="86">ROUND(O148,0)</f>
        <v>482345</v>
      </c>
      <c r="S148" s="74">
        <f t="shared" si="81"/>
        <v>0</v>
      </c>
      <c r="T148" s="108"/>
    </row>
    <row r="149" spans="2:20" x14ac:dyDescent="0.25">
      <c r="C149" s="173" t="s">
        <v>47</v>
      </c>
      <c r="D149" s="174" t="s">
        <v>379</v>
      </c>
      <c r="E149" s="55">
        <f>E150</f>
        <v>15606.299999999988</v>
      </c>
      <c r="F149" s="55">
        <f t="shared" ref="F149:O149" si="87">F150</f>
        <v>20000</v>
      </c>
      <c r="G149" s="55">
        <f t="shared" si="87"/>
        <v>0</v>
      </c>
      <c r="H149" s="55">
        <f t="shared" si="87"/>
        <v>0</v>
      </c>
      <c r="I149" s="56">
        <f t="shared" si="87"/>
        <v>0</v>
      </c>
      <c r="J149" s="55">
        <f t="shared" si="87"/>
        <v>0</v>
      </c>
      <c r="K149" s="56">
        <f t="shared" si="87"/>
        <v>0</v>
      </c>
      <c r="L149" s="57">
        <f t="shared" si="87"/>
        <v>35606.299999999988</v>
      </c>
      <c r="M149" s="57">
        <f t="shared" si="87"/>
        <v>35606</v>
      </c>
      <c r="N149" s="58">
        <f t="shared" si="87"/>
        <v>35606</v>
      </c>
      <c r="O149" s="58">
        <f t="shared" si="87"/>
        <v>35606</v>
      </c>
      <c r="P149" s="56">
        <f t="shared" si="74"/>
        <v>0</v>
      </c>
      <c r="Q149" s="59"/>
      <c r="R149" s="58">
        <f t="shared" ref="R149" si="88">R150</f>
        <v>35606</v>
      </c>
      <c r="S149" s="56">
        <f t="shared" si="81"/>
        <v>0</v>
      </c>
      <c r="T149" s="59"/>
    </row>
    <row r="150" spans="2:20" ht="16.149999999999999" customHeight="1" x14ac:dyDescent="0.25">
      <c r="B150" s="94" t="s">
        <v>380</v>
      </c>
      <c r="C150" s="170" t="s">
        <v>50</v>
      </c>
      <c r="D150" s="171" t="s">
        <v>381</v>
      </c>
      <c r="E150" s="73">
        <f>E21-E180-E181</f>
        <v>15606.299999999988</v>
      </c>
      <c r="F150" s="73">
        <f>F21-F181</f>
        <v>20000</v>
      </c>
      <c r="G150" s="73"/>
      <c r="H150" s="73"/>
      <c r="I150" s="74"/>
      <c r="J150" s="73"/>
      <c r="K150" s="74"/>
      <c r="L150" s="75">
        <f>E150+F150+G150+H150+I150+J150+K150</f>
        <v>35606.299999999988</v>
      </c>
      <c r="M150" s="75">
        <f>ROUND(L150,0)</f>
        <v>35606</v>
      </c>
      <c r="N150" s="101">
        <v>35606</v>
      </c>
      <c r="O150" s="101">
        <f>ROUND(N150,0)</f>
        <v>35606</v>
      </c>
      <c r="P150" s="74">
        <f t="shared" si="74"/>
        <v>0</v>
      </c>
      <c r="Q150" s="108"/>
      <c r="R150" s="101">
        <f t="shared" ref="R150" si="89">ROUND(O150,0)</f>
        <v>35606</v>
      </c>
      <c r="S150" s="74">
        <f t="shared" si="81"/>
        <v>0</v>
      </c>
      <c r="T150" s="108"/>
    </row>
    <row r="151" spans="2:20" ht="29.25" x14ac:dyDescent="0.25">
      <c r="C151" s="173" t="s">
        <v>53</v>
      </c>
      <c r="D151" s="174" t="s">
        <v>382</v>
      </c>
      <c r="E151" s="55">
        <f>E152+E153+E154+E155+E156+E174</f>
        <v>1541482.45</v>
      </c>
      <c r="F151" s="55">
        <f t="shared" ref="F151:L151" si="90">F152+F153+F154+F155+F156+F174</f>
        <v>63000</v>
      </c>
      <c r="G151" s="55">
        <f>G152+G153+G154+G155+G156+G174</f>
        <v>7296979.7989999996</v>
      </c>
      <c r="H151" s="55">
        <f t="shared" si="90"/>
        <v>2750833</v>
      </c>
      <c r="I151" s="56">
        <f t="shared" si="90"/>
        <v>5609116.6200000001</v>
      </c>
      <c r="J151" s="55">
        <f>J152+J153+J154+J155+J156+J174</f>
        <v>5846429.7510000002</v>
      </c>
      <c r="K151" s="56">
        <f>K152+K153+K154+K155+K156+K174</f>
        <v>1698398.1029257299</v>
      </c>
      <c r="L151" s="57">
        <f t="shared" si="90"/>
        <v>24806239.72292573</v>
      </c>
      <c r="M151" s="57">
        <f>M152+M153+M154+M155+M156+M174</f>
        <v>24806240</v>
      </c>
      <c r="N151" s="58">
        <f>N152+N153+N154+N155+N156+N174</f>
        <v>24806240</v>
      </c>
      <c r="O151" s="58">
        <f>O152+O153+O154+O155+O156+O174</f>
        <v>24823592</v>
      </c>
      <c r="P151" s="56">
        <f t="shared" si="74"/>
        <v>17352</v>
      </c>
      <c r="Q151" s="56"/>
      <c r="R151" s="58">
        <f>R152+R153+R154+R155+R156+R174</f>
        <v>24559497</v>
      </c>
      <c r="S151" s="56">
        <f t="shared" si="81"/>
        <v>-264095</v>
      </c>
      <c r="T151" s="56"/>
    </row>
    <row r="152" spans="2:20" ht="15.6" customHeight="1" x14ac:dyDescent="0.25">
      <c r="B152" s="94" t="s">
        <v>383</v>
      </c>
      <c r="C152" s="170" t="s">
        <v>56</v>
      </c>
      <c r="D152" s="178" t="s">
        <v>384</v>
      </c>
      <c r="E152" s="73"/>
      <c r="F152" s="73"/>
      <c r="G152" s="73"/>
      <c r="H152" s="73"/>
      <c r="I152" s="74"/>
      <c r="J152" s="73"/>
      <c r="K152" s="179">
        <f>[1]BAZE_2026!G107</f>
        <v>70000</v>
      </c>
      <c r="L152" s="180">
        <f>E152+F152+G152+H152+I152+J152+K152</f>
        <v>70000</v>
      </c>
      <c r="M152" s="180">
        <f>ROUND(L152,0)</f>
        <v>70000</v>
      </c>
      <c r="N152" s="181">
        <v>70000</v>
      </c>
      <c r="O152" s="101">
        <f>ROUND(N152,0)</f>
        <v>70000</v>
      </c>
      <c r="P152" s="74">
        <f t="shared" si="74"/>
        <v>0</v>
      </c>
      <c r="Q152" s="172"/>
      <c r="R152" s="101">
        <f t="shared" ref="R152:R189" si="91">ROUND(O152,0)</f>
        <v>70000</v>
      </c>
      <c r="S152" s="74">
        <f t="shared" si="81"/>
        <v>0</v>
      </c>
      <c r="T152" s="172"/>
    </row>
    <row r="153" spans="2:20" ht="15.6" customHeight="1" x14ac:dyDescent="0.25">
      <c r="B153" s="94" t="s">
        <v>385</v>
      </c>
      <c r="C153" s="170" t="s">
        <v>386</v>
      </c>
      <c r="D153" s="178" t="s">
        <v>387</v>
      </c>
      <c r="E153" s="73"/>
      <c r="F153" s="73"/>
      <c r="G153" s="73"/>
      <c r="H153" s="73"/>
      <c r="I153" s="74"/>
      <c r="J153" s="73"/>
      <c r="K153" s="179">
        <f>[1]BAZE_2026!G108</f>
        <v>81528.099960000007</v>
      </c>
      <c r="L153" s="180">
        <f>E153+F153+G153+H153+I153+J153+K153</f>
        <v>81528.099960000007</v>
      </c>
      <c r="M153" s="180">
        <f>ROUND(L153,0)</f>
        <v>81528</v>
      </c>
      <c r="N153" s="181">
        <v>81528</v>
      </c>
      <c r="O153" s="101">
        <f>ROUND(N153,0)</f>
        <v>81528</v>
      </c>
      <c r="P153" s="74">
        <f t="shared" si="74"/>
        <v>0</v>
      </c>
      <c r="Q153" s="172"/>
      <c r="R153" s="101">
        <f t="shared" si="91"/>
        <v>81528</v>
      </c>
      <c r="S153" s="74">
        <f t="shared" si="81"/>
        <v>0</v>
      </c>
      <c r="T153" s="172" t="s">
        <v>388</v>
      </c>
    </row>
    <row r="154" spans="2:20" ht="15" customHeight="1" x14ac:dyDescent="0.25">
      <c r="B154" s="94" t="s">
        <v>389</v>
      </c>
      <c r="C154" s="170" t="s">
        <v>390</v>
      </c>
      <c r="D154" s="178" t="s">
        <v>391</v>
      </c>
      <c r="E154" s="182"/>
      <c r="F154" s="182"/>
      <c r="G154" s="182"/>
      <c r="H154" s="182"/>
      <c r="I154" s="179"/>
      <c r="J154" s="182"/>
      <c r="K154" s="181">
        <f>[1]BAZE_2026!G109-0.14</f>
        <v>356794.00234167994</v>
      </c>
      <c r="L154" s="180">
        <f t="shared" si="85"/>
        <v>356794.00234167994</v>
      </c>
      <c r="M154" s="180">
        <f>ROUND(L154,0)</f>
        <v>356794</v>
      </c>
      <c r="N154" s="181">
        <v>356794</v>
      </c>
      <c r="O154" s="181">
        <f>ROUND(N154,0)</f>
        <v>356794</v>
      </c>
      <c r="P154" s="179">
        <f t="shared" si="74"/>
        <v>0</v>
      </c>
      <c r="Q154" s="108"/>
      <c r="R154" s="181">
        <f t="shared" si="91"/>
        <v>356794</v>
      </c>
      <c r="S154" s="179">
        <f t="shared" si="81"/>
        <v>0</v>
      </c>
      <c r="T154" s="108"/>
    </row>
    <row r="155" spans="2:20" ht="15" customHeight="1" x14ac:dyDescent="0.25">
      <c r="B155" s="94" t="s">
        <v>392</v>
      </c>
      <c r="C155" s="170" t="s">
        <v>393</v>
      </c>
      <c r="D155" s="178" t="s">
        <v>394</v>
      </c>
      <c r="E155" s="182"/>
      <c r="F155" s="182"/>
      <c r="G155" s="182"/>
      <c r="H155" s="182"/>
      <c r="I155" s="179"/>
      <c r="J155" s="182"/>
      <c r="K155" s="183">
        <f>[1]BAZE_2026!G125+1.23</f>
        <v>291217.00191479991</v>
      </c>
      <c r="L155" s="180">
        <f t="shared" si="85"/>
        <v>291217.00191479991</v>
      </c>
      <c r="M155" s="180">
        <f>ROUND(L155,0)</f>
        <v>291217</v>
      </c>
      <c r="N155" s="181">
        <v>291217</v>
      </c>
      <c r="O155" s="181">
        <f>ROUND(N155,0)</f>
        <v>291217</v>
      </c>
      <c r="P155" s="179">
        <f t="shared" si="74"/>
        <v>0</v>
      </c>
      <c r="Q155" s="108"/>
      <c r="R155" s="181">
        <f t="shared" si="91"/>
        <v>291217</v>
      </c>
      <c r="S155" s="179">
        <f t="shared" si="81"/>
        <v>0</v>
      </c>
      <c r="T155" s="108"/>
    </row>
    <row r="156" spans="2:20" x14ac:dyDescent="0.25">
      <c r="C156" s="170" t="s">
        <v>395</v>
      </c>
      <c r="D156" s="178" t="s">
        <v>396</v>
      </c>
      <c r="E156" s="182">
        <f>SUM(E157:E173)</f>
        <v>424854.44999999995</v>
      </c>
      <c r="F156" s="182">
        <f t="shared" ref="F156:K156" si="92">SUM(F157:F173)</f>
        <v>13000</v>
      </c>
      <c r="G156" s="182">
        <f>SUM(G157:G173)</f>
        <v>6875553.7989999996</v>
      </c>
      <c r="H156" s="182">
        <f t="shared" si="92"/>
        <v>2271353</v>
      </c>
      <c r="I156" s="179">
        <f t="shared" si="92"/>
        <v>0</v>
      </c>
      <c r="J156" s="182">
        <f>SUM(J157:J173)</f>
        <v>2114612.7510000002</v>
      </c>
      <c r="K156" s="179">
        <f t="shared" si="92"/>
        <v>478784.99851270003</v>
      </c>
      <c r="L156" s="180">
        <f>SUM(L157:L173)</f>
        <v>12178158.9985127</v>
      </c>
      <c r="M156" s="180">
        <f>SUM(M157:M173)</f>
        <v>12178159</v>
      </c>
      <c r="N156" s="181">
        <f>SUM(N157:N173)</f>
        <v>12178159</v>
      </c>
      <c r="O156" s="181">
        <f>SUM(O157:O173)</f>
        <v>12159685</v>
      </c>
      <c r="P156" s="179">
        <f t="shared" si="74"/>
        <v>-18474</v>
      </c>
      <c r="Q156" s="179"/>
      <c r="R156" s="181">
        <f>SUM(R157:R173)</f>
        <v>12110605</v>
      </c>
      <c r="S156" s="179">
        <f t="shared" si="81"/>
        <v>-49080</v>
      </c>
      <c r="T156" s="179"/>
    </row>
    <row r="157" spans="2:20" ht="109.9" customHeight="1" x14ac:dyDescent="0.25">
      <c r="B157" s="94" t="s">
        <v>397</v>
      </c>
      <c r="C157" s="176" t="s">
        <v>398</v>
      </c>
      <c r="D157" s="144" t="s">
        <v>399</v>
      </c>
      <c r="E157" s="184">
        <f>6422</f>
        <v>6422</v>
      </c>
      <c r="F157" s="48">
        <f>12000+1000</f>
        <v>13000</v>
      </c>
      <c r="G157" s="184">
        <f>19267</f>
        <v>19267</v>
      </c>
      <c r="H157" s="48"/>
      <c r="I157" s="49"/>
      <c r="J157" s="185">
        <f>(6000+3050+1525+300+4000+22711)+(6020+6000)+20000+100000+4000+50000</f>
        <v>223606</v>
      </c>
      <c r="K157" s="51">
        <f>[1]BAZE_2026!G114+0.26</f>
        <v>478784.99851270003</v>
      </c>
      <c r="L157" s="50">
        <f>E157+F157+G157+H157+I157+J157+K157</f>
        <v>741079.99851269997</v>
      </c>
      <c r="M157" s="50">
        <f t="shared" ref="M157:M173" si="93">ROUND(L157,0)</f>
        <v>741080</v>
      </c>
      <c r="N157" s="51">
        <v>741080</v>
      </c>
      <c r="O157" s="51">
        <f>ROUND(N157,0)-28474-890</f>
        <v>711716</v>
      </c>
      <c r="P157" s="49">
        <f t="shared" si="74"/>
        <v>-29364</v>
      </c>
      <c r="Q157" s="186" t="s">
        <v>400</v>
      </c>
      <c r="R157" s="51">
        <f>ROUND(O157,0)-1080-50000+2000</f>
        <v>662636</v>
      </c>
      <c r="S157" s="49">
        <f t="shared" si="81"/>
        <v>-49080</v>
      </c>
      <c r="T157" s="186" t="s">
        <v>1115</v>
      </c>
    </row>
    <row r="158" spans="2:20" ht="18.600000000000001" customHeight="1" x14ac:dyDescent="0.25">
      <c r="B158" s="94" t="s">
        <v>401</v>
      </c>
      <c r="C158" s="176" t="s">
        <v>402</v>
      </c>
      <c r="D158" s="144" t="s">
        <v>403</v>
      </c>
      <c r="E158" s="48"/>
      <c r="F158" s="48"/>
      <c r="G158" s="48"/>
      <c r="H158" s="48"/>
      <c r="I158" s="49"/>
      <c r="J158" s="48">
        <v>40150</v>
      </c>
      <c r="K158" s="49"/>
      <c r="L158" s="50">
        <f t="shared" ref="L158:L173" si="94">E158+F158+G158+H158+I158+J158+K158</f>
        <v>40150</v>
      </c>
      <c r="M158" s="50">
        <f t="shared" si="93"/>
        <v>40150</v>
      </c>
      <c r="N158" s="51">
        <v>40150</v>
      </c>
      <c r="O158" s="51">
        <f t="shared" ref="O158:O168" si="95">ROUND(N158,0)</f>
        <v>40150</v>
      </c>
      <c r="P158" s="49">
        <f t="shared" si="74"/>
        <v>0</v>
      </c>
      <c r="Q158" s="187"/>
      <c r="R158" s="51">
        <f t="shared" si="91"/>
        <v>40150</v>
      </c>
      <c r="S158" s="49">
        <f t="shared" si="81"/>
        <v>0</v>
      </c>
      <c r="T158" s="187"/>
    </row>
    <row r="159" spans="2:20" ht="30" customHeight="1" x14ac:dyDescent="0.25">
      <c r="B159" s="94" t="s">
        <v>401</v>
      </c>
      <c r="C159" s="176" t="s">
        <v>404</v>
      </c>
      <c r="D159" s="144" t="s">
        <v>405</v>
      </c>
      <c r="E159" s="48"/>
      <c r="F159" s="48"/>
      <c r="G159" s="48"/>
      <c r="H159" s="48"/>
      <c r="I159" s="49"/>
      <c r="J159" s="48">
        <f>1400+10000</f>
        <v>11400</v>
      </c>
      <c r="K159" s="49"/>
      <c r="L159" s="50">
        <f t="shared" si="94"/>
        <v>11400</v>
      </c>
      <c r="M159" s="50">
        <f t="shared" si="93"/>
        <v>11400</v>
      </c>
      <c r="N159" s="51">
        <v>11400</v>
      </c>
      <c r="O159" s="51">
        <f>ROUND(N159,0)</f>
        <v>11400</v>
      </c>
      <c r="P159" s="49">
        <f t="shared" si="74"/>
        <v>0</v>
      </c>
      <c r="Q159" s="187"/>
      <c r="R159" s="51">
        <f t="shared" si="91"/>
        <v>11400</v>
      </c>
      <c r="S159" s="49">
        <f t="shared" si="81"/>
        <v>0</v>
      </c>
      <c r="T159" s="187"/>
    </row>
    <row r="160" spans="2:20" ht="32.25" customHeight="1" x14ac:dyDescent="0.25">
      <c r="B160" s="94" t="s">
        <v>193</v>
      </c>
      <c r="C160" s="176" t="s">
        <v>406</v>
      </c>
      <c r="D160" s="188" t="s">
        <v>195</v>
      </c>
      <c r="E160" s="49">
        <f>E69</f>
        <v>30654</v>
      </c>
      <c r="F160" s="48"/>
      <c r="G160" s="48"/>
      <c r="H160" s="48"/>
      <c r="I160" s="49"/>
      <c r="J160" s="48"/>
      <c r="K160" s="49"/>
      <c r="L160" s="50">
        <f t="shared" si="94"/>
        <v>30654</v>
      </c>
      <c r="M160" s="189">
        <f t="shared" si="93"/>
        <v>30654</v>
      </c>
      <c r="N160" s="51">
        <v>30654</v>
      </c>
      <c r="O160" s="51">
        <f t="shared" si="95"/>
        <v>30654</v>
      </c>
      <c r="P160" s="49">
        <f t="shared" si="74"/>
        <v>0</v>
      </c>
      <c r="Q160" s="187"/>
      <c r="R160" s="51">
        <f t="shared" si="91"/>
        <v>30654</v>
      </c>
      <c r="S160" s="49">
        <f t="shared" si="81"/>
        <v>0</v>
      </c>
      <c r="T160" s="187"/>
    </row>
    <row r="161" spans="2:20" ht="45.6" customHeight="1" x14ac:dyDescent="0.25">
      <c r="B161" s="94" t="s">
        <v>407</v>
      </c>
      <c r="C161" s="176" t="s">
        <v>408</v>
      </c>
      <c r="D161" s="188" t="s">
        <v>409</v>
      </c>
      <c r="E161" s="49">
        <f>E84</f>
        <v>0</v>
      </c>
      <c r="F161" s="49"/>
      <c r="G161" s="49">
        <f>G84</f>
        <v>345549</v>
      </c>
      <c r="H161" s="49">
        <f>H125</f>
        <v>8588</v>
      </c>
      <c r="I161" s="49"/>
      <c r="J161" s="49"/>
      <c r="K161" s="49"/>
      <c r="L161" s="51">
        <f t="shared" si="94"/>
        <v>354137</v>
      </c>
      <c r="M161" s="189">
        <f t="shared" si="93"/>
        <v>354137</v>
      </c>
      <c r="N161" s="51">
        <v>354137</v>
      </c>
      <c r="O161" s="51">
        <f t="shared" si="95"/>
        <v>354137</v>
      </c>
      <c r="P161" s="49">
        <f t="shared" si="74"/>
        <v>0</v>
      </c>
      <c r="Q161" s="187"/>
      <c r="R161" s="51">
        <f t="shared" si="91"/>
        <v>354137</v>
      </c>
      <c r="S161" s="49">
        <f t="shared" si="81"/>
        <v>0</v>
      </c>
      <c r="T161" s="187"/>
    </row>
    <row r="162" spans="2:20" ht="28.9" customHeight="1" x14ac:dyDescent="0.25">
      <c r="B162" s="94" t="s">
        <v>235</v>
      </c>
      <c r="C162" s="176" t="s">
        <v>410</v>
      </c>
      <c r="D162" s="188" t="s">
        <v>237</v>
      </c>
      <c r="E162" s="49">
        <f>E85</f>
        <v>1612.2</v>
      </c>
      <c r="F162" s="48"/>
      <c r="G162" s="48">
        <f>G85</f>
        <v>3050101.8</v>
      </c>
      <c r="H162" s="48">
        <f>H126</f>
        <v>869146</v>
      </c>
      <c r="I162" s="49"/>
      <c r="J162" s="48">
        <v>5000</v>
      </c>
      <c r="K162" s="49"/>
      <c r="L162" s="50">
        <f t="shared" si="94"/>
        <v>3925860</v>
      </c>
      <c r="M162" s="189">
        <f t="shared" si="93"/>
        <v>3925860</v>
      </c>
      <c r="N162" s="51">
        <v>3925860</v>
      </c>
      <c r="O162" s="51">
        <f t="shared" si="95"/>
        <v>3925860</v>
      </c>
      <c r="P162" s="49">
        <f t="shared" si="74"/>
        <v>0</v>
      </c>
      <c r="Q162" s="187"/>
      <c r="R162" s="51">
        <f t="shared" si="91"/>
        <v>3925860</v>
      </c>
      <c r="S162" s="49">
        <f t="shared" si="81"/>
        <v>0</v>
      </c>
      <c r="T162" s="187"/>
    </row>
    <row r="163" spans="2:20" ht="42.75" customHeight="1" x14ac:dyDescent="0.25">
      <c r="B163" s="94" t="s">
        <v>242</v>
      </c>
      <c r="C163" s="176" t="s">
        <v>411</v>
      </c>
      <c r="D163" s="188" t="s">
        <v>244</v>
      </c>
      <c r="E163" s="48"/>
      <c r="F163" s="48"/>
      <c r="G163" s="48">
        <f>G88</f>
        <v>36495</v>
      </c>
      <c r="H163" s="48"/>
      <c r="I163" s="49"/>
      <c r="J163" s="48">
        <f>42495-SUM(E163:I163)</f>
        <v>6000</v>
      </c>
      <c r="K163" s="49"/>
      <c r="L163" s="50">
        <f t="shared" si="94"/>
        <v>42495</v>
      </c>
      <c r="M163" s="189">
        <f t="shared" si="93"/>
        <v>42495</v>
      </c>
      <c r="N163" s="51">
        <v>42495</v>
      </c>
      <c r="O163" s="51">
        <f t="shared" si="95"/>
        <v>42495</v>
      </c>
      <c r="P163" s="49">
        <f t="shared" si="74"/>
        <v>0</v>
      </c>
      <c r="Q163" s="69"/>
      <c r="R163" s="51">
        <f t="shared" si="91"/>
        <v>42495</v>
      </c>
      <c r="S163" s="49">
        <f t="shared" si="81"/>
        <v>0</v>
      </c>
      <c r="T163" s="69"/>
    </row>
    <row r="164" spans="2:20" ht="33.75" customHeight="1" x14ac:dyDescent="0.25">
      <c r="B164" s="94" t="s">
        <v>196</v>
      </c>
      <c r="C164" s="176" t="s">
        <v>412</v>
      </c>
      <c r="D164" s="188" t="s">
        <v>198</v>
      </c>
      <c r="E164" s="190">
        <f>E70</f>
        <v>3650</v>
      </c>
      <c r="F164" s="190"/>
      <c r="G164" s="190">
        <f>G70</f>
        <v>918723</v>
      </c>
      <c r="H164" s="190">
        <f>H123</f>
        <v>240428</v>
      </c>
      <c r="I164" s="51"/>
      <c r="J164" s="190">
        <f>907436+363946-SUM(E164:I164)-1</f>
        <v>108580</v>
      </c>
      <c r="K164" s="51"/>
      <c r="L164" s="50">
        <f t="shared" si="94"/>
        <v>1271381</v>
      </c>
      <c r="M164" s="189">
        <f t="shared" si="93"/>
        <v>1271381</v>
      </c>
      <c r="N164" s="51">
        <v>1271381</v>
      </c>
      <c r="O164" s="51">
        <f>ROUND(N164,0)</f>
        <v>1271381</v>
      </c>
      <c r="P164" s="49">
        <f t="shared" si="74"/>
        <v>0</v>
      </c>
      <c r="Q164" s="69"/>
      <c r="R164" s="51">
        <f t="shared" si="91"/>
        <v>1271381</v>
      </c>
      <c r="S164" s="49">
        <f t="shared" si="81"/>
        <v>0</v>
      </c>
      <c r="T164" s="69"/>
    </row>
    <row r="165" spans="2:20" ht="27.75" customHeight="1" x14ac:dyDescent="0.25">
      <c r="B165" s="94" t="s">
        <v>199</v>
      </c>
      <c r="C165" s="176" t="s">
        <v>413</v>
      </c>
      <c r="D165" s="188" t="s">
        <v>201</v>
      </c>
      <c r="E165" s="48">
        <f>E71</f>
        <v>33556</v>
      </c>
      <c r="F165" s="48"/>
      <c r="G165" s="48">
        <f>G71</f>
        <v>357424</v>
      </c>
      <c r="H165" s="48"/>
      <c r="I165" s="49"/>
      <c r="J165" s="48">
        <f>660558-SUM(E165:I165)</f>
        <v>269578</v>
      </c>
      <c r="K165" s="49"/>
      <c r="L165" s="50">
        <f t="shared" si="94"/>
        <v>660558</v>
      </c>
      <c r="M165" s="189">
        <f t="shared" si="93"/>
        <v>660558</v>
      </c>
      <c r="N165" s="51">
        <v>660558</v>
      </c>
      <c r="O165" s="51">
        <f t="shared" si="95"/>
        <v>660558</v>
      </c>
      <c r="P165" s="49">
        <f t="shared" si="74"/>
        <v>0</v>
      </c>
      <c r="Q165" s="69"/>
      <c r="R165" s="51">
        <f t="shared" si="91"/>
        <v>660558</v>
      </c>
      <c r="S165" s="49">
        <f t="shared" si="81"/>
        <v>0</v>
      </c>
      <c r="T165" s="69"/>
    </row>
    <row r="166" spans="2:20" ht="62.25" customHeight="1" x14ac:dyDescent="0.25">
      <c r="B166" s="94" t="s">
        <v>414</v>
      </c>
      <c r="C166" s="176" t="s">
        <v>415</v>
      </c>
      <c r="D166" s="98" t="s">
        <v>416</v>
      </c>
      <c r="E166" s="48"/>
      <c r="F166" s="48"/>
      <c r="G166" s="48">
        <f>G73</f>
        <v>0</v>
      </c>
      <c r="H166" s="48"/>
      <c r="I166" s="49"/>
      <c r="J166" s="48"/>
      <c r="K166" s="49"/>
      <c r="L166" s="50">
        <f t="shared" si="94"/>
        <v>0</v>
      </c>
      <c r="M166" s="50">
        <f t="shared" si="93"/>
        <v>0</v>
      </c>
      <c r="N166" s="51">
        <v>0</v>
      </c>
      <c r="O166" s="51">
        <f t="shared" si="95"/>
        <v>0</v>
      </c>
      <c r="P166" s="49">
        <f t="shared" si="74"/>
        <v>0</v>
      </c>
      <c r="Q166" s="69"/>
      <c r="R166" s="51">
        <f t="shared" si="91"/>
        <v>0</v>
      </c>
      <c r="S166" s="49">
        <f t="shared" si="81"/>
        <v>0</v>
      </c>
      <c r="T166" s="69"/>
    </row>
    <row r="167" spans="2:20" ht="17.45" customHeight="1" x14ac:dyDescent="0.25">
      <c r="B167" s="94" t="s">
        <v>209</v>
      </c>
      <c r="C167" s="176" t="s">
        <v>417</v>
      </c>
      <c r="D167" s="188" t="s">
        <v>210</v>
      </c>
      <c r="E167" s="48">
        <f>E75</f>
        <v>172192.97</v>
      </c>
      <c r="F167" s="48"/>
      <c r="G167" s="48">
        <f>G75</f>
        <v>0</v>
      </c>
      <c r="H167" s="48"/>
      <c r="I167" s="49"/>
      <c r="J167" s="48">
        <f>850912-SUM(E167:I167)</f>
        <v>678719.03</v>
      </c>
      <c r="K167" s="49"/>
      <c r="L167" s="50">
        <f t="shared" si="94"/>
        <v>850912</v>
      </c>
      <c r="M167" s="189">
        <f t="shared" si="93"/>
        <v>850912</v>
      </c>
      <c r="N167" s="51">
        <v>850912</v>
      </c>
      <c r="O167" s="51">
        <f>ROUND(N167,0)+10000+890</f>
        <v>861802</v>
      </c>
      <c r="P167" s="49">
        <f t="shared" si="74"/>
        <v>10890</v>
      </c>
      <c r="Q167" s="69" t="s">
        <v>418</v>
      </c>
      <c r="R167" s="51">
        <f t="shared" si="91"/>
        <v>861802</v>
      </c>
      <c r="S167" s="49">
        <f t="shared" si="81"/>
        <v>0</v>
      </c>
      <c r="T167" s="69"/>
    </row>
    <row r="168" spans="2:20" ht="30" customHeight="1" x14ac:dyDescent="0.25">
      <c r="B168" s="94" t="s">
        <v>238</v>
      </c>
      <c r="C168" s="176" t="s">
        <v>419</v>
      </c>
      <c r="D168" s="188" t="s">
        <v>420</v>
      </c>
      <c r="E168" s="48">
        <f>E86</f>
        <v>76125</v>
      </c>
      <c r="F168" s="48"/>
      <c r="G168" s="48">
        <f>G86</f>
        <v>0</v>
      </c>
      <c r="H168" s="48"/>
      <c r="I168" s="49"/>
      <c r="J168" s="48">
        <f>404972-SUM(E168:I168)</f>
        <v>328847</v>
      </c>
      <c r="K168" s="49"/>
      <c r="L168" s="50">
        <f>E168+F168+G168+H168+I168+J168+K168</f>
        <v>404972</v>
      </c>
      <c r="M168" s="189">
        <f t="shared" si="93"/>
        <v>404972</v>
      </c>
      <c r="N168" s="51">
        <v>404972</v>
      </c>
      <c r="O168" s="51">
        <f t="shared" si="95"/>
        <v>404972</v>
      </c>
      <c r="P168" s="49">
        <f t="shared" si="74"/>
        <v>0</v>
      </c>
      <c r="Q168" s="69"/>
      <c r="R168" s="51">
        <f t="shared" si="91"/>
        <v>404972</v>
      </c>
      <c r="S168" s="49">
        <f t="shared" si="81"/>
        <v>0</v>
      </c>
      <c r="T168" s="69"/>
    </row>
    <row r="169" spans="2:20" ht="16.5" customHeight="1" x14ac:dyDescent="0.25">
      <c r="B169" s="94" t="s">
        <v>220</v>
      </c>
      <c r="C169" s="176" t="s">
        <v>421</v>
      </c>
      <c r="D169" s="188" t="s">
        <v>222</v>
      </c>
      <c r="E169" s="48">
        <f>E79</f>
        <v>100642.28</v>
      </c>
      <c r="F169" s="48"/>
      <c r="G169" s="48">
        <f>G79</f>
        <v>971939.72</v>
      </c>
      <c r="H169" s="48">
        <f>H124</f>
        <v>1153191</v>
      </c>
      <c r="I169" s="49"/>
      <c r="J169" s="48">
        <f>(1435673+980225)-SUM(E169:I169)</f>
        <v>190125</v>
      </c>
      <c r="K169" s="49"/>
      <c r="L169" s="50">
        <f t="shared" si="94"/>
        <v>2415898</v>
      </c>
      <c r="M169" s="189">
        <f t="shared" si="93"/>
        <v>2415898</v>
      </c>
      <c r="N169" s="51">
        <v>2415898</v>
      </c>
      <c r="O169" s="51">
        <f>ROUND(N169,0)</f>
        <v>2415898</v>
      </c>
      <c r="P169" s="49">
        <f t="shared" si="74"/>
        <v>0</v>
      </c>
      <c r="Q169" s="187"/>
      <c r="R169" s="51">
        <f t="shared" si="91"/>
        <v>2415898</v>
      </c>
      <c r="S169" s="49">
        <f t="shared" si="81"/>
        <v>0</v>
      </c>
      <c r="T169" s="187"/>
    </row>
    <row r="170" spans="2:20" ht="60.6" customHeight="1" x14ac:dyDescent="0.25">
      <c r="B170" s="94" t="s">
        <v>414</v>
      </c>
      <c r="C170" s="176" t="s">
        <v>422</v>
      </c>
      <c r="D170" s="188" t="s">
        <v>246</v>
      </c>
      <c r="E170" s="48"/>
      <c r="F170" s="48"/>
      <c r="G170" s="48">
        <f>G89</f>
        <v>768794.7790000001</v>
      </c>
      <c r="H170" s="48"/>
      <c r="I170" s="49"/>
      <c r="J170" s="48">
        <f>987120-SUM(E170:I170)</f>
        <v>218325.2209999999</v>
      </c>
      <c r="K170" s="49"/>
      <c r="L170" s="50">
        <f t="shared" si="94"/>
        <v>987120</v>
      </c>
      <c r="M170" s="189">
        <f t="shared" si="93"/>
        <v>987120</v>
      </c>
      <c r="N170" s="51">
        <v>987120</v>
      </c>
      <c r="O170" s="51">
        <f>ROUND(N170,0)</f>
        <v>987120</v>
      </c>
      <c r="P170" s="49">
        <f t="shared" si="74"/>
        <v>0</v>
      </c>
      <c r="Q170" s="187"/>
      <c r="R170" s="51">
        <f t="shared" si="91"/>
        <v>987120</v>
      </c>
      <c r="S170" s="49">
        <f t="shared" si="81"/>
        <v>0</v>
      </c>
      <c r="T170" s="187"/>
    </row>
    <row r="171" spans="2:20" ht="30" customHeight="1" x14ac:dyDescent="0.25">
      <c r="B171" s="94" t="s">
        <v>414</v>
      </c>
      <c r="C171" s="176" t="s">
        <v>423</v>
      </c>
      <c r="D171" s="188" t="s">
        <v>248</v>
      </c>
      <c r="E171" s="48"/>
      <c r="F171" s="48"/>
      <c r="G171" s="48">
        <f>G90</f>
        <v>309907</v>
      </c>
      <c r="H171" s="48"/>
      <c r="I171" s="49"/>
      <c r="J171" s="48">
        <f>326348-SUM(E171:I171)</f>
        <v>16441</v>
      </c>
      <c r="K171" s="49"/>
      <c r="L171" s="50">
        <f t="shared" si="94"/>
        <v>326348</v>
      </c>
      <c r="M171" s="189">
        <f t="shared" si="93"/>
        <v>326348</v>
      </c>
      <c r="N171" s="51">
        <v>326348</v>
      </c>
      <c r="O171" s="51">
        <f>ROUND(N171,0)</f>
        <v>326348</v>
      </c>
      <c r="P171" s="49">
        <f t="shared" si="74"/>
        <v>0</v>
      </c>
      <c r="Q171" s="187"/>
      <c r="R171" s="51">
        <f t="shared" si="91"/>
        <v>326348</v>
      </c>
      <c r="S171" s="49">
        <f t="shared" si="81"/>
        <v>0</v>
      </c>
      <c r="T171" s="187"/>
    </row>
    <row r="172" spans="2:20" ht="30" customHeight="1" x14ac:dyDescent="0.25">
      <c r="B172" s="94" t="s">
        <v>424</v>
      </c>
      <c r="C172" s="176" t="s">
        <v>425</v>
      </c>
      <c r="D172" s="188" t="s">
        <v>250</v>
      </c>
      <c r="E172" s="48"/>
      <c r="F172" s="48"/>
      <c r="G172" s="48">
        <f>G91</f>
        <v>97352.5</v>
      </c>
      <c r="H172" s="48"/>
      <c r="I172" s="49"/>
      <c r="J172" s="48">
        <f>115194-SUM(E172:I172)</f>
        <v>17841.5</v>
      </c>
      <c r="K172" s="49"/>
      <c r="L172" s="50">
        <f>E172+F172+G172+H172+I172+J172+K172</f>
        <v>115194</v>
      </c>
      <c r="M172" s="189">
        <f>ROUND(L172,0)</f>
        <v>115194</v>
      </c>
      <c r="N172" s="51">
        <v>115194</v>
      </c>
      <c r="O172" s="51">
        <f>ROUND(N172,0)</f>
        <v>115194</v>
      </c>
      <c r="P172" s="49">
        <f>O172-N172</f>
        <v>0</v>
      </c>
      <c r="Q172" s="187"/>
      <c r="R172" s="51">
        <f t="shared" si="91"/>
        <v>115194</v>
      </c>
      <c r="S172" s="49">
        <f t="shared" si="81"/>
        <v>0</v>
      </c>
      <c r="T172" s="187"/>
    </row>
    <row r="173" spans="2:20" ht="46.15" customHeight="1" x14ac:dyDescent="0.25">
      <c r="B173" s="94"/>
      <c r="C173" s="176" t="s">
        <v>425</v>
      </c>
      <c r="D173" s="98" t="s">
        <v>426</v>
      </c>
      <c r="E173" s="48"/>
      <c r="F173" s="48"/>
      <c r="G173" s="48"/>
      <c r="H173" s="48"/>
      <c r="I173" s="49"/>
      <c r="J173" s="185">
        <f>321863-321863-SUM(E173:I173)</f>
        <v>0</v>
      </c>
      <c r="K173" s="49"/>
      <c r="L173" s="50">
        <f t="shared" si="94"/>
        <v>0</v>
      </c>
      <c r="M173" s="50">
        <f t="shared" si="93"/>
        <v>0</v>
      </c>
      <c r="N173" s="51">
        <v>0</v>
      </c>
      <c r="O173" s="51">
        <f>ROUND(N173,0)</f>
        <v>0</v>
      </c>
      <c r="P173" s="49">
        <f t="shared" si="74"/>
        <v>0</v>
      </c>
      <c r="Q173" s="187"/>
      <c r="R173" s="51">
        <f t="shared" si="91"/>
        <v>0</v>
      </c>
      <c r="S173" s="49">
        <f t="shared" si="81"/>
        <v>0</v>
      </c>
      <c r="T173" s="187"/>
    </row>
    <row r="174" spans="2:20" ht="29.25" customHeight="1" x14ac:dyDescent="0.25">
      <c r="C174" s="170" t="s">
        <v>427</v>
      </c>
      <c r="D174" s="178" t="s">
        <v>428</v>
      </c>
      <c r="E174" s="182">
        <f t="shared" ref="E174:L174" si="96">SUM(E175:E182)+SUM(E186:E196)</f>
        <v>1116628</v>
      </c>
      <c r="F174" s="182">
        <f t="shared" si="96"/>
        <v>50000</v>
      </c>
      <c r="G174" s="182">
        <f t="shared" si="96"/>
        <v>421426</v>
      </c>
      <c r="H174" s="182">
        <f t="shared" si="96"/>
        <v>479480</v>
      </c>
      <c r="I174" s="179">
        <f t="shared" si="96"/>
        <v>5609116.6200000001</v>
      </c>
      <c r="J174" s="182">
        <f t="shared" si="96"/>
        <v>3731817</v>
      </c>
      <c r="K174" s="179">
        <f t="shared" si="96"/>
        <v>420074.00019655004</v>
      </c>
      <c r="L174" s="180">
        <f t="shared" si="96"/>
        <v>11828541.620196549</v>
      </c>
      <c r="M174" s="180">
        <f>SUM(M175:M182,M186:M196)</f>
        <v>11828542</v>
      </c>
      <c r="N174" s="181">
        <f>SUM(N175:N182,N186:N196)</f>
        <v>11828542</v>
      </c>
      <c r="O174" s="181">
        <f>SUM(O175:O182,O186:O196)</f>
        <v>11864368</v>
      </c>
      <c r="P174" s="179">
        <f t="shared" si="74"/>
        <v>35826</v>
      </c>
      <c r="Q174" s="191"/>
      <c r="R174" s="181">
        <f>SUM(R175:R182,R186:R196)</f>
        <v>11649353</v>
      </c>
      <c r="S174" s="179">
        <f t="shared" si="81"/>
        <v>-215015</v>
      </c>
      <c r="T174" s="191"/>
    </row>
    <row r="175" spans="2:20" ht="18" customHeight="1" x14ac:dyDescent="0.25">
      <c r="B175" s="94" t="s">
        <v>429</v>
      </c>
      <c r="C175" s="176" t="s">
        <v>430</v>
      </c>
      <c r="D175" s="192" t="s">
        <v>431</v>
      </c>
      <c r="E175" s="48"/>
      <c r="F175" s="48"/>
      <c r="G175" s="48"/>
      <c r="H175" s="48"/>
      <c r="I175" s="49"/>
      <c r="J175" s="48"/>
      <c r="K175" s="51">
        <f>[1]BAZE_2026!G130+1</f>
        <v>209419.00219655002</v>
      </c>
      <c r="L175" s="50">
        <f t="shared" ref="L175:L196" si="97">E175+F175+G175+H175+I175+J175+K175</f>
        <v>209419.00219655002</v>
      </c>
      <c r="M175" s="50">
        <f t="shared" ref="M175:M181" si="98">ROUND(L175,0)</f>
        <v>209419</v>
      </c>
      <c r="N175" s="51">
        <v>209419</v>
      </c>
      <c r="O175" s="51">
        <f>ROUND(N175,0)+3000+3000</f>
        <v>215419</v>
      </c>
      <c r="P175" s="49">
        <f t="shared" si="74"/>
        <v>6000</v>
      </c>
      <c r="Q175" s="193" t="s">
        <v>432</v>
      </c>
      <c r="R175" s="51">
        <f t="shared" si="91"/>
        <v>215419</v>
      </c>
      <c r="S175" s="49">
        <f t="shared" si="81"/>
        <v>0</v>
      </c>
      <c r="T175" s="193"/>
    </row>
    <row r="176" spans="2:20" ht="45" customHeight="1" x14ac:dyDescent="0.25">
      <c r="B176" s="94" t="s">
        <v>189</v>
      </c>
      <c r="C176" s="176" t="s">
        <v>433</v>
      </c>
      <c r="D176" s="188" t="s">
        <v>434</v>
      </c>
      <c r="E176" s="48">
        <f>E68</f>
        <v>0</v>
      </c>
      <c r="F176" s="48"/>
      <c r="G176" s="48">
        <f>G68</f>
        <v>0</v>
      </c>
      <c r="H176" s="48"/>
      <c r="I176" s="49"/>
      <c r="J176" s="48">
        <f>191255-SUM(E176:I176)</f>
        <v>191255</v>
      </c>
      <c r="K176" s="49"/>
      <c r="L176" s="50">
        <f t="shared" si="97"/>
        <v>191255</v>
      </c>
      <c r="M176" s="189">
        <f t="shared" si="98"/>
        <v>191255</v>
      </c>
      <c r="N176" s="51">
        <v>191255</v>
      </c>
      <c r="O176" s="51">
        <f t="shared" ref="O176:O181" si="99">ROUND(N176,0)</f>
        <v>191255</v>
      </c>
      <c r="P176" s="49">
        <f t="shared" si="74"/>
        <v>0</v>
      </c>
      <c r="Q176" s="187"/>
      <c r="R176" s="51">
        <f t="shared" si="91"/>
        <v>191255</v>
      </c>
      <c r="S176" s="49">
        <f t="shared" si="81"/>
        <v>0</v>
      </c>
      <c r="T176" s="187"/>
    </row>
    <row r="177" spans="2:20" ht="39" customHeight="1" x14ac:dyDescent="0.25">
      <c r="B177" s="94" t="s">
        <v>217</v>
      </c>
      <c r="C177" s="176" t="s">
        <v>435</v>
      </c>
      <c r="D177" s="188" t="s">
        <v>219</v>
      </c>
      <c r="E177" s="48"/>
      <c r="F177" s="48"/>
      <c r="G177" s="48">
        <f>G78</f>
        <v>0</v>
      </c>
      <c r="H177" s="48"/>
      <c r="I177" s="49"/>
      <c r="J177" s="48">
        <f>193242-SUM(E177:I177)</f>
        <v>193242</v>
      </c>
      <c r="K177" s="49"/>
      <c r="L177" s="50">
        <f t="shared" si="97"/>
        <v>193242</v>
      </c>
      <c r="M177" s="189">
        <f t="shared" si="98"/>
        <v>193242</v>
      </c>
      <c r="N177" s="51">
        <v>193242</v>
      </c>
      <c r="O177" s="51">
        <f t="shared" si="99"/>
        <v>193242</v>
      </c>
      <c r="P177" s="49">
        <f t="shared" si="74"/>
        <v>0</v>
      </c>
      <c r="Q177" s="187"/>
      <c r="R177" s="190">
        <f>ROUND(O177,0)-193242</f>
        <v>0</v>
      </c>
      <c r="S177" s="48">
        <f t="shared" si="81"/>
        <v>-193242</v>
      </c>
      <c r="T177" s="411" t="s">
        <v>1117</v>
      </c>
    </row>
    <row r="178" spans="2:20" ht="28.9" customHeight="1" x14ac:dyDescent="0.25">
      <c r="B178" s="94"/>
      <c r="C178" s="176" t="s">
        <v>436</v>
      </c>
      <c r="D178" s="188" t="s">
        <v>437</v>
      </c>
      <c r="E178" s="48">
        <v>888703</v>
      </c>
      <c r="F178" s="48"/>
      <c r="G178" s="48"/>
      <c r="H178" s="48"/>
      <c r="I178" s="49"/>
      <c r="J178" s="48"/>
      <c r="K178" s="49"/>
      <c r="L178" s="50">
        <f>E178+F178+G178+H178+I178+J178+K178</f>
        <v>888703</v>
      </c>
      <c r="M178" s="189">
        <f t="shared" si="98"/>
        <v>888703</v>
      </c>
      <c r="N178" s="51">
        <v>888703</v>
      </c>
      <c r="O178" s="51">
        <f t="shared" si="99"/>
        <v>888703</v>
      </c>
      <c r="P178" s="49">
        <f>O178-N178</f>
        <v>0</v>
      </c>
      <c r="Q178" s="187"/>
      <c r="R178" s="51">
        <f t="shared" si="91"/>
        <v>888703</v>
      </c>
      <c r="S178" s="49">
        <f t="shared" si="81"/>
        <v>0</v>
      </c>
      <c r="T178" s="187"/>
    </row>
    <row r="179" spans="2:20" ht="30" customHeight="1" x14ac:dyDescent="0.25">
      <c r="B179" s="94"/>
      <c r="C179" s="176"/>
      <c r="D179" s="192" t="s">
        <v>438</v>
      </c>
      <c r="E179" s="48"/>
      <c r="F179" s="48"/>
      <c r="G179" s="48"/>
      <c r="H179" s="48">
        <f>H122</f>
        <v>479480</v>
      </c>
      <c r="I179" s="49"/>
      <c r="J179" s="48">
        <f>575345-SUM(E179:I179)</f>
        <v>95865</v>
      </c>
      <c r="K179" s="49"/>
      <c r="L179" s="50">
        <f>E179+F179+G179+H179+I179+J179+K179</f>
        <v>575345</v>
      </c>
      <c r="M179" s="194">
        <f t="shared" si="98"/>
        <v>575345</v>
      </c>
      <c r="N179" s="51">
        <v>575345</v>
      </c>
      <c r="O179" s="51">
        <f t="shared" si="99"/>
        <v>575345</v>
      </c>
      <c r="P179" s="49">
        <f>O179-N179</f>
        <v>0</v>
      </c>
      <c r="Q179" s="187"/>
      <c r="R179" s="51">
        <f t="shared" si="91"/>
        <v>575345</v>
      </c>
      <c r="S179" s="49">
        <f t="shared" si="81"/>
        <v>0</v>
      </c>
      <c r="T179" s="187"/>
    </row>
    <row r="180" spans="2:20" ht="30" customHeight="1" x14ac:dyDescent="0.25">
      <c r="B180" s="94" t="s">
        <v>439</v>
      </c>
      <c r="C180" s="176"/>
      <c r="D180" s="188" t="s">
        <v>252</v>
      </c>
      <c r="E180" s="48">
        <f>118325+7600+2000</f>
        <v>127925</v>
      </c>
      <c r="F180" s="48"/>
      <c r="G180" s="48">
        <f>G92</f>
        <v>140804</v>
      </c>
      <c r="H180" s="48"/>
      <c r="I180" s="49"/>
      <c r="J180" s="48">
        <f>254729+14000-SUM(E180:I180)</f>
        <v>0</v>
      </c>
      <c r="K180" s="49"/>
      <c r="L180" s="50">
        <f>E180+F180+G180+H180+I180+J180+K180</f>
        <v>268729</v>
      </c>
      <c r="M180" s="189">
        <f t="shared" si="98"/>
        <v>268729</v>
      </c>
      <c r="N180" s="51">
        <v>268729</v>
      </c>
      <c r="O180" s="51">
        <f t="shared" si="99"/>
        <v>268729</v>
      </c>
      <c r="P180" s="49">
        <f>O180-N180</f>
        <v>0</v>
      </c>
      <c r="Q180" s="187"/>
      <c r="R180" s="51">
        <f t="shared" si="91"/>
        <v>268729</v>
      </c>
      <c r="S180" s="49">
        <f t="shared" si="81"/>
        <v>0</v>
      </c>
      <c r="T180" s="187"/>
    </row>
    <row r="181" spans="2:20" ht="17.25" customHeight="1" x14ac:dyDescent="0.25">
      <c r="B181" s="94" t="s">
        <v>440</v>
      </c>
      <c r="C181" s="176"/>
      <c r="D181" s="188" t="s">
        <v>254</v>
      </c>
      <c r="E181" s="48">
        <v>100000</v>
      </c>
      <c r="F181" s="48">
        <v>50000</v>
      </c>
      <c r="G181" s="48">
        <f>G93</f>
        <v>270000</v>
      </c>
      <c r="H181" s="48"/>
      <c r="I181" s="49"/>
      <c r="J181" s="48">
        <f>613434-SUM(E181:I181)</f>
        <v>193434</v>
      </c>
      <c r="K181" s="49"/>
      <c r="L181" s="50">
        <f>E181+F181+G181+H181+I181+J181+K181</f>
        <v>613434</v>
      </c>
      <c r="M181" s="189">
        <f t="shared" si="98"/>
        <v>613434</v>
      </c>
      <c r="N181" s="51">
        <v>613434</v>
      </c>
      <c r="O181" s="51">
        <f t="shared" si="99"/>
        <v>613434</v>
      </c>
      <c r="P181" s="49">
        <f>O181-N181</f>
        <v>0</v>
      </c>
      <c r="Q181" s="187"/>
      <c r="R181" s="51">
        <f t="shared" si="91"/>
        <v>613434</v>
      </c>
      <c r="S181" s="49">
        <f t="shared" si="81"/>
        <v>0</v>
      </c>
      <c r="T181" s="187"/>
    </row>
    <row r="182" spans="2:20" ht="32.25" customHeight="1" x14ac:dyDescent="0.25">
      <c r="B182" s="94" t="s">
        <v>10</v>
      </c>
      <c r="C182" s="176" t="s">
        <v>436</v>
      </c>
      <c r="D182" s="192" t="s">
        <v>441</v>
      </c>
      <c r="E182" s="48">
        <f>SUM(E183:E185)</f>
        <v>0</v>
      </c>
      <c r="F182" s="48">
        <f t="shared" ref="F182:K182" si="100">SUM(F183:F185)</f>
        <v>0</v>
      </c>
      <c r="G182" s="48">
        <f t="shared" si="100"/>
        <v>10622</v>
      </c>
      <c r="H182" s="48">
        <f t="shared" si="100"/>
        <v>0</v>
      </c>
      <c r="I182" s="49">
        <f t="shared" si="100"/>
        <v>5609116.6200000001</v>
      </c>
      <c r="J182" s="48">
        <f>SUM(J183:J185)</f>
        <v>518252</v>
      </c>
      <c r="K182" s="49">
        <f t="shared" si="100"/>
        <v>210654.99799999999</v>
      </c>
      <c r="L182" s="50">
        <f>SUM(L183:L185)</f>
        <v>6348645.6179999998</v>
      </c>
      <c r="M182" s="194">
        <f>SUM(M183:M185)</f>
        <v>6348646</v>
      </c>
      <c r="N182" s="139">
        <f>SUM(N183:N185)</f>
        <v>6348646</v>
      </c>
      <c r="O182" s="139">
        <f>SUM(O183:O185)</f>
        <v>6378472</v>
      </c>
      <c r="P182" s="49">
        <f t="shared" si="74"/>
        <v>29826</v>
      </c>
      <c r="Q182" s="187"/>
      <c r="R182" s="139">
        <f>SUM(R183:R185)</f>
        <v>6356699</v>
      </c>
      <c r="S182" s="49">
        <f t="shared" si="81"/>
        <v>-21773</v>
      </c>
      <c r="T182" s="187"/>
    </row>
    <row r="183" spans="2:20" s="205" customFormat="1" ht="124.9" customHeight="1" x14ac:dyDescent="0.25">
      <c r="B183" s="195"/>
      <c r="C183" s="196" t="s">
        <v>442</v>
      </c>
      <c r="D183" s="197" t="s">
        <v>443</v>
      </c>
      <c r="E183" s="198"/>
      <c r="F183" s="198"/>
      <c r="G183" s="198">
        <v>10622</v>
      </c>
      <c r="H183" s="198"/>
      <c r="I183" s="199">
        <f>[1]BAZE_2026!G139</f>
        <v>5125848.62</v>
      </c>
      <c r="J183" s="198">
        <f>50000+31400+8300+(159100+190000+(65000-55000)+0+25000+20000)</f>
        <v>493800</v>
      </c>
      <c r="K183" s="199"/>
      <c r="L183" s="200">
        <f t="shared" si="97"/>
        <v>5630270.6200000001</v>
      </c>
      <c r="M183" s="200">
        <f t="shared" ref="M183:M189" si="101">ROUND(L183,0)</f>
        <v>5630271</v>
      </c>
      <c r="N183" s="201">
        <v>5630271</v>
      </c>
      <c r="O183" s="201">
        <f>ROUND(N183,0)+9936</f>
        <v>5640207</v>
      </c>
      <c r="P183" s="202">
        <f t="shared" si="74"/>
        <v>9936</v>
      </c>
      <c r="Q183" s="203" t="s">
        <v>444</v>
      </c>
      <c r="R183" s="201">
        <f>ROUND(O183,0)-22000-159+17873-17487</f>
        <v>5618434</v>
      </c>
      <c r="S183" s="204">
        <f t="shared" si="81"/>
        <v>-21773</v>
      </c>
      <c r="T183" s="203" t="s">
        <v>1116</v>
      </c>
    </row>
    <row r="184" spans="2:20" s="205" customFormat="1" ht="17.25" customHeight="1" x14ac:dyDescent="0.25">
      <c r="B184" s="195" t="s">
        <v>445</v>
      </c>
      <c r="C184" s="196" t="s">
        <v>446</v>
      </c>
      <c r="D184" s="197" t="s">
        <v>447</v>
      </c>
      <c r="E184" s="198"/>
      <c r="F184" s="198"/>
      <c r="G184" s="198"/>
      <c r="H184" s="198"/>
      <c r="I184" s="201">
        <f>[1]BAZE_2026!G146</f>
        <v>483268</v>
      </c>
      <c r="J184" s="206">
        <v>1452</v>
      </c>
      <c r="K184" s="199"/>
      <c r="L184" s="200">
        <f t="shared" si="97"/>
        <v>484720</v>
      </c>
      <c r="M184" s="200">
        <f t="shared" si="101"/>
        <v>484720</v>
      </c>
      <c r="N184" s="201">
        <v>484720</v>
      </c>
      <c r="O184" s="201">
        <f>ROUND(N184,0)</f>
        <v>484720</v>
      </c>
      <c r="P184" s="204">
        <f t="shared" si="74"/>
        <v>0</v>
      </c>
      <c r="Q184" s="203"/>
      <c r="R184" s="201">
        <f t="shared" si="91"/>
        <v>484720</v>
      </c>
      <c r="S184" s="204">
        <f t="shared" si="81"/>
        <v>0</v>
      </c>
      <c r="T184" s="203"/>
    </row>
    <row r="185" spans="2:20" s="205" customFormat="1" ht="75" customHeight="1" x14ac:dyDescent="0.25">
      <c r="B185" s="195" t="s">
        <v>448</v>
      </c>
      <c r="C185" s="196" t="s">
        <v>449</v>
      </c>
      <c r="D185" s="197" t="s">
        <v>450</v>
      </c>
      <c r="E185" s="198"/>
      <c r="F185" s="198"/>
      <c r="G185" s="198"/>
      <c r="H185" s="198"/>
      <c r="I185" s="199"/>
      <c r="J185" s="198">
        <f>15000+8000</f>
        <v>23000</v>
      </c>
      <c r="K185" s="201">
        <f>[1]BAZE_2026!G135+0.23</f>
        <v>210654.99799999999</v>
      </c>
      <c r="L185" s="200">
        <f t="shared" si="97"/>
        <v>233654.99799999999</v>
      </c>
      <c r="M185" s="200">
        <f t="shared" si="101"/>
        <v>233655</v>
      </c>
      <c r="N185" s="201">
        <v>233655</v>
      </c>
      <c r="O185" s="201">
        <f>ROUND(N185,0)+29826-9936</f>
        <v>253545</v>
      </c>
      <c r="P185" s="204">
        <f t="shared" si="74"/>
        <v>19890</v>
      </c>
      <c r="Q185" s="203" t="s">
        <v>451</v>
      </c>
      <c r="R185" s="201">
        <f t="shared" si="91"/>
        <v>253545</v>
      </c>
      <c r="S185" s="204">
        <f t="shared" si="81"/>
        <v>0</v>
      </c>
      <c r="T185" s="203"/>
    </row>
    <row r="186" spans="2:20" ht="27.6" customHeight="1" x14ac:dyDescent="0.25">
      <c r="B186" s="94" t="s">
        <v>10</v>
      </c>
      <c r="C186" s="207" t="s">
        <v>452</v>
      </c>
      <c r="D186" s="192" t="s">
        <v>453</v>
      </c>
      <c r="E186" s="208"/>
      <c r="F186" s="208"/>
      <c r="G186" s="208"/>
      <c r="H186" s="208"/>
      <c r="I186" s="49"/>
      <c r="J186" s="185">
        <f>454833-113000+15000+160000</f>
        <v>516833</v>
      </c>
      <c r="K186" s="49"/>
      <c r="L186" s="50">
        <f t="shared" si="97"/>
        <v>516833</v>
      </c>
      <c r="M186" s="194">
        <f t="shared" si="101"/>
        <v>516833</v>
      </c>
      <c r="N186" s="51">
        <v>516833</v>
      </c>
      <c r="O186" s="51">
        <f>ROUND(N186,0)</f>
        <v>516833</v>
      </c>
      <c r="P186" s="49">
        <f t="shared" si="74"/>
        <v>0</v>
      </c>
      <c r="Q186" s="187"/>
      <c r="R186" s="51">
        <f t="shared" si="91"/>
        <v>516833</v>
      </c>
      <c r="S186" s="49">
        <f t="shared" si="81"/>
        <v>0</v>
      </c>
      <c r="T186" s="187"/>
    </row>
    <row r="187" spans="2:20" ht="28.15" customHeight="1" x14ac:dyDescent="0.25">
      <c r="B187" s="94" t="s">
        <v>10</v>
      </c>
      <c r="C187" s="207" t="s">
        <v>454</v>
      </c>
      <c r="D187" s="192" t="s">
        <v>455</v>
      </c>
      <c r="E187" s="208"/>
      <c r="F187" s="208"/>
      <c r="G187" s="208"/>
      <c r="H187" s="208"/>
      <c r="I187" s="209"/>
      <c r="J187" s="208"/>
      <c r="K187" s="209"/>
      <c r="L187" s="50">
        <f t="shared" si="97"/>
        <v>0</v>
      </c>
      <c r="M187" s="50">
        <f t="shared" si="101"/>
        <v>0</v>
      </c>
      <c r="N187" s="51">
        <v>0</v>
      </c>
      <c r="O187" s="51">
        <f>ROUND(N187,0)</f>
        <v>0</v>
      </c>
      <c r="P187" s="49">
        <f t="shared" si="74"/>
        <v>0</v>
      </c>
      <c r="Q187" s="187"/>
      <c r="R187" s="51">
        <f t="shared" si="91"/>
        <v>0</v>
      </c>
      <c r="S187" s="49">
        <f t="shared" si="81"/>
        <v>0</v>
      </c>
      <c r="T187" s="187"/>
    </row>
    <row r="188" spans="2:20" ht="50.25" customHeight="1" x14ac:dyDescent="0.25">
      <c r="B188" s="94" t="s">
        <v>10</v>
      </c>
      <c r="C188" s="207" t="s">
        <v>456</v>
      </c>
      <c r="D188" s="192" t="s">
        <v>457</v>
      </c>
      <c r="E188" s="208"/>
      <c r="F188" s="208"/>
      <c r="G188" s="208"/>
      <c r="H188" s="208"/>
      <c r="I188" s="209"/>
      <c r="J188" s="185">
        <f>(57584+38600+20922-1452+7994+250000)-SUM(E188:I188)+(1847000-375000+50000+30000)</f>
        <v>1925648</v>
      </c>
      <c r="K188" s="209"/>
      <c r="L188" s="50">
        <f>E188+F188+G188+H188+I188+J188+K188</f>
        <v>1925648</v>
      </c>
      <c r="M188" s="194">
        <f>ROUND(L188,0)</f>
        <v>1925648</v>
      </c>
      <c r="N188" s="51">
        <v>1925648</v>
      </c>
      <c r="O188" s="51">
        <f>ROUND(N188,0)</f>
        <v>1925648</v>
      </c>
      <c r="P188" s="49">
        <f>O188-N188</f>
        <v>0</v>
      </c>
      <c r="Q188" s="187"/>
      <c r="R188" s="51">
        <f t="shared" si="91"/>
        <v>1925648</v>
      </c>
      <c r="S188" s="49">
        <f t="shared" si="81"/>
        <v>0</v>
      </c>
      <c r="T188" s="187"/>
    </row>
    <row r="189" spans="2:20" ht="50.25" customHeight="1" x14ac:dyDescent="0.25">
      <c r="B189" s="94" t="s">
        <v>10</v>
      </c>
      <c r="C189" s="207" t="s">
        <v>458</v>
      </c>
      <c r="D189" s="192" t="s">
        <v>459</v>
      </c>
      <c r="E189" s="208"/>
      <c r="F189" s="208"/>
      <c r="G189" s="208"/>
      <c r="H189" s="208"/>
      <c r="I189" s="209"/>
      <c r="J189" s="208">
        <f>(47288)-SUM(E189:I189)+25000+25000</f>
        <v>97288</v>
      </c>
      <c r="K189" s="209"/>
      <c r="L189" s="50">
        <f t="shared" si="97"/>
        <v>97288</v>
      </c>
      <c r="M189" s="194">
        <f t="shared" si="101"/>
        <v>97288</v>
      </c>
      <c r="N189" s="51">
        <v>97288</v>
      </c>
      <c r="O189" s="51">
        <f>ROUND(N189,0)</f>
        <v>97288</v>
      </c>
      <c r="P189" s="49">
        <f t="shared" si="74"/>
        <v>0</v>
      </c>
      <c r="Q189" s="187"/>
      <c r="R189" s="51">
        <f t="shared" si="91"/>
        <v>97288</v>
      </c>
      <c r="S189" s="49">
        <f t="shared" si="81"/>
        <v>0</v>
      </c>
      <c r="T189" s="187"/>
    </row>
    <row r="190" spans="2:20" ht="18.600000000000001" hidden="1" customHeight="1" outlineLevel="1" x14ac:dyDescent="0.25">
      <c r="B190" s="94" t="s">
        <v>10</v>
      </c>
      <c r="C190" s="207" t="s">
        <v>460</v>
      </c>
      <c r="D190" s="192" t="s">
        <v>461</v>
      </c>
      <c r="E190" s="208"/>
      <c r="F190" s="208"/>
      <c r="G190" s="208"/>
      <c r="H190" s="208"/>
      <c r="I190" s="208"/>
      <c r="J190" s="208"/>
      <c r="K190" s="208"/>
      <c r="L190" s="210">
        <f t="shared" si="97"/>
        <v>0</v>
      </c>
      <c r="M190" s="50"/>
      <c r="N190" s="51"/>
      <c r="O190" s="51">
        <f t="shared" ref="O190:O196" si="102">ROUND(M190,0)</f>
        <v>0</v>
      </c>
      <c r="P190" s="49">
        <f t="shared" si="74"/>
        <v>0</v>
      </c>
      <c r="Q190" s="187"/>
      <c r="R190" s="51">
        <f t="shared" ref="R190:R196" si="103">ROUND(P190,0)</f>
        <v>0</v>
      </c>
      <c r="S190" s="49">
        <f t="shared" si="81"/>
        <v>0</v>
      </c>
      <c r="T190" s="187"/>
    </row>
    <row r="191" spans="2:20" ht="43.5" hidden="1" customHeight="1" outlineLevel="1" x14ac:dyDescent="0.25">
      <c r="B191" s="94" t="s">
        <v>10</v>
      </c>
      <c r="C191" s="207" t="s">
        <v>462</v>
      </c>
      <c r="D191" s="192" t="s">
        <v>463</v>
      </c>
      <c r="E191" s="208"/>
      <c r="F191" s="208"/>
      <c r="G191" s="208"/>
      <c r="H191" s="208"/>
      <c r="I191" s="208"/>
      <c r="J191" s="208"/>
      <c r="K191" s="208"/>
      <c r="L191" s="210">
        <f t="shared" si="97"/>
        <v>0</v>
      </c>
      <c r="M191" s="50"/>
      <c r="N191" s="51"/>
      <c r="O191" s="51">
        <f t="shared" si="102"/>
        <v>0</v>
      </c>
      <c r="P191" s="49">
        <f t="shared" si="74"/>
        <v>0</v>
      </c>
      <c r="Q191" s="187"/>
      <c r="R191" s="51">
        <f t="shared" si="103"/>
        <v>0</v>
      </c>
      <c r="S191" s="49">
        <f t="shared" si="81"/>
        <v>0</v>
      </c>
      <c r="T191" s="187"/>
    </row>
    <row r="192" spans="2:20" ht="25.9" hidden="1" customHeight="1" outlineLevel="1" x14ac:dyDescent="0.25">
      <c r="B192" s="94" t="s">
        <v>10</v>
      </c>
      <c r="C192" s="207" t="s">
        <v>464</v>
      </c>
      <c r="D192" s="192" t="s">
        <v>465</v>
      </c>
      <c r="E192" s="208"/>
      <c r="F192" s="208"/>
      <c r="G192" s="208"/>
      <c r="H192" s="208"/>
      <c r="I192" s="208"/>
      <c r="J192" s="208"/>
      <c r="K192" s="208"/>
      <c r="L192" s="210">
        <f t="shared" si="97"/>
        <v>0</v>
      </c>
      <c r="M192" s="50"/>
      <c r="N192" s="51"/>
      <c r="O192" s="51">
        <f t="shared" si="102"/>
        <v>0</v>
      </c>
      <c r="P192" s="49">
        <f t="shared" si="74"/>
        <v>0</v>
      </c>
      <c r="Q192" s="187"/>
      <c r="R192" s="51">
        <f t="shared" si="103"/>
        <v>0</v>
      </c>
      <c r="S192" s="49">
        <f t="shared" si="81"/>
        <v>0</v>
      </c>
      <c r="T192" s="187"/>
    </row>
    <row r="193" spans="2:20" ht="45.6" hidden="1" customHeight="1" outlineLevel="1" x14ac:dyDescent="0.25">
      <c r="B193" s="94" t="s">
        <v>10</v>
      </c>
      <c r="C193" s="207" t="s">
        <v>466</v>
      </c>
      <c r="D193" s="192" t="s">
        <v>467</v>
      </c>
      <c r="E193" s="208"/>
      <c r="F193" s="208"/>
      <c r="G193" s="208"/>
      <c r="H193" s="208"/>
      <c r="I193" s="208"/>
      <c r="J193" s="208"/>
      <c r="K193" s="208"/>
      <c r="L193" s="210">
        <f>E193+F193+G193+H193+I193+J193+K193</f>
        <v>0</v>
      </c>
      <c r="M193" s="50"/>
      <c r="N193" s="51"/>
      <c r="O193" s="51">
        <f t="shared" si="102"/>
        <v>0</v>
      </c>
      <c r="P193" s="49">
        <f t="shared" si="74"/>
        <v>0</v>
      </c>
      <c r="Q193" s="187"/>
      <c r="R193" s="51">
        <f t="shared" si="103"/>
        <v>0</v>
      </c>
      <c r="S193" s="49">
        <f t="shared" si="81"/>
        <v>0</v>
      </c>
      <c r="T193" s="187"/>
    </row>
    <row r="194" spans="2:20" ht="18.600000000000001" hidden="1" customHeight="1" outlineLevel="1" x14ac:dyDescent="0.25">
      <c r="B194" s="94" t="s">
        <v>468</v>
      </c>
      <c r="C194" s="207" t="s">
        <v>469</v>
      </c>
      <c r="D194" s="192" t="s">
        <v>470</v>
      </c>
      <c r="E194" s="208"/>
      <c r="F194" s="208"/>
      <c r="G194" s="208"/>
      <c r="H194" s="208"/>
      <c r="I194" s="208"/>
      <c r="J194" s="208"/>
      <c r="K194" s="208"/>
      <c r="L194" s="50">
        <f t="shared" si="97"/>
        <v>0</v>
      </c>
      <c r="M194" s="50"/>
      <c r="N194" s="51"/>
      <c r="O194" s="51">
        <f t="shared" si="102"/>
        <v>0</v>
      </c>
      <c r="P194" s="49">
        <f t="shared" si="74"/>
        <v>0</v>
      </c>
      <c r="Q194" s="187"/>
      <c r="R194" s="51">
        <f t="shared" si="103"/>
        <v>0</v>
      </c>
      <c r="S194" s="49">
        <f t="shared" si="81"/>
        <v>0</v>
      </c>
      <c r="T194" s="187"/>
    </row>
    <row r="195" spans="2:20" ht="29.45" hidden="1" customHeight="1" outlineLevel="1" x14ac:dyDescent="0.25">
      <c r="B195" s="94"/>
      <c r="C195" s="207" t="s">
        <v>471</v>
      </c>
      <c r="D195" s="192" t="s">
        <v>472</v>
      </c>
      <c r="E195" s="208"/>
      <c r="F195" s="208"/>
      <c r="G195" s="208"/>
      <c r="H195" s="208"/>
      <c r="I195" s="208"/>
      <c r="J195" s="208"/>
      <c r="K195" s="208"/>
      <c r="L195" s="210">
        <f t="shared" si="97"/>
        <v>0</v>
      </c>
      <c r="M195" s="50">
        <v>0</v>
      </c>
      <c r="N195" s="51">
        <v>0</v>
      </c>
      <c r="O195" s="51">
        <f t="shared" si="102"/>
        <v>0</v>
      </c>
      <c r="P195" s="49">
        <f t="shared" si="74"/>
        <v>0</v>
      </c>
      <c r="Q195" s="187"/>
      <c r="R195" s="51">
        <f t="shared" si="103"/>
        <v>0</v>
      </c>
      <c r="S195" s="49">
        <f t="shared" si="81"/>
        <v>0</v>
      </c>
      <c r="T195" s="187"/>
    </row>
    <row r="196" spans="2:20" ht="29.45" hidden="1" customHeight="1" outlineLevel="1" x14ac:dyDescent="0.25">
      <c r="B196" s="94" t="s">
        <v>473</v>
      </c>
      <c r="C196" s="207" t="s">
        <v>474</v>
      </c>
      <c r="D196" s="192" t="s">
        <v>475</v>
      </c>
      <c r="E196" s="208"/>
      <c r="F196" s="48"/>
      <c r="G196" s="48"/>
      <c r="H196" s="48"/>
      <c r="I196" s="48"/>
      <c r="J196" s="48"/>
      <c r="K196" s="48"/>
      <c r="L196" s="50">
        <f t="shared" si="97"/>
        <v>0</v>
      </c>
      <c r="M196" s="50">
        <v>0</v>
      </c>
      <c r="N196" s="51">
        <v>0</v>
      </c>
      <c r="O196" s="51">
        <f t="shared" si="102"/>
        <v>0</v>
      </c>
      <c r="P196" s="49">
        <f t="shared" si="74"/>
        <v>0</v>
      </c>
      <c r="Q196" s="69"/>
      <c r="R196" s="51">
        <f t="shared" si="103"/>
        <v>0</v>
      </c>
      <c r="S196" s="49">
        <f t="shared" si="81"/>
        <v>0</v>
      </c>
      <c r="T196" s="69"/>
    </row>
    <row r="197" spans="2:20" collapsed="1" x14ac:dyDescent="0.25">
      <c r="C197" s="173" t="s">
        <v>61</v>
      </c>
      <c r="D197" s="174" t="s">
        <v>476</v>
      </c>
      <c r="E197" s="55">
        <f>SUM(E198,E203:E207)+E210+E211</f>
        <v>4500</v>
      </c>
      <c r="F197" s="55">
        <f t="shared" ref="F197:K197" si="104">SUM(F198,F203:F207)+F210+F211</f>
        <v>26226</v>
      </c>
      <c r="G197" s="55">
        <f t="shared" si="104"/>
        <v>9900</v>
      </c>
      <c r="H197" s="55">
        <f t="shared" si="104"/>
        <v>0</v>
      </c>
      <c r="I197" s="56">
        <f t="shared" si="104"/>
        <v>324250</v>
      </c>
      <c r="J197" s="55">
        <f>SUM(J198,J203:J207)+J210+J211</f>
        <v>1042607</v>
      </c>
      <c r="K197" s="56">
        <f t="shared" si="104"/>
        <v>1585360.0246402451</v>
      </c>
      <c r="L197" s="57">
        <f>SUM(L198,L203:L207)+L210+L211</f>
        <v>2992843.0246402454</v>
      </c>
      <c r="M197" s="211">
        <f>SUM(M198,M203:M207)+M210+M211</f>
        <v>2992843</v>
      </c>
      <c r="N197" s="56">
        <f>SUM(N198,N203:N207)+N210+N211</f>
        <v>2992843</v>
      </c>
      <c r="O197" s="58">
        <f>SUM(O198,O203:O207)+O210+O211</f>
        <v>3010993</v>
      </c>
      <c r="P197" s="56">
        <f t="shared" si="74"/>
        <v>18150</v>
      </c>
      <c r="Q197" s="56"/>
      <c r="R197" s="58">
        <f>SUM(R198,R203:R207)+R210+R211</f>
        <v>3010993</v>
      </c>
      <c r="S197" s="56">
        <f t="shared" si="81"/>
        <v>0</v>
      </c>
      <c r="T197" s="56"/>
    </row>
    <row r="198" spans="2:20" ht="23.25" customHeight="1" x14ac:dyDescent="0.25">
      <c r="C198" s="170" t="s">
        <v>64</v>
      </c>
      <c r="D198" s="171" t="s">
        <v>477</v>
      </c>
      <c r="E198" s="73">
        <f>SUM(E199:E202)</f>
        <v>4500</v>
      </c>
      <c r="F198" s="73">
        <f t="shared" ref="F198:L198" si="105">SUM(F199:F202)</f>
        <v>26226</v>
      </c>
      <c r="G198" s="73">
        <f t="shared" si="105"/>
        <v>9900</v>
      </c>
      <c r="H198" s="73">
        <f t="shared" si="105"/>
        <v>0</v>
      </c>
      <c r="I198" s="73">
        <f t="shared" si="105"/>
        <v>0</v>
      </c>
      <c r="J198" s="73">
        <f t="shared" si="105"/>
        <v>561789</v>
      </c>
      <c r="K198" s="74">
        <f t="shared" si="105"/>
        <v>1032944.0073040852</v>
      </c>
      <c r="L198" s="75">
        <f t="shared" si="105"/>
        <v>1635359.0073040854</v>
      </c>
      <c r="M198" s="75">
        <f>SUM(M199:M202)</f>
        <v>1635359</v>
      </c>
      <c r="N198" s="101">
        <f>SUM(N199:N202)</f>
        <v>1635359</v>
      </c>
      <c r="O198" s="101">
        <f>SUM(O199:O202)</f>
        <v>1635359</v>
      </c>
      <c r="P198" s="101">
        <f t="shared" si="74"/>
        <v>0</v>
      </c>
      <c r="Q198" s="101">
        <f>SUM(Q199:Q202)</f>
        <v>0</v>
      </c>
      <c r="R198" s="101">
        <f>SUM(R199:R202)</f>
        <v>1635359</v>
      </c>
      <c r="S198" s="101">
        <f t="shared" si="81"/>
        <v>0</v>
      </c>
      <c r="T198" s="101">
        <f>SUM(T199:T202)</f>
        <v>0</v>
      </c>
    </row>
    <row r="199" spans="2:20" ht="13.9" customHeight="1" x14ac:dyDescent="0.25">
      <c r="B199" s="94" t="s">
        <v>478</v>
      </c>
      <c r="C199" s="176" t="s">
        <v>67</v>
      </c>
      <c r="D199" s="177" t="s">
        <v>479</v>
      </c>
      <c r="E199" s="48"/>
      <c r="F199" s="48">
        <f>F54-F200</f>
        <v>15228</v>
      </c>
      <c r="G199" s="48"/>
      <c r="H199" s="48"/>
      <c r="I199" s="48"/>
      <c r="J199" s="185">
        <f>(19000+(168000-28000+10000)+73500+10300+10000)+7000+25000</f>
        <v>294800</v>
      </c>
      <c r="K199" s="51">
        <f>[1]BAZE_2026!G158-1.31</f>
        <v>505244.00177860021</v>
      </c>
      <c r="L199" s="50">
        <f t="shared" ref="L199:L211" si="106">E199+F199+G199+H199+I199+J199+K199</f>
        <v>815272.00177860027</v>
      </c>
      <c r="M199" s="50">
        <f>ROUND(L199,0)</f>
        <v>815272</v>
      </c>
      <c r="N199" s="51">
        <v>815272</v>
      </c>
      <c r="O199" s="51">
        <f t="shared" ref="O199:O206" si="107">ROUND(N199,0)</f>
        <v>815272</v>
      </c>
      <c r="P199" s="49">
        <f t="shared" si="74"/>
        <v>0</v>
      </c>
      <c r="Q199" s="187"/>
      <c r="R199" s="51">
        <f>ROUND(O199,0)</f>
        <v>815272</v>
      </c>
      <c r="S199" s="49">
        <f t="shared" ref="S199:S262" si="108">R199-O199</f>
        <v>0</v>
      </c>
      <c r="T199" s="187"/>
    </row>
    <row r="200" spans="2:20" ht="14.25" customHeight="1" x14ac:dyDescent="0.25">
      <c r="B200" s="94" t="s">
        <v>480</v>
      </c>
      <c r="C200" s="176" t="s">
        <v>70</v>
      </c>
      <c r="D200" s="177" t="s">
        <v>481</v>
      </c>
      <c r="E200" s="48"/>
      <c r="F200" s="48">
        <v>10998</v>
      </c>
      <c r="G200" s="48"/>
      <c r="H200" s="48"/>
      <c r="I200" s="48"/>
      <c r="J200" s="185">
        <f>(254500-28000+10000+9200)+11266</f>
        <v>256966</v>
      </c>
      <c r="K200" s="51">
        <f>[1]BAZE_2026!G165+0.52</f>
        <v>298404.00484048499</v>
      </c>
      <c r="L200" s="50">
        <f t="shared" si="106"/>
        <v>566368.00484048505</v>
      </c>
      <c r="M200" s="50">
        <f>ROUND(L200,0)</f>
        <v>566368</v>
      </c>
      <c r="N200" s="51">
        <v>566368</v>
      </c>
      <c r="O200" s="51">
        <f t="shared" si="107"/>
        <v>566368</v>
      </c>
      <c r="P200" s="49">
        <f t="shared" si="74"/>
        <v>0</v>
      </c>
      <c r="Q200" s="187"/>
      <c r="R200" s="51">
        <f t="shared" ref="R200:R206" si="109">ROUND(O200,0)</f>
        <v>566368</v>
      </c>
      <c r="S200" s="49">
        <f t="shared" si="108"/>
        <v>0</v>
      </c>
      <c r="T200" s="187"/>
    </row>
    <row r="201" spans="2:20" ht="25.9" customHeight="1" x14ac:dyDescent="0.25">
      <c r="B201" s="94" t="s">
        <v>482</v>
      </c>
      <c r="C201" s="176" t="s">
        <v>73</v>
      </c>
      <c r="D201" s="177" t="s">
        <v>483</v>
      </c>
      <c r="E201" s="48">
        <v>4500</v>
      </c>
      <c r="F201" s="48"/>
      <c r="G201" s="48">
        <v>9900</v>
      </c>
      <c r="H201" s="48"/>
      <c r="I201" s="48"/>
      <c r="J201" s="48">
        <f>2300</f>
        <v>2300</v>
      </c>
      <c r="K201" s="51">
        <f>[1]BAZE_2026!G192+0.87</f>
        <v>190847.00068499998</v>
      </c>
      <c r="L201" s="50">
        <f>E201+F201+G201+H201+I201+J201+K201</f>
        <v>207547.00068499998</v>
      </c>
      <c r="M201" s="50">
        <f>ROUND(L201,0)</f>
        <v>207547</v>
      </c>
      <c r="N201" s="51">
        <v>207547</v>
      </c>
      <c r="O201" s="51">
        <f t="shared" si="107"/>
        <v>207547</v>
      </c>
      <c r="P201" s="49">
        <f t="shared" si="74"/>
        <v>0</v>
      </c>
      <c r="Q201" s="69"/>
      <c r="R201" s="51">
        <f t="shared" si="109"/>
        <v>207547</v>
      </c>
      <c r="S201" s="49">
        <f t="shared" si="108"/>
        <v>0</v>
      </c>
      <c r="T201" s="69"/>
    </row>
    <row r="202" spans="2:20" ht="13.9" customHeight="1" x14ac:dyDescent="0.25">
      <c r="B202" s="94" t="s">
        <v>484</v>
      </c>
      <c r="C202" s="176" t="s">
        <v>485</v>
      </c>
      <c r="D202" s="177" t="s">
        <v>486</v>
      </c>
      <c r="E202" s="48"/>
      <c r="F202" s="48"/>
      <c r="G202" s="48"/>
      <c r="H202" s="48"/>
      <c r="I202" s="48"/>
      <c r="J202" s="48">
        <f>2723+5000</f>
        <v>7723</v>
      </c>
      <c r="K202" s="51">
        <f>[1]BAZE_2026!G198+0.02</f>
        <v>38448.999999999993</v>
      </c>
      <c r="L202" s="50">
        <f>E202+F202+G202+H202+I202+J202+K202</f>
        <v>46171.999999999993</v>
      </c>
      <c r="M202" s="80">
        <f>ROUND(L202,0)</f>
        <v>46172</v>
      </c>
      <c r="N202" s="139">
        <v>46172</v>
      </c>
      <c r="O202" s="139">
        <f t="shared" si="107"/>
        <v>46172</v>
      </c>
      <c r="P202" s="49">
        <f t="shared" si="74"/>
        <v>0</v>
      </c>
      <c r="Q202" s="212"/>
      <c r="R202" s="139">
        <f t="shared" si="109"/>
        <v>46172</v>
      </c>
      <c r="S202" s="49">
        <f t="shared" si="108"/>
        <v>0</v>
      </c>
      <c r="T202" s="212"/>
    </row>
    <row r="203" spans="2:20" ht="29.45" hidden="1" customHeight="1" outlineLevel="1" x14ac:dyDescent="0.25">
      <c r="B203" s="94" t="s">
        <v>487</v>
      </c>
      <c r="C203" s="213" t="s">
        <v>76</v>
      </c>
      <c r="D203" s="214" t="s">
        <v>488</v>
      </c>
      <c r="E203" s="73"/>
      <c r="F203" s="73"/>
      <c r="G203" s="73"/>
      <c r="H203" s="73"/>
      <c r="I203" s="73"/>
      <c r="J203" s="73"/>
      <c r="K203" s="74"/>
      <c r="L203" s="75">
        <f t="shared" si="106"/>
        <v>0</v>
      </c>
      <c r="M203" s="75"/>
      <c r="N203" s="101"/>
      <c r="O203" s="101"/>
      <c r="P203" s="74">
        <f t="shared" si="74"/>
        <v>0</v>
      </c>
      <c r="Q203" s="215" t="s">
        <v>489</v>
      </c>
      <c r="R203" s="101">
        <f t="shared" si="109"/>
        <v>0</v>
      </c>
      <c r="S203" s="74">
        <f t="shared" si="108"/>
        <v>0</v>
      </c>
      <c r="T203" s="108"/>
    </row>
    <row r="204" spans="2:20" ht="27" hidden="1" customHeight="1" outlineLevel="1" x14ac:dyDescent="0.25">
      <c r="B204" s="94" t="s">
        <v>490</v>
      </c>
      <c r="C204" s="213" t="s">
        <v>491</v>
      </c>
      <c r="D204" s="214" t="s">
        <v>492</v>
      </c>
      <c r="E204" s="73">
        <v>0</v>
      </c>
      <c r="F204" s="73"/>
      <c r="G204" s="73"/>
      <c r="H204" s="73"/>
      <c r="I204" s="73"/>
      <c r="J204" s="73"/>
      <c r="K204" s="74"/>
      <c r="L204" s="75">
        <f t="shared" si="106"/>
        <v>0</v>
      </c>
      <c r="M204" s="75"/>
      <c r="N204" s="101"/>
      <c r="O204" s="101"/>
      <c r="P204" s="74">
        <f t="shared" si="74"/>
        <v>0</v>
      </c>
      <c r="Q204" s="108"/>
      <c r="R204" s="101">
        <f t="shared" si="109"/>
        <v>0</v>
      </c>
      <c r="S204" s="74">
        <f t="shared" si="108"/>
        <v>0</v>
      </c>
      <c r="T204" s="108"/>
    </row>
    <row r="205" spans="2:20" ht="15" customHeight="1" collapsed="1" x14ac:dyDescent="0.25">
      <c r="B205" s="94" t="s">
        <v>493</v>
      </c>
      <c r="C205" s="170" t="s">
        <v>76</v>
      </c>
      <c r="D205" s="171" t="s">
        <v>494</v>
      </c>
      <c r="E205" s="73"/>
      <c r="F205" s="73"/>
      <c r="G205" s="73"/>
      <c r="H205" s="73"/>
      <c r="I205" s="73"/>
      <c r="J205" s="73"/>
      <c r="K205" s="101">
        <f>[1]BAZE_2026!G172-0.3</f>
        <v>162922.00499610003</v>
      </c>
      <c r="L205" s="75">
        <f t="shared" si="106"/>
        <v>162922.00499610003</v>
      </c>
      <c r="M205" s="75">
        <f>ROUND(L205,0)</f>
        <v>162922</v>
      </c>
      <c r="N205" s="101">
        <v>162922</v>
      </c>
      <c r="O205" s="101">
        <f t="shared" si="107"/>
        <v>162922</v>
      </c>
      <c r="P205" s="74">
        <f t="shared" si="74"/>
        <v>0</v>
      </c>
      <c r="Q205" s="216"/>
      <c r="R205" s="101">
        <f t="shared" si="109"/>
        <v>162922</v>
      </c>
      <c r="S205" s="74">
        <f t="shared" si="108"/>
        <v>0</v>
      </c>
      <c r="T205" s="216"/>
    </row>
    <row r="206" spans="2:20" ht="15.6" customHeight="1" x14ac:dyDescent="0.25">
      <c r="B206" s="94" t="s">
        <v>495</v>
      </c>
      <c r="C206" s="170" t="s">
        <v>491</v>
      </c>
      <c r="D206" s="171" t="s">
        <v>496</v>
      </c>
      <c r="E206" s="73"/>
      <c r="F206" s="73"/>
      <c r="G206" s="73"/>
      <c r="H206" s="73"/>
      <c r="I206" s="73"/>
      <c r="J206" s="73"/>
      <c r="K206" s="101">
        <f>[1]BAZE_2026!G177+0.21</f>
        <v>77820.004303670008</v>
      </c>
      <c r="L206" s="75">
        <f t="shared" si="106"/>
        <v>77820.004303670008</v>
      </c>
      <c r="M206" s="75">
        <f>ROUND(L206,0)</f>
        <v>77820</v>
      </c>
      <c r="N206" s="101">
        <v>77820</v>
      </c>
      <c r="O206" s="101">
        <f t="shared" si="107"/>
        <v>77820</v>
      </c>
      <c r="P206" s="74">
        <f t="shared" ref="P206:P274" si="110">O206-N206</f>
        <v>0</v>
      </c>
      <c r="Q206" s="216"/>
      <c r="R206" s="101">
        <f t="shared" si="109"/>
        <v>77820</v>
      </c>
      <c r="S206" s="74">
        <f t="shared" si="108"/>
        <v>0</v>
      </c>
      <c r="T206" s="216"/>
    </row>
    <row r="207" spans="2:20" ht="15" customHeight="1" x14ac:dyDescent="0.25">
      <c r="B207" s="94" t="s">
        <v>301</v>
      </c>
      <c r="C207" s="170" t="s">
        <v>497</v>
      </c>
      <c r="D207" s="171" t="s">
        <v>498</v>
      </c>
      <c r="E207" s="73">
        <f>E208+E209</f>
        <v>0</v>
      </c>
      <c r="F207" s="73">
        <f t="shared" ref="F207:O207" si="111">F208+F209</f>
        <v>0</v>
      </c>
      <c r="G207" s="73">
        <f t="shared" si="111"/>
        <v>0</v>
      </c>
      <c r="H207" s="73">
        <f t="shared" si="111"/>
        <v>0</v>
      </c>
      <c r="I207" s="74">
        <f>I208+I209</f>
        <v>324250</v>
      </c>
      <c r="J207" s="73">
        <f t="shared" si="111"/>
        <v>474818</v>
      </c>
      <c r="K207" s="101">
        <f>K208+K209</f>
        <v>292446.00413639005</v>
      </c>
      <c r="L207" s="75">
        <f t="shared" si="111"/>
        <v>1091514.0041363901</v>
      </c>
      <c r="M207" s="75">
        <f t="shared" si="111"/>
        <v>1091514</v>
      </c>
      <c r="N207" s="101">
        <f>N208+N209</f>
        <v>1091514</v>
      </c>
      <c r="O207" s="101">
        <f t="shared" si="111"/>
        <v>1109664</v>
      </c>
      <c r="P207" s="74">
        <f t="shared" si="110"/>
        <v>18150</v>
      </c>
      <c r="Q207" s="108"/>
      <c r="R207" s="101">
        <f t="shared" ref="R207" si="112">R208+R209</f>
        <v>1109664</v>
      </c>
      <c r="S207" s="74">
        <f t="shared" si="108"/>
        <v>0</v>
      </c>
      <c r="T207" s="108"/>
    </row>
    <row r="208" spans="2:20" ht="31.9" customHeight="1" x14ac:dyDescent="0.25">
      <c r="B208" s="94"/>
      <c r="C208" s="217" t="s">
        <v>499</v>
      </c>
      <c r="D208" s="177" t="s">
        <v>500</v>
      </c>
      <c r="E208" s="48"/>
      <c r="F208" s="48"/>
      <c r="G208" s="48"/>
      <c r="H208" s="48"/>
      <c r="I208" s="49"/>
      <c r="J208" s="185">
        <f>10000+(192118+10000)+(2700+200000)+50000</f>
        <v>464818</v>
      </c>
      <c r="K208" s="49">
        <f>[1]BAZE_2026!G182-I209-0.74</f>
        <v>292446.00413639005</v>
      </c>
      <c r="L208" s="50">
        <f>E208+F208+G208+H208+I208+J208+K208</f>
        <v>757264.00413639005</v>
      </c>
      <c r="M208" s="80">
        <f>ROUND(L208,0)</f>
        <v>757264</v>
      </c>
      <c r="N208" s="139">
        <v>757264</v>
      </c>
      <c r="O208" s="139">
        <f>ROUND(N208,0)+18150</f>
        <v>775414</v>
      </c>
      <c r="P208" s="218">
        <f t="shared" si="110"/>
        <v>18150</v>
      </c>
      <c r="Q208" s="219" t="s">
        <v>501</v>
      </c>
      <c r="R208" s="139">
        <f t="shared" ref="R208:R211" si="113">ROUND(O208,0)</f>
        <v>775414</v>
      </c>
      <c r="S208" s="218">
        <f t="shared" si="108"/>
        <v>0</v>
      </c>
      <c r="T208" s="219"/>
    </row>
    <row r="209" spans="2:20" ht="16.5" customHeight="1" x14ac:dyDescent="0.25">
      <c r="B209" s="94"/>
      <c r="C209" s="217" t="s">
        <v>502</v>
      </c>
      <c r="D209" s="177" t="s">
        <v>503</v>
      </c>
      <c r="E209" s="48"/>
      <c r="F209" s="48"/>
      <c r="G209" s="48"/>
      <c r="H209" s="48"/>
      <c r="I209" s="97">
        <f>[1]BAZE_2026!G186</f>
        <v>324250</v>
      </c>
      <c r="J209" s="185">
        <f>(80000-80000+10000)</f>
        <v>10000</v>
      </c>
      <c r="K209" s="1"/>
      <c r="L209" s="50">
        <f>E209+F209+G209+H209+I209+J209+K209</f>
        <v>334250</v>
      </c>
      <c r="M209" s="80">
        <f>ROUND(L209,0)</f>
        <v>334250</v>
      </c>
      <c r="N209" s="139">
        <v>334250</v>
      </c>
      <c r="O209" s="139">
        <f>ROUND(N209,0)</f>
        <v>334250</v>
      </c>
      <c r="P209" s="209">
        <f t="shared" si="110"/>
        <v>0</v>
      </c>
      <c r="Q209" s="220"/>
      <c r="R209" s="139">
        <f t="shared" si="113"/>
        <v>334250</v>
      </c>
      <c r="S209" s="209">
        <f t="shared" si="108"/>
        <v>0</v>
      </c>
      <c r="T209" s="220"/>
    </row>
    <row r="210" spans="2:20" ht="15.6" customHeight="1" x14ac:dyDescent="0.25">
      <c r="B210" s="94" t="s">
        <v>504</v>
      </c>
      <c r="C210" s="170" t="s">
        <v>505</v>
      </c>
      <c r="D210" s="171" t="s">
        <v>506</v>
      </c>
      <c r="E210" s="73"/>
      <c r="F210" s="73"/>
      <c r="G210" s="73"/>
      <c r="H210" s="73"/>
      <c r="I210" s="73"/>
      <c r="J210" s="185">
        <f>4000+2000</f>
        <v>6000</v>
      </c>
      <c r="K210" s="74"/>
      <c r="L210" s="75">
        <f>E210+F210+G210+H210+I210+J210+K210</f>
        <v>6000</v>
      </c>
      <c r="M210" s="75">
        <f>ROUND(L210,0)</f>
        <v>6000</v>
      </c>
      <c r="N210" s="101">
        <v>6000</v>
      </c>
      <c r="O210" s="101">
        <f>ROUND(N210,0)</f>
        <v>6000</v>
      </c>
      <c r="P210" s="74">
        <f t="shared" si="110"/>
        <v>0</v>
      </c>
      <c r="Q210" s="172"/>
      <c r="R210" s="101">
        <f t="shared" si="113"/>
        <v>6000</v>
      </c>
      <c r="S210" s="74">
        <f t="shared" si="108"/>
        <v>0</v>
      </c>
      <c r="T210" s="172"/>
    </row>
    <row r="211" spans="2:20" ht="15.6" customHeight="1" x14ac:dyDescent="0.25">
      <c r="B211" s="94" t="s">
        <v>507</v>
      </c>
      <c r="C211" s="170" t="s">
        <v>508</v>
      </c>
      <c r="D211" s="171" t="s">
        <v>509</v>
      </c>
      <c r="E211" s="73"/>
      <c r="F211" s="73"/>
      <c r="G211" s="73"/>
      <c r="H211" s="73"/>
      <c r="I211" s="73"/>
      <c r="J211" s="73"/>
      <c r="K211" s="101">
        <f>[1]BAZE_2026!G204-0.17</f>
        <v>19228.003900000003</v>
      </c>
      <c r="L211" s="75">
        <f t="shared" si="106"/>
        <v>19228.003900000003</v>
      </c>
      <c r="M211" s="75">
        <f>ROUND(L211,0)</f>
        <v>19228</v>
      </c>
      <c r="N211" s="101">
        <v>19228</v>
      </c>
      <c r="O211" s="101">
        <f>ROUND(N211,0)</f>
        <v>19228</v>
      </c>
      <c r="P211" s="74">
        <f t="shared" si="110"/>
        <v>0</v>
      </c>
      <c r="Q211" s="172"/>
      <c r="R211" s="101">
        <f t="shared" si="113"/>
        <v>19228</v>
      </c>
      <c r="S211" s="74">
        <f t="shared" si="108"/>
        <v>0</v>
      </c>
      <c r="T211" s="172"/>
    </row>
    <row r="212" spans="2:20" s="159" customFormat="1" ht="15.6" customHeight="1" x14ac:dyDescent="0.2">
      <c r="C212" s="173" t="s">
        <v>97</v>
      </c>
      <c r="D212" s="174" t="s">
        <v>510</v>
      </c>
      <c r="E212" s="55">
        <f>E213+E219+E222+E227+E228+E229+E230+E231</f>
        <v>43361.74</v>
      </c>
      <c r="F212" s="55">
        <f t="shared" ref="F212:M212" si="114">F213+F219+F222+F227+F228+F229+F230+F231</f>
        <v>842542</v>
      </c>
      <c r="G212" s="55">
        <f t="shared" si="114"/>
        <v>9799.260000000002</v>
      </c>
      <c r="H212" s="55">
        <f t="shared" si="114"/>
        <v>0</v>
      </c>
      <c r="I212" s="56">
        <f t="shared" si="114"/>
        <v>13416</v>
      </c>
      <c r="J212" s="55">
        <f t="shared" si="114"/>
        <v>459930</v>
      </c>
      <c r="K212" s="56">
        <f t="shared" si="114"/>
        <v>2540684.8815422901</v>
      </c>
      <c r="L212" s="57">
        <f t="shared" si="114"/>
        <v>3909733.8815422901</v>
      </c>
      <c r="M212" s="211">
        <f t="shared" si="114"/>
        <v>3909733</v>
      </c>
      <c r="N212" s="56">
        <f>N213+N219+N222+N227+N228+N229+N230+N231</f>
        <v>3909733</v>
      </c>
      <c r="O212" s="56">
        <f>O213+O219+O222+O227+O228+O229+O230+O231</f>
        <v>3909733</v>
      </c>
      <c r="P212" s="56">
        <f t="shared" si="110"/>
        <v>0</v>
      </c>
      <c r="Q212" s="56"/>
      <c r="R212" s="56">
        <f>R213+R219+R222+R227+R228+R229+R230+R231</f>
        <v>3990102</v>
      </c>
      <c r="S212" s="56">
        <f t="shared" si="108"/>
        <v>80369</v>
      </c>
      <c r="T212" s="56"/>
    </row>
    <row r="213" spans="2:20" s="159" customFormat="1" ht="15" customHeight="1" x14ac:dyDescent="0.25">
      <c r="C213" s="170" t="s">
        <v>100</v>
      </c>
      <c r="D213" s="171" t="s">
        <v>511</v>
      </c>
      <c r="E213" s="73">
        <f>SUM(E214:E218)</f>
        <v>3937</v>
      </c>
      <c r="F213" s="73">
        <f t="shared" ref="F213:K213" si="115">SUM(F214:F218)</f>
        <v>761542</v>
      </c>
      <c r="G213" s="73">
        <f t="shared" si="115"/>
        <v>0</v>
      </c>
      <c r="H213" s="73">
        <f t="shared" si="115"/>
        <v>0</v>
      </c>
      <c r="I213" s="74">
        <f t="shared" si="115"/>
        <v>1767</v>
      </c>
      <c r="J213" s="73">
        <f t="shared" si="115"/>
        <v>453430</v>
      </c>
      <c r="K213" s="74">
        <f t="shared" si="115"/>
        <v>1959048.87565216</v>
      </c>
      <c r="L213" s="75">
        <f>SUM(L214:L218)</f>
        <v>3179724.87565216</v>
      </c>
      <c r="M213" s="221">
        <f>SUM(M214:M218)</f>
        <v>3179724</v>
      </c>
      <c r="N213" s="74">
        <f>SUM(N214:N218)</f>
        <v>3179724</v>
      </c>
      <c r="O213" s="74">
        <f>SUM(O214:O218)</f>
        <v>3179724</v>
      </c>
      <c r="P213" s="74">
        <f t="shared" si="110"/>
        <v>0</v>
      </c>
      <c r="Q213" s="74"/>
      <c r="R213" s="74">
        <f>SUM(R214:R218)</f>
        <v>3179724</v>
      </c>
      <c r="S213" s="74">
        <f t="shared" si="108"/>
        <v>0</v>
      </c>
      <c r="T213" s="74"/>
    </row>
    <row r="214" spans="2:20" s="222" customFormat="1" ht="18" customHeight="1" outlineLevel="1" x14ac:dyDescent="0.25">
      <c r="B214" s="222" t="s">
        <v>512</v>
      </c>
      <c r="C214" s="217" t="s">
        <v>513</v>
      </c>
      <c r="D214" s="223" t="s">
        <v>514</v>
      </c>
      <c r="E214" s="208">
        <f>3937</f>
        <v>3937</v>
      </c>
      <c r="F214" s="208">
        <v>3000</v>
      </c>
      <c r="G214" s="208"/>
      <c r="H214" s="208"/>
      <c r="I214" s="209"/>
      <c r="J214" s="208"/>
      <c r="K214" s="209">
        <f>[1]BAZE_2026!G217-K215-I218</f>
        <v>678678.42235216009</v>
      </c>
      <c r="L214" s="224">
        <f>E214+F214+G214+H214+I214+J214+K214</f>
        <v>685615.42235216009</v>
      </c>
      <c r="M214" s="224">
        <f>ROUND(L214,0)</f>
        <v>685615</v>
      </c>
      <c r="N214" s="225">
        <v>685615</v>
      </c>
      <c r="O214" s="225">
        <f>ROUND(N214,0)</f>
        <v>685615</v>
      </c>
      <c r="P214" s="209">
        <f t="shared" si="110"/>
        <v>0</v>
      </c>
      <c r="Q214" s="99"/>
      <c r="R214" s="225">
        <f t="shared" ref="R214:R218" si="116">ROUND(O214,0)</f>
        <v>685615</v>
      </c>
      <c r="S214" s="209">
        <f t="shared" si="108"/>
        <v>0</v>
      </c>
      <c r="T214" s="99"/>
    </row>
    <row r="215" spans="2:20" s="222" customFormat="1" ht="15.6" customHeight="1" outlineLevel="1" x14ac:dyDescent="0.25">
      <c r="B215" s="226" t="s">
        <v>515</v>
      </c>
      <c r="C215" s="217" t="s">
        <v>516</v>
      </c>
      <c r="D215" s="223" t="s">
        <v>517</v>
      </c>
      <c r="E215" s="208"/>
      <c r="F215" s="208">
        <f>3000+18000+30000+14170+51372</f>
        <v>116542</v>
      </c>
      <c r="G215" s="208"/>
      <c r="H215" s="208"/>
      <c r="I215" s="209"/>
      <c r="J215" s="208">
        <f>453430</f>
        <v>453430</v>
      </c>
      <c r="K215" s="209">
        <f>[1]BAZE_2026!G220+[1]BAZE_2026!G226</f>
        <v>1280370.4532999999</v>
      </c>
      <c r="L215" s="224">
        <f>E215+F215+G215+H215+I215+J215+K215</f>
        <v>1850342.4532999999</v>
      </c>
      <c r="M215" s="224">
        <f>ROUND(L215,0)</f>
        <v>1850342</v>
      </c>
      <c r="N215" s="225">
        <v>1850342</v>
      </c>
      <c r="O215" s="225">
        <f t="shared" ref="O215:O257" si="117">ROUND(N215,0)</f>
        <v>1850342</v>
      </c>
      <c r="P215" s="209">
        <f t="shared" si="110"/>
        <v>0</v>
      </c>
      <c r="Q215" s="69"/>
      <c r="R215" s="225">
        <f t="shared" si="116"/>
        <v>1850342</v>
      </c>
      <c r="S215" s="209">
        <f t="shared" si="108"/>
        <v>0</v>
      </c>
      <c r="T215" s="69"/>
    </row>
    <row r="216" spans="2:20" s="222" customFormat="1" ht="17.45" customHeight="1" outlineLevel="1" x14ac:dyDescent="0.25">
      <c r="B216" s="222">
        <v>1010</v>
      </c>
      <c r="C216" s="217" t="s">
        <v>518</v>
      </c>
      <c r="D216" s="223" t="s">
        <v>519</v>
      </c>
      <c r="E216" s="208"/>
      <c r="F216" s="208">
        <f>F58</f>
        <v>0</v>
      </c>
      <c r="G216" s="208"/>
      <c r="H216" s="208"/>
      <c r="I216" s="209"/>
      <c r="J216" s="208"/>
      <c r="K216" s="209"/>
      <c r="L216" s="224">
        <f>E216+F216+G216+H216+I216+J216+K216</f>
        <v>0</v>
      </c>
      <c r="M216" s="224">
        <f>ROUND(L216,0)</f>
        <v>0</v>
      </c>
      <c r="N216" s="225">
        <v>0</v>
      </c>
      <c r="O216" s="225">
        <f t="shared" si="117"/>
        <v>0</v>
      </c>
      <c r="P216" s="209">
        <f t="shared" si="110"/>
        <v>0</v>
      </c>
      <c r="Q216" s="99"/>
      <c r="R216" s="225">
        <f t="shared" si="116"/>
        <v>0</v>
      </c>
      <c r="S216" s="209">
        <f t="shared" si="108"/>
        <v>0</v>
      </c>
      <c r="T216" s="99"/>
    </row>
    <row r="217" spans="2:20" s="222" customFormat="1" outlineLevel="1" x14ac:dyDescent="0.25">
      <c r="B217" s="222">
        <v>1012</v>
      </c>
      <c r="C217" s="217" t="s">
        <v>520</v>
      </c>
      <c r="D217" s="223" t="s">
        <v>521</v>
      </c>
      <c r="E217" s="208"/>
      <c r="F217" s="208">
        <f>F57</f>
        <v>642000</v>
      </c>
      <c r="G217" s="208"/>
      <c r="H217" s="208"/>
      <c r="I217" s="209"/>
      <c r="J217" s="208"/>
      <c r="K217" s="209"/>
      <c r="L217" s="224">
        <f>E217+F217+G217+H217+I217+J217+K217</f>
        <v>642000</v>
      </c>
      <c r="M217" s="224">
        <f>ROUND(L217,0)</f>
        <v>642000</v>
      </c>
      <c r="N217" s="225">
        <v>642000</v>
      </c>
      <c r="O217" s="225">
        <f t="shared" si="117"/>
        <v>642000</v>
      </c>
      <c r="P217" s="209">
        <f t="shared" si="110"/>
        <v>0</v>
      </c>
      <c r="Q217" s="227"/>
      <c r="R217" s="225">
        <f t="shared" si="116"/>
        <v>642000</v>
      </c>
      <c r="S217" s="209">
        <f t="shared" si="108"/>
        <v>0</v>
      </c>
      <c r="T217" s="227"/>
    </row>
    <row r="218" spans="2:20" s="222" customFormat="1" outlineLevel="1" x14ac:dyDescent="0.25">
      <c r="C218" s="217" t="s">
        <v>522</v>
      </c>
      <c r="D218" s="223" t="s">
        <v>523</v>
      </c>
      <c r="E218" s="208"/>
      <c r="F218" s="208"/>
      <c r="G218" s="208"/>
      <c r="H218" s="208"/>
      <c r="I218" s="97">
        <f>[1]BAZE_2026!G222</f>
        <v>1767</v>
      </c>
      <c r="J218" s="208"/>
      <c r="K218" s="228"/>
      <c r="L218" s="224">
        <f>E218+F218+G218+H218+I218+J218+K218</f>
        <v>1767</v>
      </c>
      <c r="M218" s="224">
        <f>ROUND(L218,0)</f>
        <v>1767</v>
      </c>
      <c r="N218" s="225">
        <v>1767</v>
      </c>
      <c r="O218" s="225">
        <f t="shared" si="117"/>
        <v>1767</v>
      </c>
      <c r="P218" s="209">
        <f t="shared" si="110"/>
        <v>0</v>
      </c>
      <c r="Q218" s="227"/>
      <c r="R218" s="225">
        <f t="shared" si="116"/>
        <v>1767</v>
      </c>
      <c r="S218" s="209">
        <f t="shared" si="108"/>
        <v>0</v>
      </c>
      <c r="T218" s="227"/>
    </row>
    <row r="219" spans="2:20" s="159" customFormat="1" ht="19.5" customHeight="1" x14ac:dyDescent="0.25">
      <c r="C219" s="170" t="s">
        <v>102</v>
      </c>
      <c r="D219" s="171" t="s">
        <v>524</v>
      </c>
      <c r="E219" s="73">
        <f>E220+E221</f>
        <v>869</v>
      </c>
      <c r="F219" s="73">
        <f t="shared" ref="F219:L219" si="118">F220+F221</f>
        <v>5000</v>
      </c>
      <c r="G219" s="73">
        <f t="shared" si="118"/>
        <v>0</v>
      </c>
      <c r="H219" s="73">
        <f t="shared" si="118"/>
        <v>0</v>
      </c>
      <c r="I219" s="74">
        <f>I220+I221</f>
        <v>0</v>
      </c>
      <c r="J219" s="73">
        <f t="shared" si="118"/>
        <v>0</v>
      </c>
      <c r="K219" s="74">
        <f t="shared" si="118"/>
        <v>1000</v>
      </c>
      <c r="L219" s="75">
        <f t="shared" si="118"/>
        <v>6869</v>
      </c>
      <c r="M219" s="75">
        <f>M220+M221</f>
        <v>6869</v>
      </c>
      <c r="N219" s="101">
        <f>N220+N221</f>
        <v>6869</v>
      </c>
      <c r="O219" s="101">
        <f>O220+O221</f>
        <v>6869</v>
      </c>
      <c r="P219" s="74">
        <f t="shared" si="110"/>
        <v>0</v>
      </c>
      <c r="Q219" s="108"/>
      <c r="R219" s="101">
        <f>R220+R221</f>
        <v>6869</v>
      </c>
      <c r="S219" s="74">
        <f t="shared" si="108"/>
        <v>0</v>
      </c>
      <c r="T219" s="108"/>
    </row>
    <row r="220" spans="2:20" s="222" customFormat="1" outlineLevel="1" x14ac:dyDescent="0.25">
      <c r="B220" s="222">
        <v>1011</v>
      </c>
      <c r="C220" s="229" t="s">
        <v>525</v>
      </c>
      <c r="D220" s="223" t="s">
        <v>526</v>
      </c>
      <c r="E220" s="208"/>
      <c r="F220" s="208"/>
      <c r="G220" s="208"/>
      <c r="H220" s="208"/>
      <c r="I220" s="209"/>
      <c r="J220" s="208"/>
      <c r="K220" s="209">
        <f>[1]BAZE_2026!G235</f>
        <v>1000</v>
      </c>
      <c r="L220" s="224">
        <f>E220+F220+G220+H220+I220+J220+K220</f>
        <v>1000</v>
      </c>
      <c r="M220" s="224">
        <f>ROUND(L220,0)</f>
        <v>1000</v>
      </c>
      <c r="N220" s="225">
        <v>1000</v>
      </c>
      <c r="O220" s="225">
        <f t="shared" si="117"/>
        <v>1000</v>
      </c>
      <c r="P220" s="209">
        <f t="shared" si="110"/>
        <v>0</v>
      </c>
      <c r="Q220" s="227"/>
      <c r="R220" s="225">
        <f t="shared" ref="R220:R221" si="119">ROUND(O220,0)</f>
        <v>1000</v>
      </c>
      <c r="S220" s="209">
        <f t="shared" si="108"/>
        <v>0</v>
      </c>
      <c r="T220" s="227"/>
    </row>
    <row r="221" spans="2:20" s="222" customFormat="1" outlineLevel="1" x14ac:dyDescent="0.25">
      <c r="B221" s="222">
        <v>1011</v>
      </c>
      <c r="C221" s="229" t="s">
        <v>527</v>
      </c>
      <c r="D221" s="223" t="s">
        <v>528</v>
      </c>
      <c r="E221" s="208">
        <f>E64</f>
        <v>869</v>
      </c>
      <c r="F221" s="208">
        <f>F64</f>
        <v>5000</v>
      </c>
      <c r="G221" s="208"/>
      <c r="H221" s="208"/>
      <c r="I221" s="209"/>
      <c r="J221" s="208"/>
      <c r="K221" s="209"/>
      <c r="L221" s="224">
        <f>E221+F221+G221+H221+I221+J221+K221</f>
        <v>5869</v>
      </c>
      <c r="M221" s="224">
        <f>ROUND(L221,0)</f>
        <v>5869</v>
      </c>
      <c r="N221" s="225">
        <v>5869</v>
      </c>
      <c r="O221" s="225">
        <f t="shared" si="117"/>
        <v>5869</v>
      </c>
      <c r="P221" s="209">
        <f t="shared" si="110"/>
        <v>0</v>
      </c>
      <c r="Q221" s="227"/>
      <c r="R221" s="225">
        <f t="shared" si="119"/>
        <v>5869</v>
      </c>
      <c r="S221" s="209">
        <f t="shared" si="108"/>
        <v>0</v>
      </c>
      <c r="T221" s="227"/>
    </row>
    <row r="222" spans="2:20" s="159" customFormat="1" ht="26.25" customHeight="1" x14ac:dyDescent="0.25">
      <c r="C222" s="170" t="s">
        <v>529</v>
      </c>
      <c r="D222" s="171" t="s">
        <v>530</v>
      </c>
      <c r="E222" s="73">
        <f>SUM(E223:E226)</f>
        <v>0</v>
      </c>
      <c r="F222" s="79">
        <f t="shared" ref="F222:O222" si="120">SUM(F223:F226)</f>
        <v>23500</v>
      </c>
      <c r="G222" s="79">
        <f t="shared" si="120"/>
        <v>0</v>
      </c>
      <c r="H222" s="79">
        <f t="shared" si="120"/>
        <v>0</v>
      </c>
      <c r="I222" s="78">
        <f t="shared" si="120"/>
        <v>11649</v>
      </c>
      <c r="J222" s="79">
        <f t="shared" si="120"/>
        <v>6500</v>
      </c>
      <c r="K222" s="78">
        <f>SUM(K223:K226)</f>
        <v>413236.00452180998</v>
      </c>
      <c r="L222" s="76">
        <f>SUM(L223:L226)</f>
        <v>454885.00452180998</v>
      </c>
      <c r="M222" s="76">
        <f t="shared" si="120"/>
        <v>454885</v>
      </c>
      <c r="N222" s="77">
        <f>SUM(N223:N226)</f>
        <v>454885</v>
      </c>
      <c r="O222" s="77">
        <f t="shared" si="120"/>
        <v>454885</v>
      </c>
      <c r="P222" s="78">
        <f t="shared" si="110"/>
        <v>0</v>
      </c>
      <c r="Q222" s="172"/>
      <c r="R222" s="77">
        <f t="shared" ref="R222" si="121">SUM(R223:R226)</f>
        <v>454885</v>
      </c>
      <c r="S222" s="78">
        <f t="shared" si="108"/>
        <v>0</v>
      </c>
      <c r="T222" s="172"/>
    </row>
    <row r="223" spans="2:20" s="159" customFormat="1" ht="15" customHeight="1" x14ac:dyDescent="0.25">
      <c r="B223" s="1" t="s">
        <v>531</v>
      </c>
      <c r="C223" s="230" t="s">
        <v>532</v>
      </c>
      <c r="D223" s="231" t="s">
        <v>533</v>
      </c>
      <c r="E223" s="48"/>
      <c r="F223" s="48">
        <v>23500</v>
      </c>
      <c r="G223" s="48"/>
      <c r="H223" s="48"/>
      <c r="I223" s="49"/>
      <c r="J223" s="48">
        <v>6500</v>
      </c>
      <c r="K223" s="51">
        <f>[1]BAZE_2026!G229-I224+1.2</f>
        <v>413236.00452180998</v>
      </c>
      <c r="L223" s="50">
        <f>E223+F223+G223+H223+I223+J223+K223</f>
        <v>443236.00452180998</v>
      </c>
      <c r="M223" s="50">
        <f t="shared" ref="M223:M231" si="122">ROUND(L223,0)</f>
        <v>443236</v>
      </c>
      <c r="N223" s="51">
        <v>443236</v>
      </c>
      <c r="O223" s="51">
        <f t="shared" si="117"/>
        <v>443236</v>
      </c>
      <c r="P223" s="49">
        <f t="shared" si="110"/>
        <v>0</v>
      </c>
      <c r="Q223" s="52"/>
      <c r="R223" s="51">
        <f t="shared" ref="R223:R231" si="123">ROUND(O223,0)</f>
        <v>443236</v>
      </c>
      <c r="S223" s="49">
        <f t="shared" si="108"/>
        <v>0</v>
      </c>
      <c r="T223" s="52"/>
    </row>
    <row r="224" spans="2:20" s="159" customFormat="1" ht="15" customHeight="1" x14ac:dyDescent="0.25">
      <c r="B224" s="1" t="s">
        <v>531</v>
      </c>
      <c r="C224" s="230" t="s">
        <v>534</v>
      </c>
      <c r="D224" s="231" t="s">
        <v>535</v>
      </c>
      <c r="E224" s="48"/>
      <c r="F224" s="48"/>
      <c r="G224" s="48"/>
      <c r="H224" s="48"/>
      <c r="I224" s="97">
        <f>[1]BAZE_2026!G232</f>
        <v>11649</v>
      </c>
      <c r="J224" s="48"/>
      <c r="L224" s="50">
        <f t="shared" ref="L224:L231" si="124">E224+F224+G224+H224+I224+J224+K224</f>
        <v>11649</v>
      </c>
      <c r="M224" s="50">
        <f t="shared" si="122"/>
        <v>11649</v>
      </c>
      <c r="N224" s="51">
        <v>11649</v>
      </c>
      <c r="O224" s="51">
        <f t="shared" si="117"/>
        <v>11649</v>
      </c>
      <c r="P224" s="49">
        <f t="shared" si="110"/>
        <v>0</v>
      </c>
      <c r="Q224" s="52"/>
      <c r="R224" s="51">
        <f t="shared" si="123"/>
        <v>11649</v>
      </c>
      <c r="S224" s="49">
        <f t="shared" si="108"/>
        <v>0</v>
      </c>
      <c r="T224" s="52"/>
    </row>
    <row r="225" spans="2:20" s="159" customFormat="1" ht="15.75" customHeight="1" x14ac:dyDescent="0.25">
      <c r="B225" s="1" t="s">
        <v>531</v>
      </c>
      <c r="C225" s="232" t="s">
        <v>536</v>
      </c>
      <c r="D225" s="231" t="s">
        <v>537</v>
      </c>
      <c r="E225" s="48"/>
      <c r="F225" s="48"/>
      <c r="G225" s="48"/>
      <c r="H225" s="48"/>
      <c r="I225" s="49">
        <f>I79</f>
        <v>0</v>
      </c>
      <c r="J225" s="48"/>
      <c r="K225" s="49"/>
      <c r="L225" s="50">
        <f t="shared" si="124"/>
        <v>0</v>
      </c>
      <c r="M225" s="50">
        <f t="shared" si="122"/>
        <v>0</v>
      </c>
      <c r="N225" s="51">
        <v>0</v>
      </c>
      <c r="O225" s="51">
        <f t="shared" si="117"/>
        <v>0</v>
      </c>
      <c r="P225" s="49">
        <f t="shared" si="110"/>
        <v>0</v>
      </c>
      <c r="Q225" s="52"/>
      <c r="R225" s="51">
        <f t="shared" si="123"/>
        <v>0</v>
      </c>
      <c r="S225" s="49">
        <f t="shared" si="108"/>
        <v>0</v>
      </c>
      <c r="T225" s="52"/>
    </row>
    <row r="226" spans="2:20" s="159" customFormat="1" ht="15.6" customHeight="1" x14ac:dyDescent="0.25">
      <c r="B226" s="1" t="s">
        <v>538</v>
      </c>
      <c r="C226" s="230" t="s">
        <v>539</v>
      </c>
      <c r="D226" s="231" t="s">
        <v>540</v>
      </c>
      <c r="E226" s="48"/>
      <c r="F226" s="48"/>
      <c r="G226" s="48">
        <f>G80</f>
        <v>0</v>
      </c>
      <c r="H226" s="48"/>
      <c r="I226" s="49">
        <f>I80</f>
        <v>0</v>
      </c>
      <c r="J226" s="48"/>
      <c r="K226" s="49"/>
      <c r="L226" s="50">
        <f t="shared" si="124"/>
        <v>0</v>
      </c>
      <c r="M226" s="50">
        <f t="shared" si="122"/>
        <v>0</v>
      </c>
      <c r="N226" s="51">
        <v>0</v>
      </c>
      <c r="O226" s="51">
        <f t="shared" si="117"/>
        <v>0</v>
      </c>
      <c r="P226" s="49">
        <f t="shared" si="110"/>
        <v>0</v>
      </c>
      <c r="Q226" s="52"/>
      <c r="R226" s="51">
        <f t="shared" si="123"/>
        <v>0</v>
      </c>
      <c r="S226" s="49">
        <f t="shared" si="108"/>
        <v>0</v>
      </c>
      <c r="T226" s="52"/>
    </row>
    <row r="227" spans="2:20" s="159" customFormat="1" ht="16.149999999999999" customHeight="1" x14ac:dyDescent="0.25">
      <c r="C227" s="170" t="s">
        <v>541</v>
      </c>
      <c r="D227" s="171" t="s">
        <v>542</v>
      </c>
      <c r="E227" s="73"/>
      <c r="F227" s="73"/>
      <c r="G227" s="73"/>
      <c r="H227" s="73"/>
      <c r="I227" s="73"/>
      <c r="J227" s="73"/>
      <c r="K227" s="101">
        <f>[1]BAZE_2026!G238+1.33</f>
        <v>167400.00136831999</v>
      </c>
      <c r="L227" s="75">
        <f t="shared" si="124"/>
        <v>167400.00136831999</v>
      </c>
      <c r="M227" s="75">
        <f t="shared" si="122"/>
        <v>167400</v>
      </c>
      <c r="N227" s="101">
        <v>167400</v>
      </c>
      <c r="O227" s="101">
        <f t="shared" si="117"/>
        <v>167400</v>
      </c>
      <c r="P227" s="74">
        <f t="shared" si="110"/>
        <v>0</v>
      </c>
      <c r="Q227" s="172"/>
      <c r="R227" s="101">
        <f t="shared" si="123"/>
        <v>167400</v>
      </c>
      <c r="S227" s="74">
        <f t="shared" si="108"/>
        <v>0</v>
      </c>
      <c r="T227" s="172"/>
    </row>
    <row r="228" spans="2:20" s="159" customFormat="1" ht="16.5" customHeight="1" x14ac:dyDescent="0.25">
      <c r="B228" s="1">
        <v>1016</v>
      </c>
      <c r="C228" s="170" t="s">
        <v>543</v>
      </c>
      <c r="D228" s="171" t="s">
        <v>174</v>
      </c>
      <c r="E228" s="73">
        <f>1136</f>
        <v>1136</v>
      </c>
      <c r="F228" s="73">
        <f>F62</f>
        <v>52500</v>
      </c>
      <c r="G228" s="73"/>
      <c r="H228" s="73"/>
      <c r="I228" s="73"/>
      <c r="J228" s="73"/>
      <c r="K228" s="74"/>
      <c r="L228" s="75">
        <f t="shared" si="124"/>
        <v>53636</v>
      </c>
      <c r="M228" s="75">
        <f t="shared" si="122"/>
        <v>53636</v>
      </c>
      <c r="N228" s="101">
        <v>53636</v>
      </c>
      <c r="O228" s="101">
        <f t="shared" si="117"/>
        <v>53636</v>
      </c>
      <c r="P228" s="74">
        <f t="shared" si="110"/>
        <v>0</v>
      </c>
      <c r="Q228" s="172"/>
      <c r="R228" s="101">
        <f t="shared" si="123"/>
        <v>53636</v>
      </c>
      <c r="S228" s="74">
        <f t="shared" si="108"/>
        <v>0</v>
      </c>
      <c r="T228" s="172"/>
    </row>
    <row r="229" spans="2:20" s="159" customFormat="1" ht="18.75" customHeight="1" outlineLevel="1" x14ac:dyDescent="0.25">
      <c r="B229" s="1">
        <v>1017</v>
      </c>
      <c r="C229" s="170" t="s">
        <v>544</v>
      </c>
      <c r="D229" s="171" t="s">
        <v>176</v>
      </c>
      <c r="E229" s="73">
        <f>E63</f>
        <v>0</v>
      </c>
      <c r="F229" s="73">
        <f>F63</f>
        <v>0</v>
      </c>
      <c r="G229" s="73"/>
      <c r="H229" s="73"/>
      <c r="I229" s="73"/>
      <c r="J229" s="73"/>
      <c r="K229" s="74"/>
      <c r="L229" s="75">
        <f t="shared" si="124"/>
        <v>0</v>
      </c>
      <c r="M229" s="75">
        <f t="shared" si="122"/>
        <v>0</v>
      </c>
      <c r="N229" s="101">
        <v>0</v>
      </c>
      <c r="O229" s="101">
        <f t="shared" si="117"/>
        <v>0</v>
      </c>
      <c r="P229" s="74">
        <f t="shared" si="110"/>
        <v>0</v>
      </c>
      <c r="Q229" s="172"/>
      <c r="R229" s="101">
        <f t="shared" si="123"/>
        <v>0</v>
      </c>
      <c r="S229" s="74">
        <f t="shared" si="108"/>
        <v>0</v>
      </c>
      <c r="T229" s="172"/>
    </row>
    <row r="230" spans="2:20" s="159" customFormat="1" ht="78" customHeight="1" x14ac:dyDescent="0.25">
      <c r="B230" s="1">
        <v>1018</v>
      </c>
      <c r="C230" s="170" t="s">
        <v>544</v>
      </c>
      <c r="D230" s="233" t="s">
        <v>545</v>
      </c>
      <c r="E230" s="73"/>
      <c r="F230" s="73"/>
      <c r="G230" s="73"/>
      <c r="H230" s="73"/>
      <c r="I230" s="73"/>
      <c r="J230" s="73"/>
      <c r="K230" s="74"/>
      <c r="L230" s="75">
        <f t="shared" si="124"/>
        <v>0</v>
      </c>
      <c r="M230" s="75">
        <f t="shared" si="122"/>
        <v>0</v>
      </c>
      <c r="N230" s="101">
        <v>0</v>
      </c>
      <c r="O230" s="101">
        <f t="shared" si="117"/>
        <v>0</v>
      </c>
      <c r="P230" s="74">
        <f t="shared" si="110"/>
        <v>0</v>
      </c>
      <c r="Q230" s="172"/>
      <c r="R230" s="101">
        <f>ROUND(O230,0)+33210+22000+159+25000</f>
        <v>80369</v>
      </c>
      <c r="S230" s="74">
        <f t="shared" si="108"/>
        <v>80369</v>
      </c>
      <c r="T230" s="108" t="s">
        <v>546</v>
      </c>
    </row>
    <row r="231" spans="2:20" ht="43.5" customHeight="1" x14ac:dyDescent="0.25">
      <c r="B231" s="1" t="s">
        <v>547</v>
      </c>
      <c r="C231" s="170" t="s">
        <v>548</v>
      </c>
      <c r="D231" s="171" t="s">
        <v>216</v>
      </c>
      <c r="E231" s="73">
        <f>E77</f>
        <v>37419.74</v>
      </c>
      <c r="F231" s="73"/>
      <c r="G231" s="73">
        <f>G77</f>
        <v>9799.260000000002</v>
      </c>
      <c r="H231" s="73"/>
      <c r="I231" s="73"/>
      <c r="J231" s="73">
        <f>47219-SUM(E231:I231)</f>
        <v>0</v>
      </c>
      <c r="K231" s="74"/>
      <c r="L231" s="75">
        <f t="shared" si="124"/>
        <v>47219</v>
      </c>
      <c r="M231" s="75">
        <f t="shared" si="122"/>
        <v>47219</v>
      </c>
      <c r="N231" s="101">
        <v>47219</v>
      </c>
      <c r="O231" s="101">
        <f t="shared" si="117"/>
        <v>47219</v>
      </c>
      <c r="P231" s="74">
        <f t="shared" si="110"/>
        <v>0</v>
      </c>
      <c r="Q231" s="172"/>
      <c r="R231" s="101">
        <f t="shared" si="123"/>
        <v>47219</v>
      </c>
      <c r="S231" s="74">
        <f t="shared" si="108"/>
        <v>0</v>
      </c>
      <c r="T231" s="172"/>
    </row>
    <row r="232" spans="2:20" x14ac:dyDescent="0.25">
      <c r="C232" s="173" t="s">
        <v>105</v>
      </c>
      <c r="D232" s="174" t="s">
        <v>549</v>
      </c>
      <c r="E232" s="55">
        <f>E233+E234+E239+E244+E249+E254+E258+E270+E290+E293+E296+E297+E298+E299+E300+E301+E302+E303+E304</f>
        <v>320773.64</v>
      </c>
      <c r="F232" s="55">
        <f t="shared" ref="F232:O232" si="125">F233+F234+F239+F244+F249+F254+F258+F270+F290+F293+F296+F297+F298+F299+F300+F301+F302+F303+F304</f>
        <v>9408045.9800000004</v>
      </c>
      <c r="G232" s="55">
        <f>G233+G234+G239+G244+G249+G254+G258+G270+G290+G293+G296+G297+G298+G299+G300+G301+G302+G303+G304</f>
        <v>2081070.7524999999</v>
      </c>
      <c r="H232" s="55">
        <f t="shared" si="125"/>
        <v>7556167.8990000011</v>
      </c>
      <c r="I232" s="55">
        <f t="shared" si="125"/>
        <v>2315079</v>
      </c>
      <c r="J232" s="55">
        <f t="shared" si="125"/>
        <v>1090771.7884999989</v>
      </c>
      <c r="K232" s="56">
        <f t="shared" si="125"/>
        <v>13844837.155847158</v>
      </c>
      <c r="L232" s="57">
        <f t="shared" si="125"/>
        <v>36616746.215847164</v>
      </c>
      <c r="M232" s="211">
        <f t="shared" si="125"/>
        <v>36616746</v>
      </c>
      <c r="N232" s="56">
        <f t="shared" si="125"/>
        <v>36616746</v>
      </c>
      <c r="O232" s="56">
        <f t="shared" si="125"/>
        <v>36670320</v>
      </c>
      <c r="P232" s="56">
        <f t="shared" si="110"/>
        <v>53574</v>
      </c>
      <c r="Q232" s="56"/>
      <c r="R232" s="56">
        <f t="shared" ref="R232" si="126">R233+R234+R239+R244+R249+R254+R258+R270+R290+R293+R296+R297+R298+R299+R300+R301+R302+R303+R304</f>
        <v>36921933</v>
      </c>
      <c r="S232" s="56">
        <f t="shared" si="108"/>
        <v>251613</v>
      </c>
      <c r="T232" s="56"/>
    </row>
    <row r="233" spans="2:20" ht="27.6" customHeight="1" x14ac:dyDescent="0.25">
      <c r="B233" s="234" t="s">
        <v>550</v>
      </c>
      <c r="C233" s="170" t="s">
        <v>108</v>
      </c>
      <c r="D233" s="178" t="s">
        <v>551</v>
      </c>
      <c r="E233" s="73"/>
      <c r="F233" s="73"/>
      <c r="G233" s="73"/>
      <c r="H233" s="73"/>
      <c r="I233" s="73"/>
      <c r="J233" s="73"/>
      <c r="K233" s="74">
        <f>[1]BAZE_2026!G250</f>
        <v>800000</v>
      </c>
      <c r="L233" s="75">
        <f>E233+F233+G233+H233+I233+J233+K233</f>
        <v>800000</v>
      </c>
      <c r="M233" s="75">
        <f>ROUND(L233,0)</f>
        <v>800000</v>
      </c>
      <c r="N233" s="101">
        <v>800000</v>
      </c>
      <c r="O233" s="101">
        <f t="shared" si="117"/>
        <v>800000</v>
      </c>
      <c r="P233" s="74">
        <f t="shared" si="110"/>
        <v>0</v>
      </c>
      <c r="Q233" s="108"/>
      <c r="R233" s="101">
        <f t="shared" ref="R233" si="127">ROUND(O233,0)</f>
        <v>800000</v>
      </c>
      <c r="S233" s="74">
        <f t="shared" si="108"/>
        <v>0</v>
      </c>
      <c r="T233" s="108"/>
    </row>
    <row r="234" spans="2:20" ht="17.45" customHeight="1" x14ac:dyDescent="0.25">
      <c r="C234" s="170" t="s">
        <v>111</v>
      </c>
      <c r="D234" s="178" t="s">
        <v>552</v>
      </c>
      <c r="E234" s="73">
        <f>SUM(E235:E238)</f>
        <v>7022</v>
      </c>
      <c r="F234" s="73">
        <f t="shared" ref="F234:O234" si="128">SUM(F235:F238)</f>
        <v>381878</v>
      </c>
      <c r="G234" s="73">
        <f t="shared" si="128"/>
        <v>427</v>
      </c>
      <c r="H234" s="73">
        <f t="shared" si="128"/>
        <v>0</v>
      </c>
      <c r="I234" s="74">
        <f t="shared" si="128"/>
        <v>337000</v>
      </c>
      <c r="J234" s="73">
        <f t="shared" si="128"/>
        <v>110000</v>
      </c>
      <c r="K234" s="74">
        <f t="shared" si="128"/>
        <v>1691794.9954177665</v>
      </c>
      <c r="L234" s="75">
        <f t="shared" si="128"/>
        <v>2528121.9954177663</v>
      </c>
      <c r="M234" s="75">
        <f t="shared" si="128"/>
        <v>2528122</v>
      </c>
      <c r="N234" s="101">
        <f t="shared" si="128"/>
        <v>2528122</v>
      </c>
      <c r="O234" s="101">
        <f t="shared" si="128"/>
        <v>2527822</v>
      </c>
      <c r="P234" s="74">
        <f t="shared" si="110"/>
        <v>-300</v>
      </c>
      <c r="Q234" s="172"/>
      <c r="R234" s="101">
        <f t="shared" ref="R234" si="129">SUM(R235:R238)</f>
        <v>2532053</v>
      </c>
      <c r="S234" s="74">
        <f t="shared" si="108"/>
        <v>4231</v>
      </c>
      <c r="T234" s="172"/>
    </row>
    <row r="235" spans="2:20" ht="25.15" customHeight="1" x14ac:dyDescent="0.25">
      <c r="B235" s="94" t="s">
        <v>553</v>
      </c>
      <c r="C235" s="176" t="s">
        <v>554</v>
      </c>
      <c r="D235" s="144" t="s">
        <v>555</v>
      </c>
      <c r="E235" s="48">
        <f>2721+1871</f>
        <v>4592</v>
      </c>
      <c r="F235" s="235">
        <f>381878</f>
        <v>381878</v>
      </c>
      <c r="G235" s="236"/>
      <c r="H235" s="236"/>
      <c r="I235" s="237"/>
      <c r="J235" s="236"/>
      <c r="K235" s="237"/>
      <c r="L235" s="238">
        <f>E235+F235+G235+H235+I235+J235+K235</f>
        <v>386470</v>
      </c>
      <c r="M235" s="238">
        <f>ROUND(L235,0)</f>
        <v>386470</v>
      </c>
      <c r="N235" s="239">
        <v>386470</v>
      </c>
      <c r="O235" s="239">
        <f t="shared" si="117"/>
        <v>386470</v>
      </c>
      <c r="P235" s="237">
        <f t="shared" si="110"/>
        <v>0</v>
      </c>
      <c r="Q235" s="69"/>
      <c r="R235" s="239">
        <f>ROUND(O235,0)+4107+124</f>
        <v>390701</v>
      </c>
      <c r="S235" s="237">
        <f t="shared" si="108"/>
        <v>4231</v>
      </c>
      <c r="T235" s="212" t="s">
        <v>136</v>
      </c>
    </row>
    <row r="236" spans="2:20" ht="32.25" customHeight="1" x14ac:dyDescent="0.25">
      <c r="B236" s="94" t="s">
        <v>556</v>
      </c>
      <c r="C236" s="176" t="s">
        <v>557</v>
      </c>
      <c r="D236" s="144" t="s">
        <v>558</v>
      </c>
      <c r="E236" s="236"/>
      <c r="F236" s="236"/>
      <c r="G236" s="236"/>
      <c r="H236" s="236"/>
      <c r="I236" s="237"/>
      <c r="J236" s="236"/>
      <c r="K236" s="239">
        <f>[1]BAZE_2026!G251-I238-0.17</f>
        <v>1691794.9954177665</v>
      </c>
      <c r="L236" s="238">
        <f>E236+F236+G236+H236+I236+J236+K236</f>
        <v>1691794.9954177665</v>
      </c>
      <c r="M236" s="238">
        <f>ROUND(L236,0)</f>
        <v>1691795</v>
      </c>
      <c r="N236" s="239">
        <v>1691795</v>
      </c>
      <c r="O236" s="239">
        <f>ROUND(N236,0)-300</f>
        <v>1691495</v>
      </c>
      <c r="P236" s="237">
        <f t="shared" si="110"/>
        <v>-300</v>
      </c>
      <c r="Q236" s="240" t="s">
        <v>559</v>
      </c>
      <c r="R236" s="239">
        <f t="shared" ref="R236:R238" si="130">ROUND(O236,0)</f>
        <v>1691495</v>
      </c>
      <c r="S236" s="237">
        <f t="shared" si="108"/>
        <v>0</v>
      </c>
      <c r="T236" s="240"/>
    </row>
    <row r="237" spans="2:20" ht="44.25" customHeight="1" x14ac:dyDescent="0.25">
      <c r="B237" s="241" t="s">
        <v>560</v>
      </c>
      <c r="C237" s="176" t="s">
        <v>561</v>
      </c>
      <c r="D237" s="144" t="s">
        <v>203</v>
      </c>
      <c r="E237" s="236">
        <v>2430</v>
      </c>
      <c r="F237" s="236"/>
      <c r="G237" s="236">
        <v>427</v>
      </c>
      <c r="H237" s="236"/>
      <c r="I237" s="237"/>
      <c r="J237" s="236"/>
      <c r="K237" s="237"/>
      <c r="L237" s="238">
        <f>E237+F237+G237+H237+I237+J237+K237</f>
        <v>2857</v>
      </c>
      <c r="M237" s="238">
        <f>ROUND(L237,0)</f>
        <v>2857</v>
      </c>
      <c r="N237" s="239">
        <v>2857</v>
      </c>
      <c r="O237" s="239">
        <f>ROUND(N237,0)</f>
        <v>2857</v>
      </c>
      <c r="P237" s="237">
        <f>O237-N237</f>
        <v>0</v>
      </c>
      <c r="Q237" s="242"/>
      <c r="R237" s="239">
        <f t="shared" si="130"/>
        <v>2857</v>
      </c>
      <c r="S237" s="237">
        <f t="shared" si="108"/>
        <v>0</v>
      </c>
      <c r="T237" s="242"/>
    </row>
    <row r="238" spans="2:20" ht="17.25" customHeight="1" x14ac:dyDescent="0.25">
      <c r="B238" s="94"/>
      <c r="C238" s="176" t="s">
        <v>562</v>
      </c>
      <c r="D238" s="144" t="s">
        <v>563</v>
      </c>
      <c r="E238" s="236"/>
      <c r="F238" s="236"/>
      <c r="G238" s="236"/>
      <c r="H238" s="236"/>
      <c r="I238" s="97">
        <f>[1]BAZE_2026!G254</f>
        <v>337000</v>
      </c>
      <c r="J238" s="93">
        <f>40000+70000</f>
        <v>110000</v>
      </c>
      <c r="K238" s="237"/>
      <c r="L238" s="238">
        <f>E238+F238+G238+H238+I238+J238+K238</f>
        <v>447000</v>
      </c>
      <c r="M238" s="238">
        <f>ROUND(L238,0)</f>
        <v>447000</v>
      </c>
      <c r="N238" s="239">
        <v>447000</v>
      </c>
      <c r="O238" s="239">
        <f>ROUND(N238,0)</f>
        <v>447000</v>
      </c>
      <c r="P238" s="237">
        <f t="shared" si="110"/>
        <v>0</v>
      </c>
      <c r="Q238" s="220"/>
      <c r="R238" s="239">
        <f t="shared" si="130"/>
        <v>447000</v>
      </c>
      <c r="S238" s="237">
        <f t="shared" si="108"/>
        <v>0</v>
      </c>
      <c r="T238" s="220"/>
    </row>
    <row r="239" spans="2:20" ht="18" customHeight="1" x14ac:dyDescent="0.25">
      <c r="C239" s="170" t="s">
        <v>114</v>
      </c>
      <c r="D239" s="178" t="s">
        <v>564</v>
      </c>
      <c r="E239" s="73">
        <f>E240+E241+E242+E243</f>
        <v>1956</v>
      </c>
      <c r="F239" s="73">
        <f t="shared" ref="F239:R239" si="131">F240+F241+F242+F243</f>
        <v>166596</v>
      </c>
      <c r="G239" s="73">
        <f t="shared" si="131"/>
        <v>163</v>
      </c>
      <c r="H239" s="73">
        <f t="shared" si="131"/>
        <v>0</v>
      </c>
      <c r="I239" s="74">
        <f t="shared" si="131"/>
        <v>229039</v>
      </c>
      <c r="J239" s="73">
        <f t="shared" si="131"/>
        <v>13000</v>
      </c>
      <c r="K239" s="74">
        <f t="shared" si="131"/>
        <v>1061813.9984009799</v>
      </c>
      <c r="L239" s="75">
        <f t="shared" si="131"/>
        <v>1472567.9984009799</v>
      </c>
      <c r="M239" s="75">
        <f t="shared" si="131"/>
        <v>1472568</v>
      </c>
      <c r="N239" s="101">
        <f t="shared" si="131"/>
        <v>1472568</v>
      </c>
      <c r="O239" s="101">
        <f t="shared" si="131"/>
        <v>1472568</v>
      </c>
      <c r="P239" s="74">
        <f t="shared" si="131"/>
        <v>0</v>
      </c>
      <c r="Q239" s="172">
        <f t="shared" si="131"/>
        <v>0</v>
      </c>
      <c r="R239" s="101">
        <f t="shared" si="131"/>
        <v>1475440</v>
      </c>
      <c r="S239" s="74">
        <f t="shared" si="108"/>
        <v>2872</v>
      </c>
      <c r="T239" s="172"/>
    </row>
    <row r="240" spans="2:20" ht="25.9" customHeight="1" x14ac:dyDescent="0.25">
      <c r="B240" s="94" t="s">
        <v>565</v>
      </c>
      <c r="C240" s="176" t="s">
        <v>566</v>
      </c>
      <c r="D240" s="144" t="s">
        <v>555</v>
      </c>
      <c r="E240" s="48">
        <f>402+74</f>
        <v>476</v>
      </c>
      <c r="F240" s="235">
        <f>166596</f>
        <v>166596</v>
      </c>
      <c r="G240" s="48"/>
      <c r="H240" s="48"/>
      <c r="I240" s="49"/>
      <c r="J240" s="48"/>
      <c r="K240" s="49"/>
      <c r="L240" s="50">
        <f>E240+F240+G240+H240+I240+J240+K240</f>
        <v>167072</v>
      </c>
      <c r="M240" s="50">
        <f>ROUND(L240,0)</f>
        <v>167072</v>
      </c>
      <c r="N240" s="51">
        <v>167072</v>
      </c>
      <c r="O240" s="51">
        <f t="shared" si="117"/>
        <v>167072</v>
      </c>
      <c r="P240" s="49">
        <f t="shared" si="110"/>
        <v>0</v>
      </c>
      <c r="Q240" s="69"/>
      <c r="R240" s="51">
        <f>ROUND(O240,0)+(2812+60)</f>
        <v>169944</v>
      </c>
      <c r="S240" s="49">
        <f t="shared" si="108"/>
        <v>2872</v>
      </c>
      <c r="T240" s="69" t="s">
        <v>136</v>
      </c>
    </row>
    <row r="241" spans="2:20" ht="13.5" customHeight="1" x14ac:dyDescent="0.25">
      <c r="B241" s="94" t="s">
        <v>567</v>
      </c>
      <c r="C241" s="176" t="s">
        <v>568</v>
      </c>
      <c r="D241" s="144" t="s">
        <v>558</v>
      </c>
      <c r="E241" s="48"/>
      <c r="F241" s="48"/>
      <c r="G241" s="48"/>
      <c r="H241" s="48"/>
      <c r="I241" s="49"/>
      <c r="J241" s="48">
        <v>7000</v>
      </c>
      <c r="K241" s="51">
        <f>[1]BAZE_2026!G259-I243+0.39</f>
        <v>1061813.9984009799</v>
      </c>
      <c r="L241" s="50">
        <f>E241+F241+G241+H241+I241+J241+K241</f>
        <v>1068813.9984009799</v>
      </c>
      <c r="M241" s="50">
        <f>ROUND(L241,0)</f>
        <v>1068814</v>
      </c>
      <c r="N241" s="51">
        <v>1068814</v>
      </c>
      <c r="O241" s="51">
        <f t="shared" si="117"/>
        <v>1068814</v>
      </c>
      <c r="P241" s="49">
        <f t="shared" si="110"/>
        <v>0</v>
      </c>
      <c r="Q241" s="69"/>
      <c r="R241" s="51">
        <f t="shared" ref="R241:R243" si="132">ROUND(O241,0)</f>
        <v>1068814</v>
      </c>
      <c r="S241" s="49">
        <f t="shared" si="108"/>
        <v>0</v>
      </c>
      <c r="T241" s="69"/>
    </row>
    <row r="242" spans="2:20" ht="45" customHeight="1" x14ac:dyDescent="0.25">
      <c r="B242" s="94" t="s">
        <v>569</v>
      </c>
      <c r="C242" s="176" t="s">
        <v>570</v>
      </c>
      <c r="D242" s="144" t="s">
        <v>203</v>
      </c>
      <c r="E242" s="48">
        <v>1480</v>
      </c>
      <c r="F242" s="48"/>
      <c r="G242" s="48">
        <v>163</v>
      </c>
      <c r="H242" s="48"/>
      <c r="I242" s="49"/>
      <c r="J242" s="48"/>
      <c r="K242" s="49"/>
      <c r="L242" s="50">
        <f>E242+F242+G242+H242+I242+J242+K242</f>
        <v>1643</v>
      </c>
      <c r="M242" s="50">
        <f>ROUND(L242,0)</f>
        <v>1643</v>
      </c>
      <c r="N242" s="51">
        <v>1643</v>
      </c>
      <c r="O242" s="51">
        <f>ROUND(N242,0)</f>
        <v>1643</v>
      </c>
      <c r="P242" s="49">
        <f>O242-N242</f>
        <v>0</v>
      </c>
      <c r="Q242" s="69"/>
      <c r="R242" s="51">
        <f t="shared" si="132"/>
        <v>1643</v>
      </c>
      <c r="S242" s="49">
        <f t="shared" si="108"/>
        <v>0</v>
      </c>
      <c r="T242" s="69"/>
    </row>
    <row r="243" spans="2:20" ht="16.899999999999999" customHeight="1" x14ac:dyDescent="0.25">
      <c r="B243" s="94"/>
      <c r="C243" s="176" t="s">
        <v>571</v>
      </c>
      <c r="D243" s="144" t="s">
        <v>563</v>
      </c>
      <c r="E243" s="48"/>
      <c r="F243" s="48"/>
      <c r="G243" s="48"/>
      <c r="H243" s="48"/>
      <c r="I243" s="97">
        <f>[1]BAZE_2026!G262</f>
        <v>229039</v>
      </c>
      <c r="J243" s="93">
        <v>6000</v>
      </c>
      <c r="K243" s="48"/>
      <c r="L243" s="50">
        <f>E243+F243+G243+H243+I243+J243+K243</f>
        <v>235039</v>
      </c>
      <c r="M243" s="50">
        <f>ROUND(L243,0)</f>
        <v>235039</v>
      </c>
      <c r="N243" s="51">
        <v>235039</v>
      </c>
      <c r="O243" s="51">
        <f t="shared" si="117"/>
        <v>235039</v>
      </c>
      <c r="P243" s="49">
        <f t="shared" si="110"/>
        <v>0</v>
      </c>
      <c r="Q243" s="69"/>
      <c r="R243" s="51">
        <f t="shared" si="132"/>
        <v>235039</v>
      </c>
      <c r="S243" s="49">
        <f t="shared" si="108"/>
        <v>0</v>
      </c>
      <c r="T243" s="69"/>
    </row>
    <row r="244" spans="2:20" ht="27.6" customHeight="1" x14ac:dyDescent="0.25">
      <c r="C244" s="170" t="s">
        <v>572</v>
      </c>
      <c r="D244" s="178" t="s">
        <v>573</v>
      </c>
      <c r="E244" s="73">
        <f>E245+E246+E247+E248</f>
        <v>10880.08</v>
      </c>
      <c r="F244" s="73">
        <f t="shared" ref="F244:R244" si="133">F245+F246+F247+F248</f>
        <v>192779</v>
      </c>
      <c r="G244" s="73">
        <f t="shared" si="133"/>
        <v>231</v>
      </c>
      <c r="H244" s="73">
        <f t="shared" si="133"/>
        <v>0</v>
      </c>
      <c r="I244" s="74">
        <f t="shared" si="133"/>
        <v>228960</v>
      </c>
      <c r="J244" s="73">
        <f t="shared" si="133"/>
        <v>9300</v>
      </c>
      <c r="K244" s="74">
        <f t="shared" si="133"/>
        <v>1322431.0047528548</v>
      </c>
      <c r="L244" s="75">
        <f t="shared" si="133"/>
        <v>1764581.0847528549</v>
      </c>
      <c r="M244" s="75">
        <f t="shared" si="133"/>
        <v>1764581</v>
      </c>
      <c r="N244" s="101">
        <f t="shared" si="133"/>
        <v>1764581</v>
      </c>
      <c r="O244" s="101">
        <f t="shared" si="133"/>
        <v>1764581</v>
      </c>
      <c r="P244" s="74">
        <f t="shared" si="133"/>
        <v>0</v>
      </c>
      <c r="Q244" s="172">
        <f t="shared" si="133"/>
        <v>0</v>
      </c>
      <c r="R244" s="101">
        <f t="shared" si="133"/>
        <v>1760063</v>
      </c>
      <c r="S244" s="74">
        <f t="shared" si="108"/>
        <v>-4518</v>
      </c>
      <c r="T244" s="172"/>
    </row>
    <row r="245" spans="2:20" ht="13.5" customHeight="1" x14ac:dyDescent="0.25">
      <c r="B245" s="1" t="s">
        <v>574</v>
      </c>
      <c r="C245" s="176" t="s">
        <v>575</v>
      </c>
      <c r="D245" s="144" t="s">
        <v>555</v>
      </c>
      <c r="E245" s="48">
        <f>8863+29</f>
        <v>8892</v>
      </c>
      <c r="F245" s="235">
        <f>192779</f>
        <v>192779</v>
      </c>
      <c r="G245" s="48"/>
      <c r="H245" s="48"/>
      <c r="I245" s="49"/>
      <c r="J245" s="48"/>
      <c r="K245" s="49"/>
      <c r="L245" s="50">
        <f>E245+F245+G245+H245+I245+J245+K245</f>
        <v>201671</v>
      </c>
      <c r="M245" s="50">
        <f>ROUND(L245,0)</f>
        <v>201671</v>
      </c>
      <c r="N245" s="51">
        <v>201671</v>
      </c>
      <c r="O245" s="51">
        <f t="shared" si="117"/>
        <v>201671</v>
      </c>
      <c r="P245" s="49">
        <f t="shared" si="110"/>
        <v>0</v>
      </c>
      <c r="Q245" s="69"/>
      <c r="R245" s="51">
        <f>ROUND(O245,0)+(3647+76)</f>
        <v>205394</v>
      </c>
      <c r="S245" s="49">
        <f t="shared" si="108"/>
        <v>3723</v>
      </c>
      <c r="T245" s="69" t="s">
        <v>136</v>
      </c>
    </row>
    <row r="246" spans="2:20" ht="65.25" customHeight="1" x14ac:dyDescent="0.25">
      <c r="B246" s="1" t="s">
        <v>576</v>
      </c>
      <c r="C246" s="176" t="s">
        <v>577</v>
      </c>
      <c r="D246" s="144" t="s">
        <v>558</v>
      </c>
      <c r="E246" s="48"/>
      <c r="F246" s="48"/>
      <c r="G246" s="48"/>
      <c r="H246" s="48"/>
      <c r="I246" s="49"/>
      <c r="J246" s="48"/>
      <c r="K246" s="51">
        <f>[1]BAZE_2026!G267-I248-1.54</f>
        <v>1322431.0047528548</v>
      </c>
      <c r="L246" s="50">
        <f>E246+F246+G246+H246+I246+J246+K246</f>
        <v>1322431.0047528548</v>
      </c>
      <c r="M246" s="50">
        <f>ROUND(L246,0)</f>
        <v>1322431</v>
      </c>
      <c r="N246" s="51">
        <v>1322431</v>
      </c>
      <c r="O246" s="51">
        <f t="shared" si="117"/>
        <v>1322431</v>
      </c>
      <c r="P246" s="49">
        <f t="shared" si="110"/>
        <v>0</v>
      </c>
      <c r="Q246" s="240"/>
      <c r="R246" s="51">
        <f>ROUND(O246,0)-8241</f>
        <v>1314190</v>
      </c>
      <c r="S246" s="49">
        <f t="shared" si="108"/>
        <v>-8241</v>
      </c>
      <c r="T246" s="240" t="s">
        <v>578</v>
      </c>
    </row>
    <row r="247" spans="2:20" ht="44.25" customHeight="1" x14ac:dyDescent="0.25">
      <c r="B247" s="1" t="s">
        <v>579</v>
      </c>
      <c r="C247" s="176" t="s">
        <v>580</v>
      </c>
      <c r="D247" s="144" t="s">
        <v>203</v>
      </c>
      <c r="E247" s="48">
        <v>1988.08</v>
      </c>
      <c r="F247" s="48"/>
      <c r="G247" s="48">
        <v>231</v>
      </c>
      <c r="H247" s="48"/>
      <c r="I247" s="49"/>
      <c r="J247" s="48"/>
      <c r="K247" s="49"/>
      <c r="L247" s="50">
        <f>E247+F247+G247+H247+I247+J247+K247</f>
        <v>2219.08</v>
      </c>
      <c r="M247" s="50">
        <f>ROUND(L247,0)</f>
        <v>2219</v>
      </c>
      <c r="N247" s="51">
        <v>2219</v>
      </c>
      <c r="O247" s="51">
        <f>ROUND(N247,0)</f>
        <v>2219</v>
      </c>
      <c r="P247" s="49">
        <f>O247-N247</f>
        <v>0</v>
      </c>
      <c r="Q247" s="242"/>
      <c r="R247" s="51">
        <f t="shared" ref="R247:R248" si="134">ROUND(O247,0)</f>
        <v>2219</v>
      </c>
      <c r="S247" s="49">
        <f t="shared" si="108"/>
        <v>0</v>
      </c>
      <c r="T247" s="242"/>
    </row>
    <row r="248" spans="2:20" ht="17.45" customHeight="1" x14ac:dyDescent="0.25">
      <c r="C248" s="176" t="s">
        <v>581</v>
      </c>
      <c r="D248" s="144" t="s">
        <v>563</v>
      </c>
      <c r="E248" s="48"/>
      <c r="F248" s="48"/>
      <c r="G248" s="48"/>
      <c r="H248" s="48"/>
      <c r="I248" s="97">
        <f>[1]BAZE_2026!G270</f>
        <v>228960</v>
      </c>
      <c r="J248" s="93">
        <v>9300</v>
      </c>
      <c r="K248" s="49"/>
      <c r="L248" s="50">
        <f>E248+F248+G248+H248+I248+J248+K248</f>
        <v>238260</v>
      </c>
      <c r="M248" s="50">
        <f>ROUND(L248,0)</f>
        <v>238260</v>
      </c>
      <c r="N248" s="51">
        <v>238260</v>
      </c>
      <c r="O248" s="51">
        <f t="shared" si="117"/>
        <v>238260</v>
      </c>
      <c r="P248" s="49">
        <f t="shared" si="110"/>
        <v>0</v>
      </c>
      <c r="Q248" s="220"/>
      <c r="R248" s="51">
        <f t="shared" si="134"/>
        <v>238260</v>
      </c>
      <c r="S248" s="49">
        <f t="shared" si="108"/>
        <v>0</v>
      </c>
      <c r="T248" s="220"/>
    </row>
    <row r="249" spans="2:20" ht="29.25" x14ac:dyDescent="0.25">
      <c r="B249" s="1" t="s">
        <v>582</v>
      </c>
      <c r="C249" s="170" t="s">
        <v>583</v>
      </c>
      <c r="D249" s="178" t="s">
        <v>584</v>
      </c>
      <c r="E249" s="73">
        <f>SUM(E250:E253)</f>
        <v>5201</v>
      </c>
      <c r="F249" s="73">
        <f t="shared" ref="F249:M249" si="135">SUM(F250:F253)</f>
        <v>210367</v>
      </c>
      <c r="G249" s="73">
        <f t="shared" si="135"/>
        <v>306</v>
      </c>
      <c r="H249" s="73">
        <f t="shared" si="135"/>
        <v>0</v>
      </c>
      <c r="I249" s="74">
        <f t="shared" si="135"/>
        <v>176322</v>
      </c>
      <c r="J249" s="73">
        <f t="shared" si="135"/>
        <v>3700</v>
      </c>
      <c r="K249" s="74">
        <f t="shared" si="135"/>
        <v>1201964.1722946241</v>
      </c>
      <c r="L249" s="75">
        <f t="shared" si="135"/>
        <v>1597860.1722946241</v>
      </c>
      <c r="M249" s="75">
        <f t="shared" si="135"/>
        <v>1597860</v>
      </c>
      <c r="N249" s="101">
        <f>SUM(N250:N253)</f>
        <v>1597860</v>
      </c>
      <c r="O249" s="101">
        <f>SUM(O250:O253)</f>
        <v>1597860</v>
      </c>
      <c r="P249" s="74">
        <f t="shared" si="110"/>
        <v>0</v>
      </c>
      <c r="Q249" s="172"/>
      <c r="R249" s="101">
        <f>SUM(R250:R253)</f>
        <v>1602142</v>
      </c>
      <c r="S249" s="74">
        <f t="shared" si="108"/>
        <v>4282</v>
      </c>
      <c r="T249" s="172"/>
    </row>
    <row r="250" spans="2:20" s="244" customFormat="1" ht="26.45" customHeight="1" x14ac:dyDescent="0.25">
      <c r="B250" s="243" t="s">
        <v>585</v>
      </c>
      <c r="C250" s="176" t="s">
        <v>586</v>
      </c>
      <c r="D250" s="144" t="s">
        <v>555</v>
      </c>
      <c r="E250" s="48">
        <f>2979+32</f>
        <v>3011</v>
      </c>
      <c r="F250" s="235">
        <f>210367</f>
        <v>210367</v>
      </c>
      <c r="G250" s="236"/>
      <c r="H250" s="236"/>
      <c r="I250" s="237"/>
      <c r="J250" s="236"/>
      <c r="K250" s="237"/>
      <c r="L250" s="50">
        <f>E250+F250+G250+H250+I250+J250+K250</f>
        <v>213378</v>
      </c>
      <c r="M250" s="50">
        <f>ROUND(L250,0)</f>
        <v>213378</v>
      </c>
      <c r="N250" s="51">
        <v>213378</v>
      </c>
      <c r="O250" s="51">
        <f t="shared" si="117"/>
        <v>213378</v>
      </c>
      <c r="P250" s="237">
        <f t="shared" si="110"/>
        <v>0</v>
      </c>
      <c r="Q250" s="69"/>
      <c r="R250" s="51">
        <f>ROUND(O250,0)+(4194+88)</f>
        <v>217660</v>
      </c>
      <c r="S250" s="237">
        <f t="shared" si="108"/>
        <v>4282</v>
      </c>
      <c r="T250" s="69" t="s">
        <v>136</v>
      </c>
    </row>
    <row r="251" spans="2:20" s="244" customFormat="1" ht="15.6" customHeight="1" x14ac:dyDescent="0.25">
      <c r="C251" s="176" t="s">
        <v>587</v>
      </c>
      <c r="D251" s="144" t="s">
        <v>558</v>
      </c>
      <c r="E251" s="236"/>
      <c r="F251" s="236"/>
      <c r="G251" s="236"/>
      <c r="H251" s="236"/>
      <c r="I251" s="237"/>
      <c r="J251" s="236">
        <f>3700</f>
        <v>3700</v>
      </c>
      <c r="K251" s="237">
        <f>[1]BAZE_2026!G275-I253</f>
        <v>1201964.1722946241</v>
      </c>
      <c r="L251" s="50">
        <f>E251+F251+G251+H251+I251+J251+K251</f>
        <v>1205664.1722946241</v>
      </c>
      <c r="M251" s="50">
        <f>ROUND(L251,0)</f>
        <v>1205664</v>
      </c>
      <c r="N251" s="51">
        <v>1205664</v>
      </c>
      <c r="O251" s="51">
        <f t="shared" si="117"/>
        <v>1205664</v>
      </c>
      <c r="P251" s="237">
        <f t="shared" si="110"/>
        <v>0</v>
      </c>
      <c r="Q251" s="69"/>
      <c r="R251" s="51">
        <f t="shared" ref="R251:R253" si="136">ROUND(O251,0)</f>
        <v>1205664</v>
      </c>
      <c r="S251" s="237">
        <f t="shared" si="108"/>
        <v>0</v>
      </c>
      <c r="T251" s="69"/>
    </row>
    <row r="252" spans="2:20" s="244" customFormat="1" ht="43.5" customHeight="1" x14ac:dyDescent="0.25">
      <c r="B252" s="244" t="s">
        <v>588</v>
      </c>
      <c r="C252" s="176" t="s">
        <v>589</v>
      </c>
      <c r="D252" s="144" t="s">
        <v>203</v>
      </c>
      <c r="E252" s="236">
        <v>2190</v>
      </c>
      <c r="F252" s="236"/>
      <c r="G252" s="236">
        <v>306</v>
      </c>
      <c r="H252" s="236"/>
      <c r="I252" s="237"/>
      <c r="J252" s="236"/>
      <c r="K252" s="237"/>
      <c r="L252" s="50">
        <f>E252+F252+G252+H252+I252+J252+K252</f>
        <v>2496</v>
      </c>
      <c r="M252" s="50">
        <f>ROUND(L252,0)</f>
        <v>2496</v>
      </c>
      <c r="N252" s="51">
        <v>2496</v>
      </c>
      <c r="O252" s="51">
        <f>ROUND(N252,0)</f>
        <v>2496</v>
      </c>
      <c r="P252" s="237">
        <f>O252-N252</f>
        <v>0</v>
      </c>
      <c r="Q252" s="69"/>
      <c r="R252" s="51">
        <f t="shared" si="136"/>
        <v>2496</v>
      </c>
      <c r="S252" s="237">
        <f t="shared" si="108"/>
        <v>0</v>
      </c>
      <c r="T252" s="69"/>
    </row>
    <row r="253" spans="2:20" s="244" customFormat="1" ht="13.9" customHeight="1" x14ac:dyDescent="0.25">
      <c r="C253" s="176" t="s">
        <v>590</v>
      </c>
      <c r="D253" s="144" t="s">
        <v>563</v>
      </c>
      <c r="E253" s="236"/>
      <c r="F253" s="236"/>
      <c r="G253" s="236"/>
      <c r="H253" s="236"/>
      <c r="I253" s="97">
        <f>[1]BAZE_2026!G278</f>
        <v>176322</v>
      </c>
      <c r="J253" s="236"/>
      <c r="K253" s="237"/>
      <c r="L253" s="50">
        <f>E253+F253+G253+H253+I253+J253+K253</f>
        <v>176322</v>
      </c>
      <c r="M253" s="50">
        <f>ROUND(L253,0)</f>
        <v>176322</v>
      </c>
      <c r="N253" s="51">
        <v>176322</v>
      </c>
      <c r="O253" s="51">
        <f t="shared" si="117"/>
        <v>176322</v>
      </c>
      <c r="P253" s="237">
        <f t="shared" si="110"/>
        <v>0</v>
      </c>
      <c r="Q253" s="69"/>
      <c r="R253" s="51">
        <f t="shared" si="136"/>
        <v>176322</v>
      </c>
      <c r="S253" s="237">
        <f t="shared" si="108"/>
        <v>0</v>
      </c>
      <c r="T253" s="69"/>
    </row>
    <row r="254" spans="2:20" x14ac:dyDescent="0.25">
      <c r="C254" s="170" t="s">
        <v>591</v>
      </c>
      <c r="D254" s="178" t="s">
        <v>592</v>
      </c>
      <c r="E254" s="73">
        <f>(E255+E256+E257)</f>
        <v>5049</v>
      </c>
      <c r="F254" s="73">
        <f t="shared" ref="F254:K254" si="137">(F255+F256+F257)</f>
        <v>64572</v>
      </c>
      <c r="G254" s="73">
        <f t="shared" si="137"/>
        <v>0</v>
      </c>
      <c r="H254" s="73">
        <f t="shared" si="137"/>
        <v>0</v>
      </c>
      <c r="I254" s="73">
        <f t="shared" si="137"/>
        <v>0</v>
      </c>
      <c r="J254" s="73">
        <f t="shared" si="137"/>
        <v>0</v>
      </c>
      <c r="K254" s="74">
        <f t="shared" si="137"/>
        <v>3297848</v>
      </c>
      <c r="L254" s="75">
        <f>L255+L256+L257</f>
        <v>3367469</v>
      </c>
      <c r="M254" s="75">
        <f>M255+M256+M257</f>
        <v>3367469</v>
      </c>
      <c r="N254" s="101">
        <f>N255+N256+N257</f>
        <v>3367469</v>
      </c>
      <c r="O254" s="101">
        <f>O255+O256+O257</f>
        <v>3367469</v>
      </c>
      <c r="P254" s="74">
        <f t="shared" si="110"/>
        <v>0</v>
      </c>
      <c r="Q254" s="172"/>
      <c r="R254" s="101">
        <f>R255+R256+R257</f>
        <v>3367469</v>
      </c>
      <c r="S254" s="74">
        <f t="shared" si="108"/>
        <v>0</v>
      </c>
      <c r="T254" s="172"/>
    </row>
    <row r="255" spans="2:20" s="244" customFormat="1" ht="18.600000000000001" customHeight="1" x14ac:dyDescent="0.25">
      <c r="B255" s="243" t="s">
        <v>593</v>
      </c>
      <c r="C255" s="245" t="s">
        <v>594</v>
      </c>
      <c r="D255" s="246" t="s">
        <v>595</v>
      </c>
      <c r="E255" s="48">
        <v>5049</v>
      </c>
      <c r="F255" s="236">
        <f>16870+(27062+20640)</f>
        <v>64572</v>
      </c>
      <c r="G255" s="236"/>
      <c r="H255" s="236"/>
      <c r="I255" s="236"/>
      <c r="J255" s="236"/>
      <c r="K255" s="239">
        <f>[1]BAZE_2026!G290-0.16</f>
        <v>631048</v>
      </c>
      <c r="L255" s="50">
        <f>E255+F255+G255+H255+I255+J255+K255</f>
        <v>700669</v>
      </c>
      <c r="M255" s="50">
        <f>ROUND(L255,0)</f>
        <v>700669</v>
      </c>
      <c r="N255" s="51">
        <v>700669</v>
      </c>
      <c r="O255" s="51">
        <f>ROUND(N255,0)</f>
        <v>700669</v>
      </c>
      <c r="P255" s="237">
        <f t="shared" si="110"/>
        <v>0</v>
      </c>
      <c r="Q255" s="69"/>
      <c r="R255" s="51">
        <f t="shared" ref="R255:R257" si="138">ROUND(O255,0)</f>
        <v>700669</v>
      </c>
      <c r="S255" s="237">
        <f t="shared" si="108"/>
        <v>0</v>
      </c>
      <c r="T255" s="69"/>
    </row>
    <row r="256" spans="2:20" s="244" customFormat="1" ht="16.149999999999999" customHeight="1" x14ac:dyDescent="0.25">
      <c r="B256" s="243" t="s">
        <v>596</v>
      </c>
      <c r="C256" s="245" t="s">
        <v>597</v>
      </c>
      <c r="D256" s="246" t="s">
        <v>598</v>
      </c>
      <c r="E256" s="236"/>
      <c r="F256" s="236"/>
      <c r="G256" s="236"/>
      <c r="H256" s="236"/>
      <c r="I256" s="236"/>
      <c r="J256" s="236"/>
      <c r="K256" s="239">
        <f>[1]BAZE_2026!G293</f>
        <v>2381500</v>
      </c>
      <c r="L256" s="50">
        <f>E256+F256+G256+H256+I256+J256+K256</f>
        <v>2381500</v>
      </c>
      <c r="M256" s="50">
        <f>ROUND(L256,0)</f>
        <v>2381500</v>
      </c>
      <c r="N256" s="51">
        <v>2381500</v>
      </c>
      <c r="O256" s="51">
        <f t="shared" si="117"/>
        <v>2381500</v>
      </c>
      <c r="P256" s="237">
        <f t="shared" si="110"/>
        <v>0</v>
      </c>
      <c r="Q256" s="52"/>
      <c r="R256" s="51">
        <f t="shared" si="138"/>
        <v>2381500</v>
      </c>
      <c r="S256" s="237">
        <f t="shared" si="108"/>
        <v>0</v>
      </c>
      <c r="T256" s="52"/>
    </row>
    <row r="257" spans="2:20" ht="14.45" customHeight="1" x14ac:dyDescent="0.25">
      <c r="B257" s="94" t="s">
        <v>599</v>
      </c>
      <c r="C257" s="176" t="s">
        <v>600</v>
      </c>
      <c r="D257" s="144" t="s">
        <v>601</v>
      </c>
      <c r="E257" s="236"/>
      <c r="F257" s="236"/>
      <c r="G257" s="236"/>
      <c r="H257" s="236"/>
      <c r="I257" s="236"/>
      <c r="J257" s="236"/>
      <c r="K257" s="239">
        <f>[1]BAZE_2026!G294</f>
        <v>285300</v>
      </c>
      <c r="L257" s="50">
        <f>E257+F257+G257+H257+I257+J257+K257</f>
        <v>285300</v>
      </c>
      <c r="M257" s="50">
        <f>ROUND(L257,0)</f>
        <v>285300</v>
      </c>
      <c r="N257" s="51">
        <v>285300</v>
      </c>
      <c r="O257" s="51">
        <f t="shared" si="117"/>
        <v>285300</v>
      </c>
      <c r="P257" s="237">
        <f t="shared" si="110"/>
        <v>0</v>
      </c>
      <c r="Q257" s="52"/>
      <c r="R257" s="51">
        <f t="shared" si="138"/>
        <v>285300</v>
      </c>
      <c r="S257" s="237">
        <f t="shared" si="108"/>
        <v>0</v>
      </c>
      <c r="T257" s="52"/>
    </row>
    <row r="258" spans="2:20" s="159" customFormat="1" ht="15.75" customHeight="1" x14ac:dyDescent="0.25">
      <c r="C258" s="170" t="s">
        <v>602</v>
      </c>
      <c r="D258" s="178" t="s">
        <v>603</v>
      </c>
      <c r="E258" s="182">
        <f>E259+SUM(E263:E269)</f>
        <v>55403.41</v>
      </c>
      <c r="F258" s="182">
        <f t="shared" ref="F258:O258" si="139">F259+SUM(F263:F269)</f>
        <v>1946672</v>
      </c>
      <c r="G258" s="182">
        <f t="shared" si="139"/>
        <v>19005</v>
      </c>
      <c r="H258" s="182">
        <f t="shared" si="139"/>
        <v>0</v>
      </c>
      <c r="I258" s="179">
        <f t="shared" si="139"/>
        <v>329532</v>
      </c>
      <c r="J258" s="182">
        <f t="shared" si="139"/>
        <v>171347.59</v>
      </c>
      <c r="K258" s="179">
        <f t="shared" si="139"/>
        <v>709218.99554731662</v>
      </c>
      <c r="L258" s="180">
        <f t="shared" si="139"/>
        <v>3231178.9955473165</v>
      </c>
      <c r="M258" s="180">
        <f t="shared" si="139"/>
        <v>3231179</v>
      </c>
      <c r="N258" s="181">
        <f t="shared" si="139"/>
        <v>3231179</v>
      </c>
      <c r="O258" s="181">
        <f t="shared" si="139"/>
        <v>3231139</v>
      </c>
      <c r="P258" s="179">
        <f t="shared" si="110"/>
        <v>-40</v>
      </c>
      <c r="Q258" s="191"/>
      <c r="R258" s="181">
        <f t="shared" ref="R258" si="140">R259+SUM(R263:R269)</f>
        <v>3252000</v>
      </c>
      <c r="S258" s="179">
        <f t="shared" si="108"/>
        <v>20861</v>
      </c>
      <c r="T258" s="191"/>
    </row>
    <row r="259" spans="2:20" s="45" customFormat="1" ht="24.6" customHeight="1" x14ac:dyDescent="0.25">
      <c r="B259" s="66"/>
      <c r="C259" s="176" t="s">
        <v>604</v>
      </c>
      <c r="D259" s="144" t="s">
        <v>555</v>
      </c>
      <c r="E259" s="48">
        <f>E260+E261+E262</f>
        <v>3699</v>
      </c>
      <c r="F259" s="48">
        <f t="shared" ref="F259:K259" si="141">F260+F261+F262</f>
        <v>1826549</v>
      </c>
      <c r="G259" s="48">
        <f t="shared" si="141"/>
        <v>0</v>
      </c>
      <c r="H259" s="48">
        <f t="shared" si="141"/>
        <v>0</v>
      </c>
      <c r="I259" s="49">
        <f t="shared" si="141"/>
        <v>0</v>
      </c>
      <c r="J259" s="48">
        <f t="shared" si="141"/>
        <v>0</v>
      </c>
      <c r="K259" s="49">
        <f t="shared" si="141"/>
        <v>0</v>
      </c>
      <c r="L259" s="50">
        <f>L260+L261+L262</f>
        <v>1830248</v>
      </c>
      <c r="M259" s="50">
        <f>M260+M261+M262</f>
        <v>1830248</v>
      </c>
      <c r="N259" s="51">
        <f>N260+N261+N262</f>
        <v>1830248</v>
      </c>
      <c r="O259" s="51">
        <f>O260+O261+O262</f>
        <v>1830248</v>
      </c>
      <c r="P259" s="49">
        <f t="shared" si="110"/>
        <v>0</v>
      </c>
      <c r="Q259" s="69"/>
      <c r="R259" s="51">
        <f>R260+R261+R262</f>
        <v>1858109</v>
      </c>
      <c r="S259" s="49">
        <f t="shared" si="108"/>
        <v>27861</v>
      </c>
      <c r="T259" s="69"/>
    </row>
    <row r="260" spans="2:20" s="251" customFormat="1" ht="33.75" customHeight="1" x14ac:dyDescent="0.25">
      <c r="B260" s="247" t="s">
        <v>605</v>
      </c>
      <c r="C260" s="196" t="s">
        <v>606</v>
      </c>
      <c r="D260" s="197" t="s">
        <v>607</v>
      </c>
      <c r="E260" s="248">
        <v>3433</v>
      </c>
      <c r="F260" s="248">
        <f>F52-F272</f>
        <v>1688787</v>
      </c>
      <c r="G260" s="248"/>
      <c r="H260" s="248"/>
      <c r="I260" s="204"/>
      <c r="J260" s="248"/>
      <c r="K260" s="204"/>
      <c r="L260" s="249">
        <f>E260+F260+G260+H260+I260+J260+K260</f>
        <v>1692220</v>
      </c>
      <c r="M260" s="249">
        <f t="shared" ref="M260:M269" si="142">ROUND(L260,0)</f>
        <v>1692220</v>
      </c>
      <c r="N260" s="250">
        <v>1692220</v>
      </c>
      <c r="O260" s="250">
        <f>ROUND(N260,0)</f>
        <v>1692220</v>
      </c>
      <c r="P260" s="204">
        <f t="shared" si="110"/>
        <v>0</v>
      </c>
      <c r="Q260" s="212"/>
      <c r="R260" s="250">
        <f t="shared" ref="R260:R269" si="143">ROUND(O260,0)</f>
        <v>1692220</v>
      </c>
      <c r="S260" s="204">
        <f t="shared" si="108"/>
        <v>0</v>
      </c>
      <c r="T260" s="212"/>
    </row>
    <row r="261" spans="2:20" s="251" customFormat="1" ht="29.45" customHeight="1" x14ac:dyDescent="0.25">
      <c r="B261" s="247" t="s">
        <v>608</v>
      </c>
      <c r="C261" s="196" t="s">
        <v>609</v>
      </c>
      <c r="D261" s="197" t="s">
        <v>610</v>
      </c>
      <c r="E261" s="248">
        <v>107</v>
      </c>
      <c r="F261" s="248">
        <f>137762</f>
        <v>137762</v>
      </c>
      <c r="G261" s="248"/>
      <c r="H261" s="248"/>
      <c r="I261" s="204"/>
      <c r="J261" s="248"/>
      <c r="K261" s="204"/>
      <c r="L261" s="249">
        <f>E261+F261+G261+H261+I261+J261+K261</f>
        <v>137869</v>
      </c>
      <c r="M261" s="249">
        <f t="shared" si="142"/>
        <v>137869</v>
      </c>
      <c r="N261" s="250">
        <v>137869</v>
      </c>
      <c r="O261" s="250">
        <f>ROUND(N261,0)</f>
        <v>137869</v>
      </c>
      <c r="P261" s="204">
        <f t="shared" si="110"/>
        <v>0</v>
      </c>
      <c r="Q261" s="212"/>
      <c r="R261" s="250">
        <f t="shared" si="143"/>
        <v>137869</v>
      </c>
      <c r="S261" s="204">
        <f t="shared" si="108"/>
        <v>0</v>
      </c>
      <c r="T261" s="212"/>
    </row>
    <row r="262" spans="2:20" s="251" customFormat="1" ht="17.25" customHeight="1" x14ac:dyDescent="0.25">
      <c r="B262" s="247"/>
      <c r="C262" s="196" t="s">
        <v>611</v>
      </c>
      <c r="D262" s="197" t="s">
        <v>612</v>
      </c>
      <c r="E262" s="248">
        <v>159</v>
      </c>
      <c r="F262" s="248"/>
      <c r="G262" s="248"/>
      <c r="H262" s="248"/>
      <c r="I262" s="204"/>
      <c r="J262" s="248"/>
      <c r="K262" s="204"/>
      <c r="L262" s="249">
        <f>E262+F262+G262+H262+I262+J262+K262</f>
        <v>159</v>
      </c>
      <c r="M262" s="249">
        <f t="shared" si="142"/>
        <v>159</v>
      </c>
      <c r="N262" s="250">
        <v>159</v>
      </c>
      <c r="O262" s="250">
        <f t="shared" ref="O262:O269" si="144">ROUND(N262,0)</f>
        <v>159</v>
      </c>
      <c r="P262" s="204">
        <f t="shared" si="110"/>
        <v>0</v>
      </c>
      <c r="Q262" s="212"/>
      <c r="R262" s="250">
        <f>ROUND(O262,0)+27294+567</f>
        <v>28020</v>
      </c>
      <c r="S262" s="204">
        <f t="shared" si="108"/>
        <v>27861</v>
      </c>
      <c r="T262" s="212" t="s">
        <v>136</v>
      </c>
    </row>
    <row r="263" spans="2:20" s="45" customFormat="1" x14ac:dyDescent="0.25">
      <c r="B263" s="45" t="s">
        <v>605</v>
      </c>
      <c r="C263" s="176" t="s">
        <v>613</v>
      </c>
      <c r="D263" s="144" t="s">
        <v>614</v>
      </c>
      <c r="E263" s="48">
        <v>0</v>
      </c>
      <c r="F263" s="48">
        <f>57337+46806</f>
        <v>104143</v>
      </c>
      <c r="G263" s="48"/>
      <c r="H263" s="48"/>
      <c r="I263" s="49"/>
      <c r="J263" s="48"/>
      <c r="K263" s="49"/>
      <c r="L263" s="50">
        <f t="shared" ref="L263:L269" si="145">E263+F263+G263+H263+I263+J263+K263</f>
        <v>104143</v>
      </c>
      <c r="M263" s="80">
        <f t="shared" si="142"/>
        <v>104143</v>
      </c>
      <c r="N263" s="139">
        <v>104143</v>
      </c>
      <c r="O263" s="139">
        <f t="shared" si="144"/>
        <v>104143</v>
      </c>
      <c r="P263" s="49">
        <f t="shared" si="110"/>
        <v>0</v>
      </c>
      <c r="Q263" s="69"/>
      <c r="R263" s="139">
        <f t="shared" si="143"/>
        <v>104143</v>
      </c>
      <c r="S263" s="49">
        <f t="shared" ref="S263:S313" si="146">R263-O263</f>
        <v>0</v>
      </c>
      <c r="T263" s="69"/>
    </row>
    <row r="264" spans="2:20" s="45" customFormat="1" ht="69" customHeight="1" x14ac:dyDescent="0.25">
      <c r="B264" s="66" t="s">
        <v>615</v>
      </c>
      <c r="C264" s="176" t="s">
        <v>616</v>
      </c>
      <c r="D264" s="144" t="s">
        <v>558</v>
      </c>
      <c r="E264" s="48"/>
      <c r="F264" s="48"/>
      <c r="G264" s="48"/>
      <c r="H264" s="48"/>
      <c r="I264" s="49"/>
      <c r="J264" s="48">
        <f>108192+50000</f>
        <v>158192</v>
      </c>
      <c r="K264" s="51">
        <f>[1]BAZE_2026!G303-I265-1.2</f>
        <v>709218.99554731662</v>
      </c>
      <c r="L264" s="50">
        <f>E264+F264+G264+H264+I264+J264+K264</f>
        <v>867410.99554731662</v>
      </c>
      <c r="M264" s="50">
        <f t="shared" si="142"/>
        <v>867411</v>
      </c>
      <c r="N264" s="51">
        <v>867411</v>
      </c>
      <c r="O264" s="51">
        <f>ROUND(N264,0)</f>
        <v>867411</v>
      </c>
      <c r="P264" s="49">
        <f t="shared" si="110"/>
        <v>0</v>
      </c>
      <c r="Q264" s="240"/>
      <c r="R264" s="51">
        <f>ROUND(O264,0)-7000</f>
        <v>860411</v>
      </c>
      <c r="S264" s="49">
        <f t="shared" si="146"/>
        <v>-7000</v>
      </c>
      <c r="T264" s="240" t="s">
        <v>1119</v>
      </c>
    </row>
    <row r="265" spans="2:20" s="45" customFormat="1" ht="16.899999999999999" customHeight="1" x14ac:dyDescent="0.25">
      <c r="B265" s="66"/>
      <c r="C265" s="176" t="s">
        <v>617</v>
      </c>
      <c r="D265" s="144" t="s">
        <v>563</v>
      </c>
      <c r="E265" s="48"/>
      <c r="F265" s="48"/>
      <c r="G265" s="48"/>
      <c r="H265" s="48"/>
      <c r="I265" s="97">
        <f>[1]BAZE_2026!G306</f>
        <v>329532</v>
      </c>
      <c r="J265" s="48"/>
      <c r="K265" s="49"/>
      <c r="L265" s="50">
        <f t="shared" si="145"/>
        <v>329532</v>
      </c>
      <c r="M265" s="50">
        <f t="shared" si="142"/>
        <v>329532</v>
      </c>
      <c r="N265" s="51">
        <v>329532</v>
      </c>
      <c r="O265" s="51">
        <f>ROUND(N265,0)</f>
        <v>329532</v>
      </c>
      <c r="P265" s="49">
        <f t="shared" si="110"/>
        <v>0</v>
      </c>
      <c r="Q265" s="220"/>
      <c r="R265" s="51">
        <f t="shared" si="143"/>
        <v>329532</v>
      </c>
      <c r="S265" s="49">
        <f t="shared" si="146"/>
        <v>0</v>
      </c>
      <c r="T265" s="220"/>
    </row>
    <row r="266" spans="2:20" s="45" customFormat="1" ht="16.899999999999999" customHeight="1" x14ac:dyDescent="0.25">
      <c r="B266" s="66" t="s">
        <v>618</v>
      </c>
      <c r="C266" s="176" t="s">
        <v>619</v>
      </c>
      <c r="D266" s="144" t="s">
        <v>620</v>
      </c>
      <c r="E266" s="48">
        <f>E56</f>
        <v>1796</v>
      </c>
      <c r="F266" s="48">
        <f>F56</f>
        <v>15980</v>
      </c>
      <c r="G266" s="48"/>
      <c r="H266" s="48"/>
      <c r="I266" s="49"/>
      <c r="J266" s="48"/>
      <c r="K266" s="49"/>
      <c r="L266" s="50">
        <f t="shared" si="145"/>
        <v>17776</v>
      </c>
      <c r="M266" s="50">
        <f t="shared" si="142"/>
        <v>17776</v>
      </c>
      <c r="N266" s="51">
        <v>17776</v>
      </c>
      <c r="O266" s="51">
        <f>ROUND(N266,0)-40</f>
        <v>17736</v>
      </c>
      <c r="P266" s="49">
        <f t="shared" si="110"/>
        <v>-40</v>
      </c>
      <c r="Q266" s="52" t="s">
        <v>158</v>
      </c>
      <c r="R266" s="51">
        <f t="shared" si="143"/>
        <v>17736</v>
      </c>
      <c r="S266" s="49">
        <f t="shared" si="146"/>
        <v>0</v>
      </c>
      <c r="T266" s="52"/>
    </row>
    <row r="267" spans="2:20" s="45" customFormat="1" ht="49.5" customHeight="1" x14ac:dyDescent="0.25">
      <c r="B267" s="241" t="s">
        <v>621</v>
      </c>
      <c r="C267" s="176" t="s">
        <v>622</v>
      </c>
      <c r="D267" s="144" t="s">
        <v>203</v>
      </c>
      <c r="E267" s="48">
        <v>13940</v>
      </c>
      <c r="F267" s="48"/>
      <c r="G267" s="48">
        <v>1533</v>
      </c>
      <c r="H267" s="48"/>
      <c r="I267" s="49"/>
      <c r="J267" s="48"/>
      <c r="K267" s="49"/>
      <c r="L267" s="50">
        <f>E267+F267+G267+H267+I267+J267+K267</f>
        <v>15473</v>
      </c>
      <c r="M267" s="50">
        <f>ROUND(L267,0)</f>
        <v>15473</v>
      </c>
      <c r="N267" s="51">
        <v>15473</v>
      </c>
      <c r="O267" s="51">
        <f>ROUND(N267,0)</f>
        <v>15473</v>
      </c>
      <c r="P267" s="49">
        <f>O267-N267</f>
        <v>0</v>
      </c>
      <c r="Q267" s="52"/>
      <c r="R267" s="51">
        <f t="shared" si="143"/>
        <v>15473</v>
      </c>
      <c r="S267" s="49">
        <f t="shared" si="146"/>
        <v>0</v>
      </c>
      <c r="T267" s="52"/>
    </row>
    <row r="268" spans="2:20" s="159" customFormat="1" ht="15.6" customHeight="1" x14ac:dyDescent="0.25">
      <c r="B268" s="94" t="s">
        <v>623</v>
      </c>
      <c r="C268" s="176" t="s">
        <v>624</v>
      </c>
      <c r="D268" s="144" t="s">
        <v>625</v>
      </c>
      <c r="E268" s="48">
        <f>35968.41</f>
        <v>35968.410000000003</v>
      </c>
      <c r="F268" s="48"/>
      <c r="G268" s="48">
        <f>13204+4268</f>
        <v>17472</v>
      </c>
      <c r="H268" s="48"/>
      <c r="I268" s="49"/>
      <c r="J268" s="48">
        <f>40988+25608-SUM(E268:I268)</f>
        <v>13155.589999999997</v>
      </c>
      <c r="K268" s="49"/>
      <c r="L268" s="50">
        <f t="shared" si="145"/>
        <v>66596</v>
      </c>
      <c r="M268" s="50">
        <f t="shared" si="142"/>
        <v>66596</v>
      </c>
      <c r="N268" s="51">
        <v>66596</v>
      </c>
      <c r="O268" s="51">
        <f t="shared" si="144"/>
        <v>66596</v>
      </c>
      <c r="P268" s="49">
        <f t="shared" si="110"/>
        <v>0</v>
      </c>
      <c r="Q268" s="52"/>
      <c r="R268" s="51">
        <f t="shared" si="143"/>
        <v>66596</v>
      </c>
      <c r="S268" s="49">
        <f t="shared" si="146"/>
        <v>0</v>
      </c>
      <c r="T268" s="52"/>
    </row>
    <row r="269" spans="2:20" s="159" customFormat="1" ht="15" customHeight="1" x14ac:dyDescent="0.25">
      <c r="B269" s="94" t="s">
        <v>615</v>
      </c>
      <c r="C269" s="176" t="s">
        <v>626</v>
      </c>
      <c r="D269" s="144" t="s">
        <v>627</v>
      </c>
      <c r="E269" s="48"/>
      <c r="F269" s="48"/>
      <c r="G269" s="48"/>
      <c r="H269" s="48"/>
      <c r="I269" s="49"/>
      <c r="J269" s="48"/>
      <c r="K269" s="49"/>
      <c r="L269" s="50">
        <f t="shared" si="145"/>
        <v>0</v>
      </c>
      <c r="M269" s="50">
        <f t="shared" si="142"/>
        <v>0</v>
      </c>
      <c r="N269" s="51">
        <v>0</v>
      </c>
      <c r="O269" s="51">
        <f t="shared" si="144"/>
        <v>0</v>
      </c>
      <c r="P269" s="49">
        <f t="shared" si="110"/>
        <v>0</v>
      </c>
      <c r="Q269" s="52"/>
      <c r="R269" s="51">
        <f t="shared" si="143"/>
        <v>0</v>
      </c>
      <c r="S269" s="49">
        <f t="shared" si="146"/>
        <v>0</v>
      </c>
      <c r="T269" s="52"/>
    </row>
    <row r="270" spans="2:20" s="45" customFormat="1" ht="15.75" customHeight="1" x14ac:dyDescent="0.25">
      <c r="B270" s="66"/>
      <c r="C270" s="170" t="s">
        <v>628</v>
      </c>
      <c r="D270" s="178" t="s">
        <v>629</v>
      </c>
      <c r="E270" s="182">
        <f t="shared" ref="E270:P270" si="147">E271+E275+E276+E277+E278+E279+E280+E281+E282+E283+E284+E285</f>
        <v>198475.13</v>
      </c>
      <c r="F270" s="182">
        <f t="shared" si="147"/>
        <v>5226233</v>
      </c>
      <c r="G270" s="182">
        <f t="shared" si="147"/>
        <v>4654.8500000000058</v>
      </c>
      <c r="H270" s="182">
        <f t="shared" si="147"/>
        <v>49699</v>
      </c>
      <c r="I270" s="179">
        <f t="shared" si="147"/>
        <v>1014226</v>
      </c>
      <c r="J270" s="182">
        <f t="shared" si="147"/>
        <v>343934</v>
      </c>
      <c r="K270" s="179">
        <f t="shared" si="147"/>
        <v>1739831.9920463602</v>
      </c>
      <c r="L270" s="252">
        <f t="shared" si="147"/>
        <v>8577053.9720463604</v>
      </c>
      <c r="M270" s="252">
        <f t="shared" si="147"/>
        <v>8577054</v>
      </c>
      <c r="N270" s="179">
        <f t="shared" si="147"/>
        <v>8577054</v>
      </c>
      <c r="O270" s="179">
        <f t="shared" si="147"/>
        <v>8577434</v>
      </c>
      <c r="P270" s="181">
        <f t="shared" si="147"/>
        <v>380</v>
      </c>
      <c r="Q270" s="181"/>
      <c r="R270" s="179">
        <f t="shared" ref="R270" si="148">R271+R275+R276+R277+R278+R279+R280+R281+R282+R283+R284+R285</f>
        <v>8762749</v>
      </c>
      <c r="S270" s="181">
        <f t="shared" si="146"/>
        <v>185315</v>
      </c>
      <c r="T270" s="181"/>
    </row>
    <row r="271" spans="2:20" s="45" customFormat="1" ht="27" customHeight="1" x14ac:dyDescent="0.25">
      <c r="B271" s="66"/>
      <c r="C271" s="176" t="s">
        <v>630</v>
      </c>
      <c r="D271" s="144" t="s">
        <v>555</v>
      </c>
      <c r="E271" s="48">
        <f>E272+E273+E274</f>
        <v>71162</v>
      </c>
      <c r="F271" s="48">
        <f t="shared" ref="F271:K271" si="149">F272+F273+F274</f>
        <v>4901657</v>
      </c>
      <c r="G271" s="48">
        <f t="shared" si="149"/>
        <v>0</v>
      </c>
      <c r="H271" s="48">
        <f t="shared" si="149"/>
        <v>0</v>
      </c>
      <c r="I271" s="48">
        <f t="shared" si="149"/>
        <v>0</v>
      </c>
      <c r="J271" s="48">
        <f t="shared" si="149"/>
        <v>0</v>
      </c>
      <c r="K271" s="48">
        <f t="shared" si="149"/>
        <v>0</v>
      </c>
      <c r="L271" s="50">
        <f>L272+L273+L274</f>
        <v>4972819</v>
      </c>
      <c r="M271" s="50">
        <f>SUM(M272:M274)</f>
        <v>4972819</v>
      </c>
      <c r="N271" s="51">
        <f>SUM(N272:N274)</f>
        <v>4972819</v>
      </c>
      <c r="O271" s="51">
        <f>SUM(O272:O274)</f>
        <v>4972819</v>
      </c>
      <c r="P271" s="49">
        <f t="shared" si="110"/>
        <v>0</v>
      </c>
      <c r="Q271" s="69"/>
      <c r="R271" s="51">
        <f>SUM(R272:R274)</f>
        <v>5023047</v>
      </c>
      <c r="S271" s="49">
        <f t="shared" si="146"/>
        <v>50228</v>
      </c>
      <c r="T271" s="69"/>
    </row>
    <row r="272" spans="2:20" s="251" customFormat="1" ht="30.75" customHeight="1" x14ac:dyDescent="0.25">
      <c r="B272" s="247" t="s">
        <v>631</v>
      </c>
      <c r="C272" s="196" t="s">
        <v>632</v>
      </c>
      <c r="D272" s="197" t="s">
        <v>607</v>
      </c>
      <c r="E272" s="248">
        <f>40583+12</f>
        <v>40595</v>
      </c>
      <c r="F272" s="248">
        <f>4475976+7446</f>
        <v>4483422</v>
      </c>
      <c r="G272" s="248"/>
      <c r="H272" s="248"/>
      <c r="I272" s="248"/>
      <c r="J272" s="248"/>
      <c r="K272" s="248"/>
      <c r="L272" s="249">
        <f>E272+F272+G272+H272+I272+J272+K272</f>
        <v>4524017</v>
      </c>
      <c r="M272" s="249">
        <f t="shared" ref="M272:M283" si="150">ROUND(L272,0)</f>
        <v>4524017</v>
      </c>
      <c r="N272" s="250">
        <v>4524017</v>
      </c>
      <c r="O272" s="250">
        <f>ROUND(N272,0)</f>
        <v>4524017</v>
      </c>
      <c r="P272" s="204">
        <f t="shared" si="110"/>
        <v>0</v>
      </c>
      <c r="Q272" s="212"/>
      <c r="R272" s="250">
        <f t="shared" ref="R272:R284" si="151">ROUND(O272,0)</f>
        <v>4524017</v>
      </c>
      <c r="S272" s="204">
        <f t="shared" si="146"/>
        <v>0</v>
      </c>
      <c r="T272" s="212"/>
    </row>
    <row r="273" spans="2:20" s="251" customFormat="1" ht="32.450000000000003" customHeight="1" x14ac:dyDescent="0.25">
      <c r="B273" s="247" t="s">
        <v>633</v>
      </c>
      <c r="C273" s="196" t="s">
        <v>634</v>
      </c>
      <c r="D273" s="197" t="s">
        <v>610</v>
      </c>
      <c r="E273" s="248">
        <f>3721+1619</f>
        <v>5340</v>
      </c>
      <c r="F273" s="248">
        <f>285496+132739</f>
        <v>418235</v>
      </c>
      <c r="G273" s="248"/>
      <c r="H273" s="248"/>
      <c r="I273" s="248"/>
      <c r="J273" s="248"/>
      <c r="K273" s="248"/>
      <c r="L273" s="249">
        <f>E273+F273+G273+H273+I273+J273+K273</f>
        <v>423575</v>
      </c>
      <c r="M273" s="249">
        <f t="shared" si="150"/>
        <v>423575</v>
      </c>
      <c r="N273" s="250">
        <v>423575</v>
      </c>
      <c r="O273" s="250">
        <f>ROUND(N273,0)</f>
        <v>423575</v>
      </c>
      <c r="P273" s="204">
        <f t="shared" si="110"/>
        <v>0</v>
      </c>
      <c r="Q273" s="212"/>
      <c r="R273" s="250">
        <f t="shared" si="151"/>
        <v>423575</v>
      </c>
      <c r="S273" s="204">
        <f t="shared" si="146"/>
        <v>0</v>
      </c>
      <c r="T273" s="212"/>
    </row>
    <row r="274" spans="2:20" s="251" customFormat="1" ht="17.25" customHeight="1" x14ac:dyDescent="0.25">
      <c r="B274" s="247" t="s">
        <v>631</v>
      </c>
      <c r="C274" s="196" t="s">
        <v>635</v>
      </c>
      <c r="D274" s="197" t="s">
        <v>612</v>
      </c>
      <c r="E274" s="248">
        <f>29893-159-1992-29-32-1871-74-463-46</f>
        <v>25227</v>
      </c>
      <c r="F274" s="248"/>
      <c r="G274" s="248"/>
      <c r="H274" s="248"/>
      <c r="I274" s="248"/>
      <c r="J274" s="248"/>
      <c r="K274" s="248"/>
      <c r="L274" s="249">
        <f>E274+F274+G274+H274+I274+J274+K274</f>
        <v>25227</v>
      </c>
      <c r="M274" s="249">
        <f t="shared" si="150"/>
        <v>25227</v>
      </c>
      <c r="N274" s="250">
        <v>25227</v>
      </c>
      <c r="O274" s="250">
        <f t="shared" ref="O274:O284" si="152">ROUND(N274,0)</f>
        <v>25227</v>
      </c>
      <c r="P274" s="204">
        <f t="shared" si="110"/>
        <v>0</v>
      </c>
      <c r="Q274" s="212"/>
      <c r="R274" s="250">
        <f>ROUND(O274,0)-25227+4380+71075</f>
        <v>75455</v>
      </c>
      <c r="S274" s="204">
        <f t="shared" si="146"/>
        <v>50228</v>
      </c>
      <c r="T274" s="212" t="s">
        <v>636</v>
      </c>
    </row>
    <row r="275" spans="2:20" s="45" customFormat="1" ht="40.9" customHeight="1" x14ac:dyDescent="0.25">
      <c r="B275" s="66" t="s">
        <v>637</v>
      </c>
      <c r="C275" s="176" t="s">
        <v>638</v>
      </c>
      <c r="D275" s="144" t="s">
        <v>558</v>
      </c>
      <c r="E275" s="48"/>
      <c r="F275" s="48"/>
      <c r="G275" s="48"/>
      <c r="H275" s="48"/>
      <c r="I275" s="48"/>
      <c r="J275" s="48">
        <f>117383+35000</f>
        <v>152383</v>
      </c>
      <c r="K275" s="51">
        <f>[1]BAZE_2026!G315-I276-273112-0.24</f>
        <v>876108.99503059988</v>
      </c>
      <c r="L275" s="50">
        <f t="shared" ref="L275:L284" si="153">E275+F275+G275+H275+I275+J275+K275</f>
        <v>1028491.9950305999</v>
      </c>
      <c r="M275" s="50">
        <f t="shared" si="150"/>
        <v>1028492</v>
      </c>
      <c r="N275" s="51">
        <v>1028492</v>
      </c>
      <c r="O275" s="51">
        <f>ROUND(N275,0)+300</f>
        <v>1028792</v>
      </c>
      <c r="P275" s="49">
        <f t="shared" ref="P275:P313" si="154">O275-N275</f>
        <v>300</v>
      </c>
      <c r="Q275" s="240" t="s">
        <v>559</v>
      </c>
      <c r="R275" s="51">
        <f>ROUND(O275,0)+12000</f>
        <v>1040792</v>
      </c>
      <c r="S275" s="49">
        <f t="shared" si="146"/>
        <v>12000</v>
      </c>
      <c r="T275" s="212" t="s">
        <v>306</v>
      </c>
    </row>
    <row r="276" spans="2:20" s="45" customFormat="1" ht="44.25" customHeight="1" x14ac:dyDescent="0.25">
      <c r="B276" s="66"/>
      <c r="C276" s="176" t="s">
        <v>639</v>
      </c>
      <c r="D276" s="144" t="s">
        <v>563</v>
      </c>
      <c r="E276" s="48"/>
      <c r="F276" s="48"/>
      <c r="G276" s="48"/>
      <c r="H276" s="48"/>
      <c r="I276" s="97">
        <f>[1]BAZE_2026!G318</f>
        <v>611254</v>
      </c>
      <c r="J276" s="93">
        <f>29040+5011+131000</f>
        <v>165051</v>
      </c>
      <c r="K276" s="48"/>
      <c r="L276" s="50">
        <f t="shared" si="153"/>
        <v>776305</v>
      </c>
      <c r="M276" s="50">
        <f t="shared" si="150"/>
        <v>776305</v>
      </c>
      <c r="N276" s="51">
        <v>776305</v>
      </c>
      <c r="O276" s="51">
        <f>ROUND(N276,0)</f>
        <v>776305</v>
      </c>
      <c r="P276" s="49">
        <f t="shared" si="154"/>
        <v>0</v>
      </c>
      <c r="Q276" s="220"/>
      <c r="R276" s="51">
        <f>ROUND(O276,0)-25000</f>
        <v>751305</v>
      </c>
      <c r="S276" s="49">
        <f t="shared" si="146"/>
        <v>-25000</v>
      </c>
      <c r="T276" s="212" t="s">
        <v>640</v>
      </c>
    </row>
    <row r="277" spans="2:20" s="45" customFormat="1" ht="15" customHeight="1" x14ac:dyDescent="0.25">
      <c r="B277" s="45" t="s">
        <v>641</v>
      </c>
      <c r="C277" s="176" t="s">
        <v>642</v>
      </c>
      <c r="D277" s="144" t="s">
        <v>643</v>
      </c>
      <c r="E277" s="48">
        <f>70991.15</f>
        <v>70991.149999999994</v>
      </c>
      <c r="F277" s="48"/>
      <c r="G277" s="48">
        <f>70991-E277</f>
        <v>-0.14999999999417923</v>
      </c>
      <c r="H277" s="48"/>
      <c r="I277" s="48"/>
      <c r="J277" s="48"/>
      <c r="K277" s="48"/>
      <c r="L277" s="50">
        <f t="shared" si="153"/>
        <v>70991</v>
      </c>
      <c r="M277" s="50">
        <f t="shared" si="150"/>
        <v>70991</v>
      </c>
      <c r="N277" s="51">
        <v>70991</v>
      </c>
      <c r="O277" s="51">
        <f t="shared" si="152"/>
        <v>70991</v>
      </c>
      <c r="P277" s="49">
        <f t="shared" si="154"/>
        <v>0</v>
      </c>
      <c r="Q277" s="52"/>
      <c r="R277" s="51">
        <f>ROUND(O277,0)+67062</f>
        <v>138053</v>
      </c>
      <c r="S277" s="49">
        <f t="shared" si="146"/>
        <v>67062</v>
      </c>
      <c r="T277" s="212" t="s">
        <v>282</v>
      </c>
    </row>
    <row r="278" spans="2:20" s="45" customFormat="1" ht="16.149999999999999" customHeight="1" x14ac:dyDescent="0.25">
      <c r="B278" s="66" t="s">
        <v>644</v>
      </c>
      <c r="C278" s="176" t="s">
        <v>645</v>
      </c>
      <c r="D278" s="144" t="s">
        <v>620</v>
      </c>
      <c r="E278" s="48">
        <f>E55</f>
        <v>102</v>
      </c>
      <c r="F278" s="48">
        <f>F55</f>
        <v>42000</v>
      </c>
      <c r="G278" s="48"/>
      <c r="H278" s="48"/>
      <c r="I278" s="48"/>
      <c r="J278" s="48"/>
      <c r="K278" s="48"/>
      <c r="L278" s="50">
        <f t="shared" si="153"/>
        <v>42102</v>
      </c>
      <c r="M278" s="50">
        <f t="shared" si="150"/>
        <v>42102</v>
      </c>
      <c r="N278" s="51">
        <v>42102</v>
      </c>
      <c r="O278" s="51">
        <f>ROUND(N278,0)+80</f>
        <v>42182</v>
      </c>
      <c r="P278" s="49">
        <f t="shared" si="154"/>
        <v>80</v>
      </c>
      <c r="Q278" s="52" t="s">
        <v>158</v>
      </c>
      <c r="R278" s="51">
        <f t="shared" si="151"/>
        <v>42182</v>
      </c>
      <c r="S278" s="49">
        <f t="shared" si="146"/>
        <v>0</v>
      </c>
      <c r="T278" s="212"/>
    </row>
    <row r="279" spans="2:20" s="45" customFormat="1" ht="47.25" customHeight="1" x14ac:dyDescent="0.25">
      <c r="B279" s="66" t="s">
        <v>646</v>
      </c>
      <c r="C279" s="176" t="s">
        <v>647</v>
      </c>
      <c r="D279" s="144" t="s">
        <v>203</v>
      </c>
      <c r="E279" s="48">
        <v>37841.980000000003</v>
      </c>
      <c r="F279" s="48"/>
      <c r="G279" s="48">
        <v>4534</v>
      </c>
      <c r="H279" s="48"/>
      <c r="I279" s="48"/>
      <c r="J279" s="48"/>
      <c r="K279" s="48"/>
      <c r="L279" s="50">
        <f>E279+F279+G279+H279+I279+J279+K279</f>
        <v>42375.98</v>
      </c>
      <c r="M279" s="50">
        <f>ROUND(L279,0)</f>
        <v>42376</v>
      </c>
      <c r="N279" s="51">
        <v>42376</v>
      </c>
      <c r="O279" s="51">
        <f>ROUND(N279,0)</f>
        <v>42376</v>
      </c>
      <c r="P279" s="49">
        <f>O279-N279</f>
        <v>0</v>
      </c>
      <c r="Q279" s="52"/>
      <c r="R279" s="51">
        <f t="shared" si="151"/>
        <v>42376</v>
      </c>
      <c r="S279" s="49">
        <f t="shared" si="146"/>
        <v>0</v>
      </c>
      <c r="T279" s="52"/>
    </row>
    <row r="280" spans="2:20" s="253" customFormat="1" ht="31.9" customHeight="1" x14ac:dyDescent="0.25">
      <c r="B280" s="66" t="s">
        <v>637</v>
      </c>
      <c r="C280" s="176" t="s">
        <v>648</v>
      </c>
      <c r="D280" s="144" t="s">
        <v>326</v>
      </c>
      <c r="E280" s="48"/>
      <c r="F280" s="48"/>
      <c r="G280" s="48"/>
      <c r="H280" s="48">
        <f>H120</f>
        <v>49699</v>
      </c>
      <c r="I280" s="48"/>
      <c r="J280" s="48">
        <f>59199-SUM(E280:I280)</f>
        <v>9500</v>
      </c>
      <c r="K280" s="48"/>
      <c r="L280" s="50">
        <f t="shared" si="153"/>
        <v>59199</v>
      </c>
      <c r="M280" s="50">
        <f t="shared" si="150"/>
        <v>59199</v>
      </c>
      <c r="N280" s="51">
        <v>59199</v>
      </c>
      <c r="O280" s="51">
        <f t="shared" si="152"/>
        <v>59199</v>
      </c>
      <c r="P280" s="49">
        <f t="shared" si="154"/>
        <v>0</v>
      </c>
      <c r="Q280" s="52"/>
      <c r="R280" s="51">
        <f t="shared" si="151"/>
        <v>59199</v>
      </c>
      <c r="S280" s="49">
        <f t="shared" si="146"/>
        <v>0</v>
      </c>
      <c r="T280" s="52"/>
    </row>
    <row r="281" spans="2:20" s="253" customFormat="1" ht="54" customHeight="1" x14ac:dyDescent="0.25">
      <c r="B281" s="66" t="s">
        <v>637</v>
      </c>
      <c r="C281" s="176" t="s">
        <v>649</v>
      </c>
      <c r="D281" s="144" t="s">
        <v>650</v>
      </c>
      <c r="E281" s="48"/>
      <c r="F281" s="48"/>
      <c r="G281" s="48"/>
      <c r="H281" s="48">
        <f>H121</f>
        <v>0</v>
      </c>
      <c r="I281" s="48"/>
      <c r="J281" s="48"/>
      <c r="K281" s="48"/>
      <c r="L281" s="50">
        <f t="shared" si="153"/>
        <v>0</v>
      </c>
      <c r="M281" s="50">
        <f t="shared" si="150"/>
        <v>0</v>
      </c>
      <c r="N281" s="51">
        <v>0</v>
      </c>
      <c r="O281" s="51">
        <f t="shared" si="152"/>
        <v>0</v>
      </c>
      <c r="P281" s="49">
        <f t="shared" si="154"/>
        <v>0</v>
      </c>
      <c r="Q281" s="52"/>
      <c r="R281" s="51">
        <f>ROUND(O281,0)+25000+50000+7000</f>
        <v>82000</v>
      </c>
      <c r="S281" s="49">
        <f t="shared" si="146"/>
        <v>82000</v>
      </c>
      <c r="T281" s="69" t="s">
        <v>1114</v>
      </c>
    </row>
    <row r="282" spans="2:20" s="253" customFormat="1" ht="21.75" customHeight="1" x14ac:dyDescent="0.25">
      <c r="B282" s="254" t="s">
        <v>651</v>
      </c>
      <c r="C282" s="176" t="s">
        <v>652</v>
      </c>
      <c r="D282" s="144" t="s">
        <v>653</v>
      </c>
      <c r="E282" s="48"/>
      <c r="F282" s="48"/>
      <c r="G282" s="48"/>
      <c r="H282" s="48"/>
      <c r="I282" s="48"/>
      <c r="J282" s="48">
        <v>8900</v>
      </c>
      <c r="K282" s="51">
        <f>[1]BAZE_2026!G295-I283+273112-0.33</f>
        <v>693401.00000000012</v>
      </c>
      <c r="L282" s="50">
        <f t="shared" si="153"/>
        <v>702301.00000000012</v>
      </c>
      <c r="M282" s="50">
        <f t="shared" si="150"/>
        <v>702301</v>
      </c>
      <c r="N282" s="51">
        <v>702301</v>
      </c>
      <c r="O282" s="51">
        <f>ROUND(N282,0)</f>
        <v>702301</v>
      </c>
      <c r="P282" s="49">
        <f t="shared" si="154"/>
        <v>0</v>
      </c>
      <c r="Q282" s="240"/>
      <c r="R282" s="51">
        <f t="shared" si="151"/>
        <v>702301</v>
      </c>
      <c r="S282" s="49">
        <f t="shared" si="146"/>
        <v>0</v>
      </c>
      <c r="T282" s="240"/>
    </row>
    <row r="283" spans="2:20" s="253" customFormat="1" ht="33" customHeight="1" x14ac:dyDescent="0.25">
      <c r="B283" s="254"/>
      <c r="C283" s="176" t="s">
        <v>654</v>
      </c>
      <c r="D283" s="144" t="s">
        <v>655</v>
      </c>
      <c r="E283" s="48"/>
      <c r="F283" s="48"/>
      <c r="G283" s="48"/>
      <c r="H283" s="48"/>
      <c r="I283" s="97">
        <f>[1]BAZE_2026!G298</f>
        <v>385101</v>
      </c>
      <c r="J283" s="48">
        <v>8100</v>
      </c>
      <c r="K283" s="48"/>
      <c r="L283" s="50">
        <f t="shared" si="153"/>
        <v>393201</v>
      </c>
      <c r="M283" s="50">
        <f t="shared" si="150"/>
        <v>393201</v>
      </c>
      <c r="N283" s="51">
        <v>393201</v>
      </c>
      <c r="O283" s="51">
        <f>ROUND(N283,0)</f>
        <v>393201</v>
      </c>
      <c r="P283" s="49">
        <f t="shared" si="154"/>
        <v>0</v>
      </c>
      <c r="Q283" s="220"/>
      <c r="R283" s="51">
        <f t="shared" si="151"/>
        <v>393201</v>
      </c>
      <c r="S283" s="49">
        <f t="shared" si="146"/>
        <v>0</v>
      </c>
      <c r="T283" s="220"/>
    </row>
    <row r="284" spans="2:20" s="253" customFormat="1" ht="15" customHeight="1" x14ac:dyDescent="0.25">
      <c r="B284" s="66" t="s">
        <v>631</v>
      </c>
      <c r="C284" s="176" t="s">
        <v>656</v>
      </c>
      <c r="D284" s="144" t="s">
        <v>657</v>
      </c>
      <c r="E284" s="48">
        <v>13794</v>
      </c>
      <c r="F284" s="48">
        <f>134427+102522</f>
        <v>236949</v>
      </c>
      <c r="G284" s="48"/>
      <c r="H284" s="48"/>
      <c r="I284" s="48"/>
      <c r="J284" s="48"/>
      <c r="K284" s="48"/>
      <c r="L284" s="50">
        <f t="shared" si="153"/>
        <v>250743</v>
      </c>
      <c r="M284" s="50">
        <f>ROUND(L284,0)</f>
        <v>250743</v>
      </c>
      <c r="N284" s="51">
        <v>250743</v>
      </c>
      <c r="O284" s="51">
        <f t="shared" si="152"/>
        <v>250743</v>
      </c>
      <c r="P284" s="49">
        <f t="shared" si="154"/>
        <v>0</v>
      </c>
      <c r="Q284" s="69"/>
      <c r="R284" s="51">
        <f t="shared" si="151"/>
        <v>250743</v>
      </c>
      <c r="S284" s="49">
        <f t="shared" si="146"/>
        <v>0</v>
      </c>
      <c r="T284" s="69"/>
    </row>
    <row r="285" spans="2:20" s="261" customFormat="1" ht="13.9" customHeight="1" x14ac:dyDescent="0.25">
      <c r="B285" s="254"/>
      <c r="C285" s="255" t="s">
        <v>658</v>
      </c>
      <c r="D285" s="256" t="s">
        <v>659</v>
      </c>
      <c r="E285" s="257">
        <f>E286+E287+E288+E289</f>
        <v>4584</v>
      </c>
      <c r="F285" s="257">
        <f t="shared" ref="F285:R285" si="155">F286+F287+F288+F289</f>
        <v>45627</v>
      </c>
      <c r="G285" s="257">
        <f t="shared" si="155"/>
        <v>121</v>
      </c>
      <c r="H285" s="257">
        <f t="shared" si="155"/>
        <v>0</v>
      </c>
      <c r="I285" s="258">
        <f t="shared" si="155"/>
        <v>17871</v>
      </c>
      <c r="J285" s="258">
        <f t="shared" si="155"/>
        <v>0</v>
      </c>
      <c r="K285" s="258">
        <f t="shared" si="155"/>
        <v>170321.99701575996</v>
      </c>
      <c r="L285" s="259">
        <f t="shared" si="155"/>
        <v>238524.99701575996</v>
      </c>
      <c r="M285" s="259">
        <f t="shared" si="155"/>
        <v>238525</v>
      </c>
      <c r="N285" s="260">
        <f t="shared" si="155"/>
        <v>238525</v>
      </c>
      <c r="O285" s="260">
        <f t="shared" si="155"/>
        <v>238525</v>
      </c>
      <c r="P285" s="258">
        <f t="shared" si="155"/>
        <v>0</v>
      </c>
      <c r="Q285" s="258">
        <f t="shared" si="155"/>
        <v>0</v>
      </c>
      <c r="R285" s="260">
        <f t="shared" si="155"/>
        <v>237550</v>
      </c>
      <c r="S285" s="258">
        <f t="shared" si="146"/>
        <v>-975</v>
      </c>
      <c r="T285" s="258"/>
    </row>
    <row r="286" spans="2:20" s="253" customFormat="1" ht="36" customHeight="1" x14ac:dyDescent="0.25">
      <c r="B286" s="94" t="s">
        <v>660</v>
      </c>
      <c r="C286" s="262" t="s">
        <v>661</v>
      </c>
      <c r="D286" s="144" t="s">
        <v>662</v>
      </c>
      <c r="E286" s="48">
        <f>1492+1992</f>
        <v>3484</v>
      </c>
      <c r="F286" s="235">
        <f>45627</f>
        <v>45627</v>
      </c>
      <c r="G286" s="48"/>
      <c r="H286" s="48"/>
      <c r="I286" s="49"/>
      <c r="J286" s="49"/>
      <c r="K286" s="49"/>
      <c r="L286" s="50">
        <f>E286+F286+G286+H286+I286+J286+K286</f>
        <v>49111</v>
      </c>
      <c r="M286" s="50">
        <f>ROUND(L286,0)</f>
        <v>49111</v>
      </c>
      <c r="N286" s="51">
        <v>49111</v>
      </c>
      <c r="O286" s="51">
        <f>ROUND(N286,0)</f>
        <v>49111</v>
      </c>
      <c r="P286" s="49">
        <f t="shared" si="154"/>
        <v>0</v>
      </c>
      <c r="Q286" s="69"/>
      <c r="R286" s="51">
        <f>ROUND(O286,0)-975</f>
        <v>48136</v>
      </c>
      <c r="S286" s="49">
        <f t="shared" si="146"/>
        <v>-975</v>
      </c>
      <c r="T286" s="69" t="s">
        <v>636</v>
      </c>
    </row>
    <row r="287" spans="2:20" s="159" customFormat="1" ht="14.45" customHeight="1" x14ac:dyDescent="0.25">
      <c r="B287" s="254" t="s">
        <v>663</v>
      </c>
      <c r="C287" s="262" t="s">
        <v>664</v>
      </c>
      <c r="D287" s="144" t="s">
        <v>665</v>
      </c>
      <c r="E287" s="48"/>
      <c r="F287" s="48"/>
      <c r="G287" s="48"/>
      <c r="H287" s="48"/>
      <c r="I287" s="49"/>
      <c r="J287" s="49"/>
      <c r="K287" s="51">
        <f>[1]BAZE_2026!G282-I289+0.66</f>
        <v>170321.99701575996</v>
      </c>
      <c r="L287" s="50">
        <f>E287+F287+G287+H287+I287+J287+K287</f>
        <v>170321.99701575996</v>
      </c>
      <c r="M287" s="50">
        <f>ROUND(L287,0)</f>
        <v>170322</v>
      </c>
      <c r="N287" s="51">
        <v>170322</v>
      </c>
      <c r="O287" s="51">
        <f>ROUND(N287,0)</f>
        <v>170322</v>
      </c>
      <c r="P287" s="49">
        <f t="shared" si="154"/>
        <v>0</v>
      </c>
      <c r="Q287" s="52"/>
      <c r="R287" s="51">
        <f t="shared" ref="R287:R289" si="156">ROUND(O287,0)</f>
        <v>170322</v>
      </c>
      <c r="S287" s="49">
        <f t="shared" si="146"/>
        <v>0</v>
      </c>
      <c r="T287" s="52"/>
    </row>
    <row r="288" spans="2:20" s="159" customFormat="1" ht="51.6" customHeight="1" x14ac:dyDescent="0.25">
      <c r="B288" s="254" t="s">
        <v>666</v>
      </c>
      <c r="C288" s="262" t="s">
        <v>667</v>
      </c>
      <c r="D288" s="144" t="s">
        <v>668</v>
      </c>
      <c r="E288" s="48">
        <v>1100</v>
      </c>
      <c r="F288" s="48"/>
      <c r="G288" s="48">
        <v>121</v>
      </c>
      <c r="H288" s="48"/>
      <c r="I288" s="49"/>
      <c r="J288" s="49"/>
      <c r="K288" s="49"/>
      <c r="L288" s="50">
        <f>E288+F288+G288+H288+I288+J288+K288</f>
        <v>1221</v>
      </c>
      <c r="M288" s="50">
        <f>ROUND(L288,0)</f>
        <v>1221</v>
      </c>
      <c r="N288" s="51">
        <v>1221</v>
      </c>
      <c r="O288" s="51">
        <f>ROUND(N288,0)</f>
        <v>1221</v>
      </c>
      <c r="P288" s="49">
        <f>O288-N288</f>
        <v>0</v>
      </c>
      <c r="Q288" s="52"/>
      <c r="R288" s="51">
        <f t="shared" si="156"/>
        <v>1221</v>
      </c>
      <c r="S288" s="49">
        <f t="shared" si="146"/>
        <v>0</v>
      </c>
      <c r="T288" s="52"/>
    </row>
    <row r="289" spans="2:20" s="159" customFormat="1" ht="13.9" customHeight="1" x14ac:dyDescent="0.25">
      <c r="B289" s="254"/>
      <c r="C289" s="262" t="s">
        <v>669</v>
      </c>
      <c r="D289" s="144" t="s">
        <v>503</v>
      </c>
      <c r="E289" s="48"/>
      <c r="F289" s="48"/>
      <c r="G289" s="48"/>
      <c r="H289" s="48"/>
      <c r="I289" s="97">
        <f>[1]BAZE_2026!G285</f>
        <v>17871</v>
      </c>
      <c r="J289" s="49"/>
      <c r="K289" s="49"/>
      <c r="L289" s="50">
        <f>E289+F289+G289+H289+I289+J289+K289</f>
        <v>17871</v>
      </c>
      <c r="M289" s="50">
        <f>ROUND(L289,0)</f>
        <v>17871</v>
      </c>
      <c r="N289" s="51">
        <v>17871</v>
      </c>
      <c r="O289" s="51">
        <f>ROUND(N289,0)</f>
        <v>17871</v>
      </c>
      <c r="P289" s="49">
        <f t="shared" si="154"/>
        <v>0</v>
      </c>
      <c r="Q289" s="52"/>
      <c r="R289" s="51">
        <f t="shared" si="156"/>
        <v>17871</v>
      </c>
      <c r="S289" s="49">
        <f t="shared" si="146"/>
        <v>0</v>
      </c>
      <c r="T289" s="52"/>
    </row>
    <row r="290" spans="2:20" ht="18" customHeight="1" x14ac:dyDescent="0.25">
      <c r="C290" s="263" t="s">
        <v>670</v>
      </c>
      <c r="D290" s="178" t="s">
        <v>671</v>
      </c>
      <c r="E290" s="182">
        <f>E291+E292</f>
        <v>0</v>
      </c>
      <c r="F290" s="182">
        <f t="shared" ref="F290:O290" si="157">F291+F292</f>
        <v>849067</v>
      </c>
      <c r="G290" s="182">
        <f t="shared" si="157"/>
        <v>0</v>
      </c>
      <c r="H290" s="182">
        <f t="shared" si="157"/>
        <v>0</v>
      </c>
      <c r="I290" s="182">
        <f t="shared" si="157"/>
        <v>0</v>
      </c>
      <c r="J290" s="182">
        <f t="shared" si="157"/>
        <v>44207</v>
      </c>
      <c r="K290" s="179">
        <f t="shared" si="157"/>
        <v>1102719.9991771204</v>
      </c>
      <c r="L290" s="180">
        <f t="shared" si="157"/>
        <v>1995993.9991771204</v>
      </c>
      <c r="M290" s="180">
        <f t="shared" si="157"/>
        <v>1995994</v>
      </c>
      <c r="N290" s="181">
        <f>N291+N292</f>
        <v>1995994</v>
      </c>
      <c r="O290" s="181">
        <f t="shared" si="157"/>
        <v>1995994</v>
      </c>
      <c r="P290" s="179">
        <f t="shared" si="154"/>
        <v>0</v>
      </c>
      <c r="Q290" s="179"/>
      <c r="R290" s="181">
        <f t="shared" ref="R290" si="158">R291+R292</f>
        <v>1995994</v>
      </c>
      <c r="S290" s="179">
        <f t="shared" si="146"/>
        <v>0</v>
      </c>
      <c r="T290" s="179"/>
    </row>
    <row r="291" spans="2:20" ht="13.5" customHeight="1" x14ac:dyDescent="0.25">
      <c r="C291" s="176" t="s">
        <v>672</v>
      </c>
      <c r="D291" s="144" t="s">
        <v>673</v>
      </c>
      <c r="E291" s="48">
        <f>E44</f>
        <v>0</v>
      </c>
      <c r="F291" s="235">
        <f>F44</f>
        <v>849067</v>
      </c>
      <c r="G291" s="48"/>
      <c r="H291" s="48"/>
      <c r="I291" s="48"/>
      <c r="J291" s="48"/>
      <c r="K291" s="49"/>
      <c r="L291" s="50">
        <f>E291+F291+G291+H291+I291+J291+K291</f>
        <v>849067</v>
      </c>
      <c r="M291" s="50">
        <f>ROUND(L291,0)</f>
        <v>849067</v>
      </c>
      <c r="N291" s="51">
        <v>849067</v>
      </c>
      <c r="O291" s="51">
        <f>ROUND(N291,0)</f>
        <v>849067</v>
      </c>
      <c r="P291" s="49">
        <f t="shared" si="154"/>
        <v>0</v>
      </c>
      <c r="Q291" s="69"/>
      <c r="R291" s="51">
        <f t="shared" ref="R291:R292" si="159">ROUND(O291,0)</f>
        <v>849067</v>
      </c>
      <c r="S291" s="49">
        <f t="shared" si="146"/>
        <v>0</v>
      </c>
      <c r="T291" s="69"/>
    </row>
    <row r="292" spans="2:20" ht="25.9" customHeight="1" x14ac:dyDescent="0.25">
      <c r="C292" s="176" t="s">
        <v>672</v>
      </c>
      <c r="D292" s="144" t="s">
        <v>558</v>
      </c>
      <c r="E292" s="48"/>
      <c r="F292" s="48"/>
      <c r="G292" s="48"/>
      <c r="H292" s="48"/>
      <c r="I292" s="48"/>
      <c r="J292" s="48">
        <v>44207</v>
      </c>
      <c r="K292" s="51">
        <f>[1]BAZE_2026!G327+0.7</f>
        <v>1102719.9991771204</v>
      </c>
      <c r="L292" s="50">
        <f>E292+F292+G292+H292+I292+J292+K292</f>
        <v>1146926.9991771204</v>
      </c>
      <c r="M292" s="50">
        <f>ROUND(L292,0)</f>
        <v>1146927</v>
      </c>
      <c r="N292" s="51">
        <v>1146927</v>
      </c>
      <c r="O292" s="51">
        <f>ROUND(N292,0)</f>
        <v>1146927</v>
      </c>
      <c r="P292" s="49">
        <f t="shared" si="154"/>
        <v>0</v>
      </c>
      <c r="Q292" s="264"/>
      <c r="R292" s="51">
        <f t="shared" si="159"/>
        <v>1146927</v>
      </c>
      <c r="S292" s="49">
        <f t="shared" si="146"/>
        <v>0</v>
      </c>
      <c r="T292" s="264"/>
    </row>
    <row r="293" spans="2:20" ht="16.149999999999999" customHeight="1" x14ac:dyDescent="0.25">
      <c r="C293" s="265" t="s">
        <v>674</v>
      </c>
      <c r="D293" s="178" t="s">
        <v>675</v>
      </c>
      <c r="E293" s="182">
        <f t="shared" ref="E293:L293" si="160">E294+E295</f>
        <v>10019.02</v>
      </c>
      <c r="F293" s="182">
        <f t="shared" si="160"/>
        <v>339461.98</v>
      </c>
      <c r="G293" s="182">
        <f t="shared" si="160"/>
        <v>0</v>
      </c>
      <c r="H293" s="182">
        <f t="shared" si="160"/>
        <v>0</v>
      </c>
      <c r="I293" s="182">
        <f>I294+I295</f>
        <v>0</v>
      </c>
      <c r="J293" s="182">
        <f t="shared" si="160"/>
        <v>21528</v>
      </c>
      <c r="K293" s="179">
        <f t="shared" si="160"/>
        <v>544211.99812243588</v>
      </c>
      <c r="L293" s="180">
        <f t="shared" si="160"/>
        <v>915220.99812243588</v>
      </c>
      <c r="M293" s="180">
        <f>M294+M295</f>
        <v>915221</v>
      </c>
      <c r="N293" s="181">
        <f>N294+N295</f>
        <v>915221</v>
      </c>
      <c r="O293" s="181">
        <f>O294+O295</f>
        <v>915221</v>
      </c>
      <c r="P293" s="179">
        <f t="shared" si="154"/>
        <v>0</v>
      </c>
      <c r="Q293" s="191"/>
      <c r="R293" s="181">
        <f>R294+R295</f>
        <v>915221</v>
      </c>
      <c r="S293" s="179">
        <f t="shared" si="146"/>
        <v>0</v>
      </c>
      <c r="T293" s="191"/>
    </row>
    <row r="294" spans="2:20" ht="16.5" customHeight="1" x14ac:dyDescent="0.25">
      <c r="B294" s="94" t="s">
        <v>676</v>
      </c>
      <c r="C294" s="176" t="s">
        <v>677</v>
      </c>
      <c r="D294" s="144" t="s">
        <v>673</v>
      </c>
      <c r="E294" s="48">
        <f>E45</f>
        <v>23.02</v>
      </c>
      <c r="F294" s="235">
        <f>F45</f>
        <v>339461.98</v>
      </c>
      <c r="G294" s="48"/>
      <c r="H294" s="48"/>
      <c r="I294" s="48"/>
      <c r="J294" s="48"/>
      <c r="K294" s="49"/>
      <c r="L294" s="50">
        <f t="shared" ref="L294:L300" si="161">E294+F294+G294+H294+I294+J294+K294</f>
        <v>339485</v>
      </c>
      <c r="M294" s="50">
        <f t="shared" ref="M294:M303" si="162">ROUND(L294,0)</f>
        <v>339485</v>
      </c>
      <c r="N294" s="51">
        <v>339485</v>
      </c>
      <c r="O294" s="51">
        <f t="shared" ref="O294:O303" si="163">ROUND(N294,0)</f>
        <v>339485</v>
      </c>
      <c r="P294" s="49">
        <f t="shared" si="154"/>
        <v>0</v>
      </c>
      <c r="Q294" s="52"/>
      <c r="R294" s="51">
        <f t="shared" ref="R294:R303" si="164">ROUND(O294,0)</f>
        <v>339485</v>
      </c>
      <c r="S294" s="49">
        <f t="shared" si="146"/>
        <v>0</v>
      </c>
      <c r="T294" s="52"/>
    </row>
    <row r="295" spans="2:20" ht="16.5" customHeight="1" x14ac:dyDescent="0.25">
      <c r="B295" s="94" t="s">
        <v>678</v>
      </c>
      <c r="C295" s="176" t="s">
        <v>679</v>
      </c>
      <c r="D295" s="144" t="s">
        <v>680</v>
      </c>
      <c r="E295" s="48">
        <v>9996</v>
      </c>
      <c r="F295" s="48"/>
      <c r="G295" s="48"/>
      <c r="H295" s="48"/>
      <c r="I295" s="48"/>
      <c r="J295" s="48">
        <v>21528</v>
      </c>
      <c r="K295" s="51">
        <f>[1]BAZE_2026!G335-0.23</f>
        <v>544211.99812243588</v>
      </c>
      <c r="L295" s="50">
        <f>E295+F295+G295+H295+I295+J295+K295</f>
        <v>575735.99812243588</v>
      </c>
      <c r="M295" s="50">
        <f>ROUND(L295,0)</f>
        <v>575736</v>
      </c>
      <c r="N295" s="51">
        <v>575736</v>
      </c>
      <c r="O295" s="51">
        <f t="shared" si="163"/>
        <v>575736</v>
      </c>
      <c r="P295" s="49">
        <f t="shared" si="154"/>
        <v>0</v>
      </c>
      <c r="Q295" s="69"/>
      <c r="R295" s="51">
        <f t="shared" si="164"/>
        <v>575736</v>
      </c>
      <c r="S295" s="49">
        <f t="shared" si="146"/>
        <v>0</v>
      </c>
      <c r="T295" s="69"/>
    </row>
    <row r="296" spans="2:20" ht="48" customHeight="1" x14ac:dyDescent="0.25">
      <c r="B296" s="94" t="s">
        <v>681</v>
      </c>
      <c r="C296" s="265" t="s">
        <v>682</v>
      </c>
      <c r="D296" s="178" t="s">
        <v>683</v>
      </c>
      <c r="E296" s="79">
        <f>2193+E83+E61+509+E76</f>
        <v>26768</v>
      </c>
      <c r="F296" s="79">
        <f>30420</f>
        <v>30420</v>
      </c>
      <c r="G296" s="79">
        <f>20249+G83+41749+G76</f>
        <v>123429</v>
      </c>
      <c r="H296" s="79"/>
      <c r="I296" s="79"/>
      <c r="J296" s="79">
        <f>(685+9634+3328)+(67120-J297+74550-F296+26263+4000)+3921+6000+2000+2800+11388+(83360-8432-60717)+6150</f>
        <v>199630</v>
      </c>
      <c r="K296" s="101">
        <f>[1]BAZE_2026!G341+[1]BAZE_2026!G348-0.26</f>
        <v>373002.00008769997</v>
      </c>
      <c r="L296" s="75">
        <f>E296+F296+G296+H296+I296+J296+K296</f>
        <v>753249.00008769997</v>
      </c>
      <c r="M296" s="75">
        <f t="shared" si="162"/>
        <v>753249</v>
      </c>
      <c r="N296" s="101">
        <v>753249</v>
      </c>
      <c r="O296" s="101">
        <f>ROUND(N296,0)+8000+45534</f>
        <v>806783</v>
      </c>
      <c r="P296" s="74">
        <f t="shared" si="154"/>
        <v>53534</v>
      </c>
      <c r="Q296" s="108" t="s">
        <v>684</v>
      </c>
      <c r="R296" s="101">
        <f>ROUND(O296,0)-125+3887</f>
        <v>810545</v>
      </c>
      <c r="S296" s="74">
        <f t="shared" si="146"/>
        <v>3762</v>
      </c>
      <c r="T296" s="108" t="s">
        <v>685</v>
      </c>
    </row>
    <row r="297" spans="2:20" ht="16.5" customHeight="1" x14ac:dyDescent="0.25">
      <c r="B297" s="94"/>
      <c r="C297" s="265" t="s">
        <v>686</v>
      </c>
      <c r="D297" s="178" t="s">
        <v>687</v>
      </c>
      <c r="E297" s="79"/>
      <c r="F297" s="79"/>
      <c r="G297" s="79"/>
      <c r="H297" s="79"/>
      <c r="I297" s="79"/>
      <c r="J297" s="79">
        <v>2000</v>
      </c>
      <c r="K297" s="73"/>
      <c r="L297" s="75">
        <f t="shared" si="161"/>
        <v>2000</v>
      </c>
      <c r="M297" s="75">
        <f t="shared" si="162"/>
        <v>2000</v>
      </c>
      <c r="N297" s="101">
        <v>2000</v>
      </c>
      <c r="O297" s="101">
        <f t="shared" si="163"/>
        <v>2000</v>
      </c>
      <c r="P297" s="74">
        <f t="shared" si="154"/>
        <v>0</v>
      </c>
      <c r="Q297" s="108"/>
      <c r="R297" s="101">
        <f t="shared" si="164"/>
        <v>2000</v>
      </c>
      <c r="S297" s="74">
        <f t="shared" si="146"/>
        <v>0</v>
      </c>
      <c r="T297" s="108"/>
    </row>
    <row r="298" spans="2:20" ht="31.9" hidden="1" customHeight="1" outlineLevel="1" x14ac:dyDescent="0.25">
      <c r="B298" s="94" t="s">
        <v>688</v>
      </c>
      <c r="C298" s="265" t="s">
        <v>689</v>
      </c>
      <c r="D298" s="266" t="s">
        <v>690</v>
      </c>
      <c r="E298" s="79"/>
      <c r="F298" s="79"/>
      <c r="G298" s="79"/>
      <c r="H298" s="79"/>
      <c r="I298" s="79"/>
      <c r="J298" s="79"/>
      <c r="K298" s="79"/>
      <c r="L298" s="75">
        <f t="shared" si="161"/>
        <v>0</v>
      </c>
      <c r="M298" s="75">
        <f t="shared" si="162"/>
        <v>0</v>
      </c>
      <c r="N298" s="101">
        <v>0</v>
      </c>
      <c r="O298" s="101">
        <f t="shared" si="163"/>
        <v>0</v>
      </c>
      <c r="P298" s="74">
        <f t="shared" si="154"/>
        <v>0</v>
      </c>
      <c r="Q298" s="108" t="s">
        <v>691</v>
      </c>
      <c r="R298" s="101">
        <f t="shared" si="164"/>
        <v>0</v>
      </c>
      <c r="S298" s="74">
        <f t="shared" si="146"/>
        <v>0</v>
      </c>
      <c r="T298" s="108" t="s">
        <v>691</v>
      </c>
    </row>
    <row r="299" spans="2:20" ht="27" hidden="1" customHeight="1" outlineLevel="1" x14ac:dyDescent="0.25">
      <c r="B299" s="94" t="s">
        <v>230</v>
      </c>
      <c r="C299" s="265" t="s">
        <v>692</v>
      </c>
      <c r="D299" s="266" t="s">
        <v>693</v>
      </c>
      <c r="E299" s="79"/>
      <c r="F299" s="79"/>
      <c r="G299" s="79"/>
      <c r="H299" s="79"/>
      <c r="I299" s="79"/>
      <c r="J299" s="79"/>
      <c r="K299" s="79"/>
      <c r="L299" s="75">
        <f t="shared" si="161"/>
        <v>0</v>
      </c>
      <c r="M299" s="75">
        <f t="shared" si="162"/>
        <v>0</v>
      </c>
      <c r="N299" s="101">
        <v>0</v>
      </c>
      <c r="O299" s="101">
        <f t="shared" si="163"/>
        <v>0</v>
      </c>
      <c r="P299" s="74">
        <f t="shared" si="154"/>
        <v>0</v>
      </c>
      <c r="Q299" s="108"/>
      <c r="R299" s="101">
        <f t="shared" si="164"/>
        <v>0</v>
      </c>
      <c r="S299" s="74">
        <f t="shared" si="146"/>
        <v>0</v>
      </c>
      <c r="T299" s="108"/>
    </row>
    <row r="300" spans="2:20" ht="57.6" hidden="1" customHeight="1" outlineLevel="1" x14ac:dyDescent="0.25">
      <c r="B300" s="94" t="s">
        <v>694</v>
      </c>
      <c r="C300" s="265" t="s">
        <v>695</v>
      </c>
      <c r="D300" s="266" t="s">
        <v>696</v>
      </c>
      <c r="E300" s="79"/>
      <c r="F300" s="79"/>
      <c r="G300" s="79"/>
      <c r="H300" s="79"/>
      <c r="I300" s="79"/>
      <c r="J300" s="79"/>
      <c r="K300" s="79"/>
      <c r="L300" s="75">
        <f t="shared" si="161"/>
        <v>0</v>
      </c>
      <c r="M300" s="75">
        <f t="shared" si="162"/>
        <v>0</v>
      </c>
      <c r="N300" s="101">
        <v>0</v>
      </c>
      <c r="O300" s="101">
        <f t="shared" si="163"/>
        <v>0</v>
      </c>
      <c r="P300" s="74">
        <f t="shared" si="154"/>
        <v>0</v>
      </c>
      <c r="Q300" s="108"/>
      <c r="R300" s="101">
        <f t="shared" si="164"/>
        <v>0</v>
      </c>
      <c r="S300" s="74">
        <f t="shared" si="146"/>
        <v>0</v>
      </c>
      <c r="T300" s="108"/>
    </row>
    <row r="301" spans="2:20" ht="61.5" customHeight="1" collapsed="1" x14ac:dyDescent="0.25">
      <c r="B301" s="94" t="s">
        <v>224</v>
      </c>
      <c r="C301" s="263" t="s">
        <v>689</v>
      </c>
      <c r="D301" s="178" t="s">
        <v>226</v>
      </c>
      <c r="E301" s="79"/>
      <c r="F301" s="79"/>
      <c r="G301" s="79">
        <f>G81</f>
        <v>1403713.71</v>
      </c>
      <c r="H301" s="79">
        <f>H119</f>
        <v>7506468.8990000011</v>
      </c>
      <c r="I301" s="79">
        <f>I304+I305</f>
        <v>0</v>
      </c>
      <c r="J301" s="79">
        <f>8910183-SUM(E301:I301)</f>
        <v>0.39099999889731407</v>
      </c>
      <c r="K301" s="79"/>
      <c r="L301" s="76">
        <f>E301+F301+G301+H301+I301+J301+K301</f>
        <v>8910183</v>
      </c>
      <c r="M301" s="75">
        <f t="shared" si="162"/>
        <v>8910183</v>
      </c>
      <c r="N301" s="101">
        <v>8910183</v>
      </c>
      <c r="O301" s="101">
        <f t="shared" si="163"/>
        <v>8910183</v>
      </c>
      <c r="P301" s="74">
        <f t="shared" si="154"/>
        <v>0</v>
      </c>
      <c r="Q301" s="108"/>
      <c r="R301" s="101">
        <f>ROUND(O301,0)+8000+8241+17487</f>
        <v>8943911</v>
      </c>
      <c r="S301" s="74">
        <f t="shared" si="146"/>
        <v>33728</v>
      </c>
      <c r="T301" s="108" t="s">
        <v>578</v>
      </c>
    </row>
    <row r="302" spans="2:20" ht="45.75" customHeight="1" x14ac:dyDescent="0.25">
      <c r="B302" s="94" t="s">
        <v>697</v>
      </c>
      <c r="C302" s="263" t="s">
        <v>692</v>
      </c>
      <c r="D302" s="178" t="s">
        <v>698</v>
      </c>
      <c r="E302" s="79"/>
      <c r="F302" s="79"/>
      <c r="G302" s="79"/>
      <c r="H302" s="79"/>
      <c r="I302" s="79"/>
      <c r="J302" s="79">
        <f>78747-SUM(E302:I302)</f>
        <v>78747</v>
      </c>
      <c r="K302" s="79"/>
      <c r="L302" s="76">
        <f>E302+F302+G302+H302+I302+J302+K302</f>
        <v>78747</v>
      </c>
      <c r="M302" s="75">
        <f t="shared" si="162"/>
        <v>78747</v>
      </c>
      <c r="N302" s="101">
        <v>78747</v>
      </c>
      <c r="O302" s="101">
        <f t="shared" si="163"/>
        <v>78747</v>
      </c>
      <c r="P302" s="74">
        <f t="shared" si="154"/>
        <v>0</v>
      </c>
      <c r="Q302" s="108"/>
      <c r="R302" s="101">
        <f>ROUND(O302,0)+1080</f>
        <v>79827</v>
      </c>
      <c r="S302" s="74">
        <f t="shared" si="146"/>
        <v>1080</v>
      </c>
      <c r="T302" s="108" t="s">
        <v>699</v>
      </c>
    </row>
    <row r="303" spans="2:20" ht="53.25" customHeight="1" thickBot="1" x14ac:dyDescent="0.3">
      <c r="B303" s="267" t="s">
        <v>227</v>
      </c>
      <c r="C303" s="263" t="s">
        <v>695</v>
      </c>
      <c r="D303" s="178" t="s">
        <v>700</v>
      </c>
      <c r="E303" s="79"/>
      <c r="F303" s="79"/>
      <c r="G303" s="79">
        <f>G82</f>
        <v>529141.19249999989</v>
      </c>
      <c r="H303" s="79"/>
      <c r="I303" s="79"/>
      <c r="J303" s="79">
        <f>622519-SUM(E303:I303)</f>
        <v>93377.807500000112</v>
      </c>
      <c r="K303" s="79"/>
      <c r="L303" s="76">
        <f>E303+F303+G303+H303+I303+J303+K303</f>
        <v>622519</v>
      </c>
      <c r="M303" s="75">
        <f t="shared" si="162"/>
        <v>622519</v>
      </c>
      <c r="N303" s="101">
        <v>622519</v>
      </c>
      <c r="O303" s="101">
        <f t="shared" si="163"/>
        <v>622519</v>
      </c>
      <c r="P303" s="74">
        <f t="shared" si="154"/>
        <v>0</v>
      </c>
      <c r="Q303" s="108"/>
      <c r="R303" s="101">
        <f t="shared" si="164"/>
        <v>622519</v>
      </c>
      <c r="S303" s="74">
        <f t="shared" si="146"/>
        <v>0</v>
      </c>
      <c r="T303" s="412" t="s">
        <v>1118</v>
      </c>
    </row>
    <row r="304" spans="2:20" ht="27" hidden="1" customHeight="1" outlineLevel="1" thickBot="1" x14ac:dyDescent="0.3">
      <c r="C304" s="263" t="s">
        <v>701</v>
      </c>
      <c r="D304" s="178" t="s">
        <v>702</v>
      </c>
      <c r="E304" s="79">
        <f>E305+E306</f>
        <v>0</v>
      </c>
      <c r="F304" s="79">
        <f t="shared" ref="F304:L304" si="165">F305+F306</f>
        <v>0</v>
      </c>
      <c r="G304" s="79">
        <f t="shared" si="165"/>
        <v>0</v>
      </c>
      <c r="H304" s="79">
        <f t="shared" si="165"/>
        <v>0</v>
      </c>
      <c r="I304" s="79">
        <f>I305+I306</f>
        <v>0</v>
      </c>
      <c r="J304" s="79">
        <f t="shared" si="165"/>
        <v>0</v>
      </c>
      <c r="K304" s="79">
        <f t="shared" si="165"/>
        <v>0</v>
      </c>
      <c r="L304" s="76">
        <f t="shared" si="165"/>
        <v>0</v>
      </c>
      <c r="M304" s="76">
        <f>M305+M306</f>
        <v>0</v>
      </c>
      <c r="N304" s="77">
        <f>N305+N306</f>
        <v>0</v>
      </c>
      <c r="O304" s="77">
        <f>O305+O306</f>
        <v>0</v>
      </c>
      <c r="P304" s="74">
        <f t="shared" si="154"/>
        <v>0</v>
      </c>
      <c r="Q304" s="108"/>
      <c r="R304" s="77">
        <f>R305+R306</f>
        <v>0</v>
      </c>
      <c r="S304" s="74">
        <f t="shared" si="146"/>
        <v>0</v>
      </c>
      <c r="T304" s="108"/>
    </row>
    <row r="305" spans="2:20" ht="14.45" hidden="1" customHeight="1" outlineLevel="1" thickBot="1" x14ac:dyDescent="0.3">
      <c r="B305" s="94" t="s">
        <v>703</v>
      </c>
      <c r="C305" s="176" t="s">
        <v>704</v>
      </c>
      <c r="D305" s="144" t="s">
        <v>705</v>
      </c>
      <c r="E305" s="48">
        <f>E78</f>
        <v>0</v>
      </c>
      <c r="F305" s="48"/>
      <c r="G305" s="48"/>
      <c r="H305" s="48"/>
      <c r="I305" s="48"/>
      <c r="J305" s="48"/>
      <c r="K305" s="48"/>
      <c r="L305" s="50">
        <f>E305+F305+G305+H305+I305+J305+K305</f>
        <v>0</v>
      </c>
      <c r="M305" s="50"/>
      <c r="N305" s="51"/>
      <c r="O305" s="51">
        <f>ROUND(M305,0)</f>
        <v>0</v>
      </c>
      <c r="P305" s="49">
        <f t="shared" si="154"/>
        <v>0</v>
      </c>
      <c r="Q305" s="69" t="s">
        <v>691</v>
      </c>
      <c r="R305" s="51">
        <f>ROUND(P305,0)</f>
        <v>0</v>
      </c>
      <c r="S305" s="49">
        <f t="shared" si="146"/>
        <v>0</v>
      </c>
      <c r="T305" s="69" t="s">
        <v>691</v>
      </c>
    </row>
    <row r="306" spans="2:20" s="159" customFormat="1" ht="15" hidden="1" customHeight="1" outlineLevel="1" thickBot="1" x14ac:dyDescent="0.3">
      <c r="B306" s="94" t="s">
        <v>706</v>
      </c>
      <c r="C306" s="176" t="s">
        <v>707</v>
      </c>
      <c r="D306" s="144" t="s">
        <v>708</v>
      </c>
      <c r="E306" s="48"/>
      <c r="F306" s="48"/>
      <c r="G306" s="48"/>
      <c r="H306" s="48"/>
      <c r="I306" s="48"/>
      <c r="J306" s="48"/>
      <c r="K306" s="48"/>
      <c r="L306" s="50">
        <f>E306+F306+G306+H306+I306+J306+K306</f>
        <v>0</v>
      </c>
      <c r="M306" s="50"/>
      <c r="N306" s="51"/>
      <c r="O306" s="51">
        <f>ROUND(M306,0)</f>
        <v>0</v>
      </c>
      <c r="P306" s="49">
        <f t="shared" si="154"/>
        <v>0</v>
      </c>
      <c r="Q306" s="69"/>
      <c r="R306" s="51">
        <f>ROUND(P306,0)</f>
        <v>0</v>
      </c>
      <c r="S306" s="49">
        <f t="shared" si="146"/>
        <v>0</v>
      </c>
      <c r="T306" s="69"/>
    </row>
    <row r="307" spans="2:20" s="159" customFormat="1" ht="17.45" hidden="1" customHeight="1" outlineLevel="1" thickBot="1" x14ac:dyDescent="0.3">
      <c r="C307" s="173" t="s">
        <v>117</v>
      </c>
      <c r="D307" s="174" t="s">
        <v>709</v>
      </c>
      <c r="E307" s="55">
        <f t="shared" ref="E307:L307" si="166">SUM(E308:E309)</f>
        <v>0</v>
      </c>
      <c r="F307" s="55">
        <f t="shared" si="166"/>
        <v>0</v>
      </c>
      <c r="G307" s="55">
        <f t="shared" si="166"/>
        <v>0</v>
      </c>
      <c r="H307" s="55">
        <f t="shared" si="166"/>
        <v>0</v>
      </c>
      <c r="I307" s="55">
        <f>SUM(I308:I309)</f>
        <v>0</v>
      </c>
      <c r="J307" s="55">
        <f t="shared" si="166"/>
        <v>0</v>
      </c>
      <c r="K307" s="55">
        <f t="shared" si="166"/>
        <v>0</v>
      </c>
      <c r="L307" s="57">
        <f t="shared" si="166"/>
        <v>0</v>
      </c>
      <c r="M307" s="57">
        <f>SUM(M308:M309)</f>
        <v>0</v>
      </c>
      <c r="N307" s="58">
        <f>SUM(N308:N309)</f>
        <v>0</v>
      </c>
      <c r="O307" s="58">
        <f>SUM(O308:O309)</f>
        <v>0</v>
      </c>
      <c r="P307" s="56">
        <f t="shared" si="154"/>
        <v>0</v>
      </c>
      <c r="Q307" s="59"/>
      <c r="R307" s="58">
        <f>SUM(R308:R309)</f>
        <v>0</v>
      </c>
      <c r="S307" s="56">
        <f t="shared" si="146"/>
        <v>0</v>
      </c>
      <c r="T307" s="59"/>
    </row>
    <row r="308" spans="2:20" ht="17.25" hidden="1" customHeight="1" outlineLevel="1" thickBot="1" x14ac:dyDescent="0.3">
      <c r="C308" s="170" t="s">
        <v>710</v>
      </c>
      <c r="D308" s="171" t="s">
        <v>711</v>
      </c>
      <c r="E308" s="73"/>
      <c r="F308" s="73"/>
      <c r="G308" s="73"/>
      <c r="H308" s="73"/>
      <c r="I308" s="73"/>
      <c r="J308" s="182"/>
      <c r="K308" s="73"/>
      <c r="L308" s="75">
        <f>E308+F308+G308+H308+I308+J308+K308</f>
        <v>0</v>
      </c>
      <c r="M308" s="75"/>
      <c r="N308" s="101"/>
      <c r="O308" s="101"/>
      <c r="P308" s="74">
        <f t="shared" si="154"/>
        <v>0</v>
      </c>
      <c r="Q308" s="108"/>
      <c r="R308" s="101"/>
      <c r="S308" s="74">
        <f t="shared" si="146"/>
        <v>0</v>
      </c>
      <c r="T308" s="108"/>
    </row>
    <row r="309" spans="2:20" ht="4.5" hidden="1" customHeight="1" outlineLevel="1" thickBot="1" x14ac:dyDescent="0.3">
      <c r="C309" s="170" t="s">
        <v>712</v>
      </c>
      <c r="D309" s="171" t="s">
        <v>713</v>
      </c>
      <c r="E309" s="73"/>
      <c r="F309" s="73"/>
      <c r="G309" s="73"/>
      <c r="H309" s="73"/>
      <c r="I309" s="73"/>
      <c r="J309" s="73"/>
      <c r="K309" s="73"/>
      <c r="L309" s="75">
        <f>E309+F309+G309+H309+I309+J309+K309</f>
        <v>0</v>
      </c>
      <c r="M309" s="75"/>
      <c r="N309" s="101"/>
      <c r="O309" s="101"/>
      <c r="P309" s="74">
        <f t="shared" si="154"/>
        <v>0</v>
      </c>
      <c r="Q309" s="108"/>
      <c r="R309" s="101"/>
      <c r="S309" s="74">
        <f t="shared" si="146"/>
        <v>0</v>
      </c>
      <c r="T309" s="108"/>
    </row>
    <row r="310" spans="2:20" s="159" customFormat="1" ht="30" customHeight="1" collapsed="1" thickBot="1" x14ac:dyDescent="0.25">
      <c r="C310" s="268"/>
      <c r="D310" s="269" t="s">
        <v>714</v>
      </c>
      <c r="E310" s="270">
        <f>E133+E143+E144+E149+E151+E197+E212+E232+E307</f>
        <v>2007294.13</v>
      </c>
      <c r="F310" s="270">
        <f t="shared" ref="F310:O310" si="167">F133+F143+F144+F149+F151+F197+F212+F232+F307</f>
        <v>10849799.98</v>
      </c>
      <c r="G310" s="270">
        <f t="shared" si="167"/>
        <v>9397749.8114999998</v>
      </c>
      <c r="H310" s="270">
        <f t="shared" si="167"/>
        <v>10307000.899</v>
      </c>
      <c r="I310" s="271">
        <f t="shared" si="167"/>
        <v>8261861.6200000001</v>
      </c>
      <c r="J310" s="270">
        <f t="shared" si="167"/>
        <v>8636245.5394999981</v>
      </c>
      <c r="K310" s="271">
        <f t="shared" si="167"/>
        <v>32959401.15827772</v>
      </c>
      <c r="L310" s="272">
        <f t="shared" si="167"/>
        <v>82419353.138277724</v>
      </c>
      <c r="M310" s="273">
        <f>M133+M143+M144+M149+M151+M197+M212+M232+M307</f>
        <v>82419351</v>
      </c>
      <c r="N310" s="271">
        <f t="shared" si="167"/>
        <v>82419351</v>
      </c>
      <c r="O310" s="271">
        <f t="shared" si="167"/>
        <v>82526605</v>
      </c>
      <c r="P310" s="274">
        <f t="shared" si="154"/>
        <v>107254</v>
      </c>
      <c r="Q310" s="274"/>
      <c r="R310" s="271">
        <f t="shared" ref="R310" si="168">R133+R143+R144+R149+R151+R197+R212+R232+R307</f>
        <v>82577696</v>
      </c>
      <c r="S310" s="274">
        <f t="shared" si="146"/>
        <v>51091</v>
      </c>
      <c r="T310" s="274"/>
    </row>
    <row r="311" spans="2:20" s="45" customFormat="1" ht="15" customHeight="1" thickTop="1" thickBot="1" x14ac:dyDescent="0.3">
      <c r="C311" s="173" t="s">
        <v>258</v>
      </c>
      <c r="D311" s="174" t="s">
        <v>715</v>
      </c>
      <c r="E311" s="55"/>
      <c r="F311" s="55"/>
      <c r="G311" s="55"/>
      <c r="H311" s="55"/>
      <c r="I311" s="55"/>
      <c r="J311" s="55">
        <f>[1]BAZE_2026!G356</f>
        <v>3907497</v>
      </c>
      <c r="K311" s="55"/>
      <c r="L311" s="57">
        <f>E311+F311+G311+H311+J311+K311</f>
        <v>3907497</v>
      </c>
      <c r="M311" s="57">
        <f>ROUND(L311,0)</f>
        <v>3907497</v>
      </c>
      <c r="N311" s="58">
        <v>3907497</v>
      </c>
      <c r="O311" s="58">
        <f>ROUND(N311,0)</f>
        <v>3907497</v>
      </c>
      <c r="P311" s="56">
        <f t="shared" si="154"/>
        <v>0</v>
      </c>
      <c r="Q311" s="275"/>
      <c r="R311" s="58">
        <f t="shared" ref="R311" si="169">ROUND(O311,0)</f>
        <v>3907497</v>
      </c>
      <c r="S311" s="56">
        <f t="shared" si="146"/>
        <v>0</v>
      </c>
      <c r="T311" s="275"/>
    </row>
    <row r="312" spans="2:20" ht="15.75" thickBot="1" x14ac:dyDescent="0.3">
      <c r="C312" s="268"/>
      <c r="D312" s="269" t="s">
        <v>716</v>
      </c>
      <c r="E312" s="276">
        <f>E310+E311</f>
        <v>2007294.13</v>
      </c>
      <c r="F312" s="276">
        <f t="shared" ref="F312:L312" si="170">F310+F311</f>
        <v>10849799.98</v>
      </c>
      <c r="G312" s="276">
        <f t="shared" si="170"/>
        <v>9397749.8114999998</v>
      </c>
      <c r="H312" s="276">
        <f t="shared" si="170"/>
        <v>10307000.899</v>
      </c>
      <c r="I312" s="276">
        <f>I310+I311</f>
        <v>8261861.6200000001</v>
      </c>
      <c r="J312" s="276">
        <f t="shared" si="170"/>
        <v>12543742.539499998</v>
      </c>
      <c r="K312" s="276">
        <f t="shared" si="170"/>
        <v>32959401.15827772</v>
      </c>
      <c r="L312" s="277">
        <f t="shared" si="170"/>
        <v>86326850.138277724</v>
      </c>
      <c r="M312" s="277">
        <f>M310+M311</f>
        <v>86326848</v>
      </c>
      <c r="N312" s="278">
        <f>N310+N311</f>
        <v>86326848</v>
      </c>
      <c r="O312" s="278">
        <f>O310+O311</f>
        <v>86434102</v>
      </c>
      <c r="P312" s="279">
        <f t="shared" si="154"/>
        <v>107254</v>
      </c>
      <c r="Q312" s="280"/>
      <c r="R312" s="278">
        <f>R310+R311</f>
        <v>86485193</v>
      </c>
      <c r="S312" s="279">
        <f t="shared" si="146"/>
        <v>51091</v>
      </c>
      <c r="T312" s="280"/>
    </row>
    <row r="313" spans="2:20" ht="30.75" thickTop="1" thickBot="1" x14ac:dyDescent="0.3">
      <c r="C313" s="281" t="s">
        <v>717</v>
      </c>
      <c r="D313" s="282" t="s">
        <v>718</v>
      </c>
      <c r="E313" s="283">
        <f>E127-E312</f>
        <v>6702989.8700000001</v>
      </c>
      <c r="F313" s="283">
        <f>F127-F312</f>
        <v>0</v>
      </c>
      <c r="G313" s="283">
        <f>G127-G312</f>
        <v>0.15000000037252903</v>
      </c>
      <c r="H313" s="283">
        <f>H127-H312</f>
        <v>0</v>
      </c>
      <c r="I313" s="283"/>
      <c r="J313" s="283">
        <f>J127-J312</f>
        <v>-12543742.539499998</v>
      </c>
      <c r="K313" s="283">
        <f>I127+K127-K312-I312</f>
        <v>5991052.7146634506</v>
      </c>
      <c r="L313" s="284">
        <f>L127-L312</f>
        <v>150300.19516344368</v>
      </c>
      <c r="M313" s="284">
        <f>M127-M312</f>
        <v>150304.20000000298</v>
      </c>
      <c r="N313" s="285">
        <f>N127-N312</f>
        <v>150304.20000000298</v>
      </c>
      <c r="O313" s="285">
        <f>O127-O312-0.2</f>
        <v>103594.8</v>
      </c>
      <c r="P313" s="286">
        <f t="shared" si="154"/>
        <v>-46709.400000002977</v>
      </c>
      <c r="Q313" s="275"/>
      <c r="R313" s="285">
        <f>R127-R312-0.2</f>
        <v>316682.8</v>
      </c>
      <c r="S313" s="286">
        <f t="shared" si="146"/>
        <v>213088</v>
      </c>
      <c r="T313" s="275"/>
    </row>
    <row r="314" spans="2:20" x14ac:dyDescent="0.25">
      <c r="I314" s="5">
        <f>I127-I312</f>
        <v>-8171861.6200000001</v>
      </c>
      <c r="J314" s="5">
        <f>J127-J312</f>
        <v>-12543742.539499998</v>
      </c>
      <c r="K314" s="5">
        <f>K127-K312</f>
        <v>14162914.334663451</v>
      </c>
    </row>
    <row r="315" spans="2:20" x14ac:dyDescent="0.25">
      <c r="G315" s="15">
        <f>[1]Investīcijas_2026!L29+[1]Investīcijas_2026!L30+[1]Investīcijas_2026!L32</f>
        <v>11305285.470542617</v>
      </c>
      <c r="H315" s="15">
        <f>[1]Investīcijas_2026!M29</f>
        <v>10307001.549000002</v>
      </c>
      <c r="K315" s="287" t="s">
        <v>719</v>
      </c>
      <c r="L315" s="11">
        <f>[1]Investīcijas_2026!L18</f>
        <v>3923667.7333333334</v>
      </c>
      <c r="M315" s="11">
        <f>[1]Investīcijas_2026!L19</f>
        <v>150304.4939201111</v>
      </c>
      <c r="Q315" s="288" t="s">
        <v>10</v>
      </c>
      <c r="T315" s="288" t="s">
        <v>10</v>
      </c>
    </row>
    <row r="316" spans="2:20" x14ac:dyDescent="0.25">
      <c r="G316" s="15">
        <f>[1]Investīcijas_2026!L91+[1]Investīcijas_2026!L386+[1]Investīcijas_2026!L387</f>
        <v>888703</v>
      </c>
      <c r="L316" s="11">
        <f>L313-L315</f>
        <v>-3773367.5381698897</v>
      </c>
      <c r="M316" s="11">
        <f>M315-M313</f>
        <v>0.29392010811716318</v>
      </c>
    </row>
  </sheetData>
  <mergeCells count="6">
    <mergeCell ref="T115:T116"/>
    <mergeCell ref="C130:D130"/>
    <mergeCell ref="C131:D131"/>
    <mergeCell ref="T146:T147"/>
    <mergeCell ref="C2:D2"/>
    <mergeCell ref="C3:D3"/>
  </mergeCells>
  <conditionalFormatting sqref="E313:P313">
    <cfRule type="cellIs" dxfId="1" priority="3" operator="lessThan">
      <formula>0</formula>
    </cfRule>
  </conditionalFormatting>
  <conditionalFormatting sqref="R313:S313">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colBreaks count="1" manualBreakCount="1">
    <brk id="12" max="293"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E9A52-EA59-4331-B75F-992F882CA7A0}">
  <sheetPr>
    <tabColor rgb="FF92D050"/>
    <pageSetUpPr fitToPage="1"/>
  </sheetPr>
  <dimension ref="A1:AY155"/>
  <sheetViews>
    <sheetView zoomScaleNormal="100" workbookViewId="0">
      <pane xSplit="3" topLeftCell="D1" activePane="topRight" state="frozen"/>
      <selection activeCell="C1" sqref="C1"/>
      <selection pane="topRight" activeCell="R135" sqref="R135:AW136"/>
    </sheetView>
  </sheetViews>
  <sheetFormatPr defaultColWidth="8.85546875" defaultRowHeight="15" outlineLevelRow="2" outlineLevelCol="1" x14ac:dyDescent="0.25"/>
  <cols>
    <col min="1" max="1" width="5" style="289" hidden="1" customWidth="1" outlineLevel="1"/>
    <col min="2" max="2" width="3.5703125" style="289" hidden="1" customWidth="1" outlineLevel="1"/>
    <col min="3" max="3" width="4.28515625" style="289" customWidth="1" collapsed="1"/>
    <col min="4" max="4" width="31.85546875" style="289" customWidth="1"/>
    <col min="5" max="5" width="12.28515625" style="291" customWidth="1"/>
    <col min="6" max="6" width="11.5703125" style="289" customWidth="1"/>
    <col min="7" max="7" width="11.7109375" style="289" customWidth="1"/>
    <col min="8" max="8" width="11.42578125" style="289" customWidth="1"/>
    <col min="9" max="9" width="6.42578125" style="289" customWidth="1" outlineLevel="1"/>
    <col min="10" max="10" width="11.85546875" style="291" customWidth="1"/>
    <col min="11" max="12" width="13.28515625" style="289" hidden="1" customWidth="1" outlineLevel="1"/>
    <col min="13" max="13" width="7.28515625" style="289" hidden="1" customWidth="1" outlineLevel="1"/>
    <col min="14" max="16" width="13.28515625" style="289" hidden="1" customWidth="1" outlineLevel="1"/>
    <col min="17" max="17" width="14.42578125" style="289" customWidth="1" collapsed="1"/>
    <col min="18" max="18" width="12" style="289" customWidth="1"/>
    <col min="19" max="24" width="10.7109375" style="289" customWidth="1"/>
    <col min="25" max="45" width="10.7109375" style="289" hidden="1" customWidth="1" outlineLevel="1"/>
    <col min="46" max="46" width="11.28515625" style="289" hidden="1" customWidth="1" outlineLevel="1"/>
    <col min="47" max="47" width="10.28515625" style="289" hidden="1" customWidth="1" outlineLevel="1"/>
    <col min="48" max="48" width="12.28515625" style="289" customWidth="1" collapsed="1"/>
    <col min="49" max="49" width="11.5703125" style="289" customWidth="1" collapsed="1"/>
    <col min="50" max="16384" width="8.85546875" style="289"/>
  </cols>
  <sheetData>
    <row r="1" spans="1:51" ht="18.75" x14ac:dyDescent="0.3">
      <c r="C1" s="290" t="s">
        <v>720</v>
      </c>
      <c r="K1" s="292"/>
      <c r="L1" s="292"/>
      <c r="M1" s="292"/>
      <c r="N1" s="292"/>
      <c r="O1" s="292"/>
      <c r="Q1" s="293"/>
      <c r="R1" s="294"/>
    </row>
    <row r="2" spans="1:51" ht="18.75" x14ac:dyDescent="0.3">
      <c r="C2" s="290"/>
      <c r="K2" s="293"/>
      <c r="L2" s="293"/>
      <c r="M2" s="293"/>
      <c r="N2" s="293"/>
      <c r="O2" s="293"/>
      <c r="Q2" s="293"/>
      <c r="R2" s="295"/>
    </row>
    <row r="3" spans="1:51" ht="15.75" x14ac:dyDescent="0.25">
      <c r="C3" s="296" t="s">
        <v>721</v>
      </c>
      <c r="K3" s="292"/>
      <c r="L3" s="292"/>
      <c r="M3" s="292"/>
      <c r="N3" s="292"/>
      <c r="O3" s="292"/>
      <c r="P3" s="292"/>
      <c r="Q3" s="293"/>
      <c r="R3" s="297"/>
      <c r="S3" s="297"/>
      <c r="T3" s="297"/>
      <c r="U3" s="297"/>
      <c r="V3" s="297"/>
      <c r="W3" s="297"/>
      <c r="X3" s="297"/>
      <c r="Y3" s="297"/>
      <c r="Z3" s="297"/>
      <c r="AA3" s="297"/>
      <c r="AB3" s="297"/>
      <c r="AC3" s="297"/>
      <c r="AD3" s="297"/>
      <c r="AE3" s="297"/>
      <c r="AF3" s="297"/>
      <c r="AG3" s="297"/>
      <c r="AH3" s="297"/>
      <c r="AI3" s="297"/>
      <c r="AJ3" s="297"/>
      <c r="AK3" s="297"/>
      <c r="AL3" s="297"/>
      <c r="AM3" s="297"/>
      <c r="AN3" s="297"/>
      <c r="AO3" s="297"/>
      <c r="AP3" s="297"/>
      <c r="AQ3" s="297"/>
      <c r="AR3" s="297"/>
      <c r="AS3" s="297"/>
      <c r="AT3" s="297"/>
      <c r="AU3" s="297"/>
      <c r="AV3" s="297"/>
      <c r="AW3" s="297"/>
    </row>
    <row r="4" spans="1:51" outlineLevel="1" x14ac:dyDescent="0.25">
      <c r="C4" s="298"/>
      <c r="K4" s="293"/>
      <c r="L4" s="293"/>
      <c r="M4" s="293"/>
      <c r="N4" s="293"/>
      <c r="O4" s="293"/>
      <c r="P4" s="299">
        <v>0</v>
      </c>
      <c r="Q4" s="293"/>
      <c r="R4" s="300"/>
      <c r="S4" s="300"/>
      <c r="T4" s="300"/>
      <c r="U4" s="300"/>
      <c r="V4" s="300"/>
      <c r="W4" s="300"/>
      <c r="X4" s="300"/>
      <c r="Y4" s="300"/>
    </row>
    <row r="5" spans="1:51" s="301" customFormat="1" ht="60" x14ac:dyDescent="0.25">
      <c r="B5" s="302" t="s">
        <v>722</v>
      </c>
      <c r="C5" s="303" t="s">
        <v>723</v>
      </c>
      <c r="D5" s="304" t="s">
        <v>724</v>
      </c>
      <c r="E5" s="303" t="s">
        <v>725</v>
      </c>
      <c r="F5" s="303" t="s">
        <v>726</v>
      </c>
      <c r="G5" s="303" t="s">
        <v>727</v>
      </c>
      <c r="H5" s="303" t="s">
        <v>728</v>
      </c>
      <c r="I5" s="303" t="s">
        <v>729</v>
      </c>
      <c r="J5" s="305" t="s">
        <v>730</v>
      </c>
      <c r="K5" s="306" t="s">
        <v>731</v>
      </c>
      <c r="L5" s="306" t="s">
        <v>732</v>
      </c>
      <c r="M5" s="306" t="s">
        <v>733</v>
      </c>
      <c r="N5" s="306" t="s">
        <v>734</v>
      </c>
      <c r="O5" s="306" t="s">
        <v>735</v>
      </c>
      <c r="P5" s="306" t="s">
        <v>736</v>
      </c>
      <c r="Q5" s="307" t="s">
        <v>737</v>
      </c>
      <c r="R5" s="304">
        <v>2026</v>
      </c>
      <c r="S5" s="304">
        <v>2027</v>
      </c>
      <c r="T5" s="304">
        <v>2028</v>
      </c>
      <c r="U5" s="304">
        <v>2029</v>
      </c>
      <c r="V5" s="304">
        <v>2030</v>
      </c>
      <c r="W5" s="304">
        <v>2031</v>
      </c>
      <c r="X5" s="304">
        <v>2032</v>
      </c>
      <c r="Y5" s="304">
        <v>2033</v>
      </c>
      <c r="Z5" s="304">
        <v>2034</v>
      </c>
      <c r="AA5" s="304">
        <v>2035</v>
      </c>
      <c r="AB5" s="304">
        <v>2036</v>
      </c>
      <c r="AC5" s="304">
        <v>2037</v>
      </c>
      <c r="AD5" s="304">
        <v>2038</v>
      </c>
      <c r="AE5" s="304">
        <v>2039</v>
      </c>
      <c r="AF5" s="304">
        <v>2040</v>
      </c>
      <c r="AG5" s="304">
        <v>2041</v>
      </c>
      <c r="AH5" s="304">
        <v>2042</v>
      </c>
      <c r="AI5" s="304">
        <v>2043</v>
      </c>
      <c r="AJ5" s="304">
        <v>2044</v>
      </c>
      <c r="AK5" s="304">
        <v>2045</v>
      </c>
      <c r="AL5" s="304">
        <v>2046</v>
      </c>
      <c r="AM5" s="304">
        <v>2047</v>
      </c>
      <c r="AN5" s="304">
        <v>2048</v>
      </c>
      <c r="AO5" s="304">
        <v>2049</v>
      </c>
      <c r="AP5" s="304">
        <v>2050</v>
      </c>
      <c r="AQ5" s="304">
        <v>2051</v>
      </c>
      <c r="AR5" s="304">
        <v>2052</v>
      </c>
      <c r="AS5" s="304">
        <v>2053</v>
      </c>
      <c r="AT5" s="303" t="s">
        <v>738</v>
      </c>
      <c r="AU5" s="308"/>
      <c r="AV5" s="302" t="s">
        <v>739</v>
      </c>
      <c r="AW5" s="303" t="s">
        <v>740</v>
      </c>
    </row>
    <row r="6" spans="1:51" s="309" customFormat="1" outlineLevel="2" x14ac:dyDescent="0.25">
      <c r="B6" s="310" t="s">
        <v>741</v>
      </c>
      <c r="C6" s="311">
        <v>1</v>
      </c>
      <c r="D6" s="312" t="s">
        <v>742</v>
      </c>
      <c r="E6" s="313" t="s">
        <v>743</v>
      </c>
      <c r="F6" s="314" t="s">
        <v>744</v>
      </c>
      <c r="G6" s="314" t="s">
        <v>745</v>
      </c>
      <c r="H6" s="314" t="s">
        <v>746</v>
      </c>
      <c r="I6" s="314" t="s">
        <v>747</v>
      </c>
      <c r="J6" s="315">
        <v>2099988.0499999998</v>
      </c>
      <c r="K6" s="316">
        <v>1098963.5900000001</v>
      </c>
      <c r="L6" s="316"/>
      <c r="M6" s="316"/>
      <c r="N6" s="312"/>
      <c r="O6" s="312"/>
      <c r="P6" s="312"/>
      <c r="Q6" s="317" t="s">
        <v>748</v>
      </c>
      <c r="R6" s="318">
        <v>97944.8</v>
      </c>
      <c r="S6" s="318">
        <v>97944.8</v>
      </c>
      <c r="T6" s="318">
        <v>97944.8</v>
      </c>
      <c r="U6" s="318">
        <v>97944.8</v>
      </c>
      <c r="V6" s="318">
        <v>97944.8</v>
      </c>
      <c r="W6" s="318">
        <v>97944.8</v>
      </c>
      <c r="X6" s="318">
        <v>97944.8</v>
      </c>
      <c r="Y6" s="318">
        <v>113829.75999999999</v>
      </c>
      <c r="Z6" s="318">
        <v>113829.75999999999</v>
      </c>
      <c r="AA6" s="318">
        <v>113829.75999999999</v>
      </c>
      <c r="AB6" s="318">
        <v>71860.709999999992</v>
      </c>
      <c r="AC6" s="318">
        <v>0</v>
      </c>
      <c r="AD6" s="318">
        <v>0</v>
      </c>
      <c r="AE6" s="318">
        <v>0</v>
      </c>
      <c r="AF6" s="318">
        <v>0</v>
      </c>
      <c r="AG6" s="318">
        <v>0</v>
      </c>
      <c r="AH6" s="318">
        <v>0</v>
      </c>
      <c r="AI6" s="318">
        <v>0</v>
      </c>
      <c r="AJ6" s="318">
        <v>0</v>
      </c>
      <c r="AK6" s="318">
        <v>0</v>
      </c>
      <c r="AL6" s="318">
        <v>0</v>
      </c>
      <c r="AM6" s="318">
        <v>0</v>
      </c>
      <c r="AN6" s="318">
        <v>0</v>
      </c>
      <c r="AO6" s="318">
        <v>0</v>
      </c>
      <c r="AP6" s="318">
        <v>0</v>
      </c>
      <c r="AQ6" s="318">
        <v>0</v>
      </c>
      <c r="AR6" s="318"/>
      <c r="AS6" s="318"/>
      <c r="AT6" s="319">
        <f t="shared" ref="AT6:AT69" si="0">SUM(R6:AS6)</f>
        <v>1098963.5900000001</v>
      </c>
      <c r="AU6" s="320">
        <f t="shared" ref="AU6:AU69" si="1">AT6-SUM(R6:AS6)</f>
        <v>0</v>
      </c>
      <c r="AV6" s="321">
        <f>SUM(Y6:AS6)</f>
        <v>413349.99</v>
      </c>
      <c r="AW6" s="318">
        <f>SUM(R6:X6,AV6)</f>
        <v>1098963.5900000001</v>
      </c>
      <c r="AY6" s="322"/>
    </row>
    <row r="7" spans="1:51" outlineLevel="2" x14ac:dyDescent="0.25">
      <c r="B7" s="323" t="s">
        <v>741</v>
      </c>
      <c r="C7" s="324"/>
      <c r="D7" s="325" t="s">
        <v>749</v>
      </c>
      <c r="E7" s="326"/>
      <c r="F7" s="327"/>
      <c r="G7" s="327"/>
      <c r="H7" s="327"/>
      <c r="I7" s="327"/>
      <c r="J7" s="328"/>
      <c r="K7" s="329"/>
      <c r="L7" s="328" t="s">
        <v>750</v>
      </c>
      <c r="M7" s="328"/>
      <c r="N7" s="330">
        <f>SUM(O7:P7)</f>
        <v>2.4</v>
      </c>
      <c r="O7" s="330">
        <v>2.4</v>
      </c>
      <c r="P7" s="330">
        <f>$P$4</f>
        <v>0</v>
      </c>
      <c r="Q7" s="330" t="s">
        <v>751</v>
      </c>
      <c r="R7" s="331">
        <f>SUM(R6:$AQ6)*$N7/100</f>
        <v>26375.12616</v>
      </c>
      <c r="S7" s="331">
        <f>SUM(S6:$AQ6)*$N7/100</f>
        <v>24024.450959999998</v>
      </c>
      <c r="T7" s="331">
        <f>SUM(T6:$AQ6)*$N7/100</f>
        <v>21673.77576</v>
      </c>
      <c r="U7" s="331">
        <f>SUM(U6:$AQ6)*$N7/100</f>
        <v>19323.100559999999</v>
      </c>
      <c r="V7" s="331">
        <f>SUM(V6:$AQ6)*$N7/100</f>
        <v>16972.425360000001</v>
      </c>
      <c r="W7" s="331">
        <f>SUM(W6:$AQ6)*$N7/100</f>
        <v>14621.750159999998</v>
      </c>
      <c r="X7" s="331">
        <f>SUM(X6:$AQ6)*$N7/100</f>
        <v>12271.07496</v>
      </c>
      <c r="Y7" s="331">
        <f>SUM(Y6:$AQ6)*$N7/100</f>
        <v>9920.3997599999984</v>
      </c>
      <c r="Z7" s="331">
        <f>SUM(Z6:$AQ6)*$N7/100</f>
        <v>7188.4855199999993</v>
      </c>
      <c r="AA7" s="331">
        <f>SUM(AA6:$AQ6)*$N7/100</f>
        <v>4456.5712799999992</v>
      </c>
      <c r="AB7" s="331">
        <f>SUM(AB6:$AQ6)*$N7/100</f>
        <v>1724.6570399999996</v>
      </c>
      <c r="AC7" s="331">
        <v>0</v>
      </c>
      <c r="AD7" s="331">
        <v>0</v>
      </c>
      <c r="AE7" s="331">
        <v>0</v>
      </c>
      <c r="AF7" s="331">
        <v>0</v>
      </c>
      <c r="AG7" s="331">
        <v>0</v>
      </c>
      <c r="AH7" s="331">
        <v>0</v>
      </c>
      <c r="AI7" s="331">
        <v>0</v>
      </c>
      <c r="AJ7" s="331">
        <v>0</v>
      </c>
      <c r="AK7" s="331">
        <v>0</v>
      </c>
      <c r="AL7" s="331">
        <v>0</v>
      </c>
      <c r="AM7" s="331">
        <v>0</v>
      </c>
      <c r="AN7" s="331">
        <v>0</v>
      </c>
      <c r="AO7" s="331">
        <v>0</v>
      </c>
      <c r="AP7" s="331">
        <v>0</v>
      </c>
      <c r="AQ7" s="331">
        <v>0</v>
      </c>
      <c r="AR7" s="331"/>
      <c r="AS7" s="331"/>
      <c r="AT7" s="332">
        <f t="shared" si="0"/>
        <v>158551.81751999998</v>
      </c>
      <c r="AU7" s="320">
        <f t="shared" si="1"/>
        <v>0</v>
      </c>
      <c r="AV7" s="333">
        <f>SUM(Y7:AS7)</f>
        <v>23290.113599999997</v>
      </c>
      <c r="AW7" s="331">
        <f t="shared" ref="AW7:AW70" si="2">SUM(R7:X7,AV7)</f>
        <v>158551.81751999998</v>
      </c>
      <c r="AY7" s="322"/>
    </row>
    <row r="8" spans="1:51" s="309" customFormat="1" outlineLevel="2" x14ac:dyDescent="0.25">
      <c r="B8" s="310" t="s">
        <v>741</v>
      </c>
      <c r="C8" s="311">
        <v>2</v>
      </c>
      <c r="D8" s="312" t="s">
        <v>742</v>
      </c>
      <c r="E8" s="313" t="s">
        <v>752</v>
      </c>
      <c r="F8" s="314" t="s">
        <v>753</v>
      </c>
      <c r="G8" s="314" t="s">
        <v>754</v>
      </c>
      <c r="H8" s="314" t="s">
        <v>755</v>
      </c>
      <c r="I8" s="314" t="s">
        <v>747</v>
      </c>
      <c r="J8" s="315">
        <v>6628759.9400000004</v>
      </c>
      <c r="K8" s="316">
        <v>2355591.2400000002</v>
      </c>
      <c r="L8" s="316"/>
      <c r="M8" s="316"/>
      <c r="N8" s="334"/>
      <c r="O8" s="334"/>
      <c r="P8" s="317"/>
      <c r="Q8" s="317" t="s">
        <v>748</v>
      </c>
      <c r="R8" s="318">
        <v>392598.8</v>
      </c>
      <c r="S8" s="318">
        <v>392598.8</v>
      </c>
      <c r="T8" s="318">
        <v>392598.8</v>
      </c>
      <c r="U8" s="318">
        <v>392598.8</v>
      </c>
      <c r="V8" s="318">
        <v>392598.8</v>
      </c>
      <c r="W8" s="318">
        <v>392597.24</v>
      </c>
      <c r="X8" s="318">
        <v>0</v>
      </c>
      <c r="Y8" s="318">
        <v>0</v>
      </c>
      <c r="Z8" s="318">
        <v>0</v>
      </c>
      <c r="AA8" s="318">
        <v>0</v>
      </c>
      <c r="AB8" s="318">
        <v>0</v>
      </c>
      <c r="AC8" s="318">
        <v>0</v>
      </c>
      <c r="AD8" s="318">
        <v>0</v>
      </c>
      <c r="AE8" s="318">
        <v>0</v>
      </c>
      <c r="AF8" s="318">
        <v>0</v>
      </c>
      <c r="AG8" s="318">
        <v>0</v>
      </c>
      <c r="AH8" s="318">
        <v>0</v>
      </c>
      <c r="AI8" s="318">
        <v>0</v>
      </c>
      <c r="AJ8" s="318">
        <v>0</v>
      </c>
      <c r="AK8" s="318">
        <v>0</v>
      </c>
      <c r="AL8" s="318">
        <v>0</v>
      </c>
      <c r="AM8" s="318">
        <v>0</v>
      </c>
      <c r="AN8" s="318">
        <v>0</v>
      </c>
      <c r="AO8" s="318">
        <v>0</v>
      </c>
      <c r="AP8" s="318">
        <v>0</v>
      </c>
      <c r="AQ8" s="318">
        <v>0</v>
      </c>
      <c r="AR8" s="318"/>
      <c r="AS8" s="318"/>
      <c r="AT8" s="319">
        <f t="shared" si="0"/>
        <v>2355591.2400000002</v>
      </c>
      <c r="AU8" s="320">
        <f t="shared" si="1"/>
        <v>0</v>
      </c>
      <c r="AV8" s="321">
        <f t="shared" ref="AV8:AV71" si="3">SUM(Y8:AS8)</f>
        <v>0</v>
      </c>
      <c r="AW8" s="318">
        <f t="shared" si="2"/>
        <v>2355591.2400000002</v>
      </c>
      <c r="AY8" s="322"/>
    </row>
    <row r="9" spans="1:51" outlineLevel="2" x14ac:dyDescent="0.25">
      <c r="B9" s="323" t="s">
        <v>741</v>
      </c>
      <c r="C9" s="324"/>
      <c r="D9" s="325" t="s">
        <v>756</v>
      </c>
      <c r="E9" s="326"/>
      <c r="F9" s="327"/>
      <c r="G9" s="327"/>
      <c r="H9" s="327"/>
      <c r="I9" s="327"/>
      <c r="J9" s="328"/>
      <c r="K9" s="329"/>
      <c r="L9" s="328" t="s">
        <v>757</v>
      </c>
      <c r="M9" s="328"/>
      <c r="N9" s="330">
        <f t="shared" ref="N9:N63" si="4">SUM(O9:P9)</f>
        <v>2.2999999999999998</v>
      </c>
      <c r="O9" s="330">
        <v>2.2999999999999998</v>
      </c>
      <c r="P9" s="330">
        <f>$P$4</f>
        <v>0</v>
      </c>
      <c r="Q9" s="330" t="s">
        <v>751</v>
      </c>
      <c r="R9" s="331">
        <f>SUM(R8:$AQ8)*$N9/100</f>
        <v>54178.59852</v>
      </c>
      <c r="S9" s="331">
        <f>SUM(S8:$AQ8)*$N9/100</f>
        <v>45148.826119999998</v>
      </c>
      <c r="T9" s="331">
        <f>SUM(T8:$AQ8)*$N9/100-7000</f>
        <v>29119.053719999996</v>
      </c>
      <c r="U9" s="331">
        <f>SUM(U8:$AQ8)*$N9/100</f>
        <v>27089.281319999995</v>
      </c>
      <c r="V9" s="331">
        <f>SUM(V8:$AQ8)*$N9/100</f>
        <v>18059.50892</v>
      </c>
      <c r="W9" s="331">
        <f>SUM(W8:$AQ8)*$N9/100</f>
        <v>9029.7365199999986</v>
      </c>
      <c r="X9" s="331">
        <f>SUM(X8:$AQ8)*$N9/100</f>
        <v>0</v>
      </c>
      <c r="Y9" s="331">
        <v>0</v>
      </c>
      <c r="Z9" s="331">
        <v>0</v>
      </c>
      <c r="AA9" s="331">
        <v>0</v>
      </c>
      <c r="AB9" s="331">
        <v>0</v>
      </c>
      <c r="AC9" s="331">
        <v>0</v>
      </c>
      <c r="AD9" s="331">
        <v>0</v>
      </c>
      <c r="AE9" s="331">
        <v>0</v>
      </c>
      <c r="AF9" s="331">
        <v>0</v>
      </c>
      <c r="AG9" s="331">
        <v>0</v>
      </c>
      <c r="AH9" s="331">
        <v>0</v>
      </c>
      <c r="AI9" s="331">
        <v>0</v>
      </c>
      <c r="AJ9" s="331">
        <v>0</v>
      </c>
      <c r="AK9" s="331">
        <v>0</v>
      </c>
      <c r="AL9" s="331">
        <v>0</v>
      </c>
      <c r="AM9" s="331">
        <v>0</v>
      </c>
      <c r="AN9" s="331">
        <v>0</v>
      </c>
      <c r="AO9" s="331">
        <v>0</v>
      </c>
      <c r="AP9" s="331">
        <v>0</v>
      </c>
      <c r="AQ9" s="331">
        <v>0</v>
      </c>
      <c r="AR9" s="331"/>
      <c r="AS9" s="331"/>
      <c r="AT9" s="332">
        <f t="shared" si="0"/>
        <v>182625.00511999999</v>
      </c>
      <c r="AU9" s="320">
        <f t="shared" si="1"/>
        <v>0</v>
      </c>
      <c r="AV9" s="333">
        <f t="shared" si="3"/>
        <v>0</v>
      </c>
      <c r="AW9" s="331">
        <f t="shared" si="2"/>
        <v>182625.00511999999</v>
      </c>
      <c r="AY9" s="322"/>
    </row>
    <row r="10" spans="1:51" s="309" customFormat="1" outlineLevel="2" x14ac:dyDescent="0.25">
      <c r="A10" s="309" t="s">
        <v>758</v>
      </c>
      <c r="B10" s="310" t="s">
        <v>741</v>
      </c>
      <c r="C10" s="311">
        <v>3</v>
      </c>
      <c r="D10" s="312" t="s">
        <v>759</v>
      </c>
      <c r="E10" s="313" t="s">
        <v>760</v>
      </c>
      <c r="F10" s="314" t="s">
        <v>761</v>
      </c>
      <c r="G10" s="314" t="s">
        <v>762</v>
      </c>
      <c r="H10" s="314" t="s">
        <v>763</v>
      </c>
      <c r="I10" s="314" t="s">
        <v>747</v>
      </c>
      <c r="J10" s="315">
        <v>871076.43</v>
      </c>
      <c r="K10" s="316">
        <v>319941.11</v>
      </c>
      <c r="L10" s="316"/>
      <c r="M10" s="316"/>
      <c r="N10" s="334"/>
      <c r="O10" s="334"/>
      <c r="P10" s="317"/>
      <c r="Q10" s="317" t="s">
        <v>748</v>
      </c>
      <c r="R10" s="318">
        <v>53323.56</v>
      </c>
      <c r="S10" s="318">
        <v>53323.56</v>
      </c>
      <c r="T10" s="318">
        <v>53323.56</v>
      </c>
      <c r="U10" s="318">
        <v>53323.56</v>
      </c>
      <c r="V10" s="318">
        <v>53323.56</v>
      </c>
      <c r="W10" s="318">
        <v>51223.4</v>
      </c>
      <c r="X10" s="318">
        <v>2099.91</v>
      </c>
      <c r="Y10" s="318">
        <v>0</v>
      </c>
      <c r="Z10" s="318">
        <v>0</v>
      </c>
      <c r="AA10" s="318">
        <v>0</v>
      </c>
      <c r="AB10" s="318">
        <v>0</v>
      </c>
      <c r="AC10" s="318">
        <v>0</v>
      </c>
      <c r="AD10" s="318">
        <v>0</v>
      </c>
      <c r="AE10" s="318">
        <v>0</v>
      </c>
      <c r="AF10" s="318">
        <v>0</v>
      </c>
      <c r="AG10" s="318">
        <v>0</v>
      </c>
      <c r="AH10" s="318">
        <v>0</v>
      </c>
      <c r="AI10" s="318">
        <v>0</v>
      </c>
      <c r="AJ10" s="318">
        <v>0</v>
      </c>
      <c r="AK10" s="318">
        <v>0</v>
      </c>
      <c r="AL10" s="318">
        <v>0</v>
      </c>
      <c r="AM10" s="318">
        <v>0</v>
      </c>
      <c r="AN10" s="318">
        <v>0</v>
      </c>
      <c r="AO10" s="318">
        <v>0</v>
      </c>
      <c r="AP10" s="318">
        <v>0</v>
      </c>
      <c r="AQ10" s="318">
        <v>0</v>
      </c>
      <c r="AR10" s="318"/>
      <c r="AS10" s="318"/>
      <c r="AT10" s="319">
        <f t="shared" si="0"/>
        <v>319941.11</v>
      </c>
      <c r="AU10" s="320">
        <f t="shared" si="1"/>
        <v>0</v>
      </c>
      <c r="AV10" s="321">
        <f t="shared" si="3"/>
        <v>0</v>
      </c>
      <c r="AW10" s="318">
        <f t="shared" si="2"/>
        <v>319941.11</v>
      </c>
      <c r="AY10" s="322"/>
    </row>
    <row r="11" spans="1:51" outlineLevel="2" x14ac:dyDescent="0.25">
      <c r="A11" s="309" t="s">
        <v>758</v>
      </c>
      <c r="B11" s="323" t="s">
        <v>741</v>
      </c>
      <c r="C11" s="324"/>
      <c r="D11" s="325" t="s">
        <v>764</v>
      </c>
      <c r="E11" s="326"/>
      <c r="F11" s="327"/>
      <c r="G11" s="327"/>
      <c r="H11" s="327"/>
      <c r="I11" s="327"/>
      <c r="J11" s="328"/>
      <c r="K11" s="329"/>
      <c r="L11" s="328" t="s">
        <v>765</v>
      </c>
      <c r="M11" s="328"/>
      <c r="N11" s="330">
        <f t="shared" si="4"/>
        <v>2.4159999999999999</v>
      </c>
      <c r="O11" s="330">
        <v>2.4159999999999999</v>
      </c>
      <c r="P11" s="330">
        <f>$P$4</f>
        <v>0</v>
      </c>
      <c r="Q11" s="330" t="s">
        <v>751</v>
      </c>
      <c r="R11" s="331">
        <v>13137.43</v>
      </c>
      <c r="S11" s="331">
        <v>10896.919999999998</v>
      </c>
      <c r="T11" s="331">
        <v>8679.44</v>
      </c>
      <c r="U11" s="331">
        <v>6409.7699999999995</v>
      </c>
      <c r="V11" s="331">
        <v>4166.21</v>
      </c>
      <c r="W11" s="331">
        <v>1941.92</v>
      </c>
      <c r="X11" s="331">
        <v>173.87</v>
      </c>
      <c r="Y11" s="331">
        <v>0</v>
      </c>
      <c r="Z11" s="331">
        <v>0</v>
      </c>
      <c r="AA11" s="331">
        <v>0</v>
      </c>
      <c r="AB11" s="331">
        <v>0</v>
      </c>
      <c r="AC11" s="331">
        <v>0</v>
      </c>
      <c r="AD11" s="331">
        <v>0</v>
      </c>
      <c r="AE11" s="331">
        <v>0</v>
      </c>
      <c r="AF11" s="331">
        <v>0</v>
      </c>
      <c r="AG11" s="331">
        <v>0</v>
      </c>
      <c r="AH11" s="331">
        <v>0</v>
      </c>
      <c r="AI11" s="331">
        <v>0</v>
      </c>
      <c r="AJ11" s="331">
        <v>0</v>
      </c>
      <c r="AK11" s="331">
        <v>0</v>
      </c>
      <c r="AL11" s="331">
        <v>0</v>
      </c>
      <c r="AM11" s="331">
        <v>0</v>
      </c>
      <c r="AN11" s="331">
        <v>0</v>
      </c>
      <c r="AO11" s="331">
        <v>0</v>
      </c>
      <c r="AP11" s="331">
        <v>0</v>
      </c>
      <c r="AQ11" s="331">
        <v>0</v>
      </c>
      <c r="AR11" s="331"/>
      <c r="AS11" s="331"/>
      <c r="AT11" s="332">
        <f t="shared" si="0"/>
        <v>45405.56</v>
      </c>
      <c r="AU11" s="320">
        <f t="shared" si="1"/>
        <v>0</v>
      </c>
      <c r="AV11" s="333">
        <f t="shared" si="3"/>
        <v>0</v>
      </c>
      <c r="AW11" s="331">
        <f t="shared" si="2"/>
        <v>45405.56</v>
      </c>
      <c r="AY11" s="322"/>
    </row>
    <row r="12" spans="1:51" s="309" customFormat="1" outlineLevel="2" x14ac:dyDescent="0.25">
      <c r="B12" s="310" t="s">
        <v>741</v>
      </c>
      <c r="C12" s="311">
        <v>4</v>
      </c>
      <c r="D12" s="312" t="s">
        <v>766</v>
      </c>
      <c r="E12" s="313" t="s">
        <v>767</v>
      </c>
      <c r="F12" s="314" t="s">
        <v>768</v>
      </c>
      <c r="G12" s="314" t="s">
        <v>769</v>
      </c>
      <c r="H12" s="314" t="s">
        <v>770</v>
      </c>
      <c r="I12" s="314" t="s">
        <v>747</v>
      </c>
      <c r="J12" s="315">
        <v>1925611</v>
      </c>
      <c r="K12" s="316">
        <v>863226</v>
      </c>
      <c r="L12" s="316"/>
      <c r="M12" s="316"/>
      <c r="N12" s="334"/>
      <c r="O12" s="334"/>
      <c r="P12" s="317"/>
      <c r="Q12" s="317" t="s">
        <v>748</v>
      </c>
      <c r="R12" s="318">
        <v>132804</v>
      </c>
      <c r="S12" s="318">
        <v>132804</v>
      </c>
      <c r="T12" s="318">
        <v>132804</v>
      </c>
      <c r="U12" s="318">
        <v>132804</v>
      </c>
      <c r="V12" s="318">
        <v>132804</v>
      </c>
      <c r="W12" s="318">
        <v>132804</v>
      </c>
      <c r="X12" s="318">
        <v>66402</v>
      </c>
      <c r="Y12" s="318">
        <v>0</v>
      </c>
      <c r="Z12" s="318">
        <v>0</v>
      </c>
      <c r="AA12" s="318">
        <v>0</v>
      </c>
      <c r="AB12" s="318">
        <v>0</v>
      </c>
      <c r="AC12" s="318">
        <v>0</v>
      </c>
      <c r="AD12" s="318">
        <v>0</v>
      </c>
      <c r="AE12" s="318">
        <v>0</v>
      </c>
      <c r="AF12" s="318">
        <v>0</v>
      </c>
      <c r="AG12" s="318">
        <v>0</v>
      </c>
      <c r="AH12" s="318">
        <v>0</v>
      </c>
      <c r="AI12" s="318">
        <v>0</v>
      </c>
      <c r="AJ12" s="318">
        <v>0</v>
      </c>
      <c r="AK12" s="318">
        <v>0</v>
      </c>
      <c r="AL12" s="318">
        <v>0</v>
      </c>
      <c r="AM12" s="318">
        <v>0</v>
      </c>
      <c r="AN12" s="318">
        <v>0</v>
      </c>
      <c r="AO12" s="318">
        <v>0</v>
      </c>
      <c r="AP12" s="318">
        <v>0</v>
      </c>
      <c r="AQ12" s="318">
        <v>0</v>
      </c>
      <c r="AR12" s="318"/>
      <c r="AS12" s="318"/>
      <c r="AT12" s="319">
        <f t="shared" si="0"/>
        <v>863226</v>
      </c>
      <c r="AU12" s="320">
        <f t="shared" si="1"/>
        <v>0</v>
      </c>
      <c r="AV12" s="321">
        <f t="shared" si="3"/>
        <v>0</v>
      </c>
      <c r="AW12" s="318">
        <f t="shared" si="2"/>
        <v>863226</v>
      </c>
      <c r="AY12" s="322"/>
    </row>
    <row r="13" spans="1:51" outlineLevel="2" x14ac:dyDescent="0.25">
      <c r="B13" s="323" t="s">
        <v>741</v>
      </c>
      <c r="C13" s="324"/>
      <c r="D13" s="325" t="s">
        <v>771</v>
      </c>
      <c r="E13" s="326"/>
      <c r="F13" s="327"/>
      <c r="G13" s="327"/>
      <c r="H13" s="327"/>
      <c r="I13" s="327"/>
      <c r="J13" s="328"/>
      <c r="K13" s="329"/>
      <c r="L13" s="328" t="s">
        <v>772</v>
      </c>
      <c r="M13" s="328"/>
      <c r="N13" s="330">
        <f t="shared" si="4"/>
        <v>2.5569999999999999</v>
      </c>
      <c r="O13" s="330">
        <v>2.5569999999999999</v>
      </c>
      <c r="P13" s="330">
        <f>$P$4</f>
        <v>0</v>
      </c>
      <c r="Q13" s="330" t="s">
        <v>751</v>
      </c>
      <c r="R13" s="331">
        <f>SUM(R12:$AQ12)*$N13/100</f>
        <v>22072.688819999996</v>
      </c>
      <c r="S13" s="331">
        <f>SUM(S12:$AQ12)*$N13/100</f>
        <v>18676.89054</v>
      </c>
      <c r="T13" s="331">
        <f>SUM(T12:$AQ12)*$N13/100</f>
        <v>15281.092259999999</v>
      </c>
      <c r="U13" s="331">
        <f>SUM(U12:$AQ12)*$N13/100</f>
        <v>11885.29398</v>
      </c>
      <c r="V13" s="331">
        <f>SUM(V12:$AQ12)*$N13/100</f>
        <v>8489.4956999999995</v>
      </c>
      <c r="W13" s="331">
        <f>SUM(W12:$AQ12)*$N13/100</f>
        <v>5093.6974199999995</v>
      </c>
      <c r="X13" s="331">
        <f>SUM(X12:$AQ12)*$N13/100</f>
        <v>1697.89914</v>
      </c>
      <c r="Y13" s="331">
        <v>0</v>
      </c>
      <c r="Z13" s="331">
        <v>0</v>
      </c>
      <c r="AA13" s="331">
        <v>0</v>
      </c>
      <c r="AB13" s="331">
        <v>0</v>
      </c>
      <c r="AC13" s="331">
        <v>0</v>
      </c>
      <c r="AD13" s="331">
        <v>0</v>
      </c>
      <c r="AE13" s="331">
        <v>0</v>
      </c>
      <c r="AF13" s="331">
        <v>0</v>
      </c>
      <c r="AG13" s="331">
        <v>0</v>
      </c>
      <c r="AH13" s="331">
        <v>0</v>
      </c>
      <c r="AI13" s="331">
        <v>0</v>
      </c>
      <c r="AJ13" s="331">
        <v>0</v>
      </c>
      <c r="AK13" s="331">
        <v>0</v>
      </c>
      <c r="AL13" s="331">
        <v>0</v>
      </c>
      <c r="AM13" s="331">
        <v>0</v>
      </c>
      <c r="AN13" s="331">
        <v>0</v>
      </c>
      <c r="AO13" s="331">
        <v>0</v>
      </c>
      <c r="AP13" s="331">
        <v>0</v>
      </c>
      <c r="AQ13" s="331">
        <v>0</v>
      </c>
      <c r="AR13" s="331"/>
      <c r="AS13" s="331"/>
      <c r="AT13" s="332">
        <f t="shared" si="0"/>
        <v>83197.057859999986</v>
      </c>
      <c r="AU13" s="320">
        <f t="shared" si="1"/>
        <v>0</v>
      </c>
      <c r="AV13" s="333">
        <f t="shared" si="3"/>
        <v>0</v>
      </c>
      <c r="AW13" s="331">
        <f t="shared" si="2"/>
        <v>83197.057859999986</v>
      </c>
      <c r="AY13" s="322"/>
    </row>
    <row r="14" spans="1:51" s="309" customFormat="1" outlineLevel="2" x14ac:dyDescent="0.25">
      <c r="B14" s="310" t="s">
        <v>741</v>
      </c>
      <c r="C14" s="311">
        <v>5</v>
      </c>
      <c r="D14" s="312" t="s">
        <v>766</v>
      </c>
      <c r="E14" s="313" t="s">
        <v>773</v>
      </c>
      <c r="F14" s="314" t="s">
        <v>774</v>
      </c>
      <c r="G14" s="314" t="s">
        <v>775</v>
      </c>
      <c r="H14" s="314" t="s">
        <v>776</v>
      </c>
      <c r="I14" s="314" t="s">
        <v>747</v>
      </c>
      <c r="J14" s="315">
        <v>154450.12</v>
      </c>
      <c r="K14" s="316">
        <v>70686</v>
      </c>
      <c r="L14" s="316"/>
      <c r="M14" s="316"/>
      <c r="N14" s="334"/>
      <c r="O14" s="334"/>
      <c r="P14" s="317"/>
      <c r="Q14" s="317" t="s">
        <v>748</v>
      </c>
      <c r="R14" s="318">
        <v>10472</v>
      </c>
      <c r="S14" s="318">
        <v>10472</v>
      </c>
      <c r="T14" s="318">
        <v>10472</v>
      </c>
      <c r="U14" s="318">
        <v>10472</v>
      </c>
      <c r="V14" s="318">
        <v>10472</v>
      </c>
      <c r="W14" s="318">
        <v>10472</v>
      </c>
      <c r="X14" s="318">
        <v>7854</v>
      </c>
      <c r="Y14" s="318">
        <v>0</v>
      </c>
      <c r="Z14" s="318">
        <v>0</v>
      </c>
      <c r="AA14" s="318">
        <v>0</v>
      </c>
      <c r="AB14" s="318">
        <v>0</v>
      </c>
      <c r="AC14" s="318">
        <v>0</v>
      </c>
      <c r="AD14" s="318">
        <v>0</v>
      </c>
      <c r="AE14" s="318">
        <v>0</v>
      </c>
      <c r="AF14" s="318">
        <v>0</v>
      </c>
      <c r="AG14" s="318">
        <v>0</v>
      </c>
      <c r="AH14" s="318">
        <v>0</v>
      </c>
      <c r="AI14" s="318">
        <v>0</v>
      </c>
      <c r="AJ14" s="318">
        <v>0</v>
      </c>
      <c r="AK14" s="318">
        <v>0</v>
      </c>
      <c r="AL14" s="318">
        <v>0</v>
      </c>
      <c r="AM14" s="318">
        <v>0</v>
      </c>
      <c r="AN14" s="318">
        <v>0</v>
      </c>
      <c r="AO14" s="318">
        <v>0</v>
      </c>
      <c r="AP14" s="318">
        <v>0</v>
      </c>
      <c r="AQ14" s="318">
        <v>0</v>
      </c>
      <c r="AR14" s="318"/>
      <c r="AS14" s="318"/>
      <c r="AT14" s="319">
        <f t="shared" si="0"/>
        <v>70686</v>
      </c>
      <c r="AU14" s="320">
        <f t="shared" si="1"/>
        <v>0</v>
      </c>
      <c r="AV14" s="321">
        <f t="shared" si="3"/>
        <v>0</v>
      </c>
      <c r="AW14" s="318">
        <f t="shared" si="2"/>
        <v>70686</v>
      </c>
      <c r="AY14" s="322"/>
    </row>
    <row r="15" spans="1:51" outlineLevel="2" x14ac:dyDescent="0.25">
      <c r="B15" s="323" t="s">
        <v>741</v>
      </c>
      <c r="C15" s="324"/>
      <c r="D15" s="325" t="s">
        <v>777</v>
      </c>
      <c r="E15" s="326"/>
      <c r="F15" s="327"/>
      <c r="G15" s="327"/>
      <c r="H15" s="327"/>
      <c r="I15" s="327"/>
      <c r="J15" s="328"/>
      <c r="K15" s="329"/>
      <c r="L15" s="328" t="s">
        <v>778</v>
      </c>
      <c r="M15" s="328"/>
      <c r="N15" s="330">
        <f t="shared" si="4"/>
        <v>2.4980000000000002</v>
      </c>
      <c r="O15" s="330">
        <v>2.4980000000000002</v>
      </c>
      <c r="P15" s="330">
        <f>$P$4</f>
        <v>0</v>
      </c>
      <c r="Q15" s="330" t="s">
        <v>751</v>
      </c>
      <c r="R15" s="331">
        <f>SUM(R14:$AQ14)*$N15/100</f>
        <v>1765.7362800000003</v>
      </c>
      <c r="S15" s="331">
        <f>SUM(S14:$AQ14)*$N15/100</f>
        <v>1504.1457200000002</v>
      </c>
      <c r="T15" s="331">
        <f>SUM(T14:$AQ14)*$N15/100</f>
        <v>1242.5551600000001</v>
      </c>
      <c r="U15" s="331">
        <f>SUM(U14:$AQ14)*$N15/100</f>
        <v>980.96460000000002</v>
      </c>
      <c r="V15" s="331">
        <f>SUM(V14:$AQ14)*$N15/100</f>
        <v>719.37404000000015</v>
      </c>
      <c r="W15" s="331">
        <f>SUM(W14:$AQ14)*$N15/100</f>
        <v>457.78348000000005</v>
      </c>
      <c r="X15" s="331">
        <f>SUM(X14:$AQ14)*$N15/100</f>
        <v>196.19292000000002</v>
      </c>
      <c r="Y15" s="331">
        <v>0</v>
      </c>
      <c r="Z15" s="331">
        <v>0</v>
      </c>
      <c r="AA15" s="331">
        <v>0</v>
      </c>
      <c r="AB15" s="331">
        <v>0</v>
      </c>
      <c r="AC15" s="331">
        <v>0</v>
      </c>
      <c r="AD15" s="331">
        <v>0</v>
      </c>
      <c r="AE15" s="331">
        <v>0</v>
      </c>
      <c r="AF15" s="331">
        <v>0</v>
      </c>
      <c r="AG15" s="331">
        <v>0</v>
      </c>
      <c r="AH15" s="331">
        <v>0</v>
      </c>
      <c r="AI15" s="331">
        <v>0</v>
      </c>
      <c r="AJ15" s="331">
        <v>0</v>
      </c>
      <c r="AK15" s="331">
        <v>0</v>
      </c>
      <c r="AL15" s="331">
        <v>0</v>
      </c>
      <c r="AM15" s="331">
        <v>0</v>
      </c>
      <c r="AN15" s="331">
        <v>0</v>
      </c>
      <c r="AO15" s="331">
        <v>0</v>
      </c>
      <c r="AP15" s="331">
        <v>0</v>
      </c>
      <c r="AQ15" s="331">
        <v>0</v>
      </c>
      <c r="AR15" s="331"/>
      <c r="AS15" s="331"/>
      <c r="AT15" s="332">
        <f t="shared" si="0"/>
        <v>6866.7522000000017</v>
      </c>
      <c r="AU15" s="320">
        <f t="shared" si="1"/>
        <v>0</v>
      </c>
      <c r="AV15" s="333">
        <f t="shared" si="3"/>
        <v>0</v>
      </c>
      <c r="AW15" s="331">
        <f t="shared" si="2"/>
        <v>6866.7522000000017</v>
      </c>
      <c r="AY15" s="322"/>
    </row>
    <row r="16" spans="1:51" s="309" customFormat="1" outlineLevel="2" x14ac:dyDescent="0.25">
      <c r="B16" s="310" t="s">
        <v>741</v>
      </c>
      <c r="C16" s="311">
        <v>6</v>
      </c>
      <c r="D16" s="312" t="s">
        <v>779</v>
      </c>
      <c r="E16" s="313" t="s">
        <v>780</v>
      </c>
      <c r="F16" s="314" t="s">
        <v>781</v>
      </c>
      <c r="G16" s="314" t="s">
        <v>782</v>
      </c>
      <c r="H16" s="314" t="s">
        <v>783</v>
      </c>
      <c r="I16" s="314" t="s">
        <v>747</v>
      </c>
      <c r="J16" s="315">
        <v>11123368</v>
      </c>
      <c r="K16" s="316">
        <v>8549640</v>
      </c>
      <c r="L16" s="316"/>
      <c r="M16" s="316"/>
      <c r="N16" s="334"/>
      <c r="O16" s="334"/>
      <c r="P16" s="317"/>
      <c r="Q16" s="317" t="s">
        <v>748</v>
      </c>
      <c r="R16" s="318">
        <v>379984</v>
      </c>
      <c r="S16" s="318">
        <v>379984</v>
      </c>
      <c r="T16" s="318">
        <v>379984</v>
      </c>
      <c r="U16" s="318">
        <v>379984</v>
      </c>
      <c r="V16" s="318">
        <v>379984</v>
      </c>
      <c r="W16" s="318">
        <v>379984</v>
      </c>
      <c r="X16" s="318">
        <v>379984</v>
      </c>
      <c r="Y16" s="318">
        <v>379984</v>
      </c>
      <c r="Z16" s="318">
        <v>379984</v>
      </c>
      <c r="AA16" s="318">
        <v>379984</v>
      </c>
      <c r="AB16" s="318">
        <v>379984</v>
      </c>
      <c r="AC16" s="318">
        <v>379984</v>
      </c>
      <c r="AD16" s="318">
        <v>379984</v>
      </c>
      <c r="AE16" s="318">
        <v>379984</v>
      </c>
      <c r="AF16" s="318">
        <v>379984</v>
      </c>
      <c r="AG16" s="318">
        <v>379984</v>
      </c>
      <c r="AH16" s="318">
        <v>379984</v>
      </c>
      <c r="AI16" s="318">
        <v>379984</v>
      </c>
      <c r="AJ16" s="318">
        <v>379984</v>
      </c>
      <c r="AK16" s="318">
        <v>379984</v>
      </c>
      <c r="AL16" s="318">
        <v>379984</v>
      </c>
      <c r="AM16" s="318">
        <v>379984</v>
      </c>
      <c r="AN16" s="318">
        <v>189992</v>
      </c>
      <c r="AO16" s="318">
        <v>0</v>
      </c>
      <c r="AP16" s="318">
        <v>0</v>
      </c>
      <c r="AQ16" s="318">
        <v>0</v>
      </c>
      <c r="AR16" s="318"/>
      <c r="AS16" s="318"/>
      <c r="AT16" s="319">
        <f t="shared" si="0"/>
        <v>8549640</v>
      </c>
      <c r="AU16" s="320">
        <f t="shared" si="1"/>
        <v>0</v>
      </c>
      <c r="AV16" s="321">
        <f t="shared" si="3"/>
        <v>5889752</v>
      </c>
      <c r="AW16" s="318">
        <f t="shared" si="2"/>
        <v>8549640</v>
      </c>
      <c r="AY16" s="322"/>
    </row>
    <row r="17" spans="2:51" outlineLevel="2" x14ac:dyDescent="0.25">
      <c r="B17" s="323" t="s">
        <v>741</v>
      </c>
      <c r="C17" s="324"/>
      <c r="D17" s="325" t="s">
        <v>784</v>
      </c>
      <c r="E17" s="326"/>
      <c r="F17" s="327"/>
      <c r="G17" s="327"/>
      <c r="H17" s="327"/>
      <c r="I17" s="327"/>
      <c r="J17" s="328"/>
      <c r="K17" s="329"/>
      <c r="L17" s="328" t="s">
        <v>785</v>
      </c>
      <c r="M17" s="328"/>
      <c r="N17" s="330">
        <f t="shared" si="4"/>
        <v>2.4</v>
      </c>
      <c r="O17" s="330">
        <v>2.4</v>
      </c>
      <c r="P17" s="330">
        <f>$P$4</f>
        <v>0</v>
      </c>
      <c r="Q17" s="330" t="s">
        <v>751</v>
      </c>
      <c r="R17" s="331">
        <f>SUM(R16:$AQ16)*$N17/100</f>
        <v>205191.36</v>
      </c>
      <c r="S17" s="331">
        <f>SUM(S16:$AQ16)*$N17/100</f>
        <v>196071.74399999998</v>
      </c>
      <c r="T17" s="331">
        <f>SUM(T16:$AQ16)*$N17/100-5000</f>
        <v>181952.128</v>
      </c>
      <c r="U17" s="331">
        <f>SUM(U16:$AQ16)*$N17/100</f>
        <v>177832.51199999999</v>
      </c>
      <c r="V17" s="331">
        <f>SUM(V16:$AQ16)*$N17/100</f>
        <v>168712.89599999998</v>
      </c>
      <c r="W17" s="331">
        <f>SUM(W16:$AQ16)*$N17/100</f>
        <v>159593.28</v>
      </c>
      <c r="X17" s="331">
        <f>SUM(X16:$AQ16)*$N17/100</f>
        <v>150473.66399999999</v>
      </c>
      <c r="Y17" s="331">
        <f>SUM(Y16:$AQ16)*$N17/100</f>
        <v>141354.04799999998</v>
      </c>
      <c r="Z17" s="331">
        <f>SUM(Z16:$AQ16)*$N17/100</f>
        <v>132234.432</v>
      </c>
      <c r="AA17" s="331">
        <f>SUM(AA16:$AQ16)*$N17/100</f>
        <v>123114.81599999999</v>
      </c>
      <c r="AB17" s="331">
        <f>SUM(AB16:$AQ16)*$N17/100</f>
        <v>113995.2</v>
      </c>
      <c r="AC17" s="331">
        <f>SUM(AC16:$AQ16)*$N17/100</f>
        <v>104875.584</v>
      </c>
      <c r="AD17" s="331">
        <f>SUM(AD16:$AQ16)*$N17/100</f>
        <v>95755.967999999993</v>
      </c>
      <c r="AE17" s="331">
        <f>SUM(AE16:$AQ16)*$N17/100</f>
        <v>86636.351999999999</v>
      </c>
      <c r="AF17" s="331">
        <f>SUM(AF16:$AQ16)*$N17/100</f>
        <v>77516.73599999999</v>
      </c>
      <c r="AG17" s="331">
        <f>SUM(AG16:$AQ16)*$N17/100</f>
        <v>68397.119999999995</v>
      </c>
      <c r="AH17" s="331">
        <f>SUM(AH16:$AQ16)*$N17/100</f>
        <v>59277.503999999994</v>
      </c>
      <c r="AI17" s="331">
        <f>SUM(AI16:$AQ16)*$N17/100</f>
        <v>50157.887999999999</v>
      </c>
      <c r="AJ17" s="331">
        <f>SUM(AJ16:$AQ16)*$N17/100</f>
        <v>41038.271999999997</v>
      </c>
      <c r="AK17" s="331">
        <f>SUM(AK16:$AQ16)*$N17/100</f>
        <v>31918.656000000003</v>
      </c>
      <c r="AL17" s="331">
        <f>SUM(AL16:$AQ16)*$N17/100</f>
        <v>22799.040000000001</v>
      </c>
      <c r="AM17" s="331">
        <f>SUM(AM16:$AQ16)*$N17/100</f>
        <v>13679.423999999999</v>
      </c>
      <c r="AN17" s="331">
        <f>SUM(AN16:$AQ16)*$N17/100</f>
        <v>4559.808</v>
      </c>
      <c r="AO17" s="331">
        <v>0</v>
      </c>
      <c r="AP17" s="331">
        <v>0</v>
      </c>
      <c r="AQ17" s="331">
        <v>0</v>
      </c>
      <c r="AR17" s="331"/>
      <c r="AS17" s="331"/>
      <c r="AT17" s="332">
        <f t="shared" si="0"/>
        <v>2407138.432</v>
      </c>
      <c r="AU17" s="320">
        <f t="shared" si="1"/>
        <v>0</v>
      </c>
      <c r="AV17" s="333">
        <f t="shared" si="3"/>
        <v>1167310.848</v>
      </c>
      <c r="AW17" s="331">
        <f t="shared" si="2"/>
        <v>2407138.432</v>
      </c>
      <c r="AY17" s="322"/>
    </row>
    <row r="18" spans="2:51" s="309" customFormat="1" outlineLevel="2" x14ac:dyDescent="0.25">
      <c r="B18" s="310" t="s">
        <v>786</v>
      </c>
      <c r="C18" s="311">
        <v>7</v>
      </c>
      <c r="D18" s="312" t="s">
        <v>787</v>
      </c>
      <c r="E18" s="313" t="s">
        <v>788</v>
      </c>
      <c r="F18" s="314" t="s">
        <v>789</v>
      </c>
      <c r="G18" s="314" t="s">
        <v>790</v>
      </c>
      <c r="H18" s="314" t="s">
        <v>791</v>
      </c>
      <c r="I18" s="314" t="s">
        <v>747</v>
      </c>
      <c r="J18" s="315">
        <v>484935.32</v>
      </c>
      <c r="K18" s="316">
        <v>248822</v>
      </c>
      <c r="L18" s="316"/>
      <c r="M18" s="316"/>
      <c r="N18" s="334"/>
      <c r="O18" s="334"/>
      <c r="P18" s="317"/>
      <c r="Q18" s="317" t="s">
        <v>748</v>
      </c>
      <c r="R18" s="318">
        <v>20312</v>
      </c>
      <c r="S18" s="318">
        <v>20312</v>
      </c>
      <c r="T18" s="318">
        <v>20312</v>
      </c>
      <c r="U18" s="318">
        <v>20312</v>
      </c>
      <c r="V18" s="318">
        <v>20312</v>
      </c>
      <c r="W18" s="318">
        <v>20312</v>
      </c>
      <c r="X18" s="318">
        <v>20312</v>
      </c>
      <c r="Y18" s="318">
        <v>20312</v>
      </c>
      <c r="Z18" s="318">
        <v>20312</v>
      </c>
      <c r="AA18" s="318">
        <v>20312</v>
      </c>
      <c r="AB18" s="318">
        <v>20312</v>
      </c>
      <c r="AC18" s="318">
        <v>20312</v>
      </c>
      <c r="AD18" s="318">
        <v>5078</v>
      </c>
      <c r="AE18" s="318">
        <v>0</v>
      </c>
      <c r="AF18" s="318">
        <v>0</v>
      </c>
      <c r="AG18" s="318">
        <v>0</v>
      </c>
      <c r="AH18" s="318">
        <v>0</v>
      </c>
      <c r="AI18" s="318">
        <v>0</v>
      </c>
      <c r="AJ18" s="318">
        <v>0</v>
      </c>
      <c r="AK18" s="318">
        <v>0</v>
      </c>
      <c r="AL18" s="318">
        <v>0</v>
      </c>
      <c r="AM18" s="318">
        <v>0</v>
      </c>
      <c r="AN18" s="318">
        <v>0</v>
      </c>
      <c r="AO18" s="318">
        <v>0</v>
      </c>
      <c r="AP18" s="318">
        <v>0</v>
      </c>
      <c r="AQ18" s="318">
        <v>0</v>
      </c>
      <c r="AR18" s="318"/>
      <c r="AS18" s="318"/>
      <c r="AT18" s="319">
        <f t="shared" si="0"/>
        <v>248822</v>
      </c>
      <c r="AU18" s="320">
        <f t="shared" si="1"/>
        <v>0</v>
      </c>
      <c r="AV18" s="321">
        <f t="shared" si="3"/>
        <v>106638</v>
      </c>
      <c r="AW18" s="318">
        <f t="shared" si="2"/>
        <v>248822</v>
      </c>
      <c r="AY18" s="322"/>
    </row>
    <row r="19" spans="2:51" outlineLevel="2" x14ac:dyDescent="0.25">
      <c r="B19" s="323" t="s">
        <v>786</v>
      </c>
      <c r="C19" s="324"/>
      <c r="D19" s="325" t="s">
        <v>792</v>
      </c>
      <c r="E19" s="326"/>
      <c r="F19" s="327"/>
      <c r="G19" s="327"/>
      <c r="H19" s="327"/>
      <c r="I19" s="327"/>
      <c r="J19" s="328"/>
      <c r="K19" s="329"/>
      <c r="L19" s="328" t="s">
        <v>793</v>
      </c>
      <c r="M19" s="328"/>
      <c r="N19" s="330">
        <f t="shared" si="4"/>
        <v>2.9460000000000002</v>
      </c>
      <c r="O19" s="330">
        <v>2.9460000000000002</v>
      </c>
      <c r="P19" s="330">
        <f>$P$4</f>
        <v>0</v>
      </c>
      <c r="Q19" s="330" t="s">
        <v>751</v>
      </c>
      <c r="R19" s="331">
        <f>SUM(R18:$AQ18)*$N19/100</f>
        <v>7330.2961200000009</v>
      </c>
      <c r="S19" s="331">
        <f>SUM(S18:$AQ18)*$N19/100</f>
        <v>6731.9046000000008</v>
      </c>
      <c r="T19" s="331">
        <f>SUM(T18:$AQ18)*$N19/100</f>
        <v>6133.5130800000006</v>
      </c>
      <c r="U19" s="331">
        <f>SUM(U18:$AQ18)*$N19/100</f>
        <v>5535.1215600000005</v>
      </c>
      <c r="V19" s="331">
        <f>SUM(V18:$AQ18)*$N19/100</f>
        <v>4936.7300400000004</v>
      </c>
      <c r="W19" s="331">
        <f>SUM(W18:$AQ18)*$N19/100</f>
        <v>4338.3385200000002</v>
      </c>
      <c r="X19" s="331">
        <f>SUM(X18:$AQ18)*$N19/100</f>
        <v>3739.9470000000001</v>
      </c>
      <c r="Y19" s="331">
        <f>SUM(Y18:$AQ18)*$N19/100</f>
        <v>3141.55548</v>
      </c>
      <c r="Z19" s="331">
        <f>SUM(Z18:$AQ18)*$N19/100</f>
        <v>2543.1639599999999</v>
      </c>
      <c r="AA19" s="331">
        <f>SUM(AA18:$AQ18)*$N19/100</f>
        <v>1944.77244</v>
      </c>
      <c r="AB19" s="331">
        <f>SUM(AB18:$AQ18)*$N19/100</f>
        <v>1346.3809200000001</v>
      </c>
      <c r="AC19" s="331">
        <f>SUM(AC18:$AQ18)*$N19/100</f>
        <v>747.98940000000005</v>
      </c>
      <c r="AD19" s="331">
        <f>SUM(AD18:$AQ18)*$N19/100</f>
        <v>149.59788</v>
      </c>
      <c r="AE19" s="331">
        <v>0</v>
      </c>
      <c r="AF19" s="331">
        <v>0</v>
      </c>
      <c r="AG19" s="331">
        <v>0</v>
      </c>
      <c r="AH19" s="331">
        <v>0</v>
      </c>
      <c r="AI19" s="331">
        <v>0</v>
      </c>
      <c r="AJ19" s="331">
        <v>0</v>
      </c>
      <c r="AK19" s="331">
        <v>0</v>
      </c>
      <c r="AL19" s="331">
        <v>0</v>
      </c>
      <c r="AM19" s="331">
        <v>0</v>
      </c>
      <c r="AN19" s="331">
        <v>0</v>
      </c>
      <c r="AO19" s="331">
        <v>0</v>
      </c>
      <c r="AP19" s="331">
        <v>0</v>
      </c>
      <c r="AQ19" s="331">
        <v>0</v>
      </c>
      <c r="AR19" s="331"/>
      <c r="AS19" s="331"/>
      <c r="AT19" s="332">
        <f t="shared" si="0"/>
        <v>48619.311000000002</v>
      </c>
      <c r="AU19" s="320">
        <f t="shared" si="1"/>
        <v>0</v>
      </c>
      <c r="AV19" s="333">
        <f t="shared" si="3"/>
        <v>9873.4600799999989</v>
      </c>
      <c r="AW19" s="331">
        <f t="shared" si="2"/>
        <v>48619.310999999994</v>
      </c>
      <c r="AY19" s="322"/>
    </row>
    <row r="20" spans="2:51" s="309" customFormat="1" outlineLevel="2" x14ac:dyDescent="0.25">
      <c r="B20" s="310" t="s">
        <v>786</v>
      </c>
      <c r="C20" s="311">
        <v>8</v>
      </c>
      <c r="D20" s="312" t="s">
        <v>794</v>
      </c>
      <c r="E20" s="313" t="s">
        <v>795</v>
      </c>
      <c r="F20" s="314" t="s">
        <v>796</v>
      </c>
      <c r="G20" s="314" t="s">
        <v>797</v>
      </c>
      <c r="H20" s="314" t="s">
        <v>798</v>
      </c>
      <c r="I20" s="314" t="s">
        <v>747</v>
      </c>
      <c r="J20" s="315">
        <v>278611.39</v>
      </c>
      <c r="K20" s="316">
        <v>180950</v>
      </c>
      <c r="L20" s="316"/>
      <c r="M20" s="316"/>
      <c r="N20" s="334"/>
      <c r="O20" s="334"/>
      <c r="P20" s="317"/>
      <c r="Q20" s="317" t="s">
        <v>748</v>
      </c>
      <c r="R20" s="318">
        <v>14476</v>
      </c>
      <c r="S20" s="318">
        <v>14476</v>
      </c>
      <c r="T20" s="318">
        <v>14476</v>
      </c>
      <c r="U20" s="318">
        <v>14476</v>
      </c>
      <c r="V20" s="318">
        <v>14476</v>
      </c>
      <c r="W20" s="318">
        <v>14476</v>
      </c>
      <c r="X20" s="318">
        <v>14476</v>
      </c>
      <c r="Y20" s="318">
        <v>14476</v>
      </c>
      <c r="Z20" s="318">
        <v>14476</v>
      </c>
      <c r="AA20" s="318">
        <v>14476</v>
      </c>
      <c r="AB20" s="318">
        <v>14476</v>
      </c>
      <c r="AC20" s="318">
        <v>14476</v>
      </c>
      <c r="AD20" s="318">
        <v>7238</v>
      </c>
      <c r="AE20" s="318">
        <v>0</v>
      </c>
      <c r="AF20" s="318">
        <v>0</v>
      </c>
      <c r="AG20" s="318">
        <v>0</v>
      </c>
      <c r="AH20" s="318">
        <v>0</v>
      </c>
      <c r="AI20" s="318">
        <v>0</v>
      </c>
      <c r="AJ20" s="318">
        <v>0</v>
      </c>
      <c r="AK20" s="318">
        <v>0</v>
      </c>
      <c r="AL20" s="318">
        <v>0</v>
      </c>
      <c r="AM20" s="318">
        <v>0</v>
      </c>
      <c r="AN20" s="318">
        <v>0</v>
      </c>
      <c r="AO20" s="318">
        <v>0</v>
      </c>
      <c r="AP20" s="318">
        <v>0</v>
      </c>
      <c r="AQ20" s="318">
        <v>0</v>
      </c>
      <c r="AR20" s="318"/>
      <c r="AS20" s="318"/>
      <c r="AT20" s="319">
        <f t="shared" si="0"/>
        <v>180950</v>
      </c>
      <c r="AU20" s="320">
        <f t="shared" si="1"/>
        <v>0</v>
      </c>
      <c r="AV20" s="321">
        <f t="shared" si="3"/>
        <v>79618</v>
      </c>
      <c r="AW20" s="318">
        <f t="shared" si="2"/>
        <v>180950</v>
      </c>
      <c r="AY20" s="322"/>
    </row>
    <row r="21" spans="2:51" outlineLevel="2" x14ac:dyDescent="0.25">
      <c r="B21" s="323" t="s">
        <v>786</v>
      </c>
      <c r="C21" s="324"/>
      <c r="D21" s="325" t="s">
        <v>799</v>
      </c>
      <c r="E21" s="326"/>
      <c r="F21" s="327"/>
      <c r="G21" s="327"/>
      <c r="H21" s="327"/>
      <c r="I21" s="327"/>
      <c r="J21" s="328"/>
      <c r="K21" s="329"/>
      <c r="L21" s="328" t="s">
        <v>800</v>
      </c>
      <c r="M21" s="328"/>
      <c r="N21" s="330">
        <f t="shared" si="4"/>
        <v>2.508</v>
      </c>
      <c r="O21" s="330">
        <v>2.508</v>
      </c>
      <c r="P21" s="330">
        <f>$P$4</f>
        <v>0</v>
      </c>
      <c r="Q21" s="330" t="s">
        <v>751</v>
      </c>
      <c r="R21" s="331">
        <f>SUM(R20:$AQ20)*$N21/100</f>
        <v>4538.2259999999997</v>
      </c>
      <c r="S21" s="331">
        <f>SUM(S20:$AQ20)*$N21/100</f>
        <v>4175.1679199999999</v>
      </c>
      <c r="T21" s="331">
        <f>SUM(T20:$AQ20)*$N21/100</f>
        <v>3812.1098400000001</v>
      </c>
      <c r="U21" s="331">
        <f>SUM(U20:$AQ20)*$N21/100</f>
        <v>3449.0517599999998</v>
      </c>
      <c r="V21" s="331">
        <f>SUM(V20:$AQ20)*$N21/100</f>
        <v>3085.99368</v>
      </c>
      <c r="W21" s="331">
        <f>SUM(W20:$AQ20)*$N21/100</f>
        <v>2722.9355999999998</v>
      </c>
      <c r="X21" s="331">
        <f>SUM(X20:$AQ20)*$N21/100</f>
        <v>2359.87752</v>
      </c>
      <c r="Y21" s="331">
        <f>SUM(Y20:$AQ20)*$N21/100</f>
        <v>1996.81944</v>
      </c>
      <c r="Z21" s="331">
        <f>SUM(Z20:$AQ20)*$N21/100</f>
        <v>1633.76136</v>
      </c>
      <c r="AA21" s="331">
        <f>SUM(AA20:$AQ20)*$N21/100</f>
        <v>1270.7032799999999</v>
      </c>
      <c r="AB21" s="331">
        <f>SUM(AB20:$AQ20)*$N21/100</f>
        <v>907.64520000000005</v>
      </c>
      <c r="AC21" s="331">
        <f>SUM(AC20:$AQ20)*$N21/100</f>
        <v>544.58712000000003</v>
      </c>
      <c r="AD21" s="331">
        <f>SUM(AD20:$AQ20)*$N21/100</f>
        <v>181.52903999999998</v>
      </c>
      <c r="AE21" s="331">
        <v>0</v>
      </c>
      <c r="AF21" s="331">
        <v>0</v>
      </c>
      <c r="AG21" s="331">
        <v>0</v>
      </c>
      <c r="AH21" s="331">
        <v>0</v>
      </c>
      <c r="AI21" s="331">
        <v>0</v>
      </c>
      <c r="AJ21" s="331">
        <v>0</v>
      </c>
      <c r="AK21" s="331">
        <v>0</v>
      </c>
      <c r="AL21" s="331">
        <v>0</v>
      </c>
      <c r="AM21" s="331">
        <v>0</v>
      </c>
      <c r="AN21" s="331">
        <v>0</v>
      </c>
      <c r="AO21" s="331">
        <v>0</v>
      </c>
      <c r="AP21" s="331">
        <v>0</v>
      </c>
      <c r="AQ21" s="331">
        <v>0</v>
      </c>
      <c r="AR21" s="331"/>
      <c r="AS21" s="331"/>
      <c r="AT21" s="332">
        <f t="shared" si="0"/>
        <v>30678.407760000002</v>
      </c>
      <c r="AU21" s="320">
        <f t="shared" si="1"/>
        <v>0</v>
      </c>
      <c r="AV21" s="333">
        <f t="shared" si="3"/>
        <v>6535.0454399999999</v>
      </c>
      <c r="AW21" s="331">
        <f t="shared" si="2"/>
        <v>30678.407760000002</v>
      </c>
      <c r="AY21" s="322"/>
    </row>
    <row r="22" spans="2:51" s="309" customFormat="1" outlineLevel="2" x14ac:dyDescent="0.25">
      <c r="B22" s="310" t="s">
        <v>786</v>
      </c>
      <c r="C22" s="311">
        <v>9</v>
      </c>
      <c r="D22" s="312" t="s">
        <v>801</v>
      </c>
      <c r="E22" s="313" t="s">
        <v>802</v>
      </c>
      <c r="F22" s="314" t="s">
        <v>803</v>
      </c>
      <c r="G22" s="314" t="s">
        <v>797</v>
      </c>
      <c r="H22" s="314" t="s">
        <v>804</v>
      </c>
      <c r="I22" s="314" t="s">
        <v>747</v>
      </c>
      <c r="J22" s="315">
        <v>49472</v>
      </c>
      <c r="K22" s="316">
        <v>11100</v>
      </c>
      <c r="L22" s="316"/>
      <c r="M22" s="316"/>
      <c r="N22" s="334"/>
      <c r="O22" s="334"/>
      <c r="P22" s="317"/>
      <c r="Q22" s="317" t="s">
        <v>748</v>
      </c>
      <c r="R22" s="318">
        <v>1480</v>
      </c>
      <c r="S22" s="318">
        <v>1480</v>
      </c>
      <c r="T22" s="318">
        <v>1480</v>
      </c>
      <c r="U22" s="318">
        <v>1480</v>
      </c>
      <c r="V22" s="318">
        <v>1480</v>
      </c>
      <c r="W22" s="318">
        <v>1480</v>
      </c>
      <c r="X22" s="318">
        <v>1480</v>
      </c>
      <c r="Y22" s="318">
        <v>740</v>
      </c>
      <c r="Z22" s="318">
        <v>0</v>
      </c>
      <c r="AA22" s="318">
        <v>0</v>
      </c>
      <c r="AB22" s="318">
        <v>0</v>
      </c>
      <c r="AC22" s="318">
        <v>0</v>
      </c>
      <c r="AD22" s="318">
        <v>0</v>
      </c>
      <c r="AE22" s="318">
        <v>0</v>
      </c>
      <c r="AF22" s="318">
        <v>0</v>
      </c>
      <c r="AG22" s="318">
        <v>0</v>
      </c>
      <c r="AH22" s="318">
        <v>0</v>
      </c>
      <c r="AI22" s="318">
        <v>0</v>
      </c>
      <c r="AJ22" s="318">
        <v>0</v>
      </c>
      <c r="AK22" s="318">
        <v>0</v>
      </c>
      <c r="AL22" s="318">
        <v>0</v>
      </c>
      <c r="AM22" s="318">
        <v>0</v>
      </c>
      <c r="AN22" s="318">
        <v>0</v>
      </c>
      <c r="AO22" s="318">
        <v>0</v>
      </c>
      <c r="AP22" s="318">
        <v>0</v>
      </c>
      <c r="AQ22" s="318">
        <v>0</v>
      </c>
      <c r="AR22" s="318"/>
      <c r="AS22" s="318"/>
      <c r="AT22" s="319">
        <f t="shared" si="0"/>
        <v>11100</v>
      </c>
      <c r="AU22" s="320">
        <f t="shared" si="1"/>
        <v>0</v>
      </c>
      <c r="AV22" s="321">
        <f t="shared" si="3"/>
        <v>740</v>
      </c>
      <c r="AW22" s="318">
        <f t="shared" si="2"/>
        <v>11100</v>
      </c>
      <c r="AY22" s="322"/>
    </row>
    <row r="23" spans="2:51" outlineLevel="2" x14ac:dyDescent="0.25">
      <c r="B23" s="323" t="s">
        <v>786</v>
      </c>
      <c r="C23" s="324"/>
      <c r="D23" s="325" t="s">
        <v>805</v>
      </c>
      <c r="E23" s="326"/>
      <c r="F23" s="327"/>
      <c r="G23" s="327"/>
      <c r="H23" s="327"/>
      <c r="I23" s="327"/>
      <c r="J23" s="328"/>
      <c r="K23" s="329"/>
      <c r="L23" s="328" t="s">
        <v>800</v>
      </c>
      <c r="M23" s="328"/>
      <c r="N23" s="330">
        <f t="shared" si="4"/>
        <v>2.508</v>
      </c>
      <c r="O23" s="330">
        <v>2.508</v>
      </c>
      <c r="P23" s="330">
        <f>$P$4</f>
        <v>0</v>
      </c>
      <c r="Q23" s="330" t="s">
        <v>751</v>
      </c>
      <c r="R23" s="331">
        <f>SUM(R22:$AQ22)*$N23/100</f>
        <v>278.38799999999998</v>
      </c>
      <c r="S23" s="331">
        <f>SUM(S22:$AQ22)*$N23/100</f>
        <v>241.2696</v>
      </c>
      <c r="T23" s="331">
        <f>SUM(T22:$AQ22)*$N23/100</f>
        <v>204.15119999999999</v>
      </c>
      <c r="U23" s="331">
        <f>SUM(U22:$AQ22)*$N23/100</f>
        <v>167.03279999999998</v>
      </c>
      <c r="V23" s="331">
        <f>SUM(V22:$AQ22)*$N23/100</f>
        <v>129.9144</v>
      </c>
      <c r="W23" s="331">
        <f>SUM(W22:$AQ22)*$N23/100</f>
        <v>92.796000000000006</v>
      </c>
      <c r="X23" s="331">
        <f>SUM(X22:$AQ22)*$N23/100</f>
        <v>55.677600000000005</v>
      </c>
      <c r="Y23" s="331">
        <f>SUM(Y22:$AQ22)*$N23/100</f>
        <v>18.559200000000001</v>
      </c>
      <c r="Z23" s="331">
        <v>0</v>
      </c>
      <c r="AA23" s="331">
        <v>0</v>
      </c>
      <c r="AB23" s="331">
        <v>0</v>
      </c>
      <c r="AC23" s="331">
        <v>0</v>
      </c>
      <c r="AD23" s="331">
        <v>0</v>
      </c>
      <c r="AE23" s="331">
        <v>0</v>
      </c>
      <c r="AF23" s="331">
        <v>0</v>
      </c>
      <c r="AG23" s="331">
        <v>0</v>
      </c>
      <c r="AH23" s="331">
        <v>0</v>
      </c>
      <c r="AI23" s="331">
        <v>0</v>
      </c>
      <c r="AJ23" s="331">
        <v>0</v>
      </c>
      <c r="AK23" s="331">
        <v>0</v>
      </c>
      <c r="AL23" s="331">
        <v>0</v>
      </c>
      <c r="AM23" s="331">
        <v>0</v>
      </c>
      <c r="AN23" s="331">
        <v>0</v>
      </c>
      <c r="AO23" s="331">
        <v>0</v>
      </c>
      <c r="AP23" s="331">
        <v>0</v>
      </c>
      <c r="AQ23" s="331">
        <v>0</v>
      </c>
      <c r="AR23" s="331"/>
      <c r="AS23" s="331"/>
      <c r="AT23" s="332">
        <f t="shared" si="0"/>
        <v>1187.7887999999998</v>
      </c>
      <c r="AU23" s="320">
        <f t="shared" si="1"/>
        <v>0</v>
      </c>
      <c r="AV23" s="333">
        <f t="shared" si="3"/>
        <v>18.559200000000001</v>
      </c>
      <c r="AW23" s="331">
        <f t="shared" si="2"/>
        <v>1187.7887999999998</v>
      </c>
      <c r="AY23" s="322"/>
    </row>
    <row r="24" spans="2:51" s="309" customFormat="1" outlineLevel="2" x14ac:dyDescent="0.25">
      <c r="B24" s="310" t="s">
        <v>786</v>
      </c>
      <c r="C24" s="311">
        <v>10</v>
      </c>
      <c r="D24" s="312" t="s">
        <v>806</v>
      </c>
      <c r="E24" s="313" t="s">
        <v>807</v>
      </c>
      <c r="F24" s="314" t="s">
        <v>808</v>
      </c>
      <c r="G24" s="314" t="s">
        <v>797</v>
      </c>
      <c r="H24" s="314" t="s">
        <v>798</v>
      </c>
      <c r="I24" s="314" t="s">
        <v>747</v>
      </c>
      <c r="J24" s="315">
        <v>238897.15</v>
      </c>
      <c r="K24" s="316">
        <v>132500</v>
      </c>
      <c r="L24" s="316"/>
      <c r="M24" s="316"/>
      <c r="N24" s="334"/>
      <c r="O24" s="334"/>
      <c r="P24" s="317"/>
      <c r="Q24" s="317" t="s">
        <v>748</v>
      </c>
      <c r="R24" s="318">
        <v>10600</v>
      </c>
      <c r="S24" s="318">
        <v>10600</v>
      </c>
      <c r="T24" s="318">
        <v>10600</v>
      </c>
      <c r="U24" s="318">
        <v>10600</v>
      </c>
      <c r="V24" s="318">
        <v>10600</v>
      </c>
      <c r="W24" s="318">
        <v>10600</v>
      </c>
      <c r="X24" s="318">
        <v>10600</v>
      </c>
      <c r="Y24" s="318">
        <v>10600</v>
      </c>
      <c r="Z24" s="318">
        <v>10600</v>
      </c>
      <c r="AA24" s="318">
        <v>10600</v>
      </c>
      <c r="AB24" s="318">
        <v>10600</v>
      </c>
      <c r="AC24" s="318">
        <v>10600</v>
      </c>
      <c r="AD24" s="318">
        <v>5300</v>
      </c>
      <c r="AE24" s="318">
        <v>0</v>
      </c>
      <c r="AF24" s="318">
        <v>0</v>
      </c>
      <c r="AG24" s="318">
        <v>0</v>
      </c>
      <c r="AH24" s="318">
        <v>0</v>
      </c>
      <c r="AI24" s="318">
        <v>0</v>
      </c>
      <c r="AJ24" s="318">
        <v>0</v>
      </c>
      <c r="AK24" s="318">
        <v>0</v>
      </c>
      <c r="AL24" s="318">
        <v>0</v>
      </c>
      <c r="AM24" s="318">
        <v>0</v>
      </c>
      <c r="AN24" s="318">
        <v>0</v>
      </c>
      <c r="AO24" s="318">
        <v>0</v>
      </c>
      <c r="AP24" s="318">
        <v>0</v>
      </c>
      <c r="AQ24" s="318">
        <v>0</v>
      </c>
      <c r="AR24" s="318"/>
      <c r="AS24" s="318"/>
      <c r="AT24" s="319">
        <f t="shared" si="0"/>
        <v>132500</v>
      </c>
      <c r="AU24" s="320">
        <f t="shared" si="1"/>
        <v>0</v>
      </c>
      <c r="AV24" s="321">
        <f t="shared" si="3"/>
        <v>58300</v>
      </c>
      <c r="AW24" s="318">
        <f t="shared" si="2"/>
        <v>132500</v>
      </c>
      <c r="AY24" s="322"/>
    </row>
    <row r="25" spans="2:51" outlineLevel="2" x14ac:dyDescent="0.25">
      <c r="B25" s="323" t="s">
        <v>786</v>
      </c>
      <c r="C25" s="324"/>
      <c r="D25" s="325" t="s">
        <v>809</v>
      </c>
      <c r="E25" s="326"/>
      <c r="F25" s="327"/>
      <c r="G25" s="327"/>
      <c r="H25" s="327"/>
      <c r="I25" s="327"/>
      <c r="J25" s="328"/>
      <c r="K25" s="329"/>
      <c r="L25" s="328" t="s">
        <v>800</v>
      </c>
      <c r="M25" s="328"/>
      <c r="N25" s="330">
        <f t="shared" si="4"/>
        <v>2.508</v>
      </c>
      <c r="O25" s="330">
        <v>2.508</v>
      </c>
      <c r="P25" s="330">
        <f>$P$4</f>
        <v>0</v>
      </c>
      <c r="Q25" s="330" t="s">
        <v>751</v>
      </c>
      <c r="R25" s="331">
        <f>SUM(R24:$AQ24)*$N25/100</f>
        <v>3323.1</v>
      </c>
      <c r="S25" s="331">
        <f>SUM(S24:$AQ24)*$N25/100</f>
        <v>3057.252</v>
      </c>
      <c r="T25" s="331">
        <f>SUM(T24:$AQ24)*$N25/100</f>
        <v>2791.4040000000005</v>
      </c>
      <c r="U25" s="331">
        <f>SUM(U24:$AQ24)*$N25/100</f>
        <v>2525.556</v>
      </c>
      <c r="V25" s="331">
        <f>SUM(V24:$AQ24)*$N25/100</f>
        <v>2259.7080000000001</v>
      </c>
      <c r="W25" s="331">
        <f>SUM(W24:$AQ24)*$N25/100</f>
        <v>1993.86</v>
      </c>
      <c r="X25" s="331">
        <f>SUM(X24:$AQ24)*$N25/100</f>
        <v>1728.0120000000002</v>
      </c>
      <c r="Y25" s="331">
        <f>SUM(Y24:$AQ24)*$N25/100</f>
        <v>1462.164</v>
      </c>
      <c r="Z25" s="331">
        <f>SUM(Z24:$AQ24)*$N25/100</f>
        <v>1196.316</v>
      </c>
      <c r="AA25" s="331">
        <f>SUM(AA24:$AQ24)*$N25/100</f>
        <v>930.46800000000007</v>
      </c>
      <c r="AB25" s="331">
        <f>SUM(AB24:$AQ24)*$N25/100</f>
        <v>664.62</v>
      </c>
      <c r="AC25" s="331">
        <f>SUM(AC24:$AQ24)*$N25/100</f>
        <v>398.77199999999999</v>
      </c>
      <c r="AD25" s="331">
        <f>SUM(AD24:$AQ24)*$N25/100</f>
        <v>132.92400000000001</v>
      </c>
      <c r="AE25" s="331">
        <v>0</v>
      </c>
      <c r="AF25" s="331">
        <v>0</v>
      </c>
      <c r="AG25" s="331">
        <v>0</v>
      </c>
      <c r="AH25" s="331">
        <v>0</v>
      </c>
      <c r="AI25" s="331">
        <v>0</v>
      </c>
      <c r="AJ25" s="331">
        <v>0</v>
      </c>
      <c r="AK25" s="331">
        <v>0</v>
      </c>
      <c r="AL25" s="331">
        <v>0</v>
      </c>
      <c r="AM25" s="331">
        <v>0</v>
      </c>
      <c r="AN25" s="331">
        <v>0</v>
      </c>
      <c r="AO25" s="331">
        <v>0</v>
      </c>
      <c r="AP25" s="331">
        <v>0</v>
      </c>
      <c r="AQ25" s="331">
        <v>0</v>
      </c>
      <c r="AR25" s="331"/>
      <c r="AS25" s="331"/>
      <c r="AT25" s="332">
        <f t="shared" si="0"/>
        <v>22464.156000000003</v>
      </c>
      <c r="AU25" s="320">
        <f t="shared" si="1"/>
        <v>0</v>
      </c>
      <c r="AV25" s="333">
        <f t="shared" si="3"/>
        <v>4785.2640000000001</v>
      </c>
      <c r="AW25" s="331">
        <f t="shared" si="2"/>
        <v>22464.156000000003</v>
      </c>
      <c r="AY25" s="322"/>
    </row>
    <row r="26" spans="2:51" s="299" customFormat="1" outlineLevel="2" x14ac:dyDescent="0.25">
      <c r="B26" s="335" t="s">
        <v>786</v>
      </c>
      <c r="C26" s="336">
        <v>11</v>
      </c>
      <c r="D26" s="337" t="s">
        <v>810</v>
      </c>
      <c r="E26" s="313" t="s">
        <v>811</v>
      </c>
      <c r="F26" s="313" t="s">
        <v>812</v>
      </c>
      <c r="G26" s="313" t="s">
        <v>813</v>
      </c>
      <c r="H26" s="313" t="s">
        <v>814</v>
      </c>
      <c r="I26" s="313" t="s">
        <v>747</v>
      </c>
      <c r="J26" s="315">
        <v>34291</v>
      </c>
      <c r="K26" s="316">
        <v>8870</v>
      </c>
      <c r="L26" s="316"/>
      <c r="M26" s="316"/>
      <c r="N26" s="334"/>
      <c r="O26" s="334"/>
      <c r="P26" s="317"/>
      <c r="Q26" s="317" t="s">
        <v>748</v>
      </c>
      <c r="R26" s="318">
        <v>3548</v>
      </c>
      <c r="S26" s="318">
        <v>3548</v>
      </c>
      <c r="T26" s="318">
        <v>1774</v>
      </c>
      <c r="U26" s="318">
        <v>0</v>
      </c>
      <c r="V26" s="318">
        <v>0</v>
      </c>
      <c r="W26" s="318">
        <v>0</v>
      </c>
      <c r="X26" s="318">
        <v>0</v>
      </c>
      <c r="Y26" s="318">
        <v>0</v>
      </c>
      <c r="Z26" s="318">
        <v>0</v>
      </c>
      <c r="AA26" s="318">
        <v>0</v>
      </c>
      <c r="AB26" s="318">
        <v>0</v>
      </c>
      <c r="AC26" s="318">
        <v>0</v>
      </c>
      <c r="AD26" s="318">
        <v>0</v>
      </c>
      <c r="AE26" s="318">
        <v>0</v>
      </c>
      <c r="AF26" s="318">
        <v>0</v>
      </c>
      <c r="AG26" s="318">
        <v>0</v>
      </c>
      <c r="AH26" s="318">
        <v>0</v>
      </c>
      <c r="AI26" s="318">
        <v>0</v>
      </c>
      <c r="AJ26" s="318">
        <v>0</v>
      </c>
      <c r="AK26" s="318">
        <v>0</v>
      </c>
      <c r="AL26" s="318">
        <v>0</v>
      </c>
      <c r="AM26" s="318">
        <v>0</v>
      </c>
      <c r="AN26" s="318">
        <v>0</v>
      </c>
      <c r="AO26" s="318">
        <v>0</v>
      </c>
      <c r="AP26" s="318">
        <v>0</v>
      </c>
      <c r="AQ26" s="318">
        <v>0</v>
      </c>
      <c r="AR26" s="318"/>
      <c r="AS26" s="318"/>
      <c r="AT26" s="318">
        <f t="shared" si="0"/>
        <v>8870</v>
      </c>
      <c r="AU26" s="338">
        <f t="shared" si="1"/>
        <v>0</v>
      </c>
      <c r="AV26" s="321">
        <f t="shared" si="3"/>
        <v>0</v>
      </c>
      <c r="AW26" s="318">
        <f t="shared" si="2"/>
        <v>8870</v>
      </c>
      <c r="AY26" s="322"/>
    </row>
    <row r="27" spans="2:51" s="291" customFormat="1" outlineLevel="2" x14ac:dyDescent="0.25">
      <c r="B27" s="339" t="s">
        <v>786</v>
      </c>
      <c r="C27" s="340"/>
      <c r="D27" s="341" t="s">
        <v>815</v>
      </c>
      <c r="E27" s="326"/>
      <c r="F27" s="326"/>
      <c r="G27" s="326"/>
      <c r="H27" s="326"/>
      <c r="I27" s="326"/>
      <c r="J27" s="328"/>
      <c r="K27" s="329"/>
      <c r="L27" s="328" t="s">
        <v>816</v>
      </c>
      <c r="M27" s="328"/>
      <c r="N27" s="330">
        <f t="shared" si="4"/>
        <v>2.4620000000000002</v>
      </c>
      <c r="O27" s="330">
        <v>2.4620000000000002</v>
      </c>
      <c r="P27" s="330">
        <f>$P$4</f>
        <v>0</v>
      </c>
      <c r="Q27" s="330" t="s">
        <v>751</v>
      </c>
      <c r="R27" s="331">
        <f>SUM(R26:$AQ26)*$N27/100</f>
        <v>218.37940000000003</v>
      </c>
      <c r="S27" s="331">
        <f>SUM(S26:$AQ26)*$N27/100</f>
        <v>131.02764000000002</v>
      </c>
      <c r="T27" s="331">
        <f>SUM(T26:$AQ26)*$N27/100</f>
        <v>43.675880000000006</v>
      </c>
      <c r="U27" s="331">
        <v>0</v>
      </c>
      <c r="V27" s="331">
        <v>0</v>
      </c>
      <c r="W27" s="331">
        <v>0</v>
      </c>
      <c r="X27" s="331">
        <v>0</v>
      </c>
      <c r="Y27" s="331">
        <v>0</v>
      </c>
      <c r="Z27" s="331">
        <v>0</v>
      </c>
      <c r="AA27" s="331">
        <v>0</v>
      </c>
      <c r="AB27" s="331">
        <v>0</v>
      </c>
      <c r="AC27" s="331">
        <v>0</v>
      </c>
      <c r="AD27" s="331">
        <v>0</v>
      </c>
      <c r="AE27" s="331">
        <v>0</v>
      </c>
      <c r="AF27" s="331">
        <v>0</v>
      </c>
      <c r="AG27" s="331">
        <v>0</v>
      </c>
      <c r="AH27" s="331">
        <v>0</v>
      </c>
      <c r="AI27" s="331">
        <v>0</v>
      </c>
      <c r="AJ27" s="331">
        <v>0</v>
      </c>
      <c r="AK27" s="331">
        <v>0</v>
      </c>
      <c r="AL27" s="331">
        <v>0</v>
      </c>
      <c r="AM27" s="331">
        <v>0</v>
      </c>
      <c r="AN27" s="331">
        <v>0</v>
      </c>
      <c r="AO27" s="331">
        <v>0</v>
      </c>
      <c r="AP27" s="331">
        <v>0</v>
      </c>
      <c r="AQ27" s="331">
        <v>0</v>
      </c>
      <c r="AR27" s="331"/>
      <c r="AS27" s="331"/>
      <c r="AT27" s="331">
        <f t="shared" si="0"/>
        <v>393.08292000000006</v>
      </c>
      <c r="AU27" s="338">
        <f t="shared" si="1"/>
        <v>0</v>
      </c>
      <c r="AV27" s="333">
        <f t="shared" si="3"/>
        <v>0</v>
      </c>
      <c r="AW27" s="331">
        <f t="shared" si="2"/>
        <v>393.08292000000006</v>
      </c>
      <c r="AY27" s="322"/>
    </row>
    <row r="28" spans="2:51" s="309" customFormat="1" outlineLevel="2" x14ac:dyDescent="0.25">
      <c r="B28" s="310" t="s">
        <v>786</v>
      </c>
      <c r="C28" s="311">
        <v>12</v>
      </c>
      <c r="D28" s="312" t="s">
        <v>817</v>
      </c>
      <c r="E28" s="313" t="s">
        <v>818</v>
      </c>
      <c r="F28" s="314" t="s">
        <v>819</v>
      </c>
      <c r="G28" s="314" t="s">
        <v>820</v>
      </c>
      <c r="H28" s="314" t="s">
        <v>821</v>
      </c>
      <c r="I28" s="314" t="s">
        <v>747</v>
      </c>
      <c r="J28" s="315">
        <v>2609698.31</v>
      </c>
      <c r="K28" s="316">
        <v>2138739.31</v>
      </c>
      <c r="L28" s="316"/>
      <c r="M28" s="316"/>
      <c r="N28" s="334"/>
      <c r="O28" s="334"/>
      <c r="P28" s="317"/>
      <c r="Q28" s="317" t="s">
        <v>748</v>
      </c>
      <c r="R28" s="318">
        <v>94200</v>
      </c>
      <c r="S28" s="318">
        <v>94200</v>
      </c>
      <c r="T28" s="318">
        <v>94200</v>
      </c>
      <c r="U28" s="318">
        <v>94200</v>
      </c>
      <c r="V28" s="318">
        <v>94200</v>
      </c>
      <c r="W28" s="318">
        <v>94200</v>
      </c>
      <c r="X28" s="318">
        <v>94200</v>
      </c>
      <c r="Y28" s="318">
        <v>94200</v>
      </c>
      <c r="Z28" s="318">
        <v>94200</v>
      </c>
      <c r="AA28" s="318">
        <v>94200</v>
      </c>
      <c r="AB28" s="318">
        <v>94200</v>
      </c>
      <c r="AC28" s="318">
        <v>94200</v>
      </c>
      <c r="AD28" s="318">
        <v>94200</v>
      </c>
      <c r="AE28" s="318">
        <v>94200</v>
      </c>
      <c r="AF28" s="318">
        <v>94200</v>
      </c>
      <c r="AG28" s="318">
        <v>94200</v>
      </c>
      <c r="AH28" s="318">
        <v>94200</v>
      </c>
      <c r="AI28" s="318">
        <v>94200</v>
      </c>
      <c r="AJ28" s="318">
        <v>94200</v>
      </c>
      <c r="AK28" s="318">
        <v>94200</v>
      </c>
      <c r="AL28" s="318">
        <v>94200</v>
      </c>
      <c r="AM28" s="318">
        <v>94200</v>
      </c>
      <c r="AN28" s="318">
        <v>66339.31</v>
      </c>
      <c r="AO28" s="318">
        <v>0</v>
      </c>
      <c r="AP28" s="318">
        <v>0</v>
      </c>
      <c r="AQ28" s="318">
        <v>0</v>
      </c>
      <c r="AR28" s="318"/>
      <c r="AS28" s="318"/>
      <c r="AT28" s="319">
        <f t="shared" si="0"/>
        <v>2138739.31</v>
      </c>
      <c r="AU28" s="320">
        <f t="shared" si="1"/>
        <v>0</v>
      </c>
      <c r="AV28" s="321">
        <f t="shared" si="3"/>
        <v>1479339.31</v>
      </c>
      <c r="AW28" s="318">
        <f t="shared" si="2"/>
        <v>2138739.31</v>
      </c>
      <c r="AY28" s="322"/>
    </row>
    <row r="29" spans="2:51" outlineLevel="2" x14ac:dyDescent="0.25">
      <c r="B29" s="323" t="s">
        <v>786</v>
      </c>
      <c r="C29" s="324"/>
      <c r="D29" s="325" t="s">
        <v>822</v>
      </c>
      <c r="E29" s="326"/>
      <c r="F29" s="327"/>
      <c r="G29" s="327"/>
      <c r="H29" s="327"/>
      <c r="I29" s="327"/>
      <c r="J29" s="328"/>
      <c r="K29" s="329"/>
      <c r="L29" s="328" t="s">
        <v>823</v>
      </c>
      <c r="M29" s="328"/>
      <c r="N29" s="330">
        <f t="shared" si="4"/>
        <v>2.2999999999999998</v>
      </c>
      <c r="O29" s="330">
        <v>2.2999999999999998</v>
      </c>
      <c r="P29" s="330">
        <f>$P$4</f>
        <v>0</v>
      </c>
      <c r="Q29" s="330" t="s">
        <v>751</v>
      </c>
      <c r="R29" s="331">
        <f>SUM(R28:$AQ28)*$N29/100</f>
        <v>49191.004129999994</v>
      </c>
      <c r="S29" s="331">
        <f>SUM(S28:$AQ28)*$N29/100</f>
        <v>47024.404129999995</v>
      </c>
      <c r="T29" s="331">
        <f>SUM(T28:$AQ28)*$N29/100</f>
        <v>44857.804129999997</v>
      </c>
      <c r="U29" s="331">
        <f>SUM(U28:$AQ28)*$N29/100</f>
        <v>42691.204129999998</v>
      </c>
      <c r="V29" s="331">
        <f>SUM(V28:$AQ28)*$N29/100</f>
        <v>40524.60413</v>
      </c>
      <c r="W29" s="331">
        <f>SUM(W28:$AQ28)*$N29/100</f>
        <v>38358.004129999994</v>
      </c>
      <c r="X29" s="331">
        <f>SUM(X28:$AQ28)*$N29/100</f>
        <v>36191.404129999995</v>
      </c>
      <c r="Y29" s="331">
        <f>SUM(Y28:$AQ28)*$N29/100</f>
        <v>34024.804129999997</v>
      </c>
      <c r="Z29" s="331">
        <f>SUM(Z28:$AQ28)*$N29/100</f>
        <v>31858.204129999998</v>
      </c>
      <c r="AA29" s="331">
        <f>SUM(AA28:$AQ28)*$N29/100</f>
        <v>29691.604129999996</v>
      </c>
      <c r="AB29" s="331">
        <f>SUM(AB28:$AQ28)*$N29/100</f>
        <v>27525.004129999998</v>
      </c>
      <c r="AC29" s="331">
        <f>SUM(AC28:$AQ28)*$N29/100</f>
        <v>25358.404129999995</v>
      </c>
      <c r="AD29" s="331">
        <f>SUM(AD28:$AQ28)*$N29/100</f>
        <v>23191.80413</v>
      </c>
      <c r="AE29" s="331">
        <f>SUM(AE28:$AQ28)*$N29/100</f>
        <v>21025.204130000002</v>
      </c>
      <c r="AF29" s="331">
        <f>SUM(AF28:$AQ28)*$N29/100</f>
        <v>18858.60413</v>
      </c>
      <c r="AG29" s="331">
        <f>SUM(AG28:$AQ28)*$N29/100</f>
        <v>16692.004130000001</v>
      </c>
      <c r="AH29" s="331">
        <f>SUM(AH28:$AQ28)*$N29/100</f>
        <v>14525.404129999999</v>
      </c>
      <c r="AI29" s="331">
        <f>SUM(AI28:$AQ28)*$N29/100</f>
        <v>12358.804129999999</v>
      </c>
      <c r="AJ29" s="331">
        <f>SUM(AJ28:$AQ28)*$N29/100</f>
        <v>10192.20413</v>
      </c>
      <c r="AK29" s="331">
        <f>SUM(AK28:$AQ28)*$N29/100</f>
        <v>8025.6041299999997</v>
      </c>
      <c r="AL29" s="331">
        <f>SUM(AL28:$AQ28)*$N29/100</f>
        <v>5859.0041299999993</v>
      </c>
      <c r="AM29" s="331">
        <f>SUM(AM28:$AQ28)*$N29/100</f>
        <v>3692.4041299999994</v>
      </c>
      <c r="AN29" s="331">
        <f>SUM(AN28:$AQ28)*$N29/100</f>
        <v>1525.8041299999998</v>
      </c>
      <c r="AO29" s="331">
        <v>0</v>
      </c>
      <c r="AP29" s="331">
        <v>0</v>
      </c>
      <c r="AQ29" s="331">
        <v>0</v>
      </c>
      <c r="AR29" s="331"/>
      <c r="AS29" s="331"/>
      <c r="AT29" s="332">
        <f t="shared" si="0"/>
        <v>583243.29498999985</v>
      </c>
      <c r="AU29" s="320">
        <f t="shared" si="1"/>
        <v>0</v>
      </c>
      <c r="AV29" s="333">
        <f t="shared" si="3"/>
        <v>284404.86608000001</v>
      </c>
      <c r="AW29" s="331">
        <f t="shared" si="2"/>
        <v>583243.29498999997</v>
      </c>
      <c r="AY29" s="322"/>
    </row>
    <row r="30" spans="2:51" s="309" customFormat="1" outlineLevel="2" x14ac:dyDescent="0.25">
      <c r="B30" s="310" t="s">
        <v>786</v>
      </c>
      <c r="C30" s="311">
        <v>13</v>
      </c>
      <c r="D30" s="312" t="s">
        <v>824</v>
      </c>
      <c r="E30" s="313" t="s">
        <v>825</v>
      </c>
      <c r="F30" s="314" t="s">
        <v>826</v>
      </c>
      <c r="G30" s="314" t="s">
        <v>820</v>
      </c>
      <c r="H30" s="314" t="s">
        <v>821</v>
      </c>
      <c r="I30" s="314" t="s">
        <v>747</v>
      </c>
      <c r="J30" s="315">
        <v>3496295</v>
      </c>
      <c r="K30" s="316">
        <v>2866409</v>
      </c>
      <c r="L30" s="316"/>
      <c r="M30" s="316"/>
      <c r="N30" s="334"/>
      <c r="O30" s="334"/>
      <c r="P30" s="317"/>
      <c r="Q30" s="317" t="s">
        <v>748</v>
      </c>
      <c r="R30" s="318">
        <v>125996</v>
      </c>
      <c r="S30" s="318">
        <v>125996</v>
      </c>
      <c r="T30" s="318">
        <v>125996</v>
      </c>
      <c r="U30" s="318">
        <v>125996</v>
      </c>
      <c r="V30" s="318">
        <v>125996</v>
      </c>
      <c r="W30" s="318">
        <v>125996</v>
      </c>
      <c r="X30" s="318">
        <v>125996</v>
      </c>
      <c r="Y30" s="318">
        <v>125996</v>
      </c>
      <c r="Z30" s="318">
        <v>125996</v>
      </c>
      <c r="AA30" s="318">
        <v>125996</v>
      </c>
      <c r="AB30" s="318">
        <v>125996</v>
      </c>
      <c r="AC30" s="318">
        <v>125996</v>
      </c>
      <c r="AD30" s="318">
        <v>125996</v>
      </c>
      <c r="AE30" s="318">
        <v>125996</v>
      </c>
      <c r="AF30" s="318">
        <v>125996</v>
      </c>
      <c r="AG30" s="318">
        <v>125996</v>
      </c>
      <c r="AH30" s="318">
        <v>125996</v>
      </c>
      <c r="AI30" s="318">
        <v>125996</v>
      </c>
      <c r="AJ30" s="318">
        <v>125996</v>
      </c>
      <c r="AK30" s="318">
        <v>125996</v>
      </c>
      <c r="AL30" s="318">
        <v>125996</v>
      </c>
      <c r="AM30" s="318">
        <v>125996</v>
      </c>
      <c r="AN30" s="318">
        <v>94497</v>
      </c>
      <c r="AO30" s="318">
        <v>0</v>
      </c>
      <c r="AP30" s="318">
        <v>0</v>
      </c>
      <c r="AQ30" s="318">
        <v>0</v>
      </c>
      <c r="AR30" s="318"/>
      <c r="AS30" s="318"/>
      <c r="AT30" s="319">
        <f t="shared" si="0"/>
        <v>2866409</v>
      </c>
      <c r="AU30" s="320">
        <f t="shared" si="1"/>
        <v>0</v>
      </c>
      <c r="AV30" s="321">
        <f t="shared" si="3"/>
        <v>1984437</v>
      </c>
      <c r="AW30" s="318">
        <f t="shared" si="2"/>
        <v>2866409</v>
      </c>
      <c r="AY30" s="322"/>
    </row>
    <row r="31" spans="2:51" outlineLevel="2" x14ac:dyDescent="0.25">
      <c r="B31" s="323" t="s">
        <v>786</v>
      </c>
      <c r="C31" s="324"/>
      <c r="D31" s="325" t="s">
        <v>827</v>
      </c>
      <c r="E31" s="326"/>
      <c r="F31" s="327"/>
      <c r="G31" s="327"/>
      <c r="H31" s="327"/>
      <c r="I31" s="327"/>
      <c r="J31" s="328"/>
      <c r="K31" s="329"/>
      <c r="L31" s="328" t="s">
        <v>823</v>
      </c>
      <c r="M31" s="328"/>
      <c r="N31" s="330">
        <f t="shared" si="4"/>
        <v>2.4620000000000002</v>
      </c>
      <c r="O31" s="330">
        <v>2.4620000000000002</v>
      </c>
      <c r="P31" s="330">
        <f>$P$4</f>
        <v>0</v>
      </c>
      <c r="Q31" s="330" t="s">
        <v>751</v>
      </c>
      <c r="R31" s="331">
        <f>SUM(R30:$AQ30)*$N31/100</f>
        <v>70570.989580000009</v>
      </c>
      <c r="S31" s="331">
        <f>SUM(S30:$AQ30)*$N31/100</f>
        <v>67468.968060000014</v>
      </c>
      <c r="T31" s="331">
        <f>SUM(T30:$AQ30)*$N31/100</f>
        <v>64366.946540000004</v>
      </c>
      <c r="U31" s="331">
        <f>SUM(U30:$AQ30)*$N31/100</f>
        <v>61264.925020000002</v>
      </c>
      <c r="V31" s="331">
        <f>SUM(V30:$AQ30)*$N31/100</f>
        <v>58162.903500000008</v>
      </c>
      <c r="W31" s="331">
        <f>SUM(W30:$AQ30)*$N31/100</f>
        <v>55060.881980000006</v>
      </c>
      <c r="X31" s="331">
        <f>SUM(X30:$AQ30)*$N31/100</f>
        <v>51958.860460000004</v>
      </c>
      <c r="Y31" s="331">
        <f>SUM(Y30:$AQ30)*$N31/100</f>
        <v>48856.838940000001</v>
      </c>
      <c r="Z31" s="331">
        <f>SUM(Z30:$AQ30)*$N31/100</f>
        <v>45754.817420000007</v>
      </c>
      <c r="AA31" s="331">
        <f>SUM(AA30:$AQ30)*$N31/100</f>
        <v>42652.795900000005</v>
      </c>
      <c r="AB31" s="331">
        <f>SUM(AB30:$AQ30)*$N31/100</f>
        <v>39550.774380000003</v>
      </c>
      <c r="AC31" s="331">
        <f>SUM(AC30:$AQ30)*$N31/100</f>
        <v>36448.752860000001</v>
      </c>
      <c r="AD31" s="331">
        <f>SUM(AD30:$AQ30)*$N31/100</f>
        <v>33346.731339999998</v>
      </c>
      <c r="AE31" s="331">
        <f>SUM(AE30:$AQ30)*$N31/100</f>
        <v>30244.709820000004</v>
      </c>
      <c r="AF31" s="331">
        <f>SUM(AF30:$AQ30)*$N31/100</f>
        <v>27142.688300000002</v>
      </c>
      <c r="AG31" s="331">
        <f>SUM(AG30:$AQ30)*$N31/100</f>
        <v>24040.666780000003</v>
      </c>
      <c r="AH31" s="331">
        <f>SUM(AH30:$AQ30)*$N31/100</f>
        <v>20938.645260000001</v>
      </c>
      <c r="AI31" s="331">
        <f>SUM(AI30:$AQ30)*$N31/100</f>
        <v>17836.623739999999</v>
      </c>
      <c r="AJ31" s="331">
        <f>SUM(AJ30:$AQ30)*$N31/100</f>
        <v>14734.602220000001</v>
      </c>
      <c r="AK31" s="331">
        <f>SUM(AK30:$AQ30)*$N31/100</f>
        <v>11632.5807</v>
      </c>
      <c r="AL31" s="331">
        <f>SUM(AL30:$AQ30)*$N31/100</f>
        <v>8530.5591800000002</v>
      </c>
      <c r="AM31" s="331">
        <f>SUM(AM30:$AQ30)*$N31/100</f>
        <v>5428.5376600000009</v>
      </c>
      <c r="AN31" s="331">
        <f>SUM(AN30:$AQ30)*$N31/100</f>
        <v>2326.5161400000002</v>
      </c>
      <c r="AO31" s="331">
        <v>0</v>
      </c>
      <c r="AP31" s="331">
        <v>0</v>
      </c>
      <c r="AQ31" s="331">
        <v>0</v>
      </c>
      <c r="AR31" s="331"/>
      <c r="AS31" s="331"/>
      <c r="AT31" s="332">
        <f t="shared" si="0"/>
        <v>838321.31578000006</v>
      </c>
      <c r="AU31" s="320">
        <f t="shared" si="1"/>
        <v>0</v>
      </c>
      <c r="AV31" s="333">
        <f t="shared" si="3"/>
        <v>409466.84064000001</v>
      </c>
      <c r="AW31" s="331">
        <f t="shared" si="2"/>
        <v>838321.31578000006</v>
      </c>
      <c r="AY31" s="322"/>
    </row>
    <row r="32" spans="2:51" s="309" customFormat="1" outlineLevel="2" x14ac:dyDescent="0.25">
      <c r="B32" s="310" t="s">
        <v>786</v>
      </c>
      <c r="C32" s="311">
        <v>14</v>
      </c>
      <c r="D32" s="312" t="s">
        <v>794</v>
      </c>
      <c r="E32" s="313" t="s">
        <v>828</v>
      </c>
      <c r="F32" s="314" t="s">
        <v>829</v>
      </c>
      <c r="G32" s="314" t="s">
        <v>830</v>
      </c>
      <c r="H32" s="314" t="s">
        <v>831</v>
      </c>
      <c r="I32" s="314" t="s">
        <v>747</v>
      </c>
      <c r="J32" s="315">
        <v>190122</v>
      </c>
      <c r="K32" s="316">
        <v>124332</v>
      </c>
      <c r="L32" s="316"/>
      <c r="M32" s="316"/>
      <c r="N32" s="334"/>
      <c r="O32" s="334"/>
      <c r="P32" s="317"/>
      <c r="Q32" s="317" t="s">
        <v>748</v>
      </c>
      <c r="R32" s="318">
        <v>9752</v>
      </c>
      <c r="S32" s="318">
        <v>9752</v>
      </c>
      <c r="T32" s="318">
        <v>9752</v>
      </c>
      <c r="U32" s="318">
        <v>9752</v>
      </c>
      <c r="V32" s="318">
        <v>9752</v>
      </c>
      <c r="W32" s="318">
        <v>9752</v>
      </c>
      <c r="X32" s="318">
        <v>9752</v>
      </c>
      <c r="Y32" s="318">
        <v>9752</v>
      </c>
      <c r="Z32" s="318">
        <v>9752</v>
      </c>
      <c r="AA32" s="318">
        <v>9752</v>
      </c>
      <c r="AB32" s="318">
        <v>9752</v>
      </c>
      <c r="AC32" s="318">
        <v>9752</v>
      </c>
      <c r="AD32" s="318">
        <v>7308</v>
      </c>
      <c r="AE32" s="318">
        <v>0</v>
      </c>
      <c r="AF32" s="318">
        <v>0</v>
      </c>
      <c r="AG32" s="318">
        <v>0</v>
      </c>
      <c r="AH32" s="318">
        <v>0</v>
      </c>
      <c r="AI32" s="318">
        <v>0</v>
      </c>
      <c r="AJ32" s="318">
        <v>0</v>
      </c>
      <c r="AK32" s="318">
        <v>0</v>
      </c>
      <c r="AL32" s="318">
        <v>0</v>
      </c>
      <c r="AM32" s="318">
        <v>0</v>
      </c>
      <c r="AN32" s="318">
        <v>0</v>
      </c>
      <c r="AO32" s="318">
        <v>0</v>
      </c>
      <c r="AP32" s="318">
        <v>0</v>
      </c>
      <c r="AQ32" s="318">
        <v>0</v>
      </c>
      <c r="AR32" s="318"/>
      <c r="AS32" s="318"/>
      <c r="AT32" s="319">
        <f t="shared" si="0"/>
        <v>124332</v>
      </c>
      <c r="AU32" s="320">
        <f t="shared" si="1"/>
        <v>0</v>
      </c>
      <c r="AV32" s="321">
        <f t="shared" si="3"/>
        <v>56068</v>
      </c>
      <c r="AW32" s="318">
        <f t="shared" si="2"/>
        <v>124332</v>
      </c>
      <c r="AY32" s="322"/>
    </row>
    <row r="33" spans="2:51" outlineLevel="2" x14ac:dyDescent="0.25">
      <c r="B33" s="323" t="s">
        <v>786</v>
      </c>
      <c r="C33" s="324"/>
      <c r="D33" s="325" t="s">
        <v>832</v>
      </c>
      <c r="E33" s="326"/>
      <c r="F33" s="327"/>
      <c r="G33" s="327"/>
      <c r="H33" s="327"/>
      <c r="I33" s="327"/>
      <c r="J33" s="328"/>
      <c r="K33" s="329"/>
      <c r="L33" s="328" t="s">
        <v>833</v>
      </c>
      <c r="M33" s="328"/>
      <c r="N33" s="330">
        <f t="shared" si="4"/>
        <v>2.4700000000000002</v>
      </c>
      <c r="O33" s="330">
        <v>2.4700000000000002</v>
      </c>
      <c r="P33" s="330">
        <f>$P$4</f>
        <v>0</v>
      </c>
      <c r="Q33" s="330" t="s">
        <v>751</v>
      </c>
      <c r="R33" s="331">
        <f>SUM(R32:$AQ32)*$N33/100</f>
        <v>3071.0004000000004</v>
      </c>
      <c r="S33" s="331">
        <f>SUM(S32:$AQ32)*$N33/100</f>
        <v>2830.1260000000002</v>
      </c>
      <c r="T33" s="331">
        <f>SUM(T32:$AQ32)*$N33/100</f>
        <v>2589.2516000000005</v>
      </c>
      <c r="U33" s="331">
        <f>SUM(U32:$AQ32)*$N33/100</f>
        <v>2348.3772000000004</v>
      </c>
      <c r="V33" s="331">
        <f>SUM(V32:$AQ32)*$N33/100</f>
        <v>2107.5028000000002</v>
      </c>
      <c r="W33" s="331">
        <f>SUM(W32:$AQ32)*$N33/100</f>
        <v>1866.6284000000003</v>
      </c>
      <c r="X33" s="331">
        <f>SUM(X32:$AQ32)*$N33/100</f>
        <v>1625.7540000000001</v>
      </c>
      <c r="Y33" s="331">
        <f>SUM(Y32:$AQ32)*$N33/100</f>
        <v>1384.8796000000002</v>
      </c>
      <c r="Z33" s="331">
        <f>SUM(Z32:$AQ32)*$N33/100</f>
        <v>1144.0052000000001</v>
      </c>
      <c r="AA33" s="331">
        <f>SUM(AA32:$AQ32)*$N33/100</f>
        <v>903.13080000000002</v>
      </c>
      <c r="AB33" s="331">
        <f>SUM(AB32:$AQ32)*$N33/100</f>
        <v>662.25639999999999</v>
      </c>
      <c r="AC33" s="331">
        <f>SUM(AC32:$AQ32)*$N33/100</f>
        <v>421.38200000000006</v>
      </c>
      <c r="AD33" s="331">
        <f>SUM(AD32:$AQ32)*$N33/100</f>
        <v>180.50760000000002</v>
      </c>
      <c r="AE33" s="331">
        <v>0</v>
      </c>
      <c r="AF33" s="331">
        <v>0</v>
      </c>
      <c r="AG33" s="331">
        <v>0</v>
      </c>
      <c r="AH33" s="331">
        <v>0</v>
      </c>
      <c r="AI33" s="331">
        <v>0</v>
      </c>
      <c r="AJ33" s="331">
        <v>0</v>
      </c>
      <c r="AK33" s="331">
        <v>0</v>
      </c>
      <c r="AL33" s="331">
        <v>0</v>
      </c>
      <c r="AM33" s="331">
        <v>0</v>
      </c>
      <c r="AN33" s="331">
        <v>0</v>
      </c>
      <c r="AO33" s="331">
        <v>0</v>
      </c>
      <c r="AP33" s="331">
        <v>0</v>
      </c>
      <c r="AQ33" s="331">
        <v>0</v>
      </c>
      <c r="AR33" s="331"/>
      <c r="AS33" s="331"/>
      <c r="AT33" s="332">
        <f t="shared" si="0"/>
        <v>21134.802</v>
      </c>
      <c r="AU33" s="320">
        <f t="shared" si="1"/>
        <v>0</v>
      </c>
      <c r="AV33" s="333">
        <f t="shared" si="3"/>
        <v>4696.1616000000004</v>
      </c>
      <c r="AW33" s="331">
        <f t="shared" si="2"/>
        <v>21134.802</v>
      </c>
      <c r="AY33" s="322"/>
    </row>
    <row r="34" spans="2:51" s="309" customFormat="1" outlineLevel="2" collapsed="1" x14ac:dyDescent="0.25">
      <c r="B34" s="310" t="s">
        <v>786</v>
      </c>
      <c r="C34" s="311">
        <v>15</v>
      </c>
      <c r="D34" s="312" t="s">
        <v>834</v>
      </c>
      <c r="E34" s="313" t="s">
        <v>835</v>
      </c>
      <c r="F34" s="314" t="s">
        <v>836</v>
      </c>
      <c r="G34" s="314" t="s">
        <v>837</v>
      </c>
      <c r="H34" s="314" t="s">
        <v>831</v>
      </c>
      <c r="I34" s="314" t="s">
        <v>747</v>
      </c>
      <c r="J34" s="315">
        <v>177076.43</v>
      </c>
      <c r="K34" s="316">
        <v>117300</v>
      </c>
      <c r="L34" s="316"/>
      <c r="M34" s="316"/>
      <c r="N34" s="334"/>
      <c r="O34" s="334"/>
      <c r="P34" s="317"/>
      <c r="Q34" s="317" t="s">
        <v>748</v>
      </c>
      <c r="R34" s="318">
        <v>9200</v>
      </c>
      <c r="S34" s="318">
        <v>9200</v>
      </c>
      <c r="T34" s="318">
        <v>9200</v>
      </c>
      <c r="U34" s="318">
        <v>9200</v>
      </c>
      <c r="V34" s="318">
        <v>9200</v>
      </c>
      <c r="W34" s="318">
        <v>9200</v>
      </c>
      <c r="X34" s="318">
        <v>9200</v>
      </c>
      <c r="Y34" s="318">
        <v>9200</v>
      </c>
      <c r="Z34" s="318">
        <v>9200</v>
      </c>
      <c r="AA34" s="318">
        <v>9200</v>
      </c>
      <c r="AB34" s="318">
        <v>9200</v>
      </c>
      <c r="AC34" s="318">
        <v>9200</v>
      </c>
      <c r="AD34" s="318">
        <v>6900</v>
      </c>
      <c r="AE34" s="318">
        <v>0</v>
      </c>
      <c r="AF34" s="318">
        <v>0</v>
      </c>
      <c r="AG34" s="318">
        <v>0</v>
      </c>
      <c r="AH34" s="318">
        <v>0</v>
      </c>
      <c r="AI34" s="318">
        <v>0</v>
      </c>
      <c r="AJ34" s="318">
        <v>0</v>
      </c>
      <c r="AK34" s="318">
        <v>0</v>
      </c>
      <c r="AL34" s="318">
        <v>0</v>
      </c>
      <c r="AM34" s="318">
        <v>0</v>
      </c>
      <c r="AN34" s="318">
        <v>0</v>
      </c>
      <c r="AO34" s="318">
        <v>0</v>
      </c>
      <c r="AP34" s="318">
        <v>0</v>
      </c>
      <c r="AQ34" s="318">
        <v>0</v>
      </c>
      <c r="AR34" s="318"/>
      <c r="AS34" s="318"/>
      <c r="AT34" s="319">
        <f t="shared" si="0"/>
        <v>117300</v>
      </c>
      <c r="AU34" s="320">
        <f t="shared" si="1"/>
        <v>0</v>
      </c>
      <c r="AV34" s="321">
        <f t="shared" si="3"/>
        <v>52900</v>
      </c>
      <c r="AW34" s="318">
        <f t="shared" si="2"/>
        <v>117300</v>
      </c>
      <c r="AY34" s="322"/>
    </row>
    <row r="35" spans="2:51" outlineLevel="2" x14ac:dyDescent="0.25">
      <c r="B35" s="323" t="s">
        <v>786</v>
      </c>
      <c r="C35" s="324"/>
      <c r="D35" s="325" t="s">
        <v>838</v>
      </c>
      <c r="E35" s="326"/>
      <c r="F35" s="327"/>
      <c r="G35" s="327"/>
      <c r="H35" s="327"/>
      <c r="I35" s="327"/>
      <c r="J35" s="328"/>
      <c r="K35" s="329"/>
      <c r="L35" s="328" t="s">
        <v>839</v>
      </c>
      <c r="M35" s="328"/>
      <c r="N35" s="330">
        <f t="shared" si="4"/>
        <v>2.4809999999999999</v>
      </c>
      <c r="O35" s="330">
        <v>2.4809999999999999</v>
      </c>
      <c r="P35" s="330">
        <f>$P$4</f>
        <v>0</v>
      </c>
      <c r="Q35" s="330" t="s">
        <v>751</v>
      </c>
      <c r="R35" s="331">
        <f>SUM(R34:$AQ34)*$N35/100</f>
        <v>2910.2129999999997</v>
      </c>
      <c r="S35" s="331">
        <f>SUM(S34:$AQ34)*$N35/100</f>
        <v>2681.9609999999998</v>
      </c>
      <c r="T35" s="331">
        <f>SUM(T34:$AQ34)*$N35/100</f>
        <v>2453.7089999999998</v>
      </c>
      <c r="U35" s="331">
        <f>SUM(U34:$AQ34)*$N35/100</f>
        <v>2225.4569999999999</v>
      </c>
      <c r="V35" s="331">
        <f>SUM(V34:$AQ34)*$N35/100</f>
        <v>1997.2049999999999</v>
      </c>
      <c r="W35" s="331">
        <f>SUM(W34:$AQ34)*$N35/100</f>
        <v>1768.953</v>
      </c>
      <c r="X35" s="331">
        <f>SUM(X34:$AQ34)*$N35/100</f>
        <v>1540.701</v>
      </c>
      <c r="Y35" s="331">
        <f>SUM(Y34:$AQ34)*$N35/100</f>
        <v>1312.4489999999998</v>
      </c>
      <c r="Z35" s="331">
        <f>SUM(Z34:$AQ34)*$N35/100</f>
        <v>1084.1969999999999</v>
      </c>
      <c r="AA35" s="331">
        <f>SUM(AA34:$AQ34)*$N35/100</f>
        <v>855.94500000000005</v>
      </c>
      <c r="AB35" s="331">
        <f>SUM(AB34:$AQ34)*$N35/100</f>
        <v>627.69299999999998</v>
      </c>
      <c r="AC35" s="331">
        <f>SUM(AC34:$AQ34)*$N35/100</f>
        <v>399.44099999999997</v>
      </c>
      <c r="AD35" s="331">
        <f>SUM(AD34:$AQ34)*$N35/100</f>
        <v>171.18899999999996</v>
      </c>
      <c r="AE35" s="331">
        <v>0</v>
      </c>
      <c r="AF35" s="331">
        <v>0</v>
      </c>
      <c r="AG35" s="331">
        <v>0</v>
      </c>
      <c r="AH35" s="331">
        <v>0</v>
      </c>
      <c r="AI35" s="331">
        <v>0</v>
      </c>
      <c r="AJ35" s="331">
        <v>0</v>
      </c>
      <c r="AK35" s="331">
        <v>0</v>
      </c>
      <c r="AL35" s="331">
        <v>0</v>
      </c>
      <c r="AM35" s="331">
        <v>0</v>
      </c>
      <c r="AN35" s="331">
        <v>0</v>
      </c>
      <c r="AO35" s="331">
        <v>0</v>
      </c>
      <c r="AP35" s="331">
        <v>0</v>
      </c>
      <c r="AQ35" s="331">
        <v>0</v>
      </c>
      <c r="AR35" s="331"/>
      <c r="AS35" s="331"/>
      <c r="AT35" s="332">
        <f t="shared" si="0"/>
        <v>20029.112999999994</v>
      </c>
      <c r="AU35" s="320">
        <f t="shared" si="1"/>
        <v>0</v>
      </c>
      <c r="AV35" s="333">
        <f t="shared" si="3"/>
        <v>4450.9139999999998</v>
      </c>
      <c r="AW35" s="331">
        <f t="shared" si="2"/>
        <v>20029.112999999998</v>
      </c>
      <c r="AY35" s="322"/>
    </row>
    <row r="36" spans="2:51" s="309" customFormat="1" outlineLevel="2" collapsed="1" x14ac:dyDescent="0.25">
      <c r="B36" s="310" t="s">
        <v>741</v>
      </c>
      <c r="C36" s="311">
        <v>16</v>
      </c>
      <c r="D36" s="312" t="s">
        <v>840</v>
      </c>
      <c r="E36" s="313" t="s">
        <v>841</v>
      </c>
      <c r="F36" s="314" t="s">
        <v>842</v>
      </c>
      <c r="G36" s="314" t="s">
        <v>837</v>
      </c>
      <c r="H36" s="314" t="s">
        <v>843</v>
      </c>
      <c r="I36" s="314" t="s">
        <v>747</v>
      </c>
      <c r="J36" s="315">
        <v>1174139.99</v>
      </c>
      <c r="K36" s="316">
        <v>627563.99</v>
      </c>
      <c r="L36" s="316"/>
      <c r="M36" s="316"/>
      <c r="N36" s="334"/>
      <c r="O36" s="334"/>
      <c r="P36" s="317"/>
      <c r="Q36" s="317" t="s">
        <v>748</v>
      </c>
      <c r="R36" s="318">
        <v>80976</v>
      </c>
      <c r="S36" s="318">
        <v>80976</v>
      </c>
      <c r="T36" s="318">
        <v>80976</v>
      </c>
      <c r="U36" s="318">
        <v>80976</v>
      </c>
      <c r="V36" s="318">
        <v>80976</v>
      </c>
      <c r="W36" s="318">
        <v>80976</v>
      </c>
      <c r="X36" s="318">
        <v>80976</v>
      </c>
      <c r="Y36" s="318">
        <v>60731.990000000005</v>
      </c>
      <c r="Z36" s="318">
        <v>0</v>
      </c>
      <c r="AA36" s="318">
        <v>0</v>
      </c>
      <c r="AB36" s="318">
        <v>0</v>
      </c>
      <c r="AC36" s="318">
        <v>0</v>
      </c>
      <c r="AD36" s="318">
        <v>0</v>
      </c>
      <c r="AE36" s="318">
        <v>0</v>
      </c>
      <c r="AF36" s="318">
        <v>0</v>
      </c>
      <c r="AG36" s="318">
        <v>0</v>
      </c>
      <c r="AH36" s="318">
        <v>0</v>
      </c>
      <c r="AI36" s="318">
        <v>0</v>
      </c>
      <c r="AJ36" s="318">
        <v>0</v>
      </c>
      <c r="AK36" s="318">
        <v>0</v>
      </c>
      <c r="AL36" s="318">
        <v>0</v>
      </c>
      <c r="AM36" s="318">
        <v>0</v>
      </c>
      <c r="AN36" s="318">
        <v>0</v>
      </c>
      <c r="AO36" s="318">
        <v>0</v>
      </c>
      <c r="AP36" s="318">
        <v>0</v>
      </c>
      <c r="AQ36" s="318">
        <v>0</v>
      </c>
      <c r="AR36" s="318"/>
      <c r="AS36" s="318"/>
      <c r="AT36" s="319">
        <f t="shared" si="0"/>
        <v>627563.99</v>
      </c>
      <c r="AU36" s="320">
        <f t="shared" si="1"/>
        <v>0</v>
      </c>
      <c r="AV36" s="321">
        <f t="shared" si="3"/>
        <v>60731.990000000005</v>
      </c>
      <c r="AW36" s="318">
        <f t="shared" si="2"/>
        <v>627563.99</v>
      </c>
      <c r="AY36" s="322"/>
    </row>
    <row r="37" spans="2:51" outlineLevel="2" x14ac:dyDescent="0.25">
      <c r="B37" s="323" t="s">
        <v>741</v>
      </c>
      <c r="C37" s="324"/>
      <c r="D37" s="325"/>
      <c r="E37" s="326"/>
      <c r="F37" s="327"/>
      <c r="G37" s="327"/>
      <c r="H37" s="327"/>
      <c r="I37" s="327"/>
      <c r="J37" s="328"/>
      <c r="K37" s="329"/>
      <c r="L37" s="328" t="s">
        <v>844</v>
      </c>
      <c r="M37" s="328"/>
      <c r="N37" s="330">
        <f t="shared" si="4"/>
        <v>2.4830000000000001</v>
      </c>
      <c r="O37" s="330">
        <v>2.4830000000000001</v>
      </c>
      <c r="P37" s="330">
        <f>$P$4</f>
        <v>0</v>
      </c>
      <c r="Q37" s="330" t="s">
        <v>751</v>
      </c>
      <c r="R37" s="331">
        <f>SUM(R36:$AQ36)*$N37/100</f>
        <v>15582.413871700001</v>
      </c>
      <c r="S37" s="331">
        <f>SUM(S36:$AQ36)*$N37/100</f>
        <v>13571.779791699999</v>
      </c>
      <c r="T37" s="331">
        <f>SUM(T36:$AQ36)*$N37/100</f>
        <v>11561.145711700001</v>
      </c>
      <c r="U37" s="331">
        <f>SUM(U36:$AQ36)*$N37/100</f>
        <v>9550.5116316999993</v>
      </c>
      <c r="V37" s="331">
        <f>SUM(V36:$AQ36)*$N37/100</f>
        <v>7539.8775517000004</v>
      </c>
      <c r="W37" s="331">
        <f>SUM(W36:$AQ36)*$N37/100</f>
        <v>5529.2434716999996</v>
      </c>
      <c r="X37" s="331">
        <f>SUM(X36:$AQ36)*$N37/100</f>
        <v>3518.6093916999998</v>
      </c>
      <c r="Y37" s="331">
        <f>SUM(Y36:$AQ36)*$N37/100</f>
        <v>1507.9753117000002</v>
      </c>
      <c r="Z37" s="331">
        <v>0</v>
      </c>
      <c r="AA37" s="331">
        <v>0</v>
      </c>
      <c r="AB37" s="331">
        <v>0</v>
      </c>
      <c r="AC37" s="331">
        <v>0</v>
      </c>
      <c r="AD37" s="331">
        <v>0</v>
      </c>
      <c r="AE37" s="331">
        <v>0</v>
      </c>
      <c r="AF37" s="331">
        <v>0</v>
      </c>
      <c r="AG37" s="331">
        <v>0</v>
      </c>
      <c r="AH37" s="331">
        <v>0</v>
      </c>
      <c r="AI37" s="331">
        <v>0</v>
      </c>
      <c r="AJ37" s="331">
        <v>0</v>
      </c>
      <c r="AK37" s="331">
        <v>0</v>
      </c>
      <c r="AL37" s="331">
        <v>0</v>
      </c>
      <c r="AM37" s="331">
        <v>0</v>
      </c>
      <c r="AN37" s="331">
        <v>0</v>
      </c>
      <c r="AO37" s="331">
        <v>0</v>
      </c>
      <c r="AP37" s="331">
        <v>0</v>
      </c>
      <c r="AQ37" s="331">
        <v>0</v>
      </c>
      <c r="AR37" s="331"/>
      <c r="AS37" s="331"/>
      <c r="AT37" s="332">
        <f t="shared" si="0"/>
        <v>68361.556733600009</v>
      </c>
      <c r="AU37" s="320">
        <f t="shared" si="1"/>
        <v>0</v>
      </c>
      <c r="AV37" s="333">
        <f t="shared" si="3"/>
        <v>1507.9753117000002</v>
      </c>
      <c r="AW37" s="331">
        <f t="shared" si="2"/>
        <v>68361.556733600009</v>
      </c>
      <c r="AY37" s="322"/>
    </row>
    <row r="38" spans="2:51" s="309" customFormat="1" outlineLevel="2" collapsed="1" x14ac:dyDescent="0.25">
      <c r="B38" s="310" t="s">
        <v>741</v>
      </c>
      <c r="C38" s="311">
        <v>17</v>
      </c>
      <c r="D38" s="312" t="s">
        <v>845</v>
      </c>
      <c r="E38" s="313" t="s">
        <v>846</v>
      </c>
      <c r="F38" s="314" t="s">
        <v>847</v>
      </c>
      <c r="G38" s="314" t="s">
        <v>848</v>
      </c>
      <c r="H38" s="314" t="s">
        <v>849</v>
      </c>
      <c r="I38" s="314" t="s">
        <v>747</v>
      </c>
      <c r="J38" s="315">
        <v>388132.51</v>
      </c>
      <c r="K38" s="316">
        <v>107162</v>
      </c>
      <c r="L38" s="316"/>
      <c r="M38" s="316"/>
      <c r="N38" s="334"/>
      <c r="O38" s="334"/>
      <c r="P38" s="317"/>
      <c r="Q38" s="317" t="s">
        <v>748</v>
      </c>
      <c r="R38" s="318">
        <v>38968</v>
      </c>
      <c r="S38" s="318">
        <v>38968</v>
      </c>
      <c r="T38" s="318">
        <v>29226</v>
      </c>
      <c r="U38" s="318">
        <v>0</v>
      </c>
      <c r="V38" s="318">
        <v>0</v>
      </c>
      <c r="W38" s="318">
        <v>0</v>
      </c>
      <c r="X38" s="318">
        <v>0</v>
      </c>
      <c r="Y38" s="318">
        <v>0</v>
      </c>
      <c r="Z38" s="318">
        <v>0</v>
      </c>
      <c r="AA38" s="318">
        <v>0</v>
      </c>
      <c r="AB38" s="318">
        <v>0</v>
      </c>
      <c r="AC38" s="318">
        <v>0</v>
      </c>
      <c r="AD38" s="318">
        <v>0</v>
      </c>
      <c r="AE38" s="318">
        <v>0</v>
      </c>
      <c r="AF38" s="318">
        <v>0</v>
      </c>
      <c r="AG38" s="318">
        <v>0</v>
      </c>
      <c r="AH38" s="318">
        <v>0</v>
      </c>
      <c r="AI38" s="318">
        <v>0</v>
      </c>
      <c r="AJ38" s="318">
        <v>0</v>
      </c>
      <c r="AK38" s="318">
        <v>0</v>
      </c>
      <c r="AL38" s="318">
        <v>0</v>
      </c>
      <c r="AM38" s="318">
        <v>0</v>
      </c>
      <c r="AN38" s="318">
        <v>0</v>
      </c>
      <c r="AO38" s="318">
        <v>0</v>
      </c>
      <c r="AP38" s="318">
        <v>0</v>
      </c>
      <c r="AQ38" s="318">
        <v>0</v>
      </c>
      <c r="AR38" s="318"/>
      <c r="AS38" s="318"/>
      <c r="AT38" s="319">
        <f t="shared" si="0"/>
        <v>107162</v>
      </c>
      <c r="AU38" s="320">
        <f t="shared" si="1"/>
        <v>0</v>
      </c>
      <c r="AV38" s="321">
        <f t="shared" si="3"/>
        <v>0</v>
      </c>
      <c r="AW38" s="318">
        <f t="shared" si="2"/>
        <v>107162</v>
      </c>
      <c r="AY38" s="322"/>
    </row>
    <row r="39" spans="2:51" outlineLevel="2" x14ac:dyDescent="0.25">
      <c r="B39" s="323" t="s">
        <v>741</v>
      </c>
      <c r="C39" s="324"/>
      <c r="D39" s="325"/>
      <c r="E39" s="326"/>
      <c r="F39" s="327"/>
      <c r="G39" s="327"/>
      <c r="H39" s="327"/>
      <c r="I39" s="327"/>
      <c r="J39" s="328"/>
      <c r="K39" s="329"/>
      <c r="L39" s="328" t="s">
        <v>850</v>
      </c>
      <c r="M39" s="328"/>
      <c r="N39" s="330">
        <f t="shared" si="4"/>
        <v>2.5070000000000001</v>
      </c>
      <c r="O39" s="330">
        <v>2.5070000000000001</v>
      </c>
      <c r="P39" s="330">
        <f>$P$4</f>
        <v>0</v>
      </c>
      <c r="Q39" s="330" t="s">
        <v>751</v>
      </c>
      <c r="R39" s="331">
        <f>SUM(R38:$AQ38)*$N39/100</f>
        <v>2686.55134</v>
      </c>
      <c r="S39" s="331">
        <f>SUM(S38:$AQ38)*$N39/100</f>
        <v>1709.6235800000002</v>
      </c>
      <c r="T39" s="331">
        <f>SUM(T38:$AQ38)*$N39/100</f>
        <v>732.69582000000014</v>
      </c>
      <c r="U39" s="331">
        <v>0</v>
      </c>
      <c r="V39" s="331">
        <v>0</v>
      </c>
      <c r="W39" s="331">
        <v>0</v>
      </c>
      <c r="X39" s="331">
        <v>0</v>
      </c>
      <c r="Y39" s="331">
        <v>0</v>
      </c>
      <c r="Z39" s="331">
        <v>0</v>
      </c>
      <c r="AA39" s="331">
        <v>0</v>
      </c>
      <c r="AB39" s="331">
        <v>0</v>
      </c>
      <c r="AC39" s="331">
        <v>0</v>
      </c>
      <c r="AD39" s="331">
        <v>0</v>
      </c>
      <c r="AE39" s="331">
        <v>0</v>
      </c>
      <c r="AF39" s="331">
        <v>0</v>
      </c>
      <c r="AG39" s="331">
        <v>0</v>
      </c>
      <c r="AH39" s="331">
        <v>0</v>
      </c>
      <c r="AI39" s="331">
        <v>0</v>
      </c>
      <c r="AJ39" s="331">
        <v>0</v>
      </c>
      <c r="AK39" s="331">
        <v>0</v>
      </c>
      <c r="AL39" s="331">
        <v>0</v>
      </c>
      <c r="AM39" s="331">
        <v>0</v>
      </c>
      <c r="AN39" s="331">
        <v>0</v>
      </c>
      <c r="AO39" s="331">
        <v>0</v>
      </c>
      <c r="AP39" s="331">
        <v>0</v>
      </c>
      <c r="AQ39" s="331">
        <v>0</v>
      </c>
      <c r="AR39" s="331"/>
      <c r="AS39" s="331"/>
      <c r="AT39" s="332">
        <f t="shared" si="0"/>
        <v>5128.8707400000003</v>
      </c>
      <c r="AU39" s="320">
        <f t="shared" si="1"/>
        <v>0</v>
      </c>
      <c r="AV39" s="333">
        <f t="shared" si="3"/>
        <v>0</v>
      </c>
      <c r="AW39" s="331">
        <f t="shared" si="2"/>
        <v>5128.8707400000003</v>
      </c>
      <c r="AY39" s="322"/>
    </row>
    <row r="40" spans="2:51" s="309" customFormat="1" outlineLevel="2" x14ac:dyDescent="0.25">
      <c r="B40" s="310" t="s">
        <v>786</v>
      </c>
      <c r="C40" s="311">
        <v>18</v>
      </c>
      <c r="D40" s="312" t="s">
        <v>794</v>
      </c>
      <c r="E40" s="313" t="s">
        <v>851</v>
      </c>
      <c r="F40" s="314" t="s">
        <v>852</v>
      </c>
      <c r="G40" s="314" t="s">
        <v>853</v>
      </c>
      <c r="H40" s="314" t="s">
        <v>854</v>
      </c>
      <c r="I40" s="314" t="s">
        <v>747</v>
      </c>
      <c r="J40" s="315">
        <v>160577.24</v>
      </c>
      <c r="K40" s="316">
        <v>107068</v>
      </c>
      <c r="L40" s="316"/>
      <c r="M40" s="316"/>
      <c r="N40" s="334"/>
      <c r="O40" s="334"/>
      <c r="P40" s="317"/>
      <c r="Q40" s="317" t="s">
        <v>748</v>
      </c>
      <c r="R40" s="318">
        <v>8236</v>
      </c>
      <c r="S40" s="318">
        <v>8236</v>
      </c>
      <c r="T40" s="318">
        <v>8236</v>
      </c>
      <c r="U40" s="318">
        <v>8236</v>
      </c>
      <c r="V40" s="318">
        <v>8236</v>
      </c>
      <c r="W40" s="318">
        <v>8236</v>
      </c>
      <c r="X40" s="318">
        <v>8236</v>
      </c>
      <c r="Y40" s="318">
        <v>8236</v>
      </c>
      <c r="Z40" s="318">
        <v>8236</v>
      </c>
      <c r="AA40" s="318">
        <v>8236</v>
      </c>
      <c r="AB40" s="318">
        <v>8236</v>
      </c>
      <c r="AC40" s="318">
        <v>8236</v>
      </c>
      <c r="AD40" s="318">
        <v>8236</v>
      </c>
      <c r="AE40" s="318">
        <v>0</v>
      </c>
      <c r="AF40" s="318">
        <v>0</v>
      </c>
      <c r="AG40" s="318">
        <v>0</v>
      </c>
      <c r="AH40" s="318">
        <v>0</v>
      </c>
      <c r="AI40" s="318">
        <v>0</v>
      </c>
      <c r="AJ40" s="318">
        <v>0</v>
      </c>
      <c r="AK40" s="318">
        <v>0</v>
      </c>
      <c r="AL40" s="318">
        <v>0</v>
      </c>
      <c r="AM40" s="318">
        <v>0</v>
      </c>
      <c r="AN40" s="318">
        <v>0</v>
      </c>
      <c r="AO40" s="318">
        <v>0</v>
      </c>
      <c r="AP40" s="318">
        <v>0</v>
      </c>
      <c r="AQ40" s="318">
        <v>0</v>
      </c>
      <c r="AR40" s="318"/>
      <c r="AS40" s="318"/>
      <c r="AT40" s="319">
        <f t="shared" si="0"/>
        <v>107068</v>
      </c>
      <c r="AU40" s="320">
        <f t="shared" si="1"/>
        <v>0</v>
      </c>
      <c r="AV40" s="321">
        <f t="shared" si="3"/>
        <v>49416</v>
      </c>
      <c r="AW40" s="318">
        <f t="shared" si="2"/>
        <v>107068</v>
      </c>
      <c r="AY40" s="322"/>
    </row>
    <row r="41" spans="2:51" outlineLevel="2" x14ac:dyDescent="0.25">
      <c r="B41" s="323" t="s">
        <v>786</v>
      </c>
      <c r="C41" s="324"/>
      <c r="D41" s="325" t="s">
        <v>855</v>
      </c>
      <c r="E41" s="326"/>
      <c r="F41" s="327"/>
      <c r="G41" s="327"/>
      <c r="H41" s="327"/>
      <c r="I41" s="327"/>
      <c r="J41" s="328"/>
      <c r="K41" s="329"/>
      <c r="L41" s="328" t="s">
        <v>856</v>
      </c>
      <c r="M41" s="328"/>
      <c r="N41" s="330">
        <f t="shared" si="4"/>
        <v>2.484</v>
      </c>
      <c r="O41" s="330">
        <v>2.484</v>
      </c>
      <c r="P41" s="330">
        <f>$P$4</f>
        <v>0</v>
      </c>
      <c r="Q41" s="330" t="s">
        <v>751</v>
      </c>
      <c r="R41" s="331">
        <f>SUM(R40:$AQ40)*$N41/100</f>
        <v>2659.5691200000001</v>
      </c>
      <c r="S41" s="331">
        <f>SUM(S40:$AQ40)*$N41/100</f>
        <v>2454.9868799999999</v>
      </c>
      <c r="T41" s="331">
        <f>SUM(T40:$AQ40)*$N41/100</f>
        <v>2250.4046400000002</v>
      </c>
      <c r="U41" s="331">
        <f>SUM(U40:$AQ40)*$N41/100</f>
        <v>2045.8224</v>
      </c>
      <c r="V41" s="331">
        <f>SUM(V40:$AQ40)*$N41/100</f>
        <v>1841.2401600000001</v>
      </c>
      <c r="W41" s="331">
        <f>SUM(W40:$AQ40)*$N41/100</f>
        <v>1636.6579199999999</v>
      </c>
      <c r="X41" s="331">
        <f>SUM(X40:$AQ40)*$N41/100</f>
        <v>1432.0756799999999</v>
      </c>
      <c r="Y41" s="331">
        <f>SUM(Y40:$AQ40)*$N41/100</f>
        <v>1227.49344</v>
      </c>
      <c r="Z41" s="331">
        <f>SUM(Z40:$AQ40)*$N41/100</f>
        <v>1022.9112</v>
      </c>
      <c r="AA41" s="331">
        <f>SUM(AA40:$AQ40)*$N41/100</f>
        <v>818.32895999999994</v>
      </c>
      <c r="AB41" s="331">
        <f>SUM(AB40:$AQ40)*$N41/100</f>
        <v>613.74671999999998</v>
      </c>
      <c r="AC41" s="331">
        <f>SUM(AC40:$AQ40)*$N41/100</f>
        <v>409.16447999999997</v>
      </c>
      <c r="AD41" s="331">
        <f>SUM(AD40:$AQ40)*$N41/100</f>
        <v>204.58223999999998</v>
      </c>
      <c r="AE41" s="331">
        <v>0</v>
      </c>
      <c r="AF41" s="331">
        <v>0</v>
      </c>
      <c r="AG41" s="331">
        <v>0</v>
      </c>
      <c r="AH41" s="331">
        <v>0</v>
      </c>
      <c r="AI41" s="331">
        <v>0</v>
      </c>
      <c r="AJ41" s="331">
        <v>0</v>
      </c>
      <c r="AK41" s="331">
        <v>0</v>
      </c>
      <c r="AL41" s="331">
        <v>0</v>
      </c>
      <c r="AM41" s="331">
        <v>0</v>
      </c>
      <c r="AN41" s="331">
        <v>0</v>
      </c>
      <c r="AO41" s="331">
        <v>0</v>
      </c>
      <c r="AP41" s="331">
        <v>0</v>
      </c>
      <c r="AQ41" s="331">
        <v>0</v>
      </c>
      <c r="AR41" s="331"/>
      <c r="AS41" s="331"/>
      <c r="AT41" s="332">
        <f t="shared" si="0"/>
        <v>18616.983839999997</v>
      </c>
      <c r="AU41" s="320">
        <f t="shared" si="1"/>
        <v>0</v>
      </c>
      <c r="AV41" s="333">
        <f t="shared" si="3"/>
        <v>4296.2270399999998</v>
      </c>
      <c r="AW41" s="331">
        <f t="shared" si="2"/>
        <v>18616.983840000001</v>
      </c>
      <c r="AY41" s="322"/>
    </row>
    <row r="42" spans="2:51" s="309" customFormat="1" outlineLevel="2" x14ac:dyDescent="0.25">
      <c r="B42" s="310" t="s">
        <v>786</v>
      </c>
      <c r="C42" s="311">
        <v>19</v>
      </c>
      <c r="D42" s="312" t="s">
        <v>857</v>
      </c>
      <c r="E42" s="313" t="s">
        <v>858</v>
      </c>
      <c r="F42" s="314" t="s">
        <v>859</v>
      </c>
      <c r="G42" s="314" t="s">
        <v>860</v>
      </c>
      <c r="H42" s="314" t="s">
        <v>861</v>
      </c>
      <c r="I42" s="314" t="s">
        <v>747</v>
      </c>
      <c r="J42" s="315">
        <v>131127</v>
      </c>
      <c r="K42" s="316">
        <v>87464</v>
      </c>
      <c r="L42" s="316"/>
      <c r="M42" s="316"/>
      <c r="N42" s="334"/>
      <c r="O42" s="334"/>
      <c r="P42" s="317"/>
      <c r="Q42" s="317" t="s">
        <v>748</v>
      </c>
      <c r="R42" s="318">
        <v>6728</v>
      </c>
      <c r="S42" s="318">
        <v>6728</v>
      </c>
      <c r="T42" s="318">
        <v>6728</v>
      </c>
      <c r="U42" s="318">
        <v>6728</v>
      </c>
      <c r="V42" s="318">
        <v>6728</v>
      </c>
      <c r="W42" s="318">
        <v>6728</v>
      </c>
      <c r="X42" s="318">
        <v>6728</v>
      </c>
      <c r="Y42" s="318">
        <v>6728</v>
      </c>
      <c r="Z42" s="318">
        <v>6728</v>
      </c>
      <c r="AA42" s="318">
        <v>6728</v>
      </c>
      <c r="AB42" s="318">
        <v>6728</v>
      </c>
      <c r="AC42" s="318">
        <v>6728</v>
      </c>
      <c r="AD42" s="318">
        <v>6728</v>
      </c>
      <c r="AE42" s="318">
        <v>0</v>
      </c>
      <c r="AF42" s="318">
        <v>0</v>
      </c>
      <c r="AG42" s="318">
        <v>0</v>
      </c>
      <c r="AH42" s="318">
        <v>0</v>
      </c>
      <c r="AI42" s="318">
        <v>0</v>
      </c>
      <c r="AJ42" s="318">
        <v>0</v>
      </c>
      <c r="AK42" s="318">
        <v>0</v>
      </c>
      <c r="AL42" s="318">
        <v>0</v>
      </c>
      <c r="AM42" s="318">
        <v>0</v>
      </c>
      <c r="AN42" s="318">
        <v>0</v>
      </c>
      <c r="AO42" s="318">
        <v>0</v>
      </c>
      <c r="AP42" s="318">
        <v>0</v>
      </c>
      <c r="AQ42" s="318">
        <v>0</v>
      </c>
      <c r="AR42" s="318"/>
      <c r="AS42" s="318"/>
      <c r="AT42" s="319">
        <f t="shared" si="0"/>
        <v>87464</v>
      </c>
      <c r="AU42" s="320">
        <f t="shared" si="1"/>
        <v>0</v>
      </c>
      <c r="AV42" s="321">
        <f t="shared" si="3"/>
        <v>40368</v>
      </c>
      <c r="AW42" s="318">
        <f t="shared" si="2"/>
        <v>87464</v>
      </c>
      <c r="AY42" s="322"/>
    </row>
    <row r="43" spans="2:51" outlineLevel="2" x14ac:dyDescent="0.25">
      <c r="B43" s="323" t="s">
        <v>786</v>
      </c>
      <c r="C43" s="324"/>
      <c r="D43" s="325" t="s">
        <v>862</v>
      </c>
      <c r="E43" s="326"/>
      <c r="F43" s="327"/>
      <c r="G43" s="327"/>
      <c r="H43" s="327"/>
      <c r="I43" s="327"/>
      <c r="J43" s="328"/>
      <c r="K43" s="329"/>
      <c r="L43" s="328" t="s">
        <v>863</v>
      </c>
      <c r="M43" s="328"/>
      <c r="N43" s="330">
        <f t="shared" si="4"/>
        <v>2.4670000000000001</v>
      </c>
      <c r="O43" s="330">
        <v>2.4670000000000001</v>
      </c>
      <c r="P43" s="330">
        <f>$P$4</f>
        <v>0</v>
      </c>
      <c r="Q43" s="330" t="s">
        <v>751</v>
      </c>
      <c r="R43" s="331">
        <f>SUM(R42:$AQ42)*$N43/100</f>
        <v>2157.7368799999999</v>
      </c>
      <c r="S43" s="331">
        <f>SUM(S42:$AQ42)*$N43/100</f>
        <v>1991.75712</v>
      </c>
      <c r="T43" s="331">
        <f>SUM(T42:$AQ42)*$N43/100</f>
        <v>1825.77736</v>
      </c>
      <c r="U43" s="331">
        <f>SUM(U42:$AQ42)*$N43/100</f>
        <v>1659.7976000000001</v>
      </c>
      <c r="V43" s="331">
        <f>SUM(V42:$AQ42)*$N43/100</f>
        <v>1493.8178400000002</v>
      </c>
      <c r="W43" s="331">
        <f>SUM(W42:$AQ42)*$N43/100</f>
        <v>1327.83808</v>
      </c>
      <c r="X43" s="331">
        <f>SUM(X42:$AQ42)*$N43/100</f>
        <v>1161.85832</v>
      </c>
      <c r="Y43" s="331">
        <f>SUM(Y42:$AQ42)*$N43/100</f>
        <v>995.87855999999999</v>
      </c>
      <c r="Z43" s="331">
        <f>SUM(Z42:$AQ42)*$N43/100</f>
        <v>829.89880000000005</v>
      </c>
      <c r="AA43" s="331">
        <f>SUM(AA42:$AQ42)*$N43/100</f>
        <v>663.91904</v>
      </c>
      <c r="AB43" s="331">
        <f>SUM(AB42:$AQ42)*$N43/100</f>
        <v>497.93928</v>
      </c>
      <c r="AC43" s="331">
        <f>SUM(AC42:$AQ42)*$N43/100</f>
        <v>331.95952</v>
      </c>
      <c r="AD43" s="331">
        <f>SUM(AD42:$AQ42)*$N43/100</f>
        <v>165.97976</v>
      </c>
      <c r="AE43" s="331">
        <v>0</v>
      </c>
      <c r="AF43" s="331">
        <v>0</v>
      </c>
      <c r="AG43" s="331">
        <v>0</v>
      </c>
      <c r="AH43" s="331">
        <v>0</v>
      </c>
      <c r="AI43" s="331">
        <v>0</v>
      </c>
      <c r="AJ43" s="331">
        <v>0</v>
      </c>
      <c r="AK43" s="331">
        <v>0</v>
      </c>
      <c r="AL43" s="331">
        <v>0</v>
      </c>
      <c r="AM43" s="331">
        <v>0</v>
      </c>
      <c r="AN43" s="331">
        <v>0</v>
      </c>
      <c r="AO43" s="331">
        <v>0</v>
      </c>
      <c r="AP43" s="331">
        <v>0</v>
      </c>
      <c r="AQ43" s="331">
        <v>0</v>
      </c>
      <c r="AR43" s="331"/>
      <c r="AS43" s="331"/>
      <c r="AT43" s="332">
        <f t="shared" si="0"/>
        <v>15104.158160000001</v>
      </c>
      <c r="AU43" s="320">
        <f t="shared" si="1"/>
        <v>0</v>
      </c>
      <c r="AV43" s="333">
        <f t="shared" si="3"/>
        <v>3485.5749599999999</v>
      </c>
      <c r="AW43" s="331">
        <f t="shared" si="2"/>
        <v>15104.158159999999</v>
      </c>
      <c r="AY43" s="322"/>
    </row>
    <row r="44" spans="2:51" s="309" customFormat="1" outlineLevel="2" x14ac:dyDescent="0.25">
      <c r="B44" s="310" t="s">
        <v>786</v>
      </c>
      <c r="C44" s="311">
        <v>20</v>
      </c>
      <c r="D44" s="312" t="s">
        <v>864</v>
      </c>
      <c r="E44" s="313" t="s">
        <v>865</v>
      </c>
      <c r="F44" s="314" t="s">
        <v>866</v>
      </c>
      <c r="G44" s="314" t="s">
        <v>867</v>
      </c>
      <c r="H44" s="314" t="s">
        <v>868</v>
      </c>
      <c r="I44" s="314" t="s">
        <v>747</v>
      </c>
      <c r="J44" s="315">
        <v>5678344.2000000002</v>
      </c>
      <c r="K44" s="316">
        <v>2273448</v>
      </c>
      <c r="L44" s="316"/>
      <c r="M44" s="316"/>
      <c r="N44" s="334"/>
      <c r="O44" s="334"/>
      <c r="P44" s="317"/>
      <c r="Q44" s="317" t="s">
        <v>748</v>
      </c>
      <c r="R44" s="318">
        <v>344336</v>
      </c>
      <c r="S44" s="318">
        <v>314856</v>
      </c>
      <c r="T44" s="318">
        <v>305080</v>
      </c>
      <c r="U44" s="318">
        <v>279984</v>
      </c>
      <c r="V44" s="318">
        <v>252100</v>
      </c>
      <c r="W44" s="318">
        <v>243352</v>
      </c>
      <c r="X44" s="318">
        <v>243352</v>
      </c>
      <c r="Y44" s="318">
        <v>243352</v>
      </c>
      <c r="Z44" s="318">
        <v>33356</v>
      </c>
      <c r="AA44" s="318">
        <v>13680</v>
      </c>
      <c r="AB44" s="318">
        <v>0</v>
      </c>
      <c r="AC44" s="318">
        <v>0</v>
      </c>
      <c r="AD44" s="318">
        <v>0</v>
      </c>
      <c r="AE44" s="318">
        <v>0</v>
      </c>
      <c r="AF44" s="318">
        <v>0</v>
      </c>
      <c r="AG44" s="318">
        <v>0</v>
      </c>
      <c r="AH44" s="318">
        <v>0</v>
      </c>
      <c r="AI44" s="318">
        <v>0</v>
      </c>
      <c r="AJ44" s="318">
        <v>0</v>
      </c>
      <c r="AK44" s="318">
        <v>0</v>
      </c>
      <c r="AL44" s="318">
        <v>0</v>
      </c>
      <c r="AM44" s="318">
        <v>0</v>
      </c>
      <c r="AN44" s="318">
        <v>0</v>
      </c>
      <c r="AO44" s="318">
        <v>0</v>
      </c>
      <c r="AP44" s="318">
        <v>0</v>
      </c>
      <c r="AQ44" s="318">
        <v>0</v>
      </c>
      <c r="AR44" s="318"/>
      <c r="AS44" s="318"/>
      <c r="AT44" s="319">
        <f t="shared" si="0"/>
        <v>2273448</v>
      </c>
      <c r="AU44" s="320">
        <f t="shared" si="1"/>
        <v>0</v>
      </c>
      <c r="AV44" s="321">
        <f t="shared" si="3"/>
        <v>290388</v>
      </c>
      <c r="AW44" s="318">
        <f t="shared" si="2"/>
        <v>2273448</v>
      </c>
      <c r="AY44" s="322"/>
    </row>
    <row r="45" spans="2:51" outlineLevel="2" x14ac:dyDescent="0.25">
      <c r="B45" s="323" t="s">
        <v>786</v>
      </c>
      <c r="C45" s="324"/>
      <c r="D45" s="325" t="s">
        <v>869</v>
      </c>
      <c r="E45" s="326"/>
      <c r="F45" s="327"/>
      <c r="G45" s="327"/>
      <c r="H45" s="327"/>
      <c r="I45" s="327"/>
      <c r="J45" s="328"/>
      <c r="K45" s="329"/>
      <c r="L45" s="328" t="s">
        <v>870</v>
      </c>
      <c r="M45" s="328"/>
      <c r="N45" s="330">
        <f t="shared" si="4"/>
        <v>2.5499999999999998</v>
      </c>
      <c r="O45" s="330">
        <v>2.5499999999999998</v>
      </c>
      <c r="P45" s="330">
        <f>$P$4</f>
        <v>0</v>
      </c>
      <c r="Q45" s="330" t="s">
        <v>751</v>
      </c>
      <c r="R45" s="331">
        <f>SUM(R44:$AQ44)*$N45/100</f>
        <v>57972.923999999992</v>
      </c>
      <c r="S45" s="331">
        <f>SUM(S44:$AQ44)*$N45/100</f>
        <v>49192.356</v>
      </c>
      <c r="T45" s="331">
        <f>SUM(T44:$AQ44)*$N45/100-2000</f>
        <v>39163.527999999998</v>
      </c>
      <c r="U45" s="331">
        <f>SUM(U44:$AQ44)*$N45/100</f>
        <v>33383.987999999998</v>
      </c>
      <c r="V45" s="331">
        <f>SUM(V44:$AQ44)*$N45/100</f>
        <v>26244.395999999997</v>
      </c>
      <c r="W45" s="331">
        <f>SUM(W44:$AQ44)*$N45/100</f>
        <v>19815.845999999998</v>
      </c>
      <c r="X45" s="331">
        <f>SUM(X44:$AQ44)*$N45/100</f>
        <v>13610.37</v>
      </c>
      <c r="Y45" s="331">
        <f>SUM(Y44:$AQ44)*$N45/100</f>
        <v>7404.8939999999993</v>
      </c>
      <c r="Z45" s="331">
        <f>SUM(Z44:$AQ44)*$N45/100</f>
        <v>1199.4179999999999</v>
      </c>
      <c r="AA45" s="331">
        <f>SUM(AA44:$AQ44)*$N45/100</f>
        <v>348.84</v>
      </c>
      <c r="AB45" s="331">
        <v>0</v>
      </c>
      <c r="AC45" s="331">
        <v>0</v>
      </c>
      <c r="AD45" s="331">
        <v>0</v>
      </c>
      <c r="AE45" s="331">
        <v>0</v>
      </c>
      <c r="AF45" s="331">
        <v>0</v>
      </c>
      <c r="AG45" s="331">
        <v>0</v>
      </c>
      <c r="AH45" s="331">
        <v>0</v>
      </c>
      <c r="AI45" s="331">
        <v>0</v>
      </c>
      <c r="AJ45" s="331">
        <v>0</v>
      </c>
      <c r="AK45" s="331">
        <v>0</v>
      </c>
      <c r="AL45" s="331">
        <v>0</v>
      </c>
      <c r="AM45" s="331">
        <v>0</v>
      </c>
      <c r="AN45" s="331">
        <v>0</v>
      </c>
      <c r="AO45" s="331">
        <v>0</v>
      </c>
      <c r="AP45" s="331">
        <v>0</v>
      </c>
      <c r="AQ45" s="331">
        <v>0</v>
      </c>
      <c r="AR45" s="331"/>
      <c r="AS45" s="331"/>
      <c r="AT45" s="332">
        <f t="shared" si="0"/>
        <v>248336.55999999997</v>
      </c>
      <c r="AU45" s="320">
        <f t="shared" si="1"/>
        <v>0</v>
      </c>
      <c r="AV45" s="333">
        <f t="shared" si="3"/>
        <v>8953.152</v>
      </c>
      <c r="AW45" s="331">
        <f t="shared" si="2"/>
        <v>248336.55999999997</v>
      </c>
      <c r="AY45" s="322"/>
    </row>
    <row r="46" spans="2:51" s="309" customFormat="1" outlineLevel="2" x14ac:dyDescent="0.25">
      <c r="B46" s="310" t="s">
        <v>786</v>
      </c>
      <c r="C46" s="311">
        <v>21</v>
      </c>
      <c r="D46" s="312" t="s">
        <v>871</v>
      </c>
      <c r="E46" s="313" t="s">
        <v>872</v>
      </c>
      <c r="F46" s="314" t="s">
        <v>873</v>
      </c>
      <c r="G46" s="314" t="s">
        <v>874</v>
      </c>
      <c r="H46" s="314" t="s">
        <v>875</v>
      </c>
      <c r="I46" s="314" t="s">
        <v>747</v>
      </c>
      <c r="J46" s="315">
        <v>117517</v>
      </c>
      <c r="K46" s="316">
        <v>6279</v>
      </c>
      <c r="L46" s="316"/>
      <c r="M46" s="316"/>
      <c r="N46" s="334"/>
      <c r="O46" s="334"/>
      <c r="P46" s="317"/>
      <c r="Q46" s="317" t="s">
        <v>748</v>
      </c>
      <c r="R46" s="318">
        <v>1932</v>
      </c>
      <c r="S46" s="318">
        <v>1932</v>
      </c>
      <c r="T46" s="318">
        <v>1932</v>
      </c>
      <c r="U46" s="318">
        <v>483</v>
      </c>
      <c r="V46" s="318">
        <v>0</v>
      </c>
      <c r="W46" s="318">
        <v>0</v>
      </c>
      <c r="X46" s="318">
        <v>0</v>
      </c>
      <c r="Y46" s="318">
        <v>0</v>
      </c>
      <c r="Z46" s="318">
        <v>0</v>
      </c>
      <c r="AA46" s="318">
        <v>0</v>
      </c>
      <c r="AB46" s="318">
        <v>0</v>
      </c>
      <c r="AC46" s="318">
        <v>0</v>
      </c>
      <c r="AD46" s="318">
        <v>0</v>
      </c>
      <c r="AE46" s="318">
        <v>0</v>
      </c>
      <c r="AF46" s="318">
        <v>0</v>
      </c>
      <c r="AG46" s="318">
        <v>0</v>
      </c>
      <c r="AH46" s="318">
        <v>0</v>
      </c>
      <c r="AI46" s="318">
        <v>0</v>
      </c>
      <c r="AJ46" s="318">
        <v>0</v>
      </c>
      <c r="AK46" s="318">
        <v>0</v>
      </c>
      <c r="AL46" s="318">
        <v>0</v>
      </c>
      <c r="AM46" s="318">
        <v>0</v>
      </c>
      <c r="AN46" s="318">
        <v>0</v>
      </c>
      <c r="AO46" s="318">
        <v>0</v>
      </c>
      <c r="AP46" s="318">
        <v>0</v>
      </c>
      <c r="AQ46" s="318">
        <v>0</v>
      </c>
      <c r="AR46" s="318"/>
      <c r="AS46" s="318"/>
      <c r="AT46" s="319">
        <f t="shared" si="0"/>
        <v>6279</v>
      </c>
      <c r="AU46" s="320">
        <f t="shared" si="1"/>
        <v>0</v>
      </c>
      <c r="AV46" s="321">
        <f t="shared" si="3"/>
        <v>0</v>
      </c>
      <c r="AW46" s="318">
        <f t="shared" si="2"/>
        <v>6279</v>
      </c>
      <c r="AY46" s="322"/>
    </row>
    <row r="47" spans="2:51" outlineLevel="2" x14ac:dyDescent="0.25">
      <c r="B47" s="323" t="s">
        <v>786</v>
      </c>
      <c r="C47" s="324"/>
      <c r="D47" s="325" t="s">
        <v>876</v>
      </c>
      <c r="E47" s="326"/>
      <c r="F47" s="327"/>
      <c r="G47" s="327"/>
      <c r="H47" s="327"/>
      <c r="I47" s="327"/>
      <c r="J47" s="328"/>
      <c r="K47" s="329"/>
      <c r="L47" s="328" t="s">
        <v>877</v>
      </c>
      <c r="M47" s="328"/>
      <c r="N47" s="330">
        <f t="shared" si="4"/>
        <v>2.8029999999999999</v>
      </c>
      <c r="O47" s="330">
        <v>2.8029999999999999</v>
      </c>
      <c r="P47" s="330">
        <f>$P$4</f>
        <v>0</v>
      </c>
      <c r="Q47" s="330" t="s">
        <v>751</v>
      </c>
      <c r="R47" s="331">
        <f>SUM(R46:$AQ46)*$N47/100</f>
        <v>176.00037</v>
      </c>
      <c r="S47" s="331">
        <f>SUM(S46:$AQ46)*$N47/100</f>
        <v>121.84640999999999</v>
      </c>
      <c r="T47" s="331">
        <f>SUM(T46:$AQ46)*$N47/100</f>
        <v>67.692449999999994</v>
      </c>
      <c r="U47" s="331">
        <f>SUM(U46:$AQ46)*$N47/100</f>
        <v>13.538489999999999</v>
      </c>
      <c r="V47" s="331">
        <v>0</v>
      </c>
      <c r="W47" s="331">
        <v>0</v>
      </c>
      <c r="X47" s="331">
        <v>0</v>
      </c>
      <c r="Y47" s="331">
        <v>0</v>
      </c>
      <c r="Z47" s="331">
        <v>0</v>
      </c>
      <c r="AA47" s="331">
        <v>0</v>
      </c>
      <c r="AB47" s="331">
        <v>0</v>
      </c>
      <c r="AC47" s="331">
        <v>0</v>
      </c>
      <c r="AD47" s="331">
        <v>0</v>
      </c>
      <c r="AE47" s="331">
        <v>0</v>
      </c>
      <c r="AF47" s="331">
        <v>0</v>
      </c>
      <c r="AG47" s="331">
        <v>0</v>
      </c>
      <c r="AH47" s="331">
        <v>0</v>
      </c>
      <c r="AI47" s="331">
        <v>0</v>
      </c>
      <c r="AJ47" s="331">
        <v>0</v>
      </c>
      <c r="AK47" s="331">
        <v>0</v>
      </c>
      <c r="AL47" s="331">
        <v>0</v>
      </c>
      <c r="AM47" s="331">
        <v>0</v>
      </c>
      <c r="AN47" s="331">
        <v>0</v>
      </c>
      <c r="AO47" s="331">
        <v>0</v>
      </c>
      <c r="AP47" s="331">
        <v>0</v>
      </c>
      <c r="AQ47" s="331">
        <v>0</v>
      </c>
      <c r="AR47" s="331"/>
      <c r="AS47" s="331"/>
      <c r="AT47" s="332">
        <f t="shared" si="0"/>
        <v>379.07772</v>
      </c>
      <c r="AU47" s="320">
        <f t="shared" si="1"/>
        <v>0</v>
      </c>
      <c r="AV47" s="333">
        <f t="shared" si="3"/>
        <v>0</v>
      </c>
      <c r="AW47" s="331">
        <f t="shared" si="2"/>
        <v>379.07772</v>
      </c>
      <c r="AY47" s="322"/>
    </row>
    <row r="48" spans="2:51" s="309" customFormat="1" outlineLevel="2" x14ac:dyDescent="0.25">
      <c r="B48" s="310" t="s">
        <v>786</v>
      </c>
      <c r="C48" s="311">
        <v>22</v>
      </c>
      <c r="D48" s="312" t="s">
        <v>878</v>
      </c>
      <c r="E48" s="313" t="s">
        <v>879</v>
      </c>
      <c r="F48" s="314" t="s">
        <v>880</v>
      </c>
      <c r="G48" s="314" t="s">
        <v>881</v>
      </c>
      <c r="H48" s="314" t="s">
        <v>882</v>
      </c>
      <c r="I48" s="314" t="s">
        <v>747</v>
      </c>
      <c r="J48" s="315">
        <v>2227434</v>
      </c>
      <c r="K48" s="316">
        <v>1655340</v>
      </c>
      <c r="L48" s="316"/>
      <c r="M48" s="316"/>
      <c r="N48" s="334"/>
      <c r="O48" s="334"/>
      <c r="P48" s="317"/>
      <c r="Q48" s="317" t="s">
        <v>748</v>
      </c>
      <c r="R48" s="318">
        <v>70440</v>
      </c>
      <c r="S48" s="318">
        <v>70440</v>
      </c>
      <c r="T48" s="318">
        <v>70440</v>
      </c>
      <c r="U48" s="318">
        <v>70440</v>
      </c>
      <c r="V48" s="318">
        <v>70440</v>
      </c>
      <c r="W48" s="318">
        <v>70440</v>
      </c>
      <c r="X48" s="318">
        <v>70440</v>
      </c>
      <c r="Y48" s="318">
        <v>70440</v>
      </c>
      <c r="Z48" s="318">
        <v>70440</v>
      </c>
      <c r="AA48" s="318">
        <v>70440</v>
      </c>
      <c r="AB48" s="318">
        <v>70440</v>
      </c>
      <c r="AC48" s="318">
        <v>70440</v>
      </c>
      <c r="AD48" s="318">
        <v>70440</v>
      </c>
      <c r="AE48" s="318">
        <v>70440</v>
      </c>
      <c r="AF48" s="318">
        <v>70440</v>
      </c>
      <c r="AG48" s="318">
        <v>70440</v>
      </c>
      <c r="AH48" s="318">
        <v>70440</v>
      </c>
      <c r="AI48" s="318">
        <v>70440</v>
      </c>
      <c r="AJ48" s="318">
        <v>70440</v>
      </c>
      <c r="AK48" s="318">
        <v>70440</v>
      </c>
      <c r="AL48" s="318">
        <v>70440</v>
      </c>
      <c r="AM48" s="318">
        <v>70440</v>
      </c>
      <c r="AN48" s="318">
        <v>70440</v>
      </c>
      <c r="AO48" s="318">
        <v>35220</v>
      </c>
      <c r="AP48" s="318">
        <v>0</v>
      </c>
      <c r="AQ48" s="318">
        <v>0</v>
      </c>
      <c r="AR48" s="318"/>
      <c r="AS48" s="318"/>
      <c r="AT48" s="319">
        <f t="shared" si="0"/>
        <v>1655340</v>
      </c>
      <c r="AU48" s="320">
        <f t="shared" si="1"/>
        <v>0</v>
      </c>
      <c r="AV48" s="321">
        <f t="shared" si="3"/>
        <v>1162260</v>
      </c>
      <c r="AW48" s="318">
        <f t="shared" si="2"/>
        <v>1655340</v>
      </c>
      <c r="AY48" s="322"/>
    </row>
    <row r="49" spans="1:51" outlineLevel="2" x14ac:dyDescent="0.25">
      <c r="B49" s="323" t="s">
        <v>786</v>
      </c>
      <c r="C49" s="324"/>
      <c r="D49" s="325" t="s">
        <v>883</v>
      </c>
      <c r="E49" s="326"/>
      <c r="F49" s="327"/>
      <c r="G49" s="327"/>
      <c r="H49" s="327"/>
      <c r="I49" s="327"/>
      <c r="J49" s="328"/>
      <c r="K49" s="329"/>
      <c r="L49" s="328" t="s">
        <v>884</v>
      </c>
      <c r="M49" s="328"/>
      <c r="N49" s="330">
        <f t="shared" si="4"/>
        <v>2.2999999999999998</v>
      </c>
      <c r="O49" s="330">
        <v>2.2999999999999998</v>
      </c>
      <c r="P49" s="330">
        <f>$P$4</f>
        <v>0</v>
      </c>
      <c r="Q49" s="330" t="s">
        <v>751</v>
      </c>
      <c r="R49" s="331">
        <f>SUM(R48:$AQ48)*$N49/100</f>
        <v>38072.819999999992</v>
      </c>
      <c r="S49" s="331">
        <f>SUM(S48:$AQ48)*$N49/100</f>
        <v>36452.699999999997</v>
      </c>
      <c r="T49" s="331">
        <f>SUM(T48:$AQ48)*$N49/100</f>
        <v>34832.579999999994</v>
      </c>
      <c r="U49" s="331">
        <f>SUM(U48:$AQ48)*$N49/100</f>
        <v>33212.459999999992</v>
      </c>
      <c r="V49" s="331">
        <f>SUM(V48:$AQ48)*$N49/100</f>
        <v>31592.339999999997</v>
      </c>
      <c r="W49" s="331">
        <f>SUM(W48:$AQ48)*$N49/100</f>
        <v>29972.22</v>
      </c>
      <c r="X49" s="331">
        <f>SUM(X48:$AQ48)*$N49/100</f>
        <v>28352.1</v>
      </c>
      <c r="Y49" s="331">
        <f>SUM(Y48:$AQ48)*$N49/100</f>
        <v>26731.98</v>
      </c>
      <c r="Z49" s="331">
        <f>SUM(Z48:$AQ48)*$N49/100</f>
        <v>25111.86</v>
      </c>
      <c r="AA49" s="331">
        <f>SUM(AA48:$AQ48)*$N49/100</f>
        <v>23491.74</v>
      </c>
      <c r="AB49" s="331">
        <f>SUM(AB48:$AQ48)*$N49/100</f>
        <v>21871.62</v>
      </c>
      <c r="AC49" s="331">
        <f>SUM(AC48:$AQ48)*$N49/100</f>
        <v>20251.499999999996</v>
      </c>
      <c r="AD49" s="331">
        <f>SUM(AD48:$AQ48)*$N49/100</f>
        <v>18631.379999999997</v>
      </c>
      <c r="AE49" s="331">
        <f>SUM(AE48:$AQ48)*$N49/100</f>
        <v>17011.259999999998</v>
      </c>
      <c r="AF49" s="331">
        <f>SUM(AF48:$AQ48)*$N49/100</f>
        <v>15391.139999999998</v>
      </c>
      <c r="AG49" s="331">
        <f>SUM(AG48:$AQ48)*$N49/100</f>
        <v>13771.02</v>
      </c>
      <c r="AH49" s="331">
        <f>SUM(AH48:$AQ48)*$N49/100</f>
        <v>12150.9</v>
      </c>
      <c r="AI49" s="331">
        <f>SUM(AI48:$AQ48)*$N49/100</f>
        <v>10530.78</v>
      </c>
      <c r="AJ49" s="331">
        <f>SUM(AJ48:$AQ48)*$N49/100</f>
        <v>8910.659999999998</v>
      </c>
      <c r="AK49" s="331">
        <f>SUM(AK48:$AQ48)*$N49/100</f>
        <v>7290.54</v>
      </c>
      <c r="AL49" s="331">
        <f>SUM(AL48:$AQ48)*$N49/100</f>
        <v>5670.42</v>
      </c>
      <c r="AM49" s="331">
        <f>SUM(AM48:$AQ48)*$N49/100</f>
        <v>4050.2999999999993</v>
      </c>
      <c r="AN49" s="331">
        <f>SUM(AN48:$AQ48)*$N49/100</f>
        <v>2430.1799999999998</v>
      </c>
      <c r="AO49" s="331">
        <f>SUM(AO48:$AQ48)*$N49/100</f>
        <v>810.06</v>
      </c>
      <c r="AP49" s="331">
        <v>0</v>
      </c>
      <c r="AQ49" s="331">
        <v>0</v>
      </c>
      <c r="AR49" s="331"/>
      <c r="AS49" s="331"/>
      <c r="AT49" s="332">
        <f t="shared" si="0"/>
        <v>466594.56</v>
      </c>
      <c r="AU49" s="320">
        <f t="shared" si="1"/>
        <v>0</v>
      </c>
      <c r="AV49" s="333">
        <f t="shared" si="3"/>
        <v>234107.33999999997</v>
      </c>
      <c r="AW49" s="331">
        <f t="shared" si="2"/>
        <v>466594.55999999994</v>
      </c>
      <c r="AY49" s="322"/>
    </row>
    <row r="50" spans="1:51" s="309" customFormat="1" outlineLevel="2" x14ac:dyDescent="0.25">
      <c r="B50" s="310" t="s">
        <v>741</v>
      </c>
      <c r="C50" s="311">
        <v>23</v>
      </c>
      <c r="D50" s="312" t="s">
        <v>885</v>
      </c>
      <c r="E50" s="313" t="s">
        <v>886</v>
      </c>
      <c r="F50" s="314" t="s">
        <v>887</v>
      </c>
      <c r="G50" s="314" t="s">
        <v>888</v>
      </c>
      <c r="H50" s="314" t="s">
        <v>889</v>
      </c>
      <c r="I50" s="314" t="s">
        <v>747</v>
      </c>
      <c r="J50" s="315">
        <v>531484</v>
      </c>
      <c r="K50" s="316">
        <v>320740</v>
      </c>
      <c r="L50" s="316"/>
      <c r="M50" s="316"/>
      <c r="N50" s="334"/>
      <c r="O50" s="334"/>
      <c r="P50" s="317"/>
      <c r="Q50" s="317" t="s">
        <v>748</v>
      </c>
      <c r="R50" s="318">
        <v>36656</v>
      </c>
      <c r="S50" s="318">
        <v>36656</v>
      </c>
      <c r="T50" s="318">
        <v>36656</v>
      </c>
      <c r="U50" s="318">
        <v>36656</v>
      </c>
      <c r="V50" s="318">
        <v>36656</v>
      </c>
      <c r="W50" s="318">
        <v>36656</v>
      </c>
      <c r="X50" s="318">
        <v>36656</v>
      </c>
      <c r="Y50" s="318">
        <v>36656</v>
      </c>
      <c r="Z50" s="318">
        <v>27492</v>
      </c>
      <c r="AA50" s="318">
        <v>0</v>
      </c>
      <c r="AB50" s="318">
        <v>0</v>
      </c>
      <c r="AC50" s="318">
        <v>0</v>
      </c>
      <c r="AD50" s="318">
        <v>0</v>
      </c>
      <c r="AE50" s="318">
        <v>0</v>
      </c>
      <c r="AF50" s="318">
        <v>0</v>
      </c>
      <c r="AG50" s="318">
        <v>0</v>
      </c>
      <c r="AH50" s="318">
        <v>0</v>
      </c>
      <c r="AI50" s="318">
        <v>0</v>
      </c>
      <c r="AJ50" s="318">
        <v>0</v>
      </c>
      <c r="AK50" s="318">
        <v>0</v>
      </c>
      <c r="AL50" s="318">
        <v>0</v>
      </c>
      <c r="AM50" s="318">
        <v>0</v>
      </c>
      <c r="AN50" s="318">
        <v>0</v>
      </c>
      <c r="AO50" s="318">
        <v>0</v>
      </c>
      <c r="AP50" s="318">
        <v>0</v>
      </c>
      <c r="AQ50" s="318">
        <v>0</v>
      </c>
      <c r="AR50" s="318"/>
      <c r="AS50" s="318"/>
      <c r="AT50" s="319">
        <f t="shared" si="0"/>
        <v>320740</v>
      </c>
      <c r="AU50" s="320">
        <f t="shared" si="1"/>
        <v>0</v>
      </c>
      <c r="AV50" s="321">
        <f t="shared" si="3"/>
        <v>64148</v>
      </c>
      <c r="AW50" s="318">
        <f t="shared" si="2"/>
        <v>320740</v>
      </c>
      <c r="AY50" s="322"/>
    </row>
    <row r="51" spans="1:51" outlineLevel="2" x14ac:dyDescent="0.25">
      <c r="B51" s="323" t="s">
        <v>741</v>
      </c>
      <c r="C51" s="324"/>
      <c r="D51" s="325"/>
      <c r="E51" s="326"/>
      <c r="F51" s="327"/>
      <c r="G51" s="327"/>
      <c r="H51" s="327"/>
      <c r="I51" s="327"/>
      <c r="J51" s="328"/>
      <c r="K51" s="329"/>
      <c r="L51" s="328" t="s">
        <v>890</v>
      </c>
      <c r="M51" s="328"/>
      <c r="N51" s="330">
        <f t="shared" si="4"/>
        <v>2.5070000000000001</v>
      </c>
      <c r="O51" s="330">
        <v>2.5070000000000001</v>
      </c>
      <c r="P51" s="330">
        <f>$P$4</f>
        <v>0</v>
      </c>
      <c r="Q51" s="330" t="s">
        <v>751</v>
      </c>
      <c r="R51" s="331">
        <f>SUM(R50:$AQ50)*$N51/100</f>
        <v>8040.9518000000007</v>
      </c>
      <c r="S51" s="331">
        <f>SUM(S50:$AQ50)*$N51/100</f>
        <v>7121.9858800000002</v>
      </c>
      <c r="T51" s="331">
        <f>SUM(T50:$AQ50)*$N51/100</f>
        <v>6203.0199600000005</v>
      </c>
      <c r="U51" s="331">
        <f>SUM(U50:$AQ50)*$N51/100</f>
        <v>5284.05404</v>
      </c>
      <c r="V51" s="331">
        <f>SUM(V50:$AQ50)*$N51/100</f>
        <v>4365.0881200000003</v>
      </c>
      <c r="W51" s="331">
        <f>SUM(W50:$AQ50)*$N51/100</f>
        <v>3446.1222000000002</v>
      </c>
      <c r="X51" s="331">
        <f>SUM(X50:$AQ50)*$N51/100</f>
        <v>2527.1562800000002</v>
      </c>
      <c r="Y51" s="331">
        <f>SUM(Y50:$AQ50)*$N51/100</f>
        <v>1608.1903600000003</v>
      </c>
      <c r="Z51" s="331">
        <f>SUM(Z50:$AQ50)*$N51/100</f>
        <v>689.22444000000007</v>
      </c>
      <c r="AA51" s="331">
        <v>0</v>
      </c>
      <c r="AB51" s="331">
        <v>0</v>
      </c>
      <c r="AC51" s="331">
        <v>0</v>
      </c>
      <c r="AD51" s="331">
        <v>0</v>
      </c>
      <c r="AE51" s="331">
        <v>0</v>
      </c>
      <c r="AF51" s="331">
        <v>0</v>
      </c>
      <c r="AG51" s="331">
        <v>0</v>
      </c>
      <c r="AH51" s="331">
        <v>0</v>
      </c>
      <c r="AI51" s="331">
        <v>0</v>
      </c>
      <c r="AJ51" s="331">
        <v>0</v>
      </c>
      <c r="AK51" s="331">
        <v>0</v>
      </c>
      <c r="AL51" s="331">
        <v>0</v>
      </c>
      <c r="AM51" s="331">
        <v>0</v>
      </c>
      <c r="AN51" s="331">
        <v>0</v>
      </c>
      <c r="AO51" s="331">
        <v>0</v>
      </c>
      <c r="AP51" s="331">
        <v>0</v>
      </c>
      <c r="AQ51" s="331">
        <v>0</v>
      </c>
      <c r="AR51" s="331"/>
      <c r="AS51" s="331"/>
      <c r="AT51" s="332">
        <f t="shared" si="0"/>
        <v>39285.793080000003</v>
      </c>
      <c r="AU51" s="320">
        <f t="shared" si="1"/>
        <v>0</v>
      </c>
      <c r="AV51" s="333">
        <f t="shared" si="3"/>
        <v>2297.4148000000005</v>
      </c>
      <c r="AW51" s="331">
        <f t="shared" si="2"/>
        <v>39285.793080000003</v>
      </c>
      <c r="AY51" s="322"/>
    </row>
    <row r="52" spans="1:51" s="309" customFormat="1" outlineLevel="2" x14ac:dyDescent="0.25">
      <c r="B52" s="310" t="s">
        <v>786</v>
      </c>
      <c r="C52" s="311">
        <v>24</v>
      </c>
      <c r="D52" s="312" t="s">
        <v>891</v>
      </c>
      <c r="E52" s="313" t="s">
        <v>892</v>
      </c>
      <c r="F52" s="314" t="s">
        <v>893</v>
      </c>
      <c r="G52" s="314" t="s">
        <v>894</v>
      </c>
      <c r="H52" s="314" t="s">
        <v>895</v>
      </c>
      <c r="I52" s="314" t="s">
        <v>747</v>
      </c>
      <c r="J52" s="315">
        <v>583938.46</v>
      </c>
      <c r="K52" s="316">
        <v>441952</v>
      </c>
      <c r="L52" s="316"/>
      <c r="M52" s="316"/>
      <c r="N52" s="334"/>
      <c r="O52" s="334"/>
      <c r="P52" s="317"/>
      <c r="Q52" s="317" t="s">
        <v>748</v>
      </c>
      <c r="R52" s="318">
        <v>31568</v>
      </c>
      <c r="S52" s="318">
        <v>31568</v>
      </c>
      <c r="T52" s="318">
        <v>31568</v>
      </c>
      <c r="U52" s="318">
        <v>31568</v>
      </c>
      <c r="V52" s="318">
        <v>31568</v>
      </c>
      <c r="W52" s="318">
        <v>31568</v>
      </c>
      <c r="X52" s="318">
        <v>31568</v>
      </c>
      <c r="Y52" s="318">
        <v>31568</v>
      </c>
      <c r="Z52" s="318">
        <v>31568</v>
      </c>
      <c r="AA52" s="318">
        <v>31568</v>
      </c>
      <c r="AB52" s="318">
        <v>31568</v>
      </c>
      <c r="AC52" s="318">
        <v>31568</v>
      </c>
      <c r="AD52" s="318">
        <v>31568</v>
      </c>
      <c r="AE52" s="318">
        <v>31568</v>
      </c>
      <c r="AF52" s="318">
        <v>0</v>
      </c>
      <c r="AG52" s="318">
        <v>0</v>
      </c>
      <c r="AH52" s="318">
        <v>0</v>
      </c>
      <c r="AI52" s="318">
        <v>0</v>
      </c>
      <c r="AJ52" s="318">
        <v>0</v>
      </c>
      <c r="AK52" s="318">
        <v>0</v>
      </c>
      <c r="AL52" s="318">
        <v>0</v>
      </c>
      <c r="AM52" s="318">
        <v>0</v>
      </c>
      <c r="AN52" s="318">
        <v>0</v>
      </c>
      <c r="AO52" s="318">
        <v>0</v>
      </c>
      <c r="AP52" s="318">
        <v>0</v>
      </c>
      <c r="AQ52" s="318">
        <v>0</v>
      </c>
      <c r="AR52" s="318"/>
      <c r="AS52" s="318"/>
      <c r="AT52" s="319">
        <f t="shared" si="0"/>
        <v>441952</v>
      </c>
      <c r="AU52" s="320">
        <f t="shared" si="1"/>
        <v>0</v>
      </c>
      <c r="AV52" s="321">
        <f t="shared" si="3"/>
        <v>220976</v>
      </c>
      <c r="AW52" s="318">
        <f t="shared" si="2"/>
        <v>441952</v>
      </c>
      <c r="AY52" s="322"/>
    </row>
    <row r="53" spans="1:51" outlineLevel="2" x14ac:dyDescent="0.25">
      <c r="B53" s="323" t="s">
        <v>786</v>
      </c>
      <c r="C53" s="324"/>
      <c r="D53" s="325"/>
      <c r="E53" s="326"/>
      <c r="F53" s="327"/>
      <c r="G53" s="327"/>
      <c r="H53" s="327"/>
      <c r="I53" s="327"/>
      <c r="J53" s="328"/>
      <c r="K53" s="329"/>
      <c r="L53" s="328" t="s">
        <v>896</v>
      </c>
      <c r="M53" s="328"/>
      <c r="N53" s="330">
        <f t="shared" si="4"/>
        <v>2.5169999999999999</v>
      </c>
      <c r="O53" s="330">
        <v>2.5169999999999999</v>
      </c>
      <c r="P53" s="330">
        <f>$P$4</f>
        <v>0</v>
      </c>
      <c r="Q53" s="330" t="s">
        <v>751</v>
      </c>
      <c r="R53" s="331">
        <f>SUM(R52:$AQ52)*$N53/100</f>
        <v>11123.931839999999</v>
      </c>
      <c r="S53" s="331">
        <f>SUM(S52:$AQ52)*$N53/100</f>
        <v>10329.36528</v>
      </c>
      <c r="T53" s="331">
        <f>SUM(T52:$AQ52)*$N53/100</f>
        <v>9534.7987199999989</v>
      </c>
      <c r="U53" s="331">
        <f>SUM(U52:$AQ52)*$N53/100</f>
        <v>8740.2321599999996</v>
      </c>
      <c r="V53" s="331">
        <f>SUM(V52:$AQ52)*$N53/100</f>
        <v>7945.6655999999994</v>
      </c>
      <c r="W53" s="331">
        <f>SUM(W52:$AQ52)*$N53/100</f>
        <v>7151.0990400000001</v>
      </c>
      <c r="X53" s="331">
        <f>SUM(X52:$AQ52)*$N53/100</f>
        <v>6356.5324799999999</v>
      </c>
      <c r="Y53" s="331">
        <f>SUM(Y52:$AQ52)*$N53/100</f>
        <v>5561.9659199999996</v>
      </c>
      <c r="Z53" s="331">
        <f>SUM(Z52:$AQ52)*$N53/100</f>
        <v>4767.3993599999994</v>
      </c>
      <c r="AA53" s="331">
        <f>SUM(AA52:$AQ52)*$N53/100</f>
        <v>3972.8327999999997</v>
      </c>
      <c r="AB53" s="331">
        <f>SUM(AB52:$AQ52)*$N53/100</f>
        <v>3178.2662399999999</v>
      </c>
      <c r="AC53" s="331">
        <f>SUM(AC52:$AQ52)*$N53/100</f>
        <v>2383.6996799999997</v>
      </c>
      <c r="AD53" s="331">
        <f>SUM(AD52:$AQ52)*$N53/100</f>
        <v>1589.13312</v>
      </c>
      <c r="AE53" s="331">
        <f>SUM(AE52:$AQ52)*$N53/100</f>
        <v>794.56655999999998</v>
      </c>
      <c r="AF53" s="331">
        <v>0</v>
      </c>
      <c r="AG53" s="331">
        <v>0</v>
      </c>
      <c r="AH53" s="331">
        <v>0</v>
      </c>
      <c r="AI53" s="331">
        <v>0</v>
      </c>
      <c r="AJ53" s="331">
        <v>0</v>
      </c>
      <c r="AK53" s="331">
        <v>0</v>
      </c>
      <c r="AL53" s="331">
        <v>0</v>
      </c>
      <c r="AM53" s="331">
        <v>0</v>
      </c>
      <c r="AN53" s="331">
        <v>0</v>
      </c>
      <c r="AO53" s="331">
        <v>0</v>
      </c>
      <c r="AP53" s="331">
        <v>0</v>
      </c>
      <c r="AQ53" s="331">
        <v>0</v>
      </c>
      <c r="AR53" s="331"/>
      <c r="AS53" s="331"/>
      <c r="AT53" s="332">
        <f t="shared" si="0"/>
        <v>83429.488800000006</v>
      </c>
      <c r="AU53" s="320">
        <f t="shared" si="1"/>
        <v>0</v>
      </c>
      <c r="AV53" s="333">
        <f t="shared" si="3"/>
        <v>22247.863679999995</v>
      </c>
      <c r="AW53" s="331">
        <f t="shared" si="2"/>
        <v>83429.488799999992</v>
      </c>
      <c r="AY53" s="322"/>
    </row>
    <row r="54" spans="1:51" s="309" customFormat="1" outlineLevel="2" x14ac:dyDescent="0.25">
      <c r="B54" s="310" t="s">
        <v>741</v>
      </c>
      <c r="C54" s="311">
        <v>25</v>
      </c>
      <c r="D54" s="312" t="s">
        <v>897</v>
      </c>
      <c r="E54" s="313" t="s">
        <v>898</v>
      </c>
      <c r="F54" s="314" t="s">
        <v>899</v>
      </c>
      <c r="G54" s="314" t="s">
        <v>900</v>
      </c>
      <c r="H54" s="314" t="s">
        <v>901</v>
      </c>
      <c r="I54" s="314" t="s">
        <v>747</v>
      </c>
      <c r="J54" s="315">
        <v>2556845.52</v>
      </c>
      <c r="K54" s="316">
        <v>2147587.52</v>
      </c>
      <c r="L54" s="316"/>
      <c r="M54" s="316"/>
      <c r="N54" s="334"/>
      <c r="O54" s="334"/>
      <c r="P54" s="317"/>
      <c r="Q54" s="317" t="s">
        <v>748</v>
      </c>
      <c r="R54" s="318">
        <v>96316</v>
      </c>
      <c r="S54" s="318">
        <v>96316</v>
      </c>
      <c r="T54" s="318">
        <v>96316</v>
      </c>
      <c r="U54" s="318">
        <v>96316</v>
      </c>
      <c r="V54" s="318">
        <v>96316</v>
      </c>
      <c r="W54" s="318">
        <v>96316</v>
      </c>
      <c r="X54" s="318">
        <v>96316</v>
      </c>
      <c r="Y54" s="318">
        <v>96316</v>
      </c>
      <c r="Z54" s="318">
        <v>96316</v>
      </c>
      <c r="AA54" s="318">
        <v>96316</v>
      </c>
      <c r="AB54" s="318">
        <v>96316</v>
      </c>
      <c r="AC54" s="318">
        <v>96316</v>
      </c>
      <c r="AD54" s="318">
        <v>96316</v>
      </c>
      <c r="AE54" s="318">
        <v>96316</v>
      </c>
      <c r="AF54" s="318">
        <v>96316</v>
      </c>
      <c r="AG54" s="318">
        <v>96316</v>
      </c>
      <c r="AH54" s="318">
        <v>96316</v>
      </c>
      <c r="AI54" s="318">
        <v>96316</v>
      </c>
      <c r="AJ54" s="318">
        <v>96316</v>
      </c>
      <c r="AK54" s="318">
        <v>96316</v>
      </c>
      <c r="AL54" s="318">
        <v>96316</v>
      </c>
      <c r="AM54" s="318">
        <v>96316</v>
      </c>
      <c r="AN54" s="318">
        <v>28635.52</v>
      </c>
      <c r="AO54" s="318">
        <v>0</v>
      </c>
      <c r="AP54" s="318">
        <v>0</v>
      </c>
      <c r="AQ54" s="318">
        <v>0</v>
      </c>
      <c r="AR54" s="318"/>
      <c r="AS54" s="318"/>
      <c r="AT54" s="319">
        <f t="shared" si="0"/>
        <v>2147587.52</v>
      </c>
      <c r="AU54" s="320">
        <f t="shared" si="1"/>
        <v>0</v>
      </c>
      <c r="AV54" s="321">
        <f t="shared" si="3"/>
        <v>1473375.52</v>
      </c>
      <c r="AW54" s="318">
        <f t="shared" si="2"/>
        <v>2147587.52</v>
      </c>
      <c r="AY54" s="322"/>
    </row>
    <row r="55" spans="1:51" outlineLevel="2" x14ac:dyDescent="0.25">
      <c r="B55" s="323" t="s">
        <v>741</v>
      </c>
      <c r="C55" s="324"/>
      <c r="D55" s="325"/>
      <c r="E55" s="326"/>
      <c r="F55" s="327"/>
      <c r="G55" s="327"/>
      <c r="H55" s="327"/>
      <c r="I55" s="327"/>
      <c r="J55" s="328"/>
      <c r="K55" s="329"/>
      <c r="L55" s="328" t="s">
        <v>902</v>
      </c>
      <c r="M55" s="328"/>
      <c r="N55" s="330">
        <f t="shared" si="4"/>
        <v>4.2089999999999996</v>
      </c>
      <c r="O55" s="330">
        <v>4.2089999999999996</v>
      </c>
      <c r="P55" s="330">
        <f>$P$4</f>
        <v>0</v>
      </c>
      <c r="Q55" s="330" t="s">
        <v>751</v>
      </c>
      <c r="R55" s="331">
        <f>SUM(R54:$AQ54)*$N55/100</f>
        <v>90391.958716799985</v>
      </c>
      <c r="S55" s="331">
        <f>SUM(S54:$AQ54)*$N55/100</f>
        <v>86338.018276799994</v>
      </c>
      <c r="T55" s="331">
        <f>SUM(T54:$AQ54)*$N55/100-3000</f>
        <v>79284.077836799988</v>
      </c>
      <c r="U55" s="331">
        <f>SUM(U54:$AQ54)*$N55/100</f>
        <v>78230.137396799997</v>
      </c>
      <c r="V55" s="331">
        <f>SUM(V54:$AQ54)*$N55/100</f>
        <v>74176.196956800006</v>
      </c>
      <c r="W55" s="331">
        <f>SUM(W54:$AQ54)*$N55/100</f>
        <v>70122.256516799986</v>
      </c>
      <c r="X55" s="331">
        <f>SUM(X54:$AQ54)*$N55/100</f>
        <v>66068.316076799994</v>
      </c>
      <c r="Y55" s="331">
        <f>SUM(Y54:$AQ54)*$N55/100</f>
        <v>62014.375636799996</v>
      </c>
      <c r="Z55" s="331">
        <f>SUM(Z54:$AQ54)*$N55/100</f>
        <v>57960.435196799997</v>
      </c>
      <c r="AA55" s="331">
        <f>SUM(AA54:$AQ54)*$N55/100</f>
        <v>53906.494756799992</v>
      </c>
      <c r="AB55" s="331">
        <f>SUM(AB54:$AQ54)*$N55/100</f>
        <v>49852.554316799993</v>
      </c>
      <c r="AC55" s="331">
        <f>SUM(AC54:$AQ54)*$N55/100</f>
        <v>45798.613876799995</v>
      </c>
      <c r="AD55" s="331">
        <f>SUM(AD54:$AQ54)*$N55/100</f>
        <v>41744.673436799996</v>
      </c>
      <c r="AE55" s="331">
        <f>SUM(AE54:$AQ54)*$N55/100</f>
        <v>37690.732996799998</v>
      </c>
      <c r="AF55" s="331">
        <f>SUM(AF54:$AQ54)*$N55/100</f>
        <v>33636.792556799999</v>
      </c>
      <c r="AG55" s="331">
        <f>SUM(AG54:$AQ54)*$N55/100</f>
        <v>29582.852116799997</v>
      </c>
      <c r="AH55" s="331">
        <f>SUM(AH54:$AQ54)*$N55/100</f>
        <v>25528.911676799999</v>
      </c>
      <c r="AI55" s="331">
        <f>SUM(AI54:$AQ54)*$N55/100</f>
        <v>21474.971236799996</v>
      </c>
      <c r="AJ55" s="331">
        <f>SUM(AJ54:$AQ54)*$N55/100</f>
        <v>17421.030796799998</v>
      </c>
      <c r="AK55" s="331">
        <f>SUM(AK54:$AQ54)*$N55/100</f>
        <v>13367.090356799999</v>
      </c>
      <c r="AL55" s="331">
        <f>SUM(AL54:$AQ54)*$N55/100</f>
        <v>9313.1499167999991</v>
      </c>
      <c r="AM55" s="331">
        <f>SUM(AM54:$AQ54)*$N55/100</f>
        <v>5259.2094767999997</v>
      </c>
      <c r="AN55" s="331">
        <f>SUM(AN54:$AQ54)*$N55/100</f>
        <v>1205.2690367999999</v>
      </c>
      <c r="AO55" s="331">
        <v>0</v>
      </c>
      <c r="AP55" s="331">
        <v>0</v>
      </c>
      <c r="AQ55" s="331">
        <v>0</v>
      </c>
      <c r="AR55" s="331"/>
      <c r="AS55" s="331"/>
      <c r="AT55" s="332">
        <f t="shared" si="0"/>
        <v>1050368.1191663998</v>
      </c>
      <c r="AU55" s="320">
        <f t="shared" si="1"/>
        <v>0</v>
      </c>
      <c r="AV55" s="333">
        <f t="shared" si="3"/>
        <v>505757.1573888</v>
      </c>
      <c r="AW55" s="331">
        <f t="shared" si="2"/>
        <v>1050368.1191664001</v>
      </c>
      <c r="AY55" s="322"/>
    </row>
    <row r="56" spans="1:51" s="309" customFormat="1" outlineLevel="2" x14ac:dyDescent="0.25">
      <c r="B56" s="310" t="s">
        <v>741</v>
      </c>
      <c r="C56" s="311">
        <v>26</v>
      </c>
      <c r="D56" s="312" t="s">
        <v>903</v>
      </c>
      <c r="E56" s="313" t="s">
        <v>904</v>
      </c>
      <c r="F56" s="314" t="s">
        <v>905</v>
      </c>
      <c r="G56" s="314" t="s">
        <v>906</v>
      </c>
      <c r="H56" s="314" t="s">
        <v>907</v>
      </c>
      <c r="I56" s="314" t="s">
        <v>747</v>
      </c>
      <c r="J56" s="315">
        <v>1410783</v>
      </c>
      <c r="K56" s="316">
        <v>838698</v>
      </c>
      <c r="L56" s="316"/>
      <c r="M56" s="316"/>
      <c r="N56" s="334"/>
      <c r="O56" s="334"/>
      <c r="P56" s="317"/>
      <c r="Q56" s="317" t="s">
        <v>748</v>
      </c>
      <c r="R56" s="318">
        <v>88284</v>
      </c>
      <c r="S56" s="318">
        <v>88284</v>
      </c>
      <c r="T56" s="318">
        <v>88284</v>
      </c>
      <c r="U56" s="318">
        <v>88284</v>
      </c>
      <c r="V56" s="318">
        <v>88284</v>
      </c>
      <c r="W56" s="318">
        <v>88284</v>
      </c>
      <c r="X56" s="318">
        <v>88284</v>
      </c>
      <c r="Y56" s="318">
        <v>88284</v>
      </c>
      <c r="Z56" s="318">
        <v>88284</v>
      </c>
      <c r="AA56" s="318">
        <v>44142</v>
      </c>
      <c r="AB56" s="318">
        <v>0</v>
      </c>
      <c r="AC56" s="318">
        <v>0</v>
      </c>
      <c r="AD56" s="318">
        <v>0</v>
      </c>
      <c r="AE56" s="318">
        <v>0</v>
      </c>
      <c r="AF56" s="318">
        <v>0</v>
      </c>
      <c r="AG56" s="318">
        <v>0</v>
      </c>
      <c r="AH56" s="318">
        <v>0</v>
      </c>
      <c r="AI56" s="318">
        <v>0</v>
      </c>
      <c r="AJ56" s="318">
        <v>0</v>
      </c>
      <c r="AK56" s="318">
        <v>0</v>
      </c>
      <c r="AL56" s="318">
        <v>0</v>
      </c>
      <c r="AM56" s="318">
        <v>0</v>
      </c>
      <c r="AN56" s="318">
        <v>0</v>
      </c>
      <c r="AO56" s="318">
        <v>0</v>
      </c>
      <c r="AP56" s="318">
        <v>0</v>
      </c>
      <c r="AQ56" s="318">
        <v>0</v>
      </c>
      <c r="AR56" s="318"/>
      <c r="AS56" s="318"/>
      <c r="AT56" s="319">
        <f t="shared" si="0"/>
        <v>838698</v>
      </c>
      <c r="AU56" s="320">
        <f t="shared" si="1"/>
        <v>0</v>
      </c>
      <c r="AV56" s="321">
        <f t="shared" si="3"/>
        <v>220710</v>
      </c>
      <c r="AW56" s="318">
        <f t="shared" si="2"/>
        <v>838698</v>
      </c>
      <c r="AY56" s="322"/>
    </row>
    <row r="57" spans="1:51" outlineLevel="2" x14ac:dyDescent="0.25">
      <c r="B57" s="323" t="s">
        <v>741</v>
      </c>
      <c r="C57" s="324"/>
      <c r="D57" s="325"/>
      <c r="E57" s="326"/>
      <c r="F57" s="327"/>
      <c r="G57" s="327"/>
      <c r="H57" s="327"/>
      <c r="I57" s="327"/>
      <c r="J57" s="328"/>
      <c r="K57" s="329"/>
      <c r="L57" s="328" t="s">
        <v>908</v>
      </c>
      <c r="M57" s="328"/>
      <c r="N57" s="330">
        <f t="shared" si="4"/>
        <v>2.8119999999999998</v>
      </c>
      <c r="O57" s="330">
        <v>2.8119999999999998</v>
      </c>
      <c r="P57" s="330">
        <f>$P$4</f>
        <v>0</v>
      </c>
      <c r="Q57" s="330" t="s">
        <v>751</v>
      </c>
      <c r="R57" s="331">
        <f>SUM(R56:$AQ56)*$N57/100</f>
        <v>23584.187760000001</v>
      </c>
      <c r="S57" s="331">
        <f>SUM(S56:$AQ56)*$N57/100</f>
        <v>21101.641680000001</v>
      </c>
      <c r="T57" s="331">
        <f>SUM(T56:$AQ56)*$N57/100</f>
        <v>18619.095599999997</v>
      </c>
      <c r="U57" s="331">
        <f>SUM(U56:$AQ56)*$N57/100</f>
        <v>16136.549519999999</v>
      </c>
      <c r="V57" s="331">
        <f>SUM(V56:$AQ56)*$N57/100</f>
        <v>13654.003439999999</v>
      </c>
      <c r="W57" s="331">
        <f>SUM(W56:$AQ56)*$N57/100</f>
        <v>11171.45736</v>
      </c>
      <c r="X57" s="331">
        <f>SUM(X56:$AQ56)*$N57/100</f>
        <v>8688.9112799999984</v>
      </c>
      <c r="Y57" s="331">
        <f>SUM(Y56:$AQ56)*$N57/100</f>
        <v>6206.3652000000002</v>
      </c>
      <c r="Z57" s="331">
        <f>SUM(Z56:$AQ56)*$N57/100</f>
        <v>3723.8191199999997</v>
      </c>
      <c r="AA57" s="331">
        <f>SUM(AA56:$AQ56)*$N57/100</f>
        <v>1241.2730399999998</v>
      </c>
      <c r="AB57" s="331">
        <v>0</v>
      </c>
      <c r="AC57" s="331">
        <v>0</v>
      </c>
      <c r="AD57" s="331">
        <v>0</v>
      </c>
      <c r="AE57" s="331">
        <v>0</v>
      </c>
      <c r="AF57" s="331">
        <v>0</v>
      </c>
      <c r="AG57" s="331">
        <v>0</v>
      </c>
      <c r="AH57" s="331">
        <v>0</v>
      </c>
      <c r="AI57" s="331">
        <v>0</v>
      </c>
      <c r="AJ57" s="331">
        <v>0</v>
      </c>
      <c r="AK57" s="331">
        <v>0</v>
      </c>
      <c r="AL57" s="331">
        <v>0</v>
      </c>
      <c r="AM57" s="331">
        <v>0</v>
      </c>
      <c r="AN57" s="331">
        <v>0</v>
      </c>
      <c r="AO57" s="331">
        <v>0</v>
      </c>
      <c r="AP57" s="331">
        <v>0</v>
      </c>
      <c r="AQ57" s="331">
        <v>0</v>
      </c>
      <c r="AR57" s="331"/>
      <c r="AS57" s="331"/>
      <c r="AT57" s="332">
        <f t="shared" si="0"/>
        <v>124127.304</v>
      </c>
      <c r="AU57" s="320">
        <f t="shared" si="1"/>
        <v>0</v>
      </c>
      <c r="AV57" s="333">
        <f t="shared" si="3"/>
        <v>11171.45736</v>
      </c>
      <c r="AW57" s="331">
        <f t="shared" si="2"/>
        <v>124127.304</v>
      </c>
      <c r="AY57" s="322"/>
    </row>
    <row r="58" spans="1:51" s="309" customFormat="1" outlineLevel="2" x14ac:dyDescent="0.25">
      <c r="A58" s="309" t="s">
        <v>758</v>
      </c>
      <c r="B58" s="310" t="s">
        <v>786</v>
      </c>
      <c r="C58" s="311">
        <v>27</v>
      </c>
      <c r="D58" s="312" t="s">
        <v>909</v>
      </c>
      <c r="E58" s="313" t="s">
        <v>910</v>
      </c>
      <c r="F58" s="314" t="s">
        <v>911</v>
      </c>
      <c r="G58" s="314" t="s">
        <v>912</v>
      </c>
      <c r="H58" s="314" t="s">
        <v>913</v>
      </c>
      <c r="I58" s="314" t="s">
        <v>747</v>
      </c>
      <c r="J58" s="315">
        <v>824810</v>
      </c>
      <c r="K58" s="316">
        <v>735669</v>
      </c>
      <c r="L58" s="316"/>
      <c r="M58" s="316"/>
      <c r="N58" s="334"/>
      <c r="O58" s="334"/>
      <c r="P58" s="317"/>
      <c r="Q58" s="317" t="s">
        <v>748</v>
      </c>
      <c r="R58" s="318">
        <v>29724</v>
      </c>
      <c r="S58" s="318">
        <v>29724</v>
      </c>
      <c r="T58" s="318">
        <v>29724</v>
      </c>
      <c r="U58" s="318">
        <v>29724</v>
      </c>
      <c r="V58" s="318">
        <v>29724</v>
      </c>
      <c r="W58" s="318">
        <v>29724</v>
      </c>
      <c r="X58" s="318">
        <v>29724</v>
      </c>
      <c r="Y58" s="318">
        <v>29724</v>
      </c>
      <c r="Z58" s="318">
        <v>29724</v>
      </c>
      <c r="AA58" s="318">
        <v>29724</v>
      </c>
      <c r="AB58" s="318">
        <v>29724</v>
      </c>
      <c r="AC58" s="318">
        <v>29724</v>
      </c>
      <c r="AD58" s="318">
        <v>29724</v>
      </c>
      <c r="AE58" s="318">
        <v>29724</v>
      </c>
      <c r="AF58" s="318">
        <v>29724</v>
      </c>
      <c r="AG58" s="318">
        <v>29724</v>
      </c>
      <c r="AH58" s="318">
        <v>29724</v>
      </c>
      <c r="AI58" s="318">
        <v>29724</v>
      </c>
      <c r="AJ58" s="318">
        <v>29724</v>
      </c>
      <c r="AK58" s="318">
        <v>29724</v>
      </c>
      <c r="AL58" s="318">
        <v>29724</v>
      </c>
      <c r="AM58" s="318">
        <v>29724</v>
      </c>
      <c r="AN58" s="318">
        <v>29724</v>
      </c>
      <c r="AO58" s="318">
        <v>29724</v>
      </c>
      <c r="AP58" s="318">
        <v>22293</v>
      </c>
      <c r="AQ58" s="318">
        <v>0</v>
      </c>
      <c r="AR58" s="318"/>
      <c r="AS58" s="318"/>
      <c r="AT58" s="319">
        <f t="shared" si="0"/>
        <v>735669</v>
      </c>
      <c r="AU58" s="320">
        <f t="shared" si="1"/>
        <v>0</v>
      </c>
      <c r="AV58" s="321">
        <f t="shared" si="3"/>
        <v>527601</v>
      </c>
      <c r="AW58" s="318">
        <f t="shared" si="2"/>
        <v>735669</v>
      </c>
      <c r="AY58" s="322"/>
    </row>
    <row r="59" spans="1:51" outlineLevel="2" x14ac:dyDescent="0.25">
      <c r="A59" s="309" t="s">
        <v>758</v>
      </c>
      <c r="B59" s="323" t="s">
        <v>786</v>
      </c>
      <c r="C59" s="324"/>
      <c r="D59" s="325" t="s">
        <v>914</v>
      </c>
      <c r="E59" s="326"/>
      <c r="F59" s="327"/>
      <c r="G59" s="327"/>
      <c r="H59" s="327"/>
      <c r="I59" s="327"/>
      <c r="J59" s="328"/>
      <c r="K59" s="329"/>
      <c r="L59" s="328" t="s">
        <v>915</v>
      </c>
      <c r="M59" s="328"/>
      <c r="N59" s="330">
        <f t="shared" si="4"/>
        <v>3.1080000000000001</v>
      </c>
      <c r="O59" s="330">
        <v>3.1080000000000001</v>
      </c>
      <c r="P59" s="330">
        <f>$P$4</f>
        <v>0</v>
      </c>
      <c r="Q59" s="330" t="s">
        <v>751</v>
      </c>
      <c r="R59" s="331">
        <f>SUM(R58:$AQ58)*$N59/100</f>
        <v>22864.592519999998</v>
      </c>
      <c r="S59" s="331">
        <f>SUM(S58:$AQ58)*$N59/100</f>
        <v>21940.7706</v>
      </c>
      <c r="T59" s="331">
        <f>SUM(T58:$AQ58)*$N59/100</f>
        <v>21016.948680000001</v>
      </c>
      <c r="U59" s="331">
        <f>SUM(U58:$AQ58)*$N59/100</f>
        <v>20093.126759999999</v>
      </c>
      <c r="V59" s="331">
        <f>SUM(V58:$AQ58)*$N59/100</f>
        <v>19169.304840000001</v>
      </c>
      <c r="W59" s="331">
        <f>SUM(W58:$AQ58)*$N59/100</f>
        <v>18245.482920000002</v>
      </c>
      <c r="X59" s="331">
        <f>SUM(X58:$AQ58)*$N59/100</f>
        <v>17321.661</v>
      </c>
      <c r="Y59" s="331">
        <f>SUM(Y58:$AQ58)*$N59/100</f>
        <v>16397.839080000002</v>
      </c>
      <c r="Z59" s="331">
        <f>SUM(Z58:$AQ58)*$N59/100</f>
        <v>15474.017159999999</v>
      </c>
      <c r="AA59" s="331">
        <f>SUM(AA58:$AQ58)*$N59/100</f>
        <v>14550.195239999999</v>
      </c>
      <c r="AB59" s="331">
        <f>SUM(AB58:$AQ58)*$N59/100</f>
        <v>13626.373319999999</v>
      </c>
      <c r="AC59" s="331">
        <f>SUM(AC58:$AQ58)*$N59/100</f>
        <v>12702.551400000002</v>
      </c>
      <c r="AD59" s="331">
        <f>SUM(AD58:$AQ58)*$N59/100</f>
        <v>11778.729480000002</v>
      </c>
      <c r="AE59" s="331">
        <f>SUM(AE58:$AQ58)*$N59/100</f>
        <v>10854.90756</v>
      </c>
      <c r="AF59" s="331">
        <f>SUM(AF58:$AQ58)*$N59/100</f>
        <v>9931.0856399999993</v>
      </c>
      <c r="AG59" s="331">
        <f>SUM(AG58:$AQ58)*$N59/100</f>
        <v>9007.263719999999</v>
      </c>
      <c r="AH59" s="331">
        <f>SUM(AH58:$AQ58)*$N59/100</f>
        <v>8083.4418000000005</v>
      </c>
      <c r="AI59" s="331">
        <f>SUM(AI58:$AQ58)*$N59/100</f>
        <v>7159.6198800000002</v>
      </c>
      <c r="AJ59" s="331">
        <f>SUM(AJ58:$AQ58)*$N59/100</f>
        <v>6235.7979599999999</v>
      </c>
      <c r="AK59" s="331">
        <f>SUM(AK58:$AQ58)*$N59/100</f>
        <v>5311.9760400000005</v>
      </c>
      <c r="AL59" s="331">
        <f>SUM(AL58:$AQ58)*$N59/100</f>
        <v>4388.1541200000001</v>
      </c>
      <c r="AM59" s="331">
        <f>SUM(AM58:$AQ58)*$N59/100</f>
        <v>3464.3322000000003</v>
      </c>
      <c r="AN59" s="331">
        <f>SUM(AN58:$AQ58)*$N59/100</f>
        <v>2540.5102800000004</v>
      </c>
      <c r="AO59" s="331">
        <f>SUM(AO58:$AQ58)*$N59/100</f>
        <v>1616.6883600000001</v>
      </c>
      <c r="AP59" s="331">
        <f>SUM(AP58:$AQ58)*$N59/100</f>
        <v>692.86644000000001</v>
      </c>
      <c r="AQ59" s="331">
        <v>0</v>
      </c>
      <c r="AR59" s="331"/>
      <c r="AS59" s="331"/>
      <c r="AT59" s="332">
        <f t="shared" si="0"/>
        <v>294468.23699999996</v>
      </c>
      <c r="AU59" s="320">
        <f t="shared" si="1"/>
        <v>0</v>
      </c>
      <c r="AV59" s="333">
        <f t="shared" si="3"/>
        <v>153816.34968000001</v>
      </c>
      <c r="AW59" s="331">
        <f t="shared" si="2"/>
        <v>294468.23699999996</v>
      </c>
      <c r="AY59" s="322"/>
    </row>
    <row r="60" spans="1:51" s="309" customFormat="1" outlineLevel="2" x14ac:dyDescent="0.25">
      <c r="B60" s="310" t="s">
        <v>786</v>
      </c>
      <c r="C60" s="311">
        <v>28</v>
      </c>
      <c r="D60" s="312" t="s">
        <v>916</v>
      </c>
      <c r="E60" s="313" t="s">
        <v>917</v>
      </c>
      <c r="F60" s="314" t="s">
        <v>918</v>
      </c>
      <c r="G60" s="314" t="s">
        <v>912</v>
      </c>
      <c r="H60" s="314" t="s">
        <v>919</v>
      </c>
      <c r="I60" s="314" t="s">
        <v>747</v>
      </c>
      <c r="J60" s="315">
        <v>347420.04</v>
      </c>
      <c r="K60" s="316">
        <v>272338.03999999998</v>
      </c>
      <c r="L60" s="316"/>
      <c r="M60" s="316"/>
      <c r="N60" s="334"/>
      <c r="O60" s="334"/>
      <c r="P60" s="317"/>
      <c r="Q60" s="317" t="s">
        <v>748</v>
      </c>
      <c r="R60" s="318">
        <v>18788</v>
      </c>
      <c r="S60" s="318">
        <v>18788</v>
      </c>
      <c r="T60" s="318">
        <v>18788</v>
      </c>
      <c r="U60" s="318">
        <v>18788</v>
      </c>
      <c r="V60" s="318">
        <v>18788</v>
      </c>
      <c r="W60" s="318">
        <v>18788</v>
      </c>
      <c r="X60" s="318">
        <v>18788</v>
      </c>
      <c r="Y60" s="318">
        <v>18788</v>
      </c>
      <c r="Z60" s="318">
        <v>18788</v>
      </c>
      <c r="AA60" s="318">
        <v>18788</v>
      </c>
      <c r="AB60" s="318">
        <v>18788</v>
      </c>
      <c r="AC60" s="318">
        <v>18788</v>
      </c>
      <c r="AD60" s="318">
        <v>18788</v>
      </c>
      <c r="AE60" s="318">
        <v>18788</v>
      </c>
      <c r="AF60" s="318">
        <v>9306.0400000000009</v>
      </c>
      <c r="AG60" s="318">
        <v>0</v>
      </c>
      <c r="AH60" s="318">
        <v>0</v>
      </c>
      <c r="AI60" s="318">
        <v>0</v>
      </c>
      <c r="AJ60" s="318">
        <v>0</v>
      </c>
      <c r="AK60" s="318">
        <v>0</v>
      </c>
      <c r="AL60" s="318">
        <v>0</v>
      </c>
      <c r="AM60" s="318">
        <v>0</v>
      </c>
      <c r="AN60" s="318">
        <v>0</v>
      </c>
      <c r="AO60" s="318">
        <v>0</v>
      </c>
      <c r="AP60" s="318">
        <v>0</v>
      </c>
      <c r="AQ60" s="318">
        <v>0</v>
      </c>
      <c r="AR60" s="318"/>
      <c r="AS60" s="318"/>
      <c r="AT60" s="319">
        <f t="shared" si="0"/>
        <v>272338.03999999998</v>
      </c>
      <c r="AU60" s="320">
        <f t="shared" si="1"/>
        <v>0</v>
      </c>
      <c r="AV60" s="321">
        <f t="shared" si="3"/>
        <v>140822.04</v>
      </c>
      <c r="AW60" s="318">
        <f t="shared" si="2"/>
        <v>272338.04000000004</v>
      </c>
      <c r="AY60" s="322"/>
    </row>
    <row r="61" spans="1:51" outlineLevel="2" x14ac:dyDescent="0.25">
      <c r="B61" s="323" t="s">
        <v>786</v>
      </c>
      <c r="C61" s="324"/>
      <c r="D61" s="325" t="s">
        <v>920</v>
      </c>
      <c r="E61" s="326"/>
      <c r="F61" s="327"/>
      <c r="G61" s="327"/>
      <c r="H61" s="327"/>
      <c r="I61" s="327"/>
      <c r="J61" s="328"/>
      <c r="K61" s="329"/>
      <c r="L61" s="328" t="s">
        <v>915</v>
      </c>
      <c r="M61" s="328"/>
      <c r="N61" s="330">
        <f t="shared" si="4"/>
        <v>2.88</v>
      </c>
      <c r="O61" s="330">
        <v>2.88</v>
      </c>
      <c r="P61" s="330">
        <f>$P$4</f>
        <v>0</v>
      </c>
      <c r="Q61" s="330" t="s">
        <v>751</v>
      </c>
      <c r="R61" s="331">
        <f>SUM(R60:$AQ60)*$N61/100</f>
        <v>7843.3355519999996</v>
      </c>
      <c r="S61" s="331">
        <f>SUM(S60:$AQ60)*$N61/100</f>
        <v>7302.2411519999996</v>
      </c>
      <c r="T61" s="331">
        <f>SUM(T60:$AQ60)*$N61/100</f>
        <v>6761.1467520000006</v>
      </c>
      <c r="U61" s="331">
        <f>SUM(U60:$AQ60)*$N61/100</f>
        <v>6220.0523519999997</v>
      </c>
      <c r="V61" s="331">
        <f>SUM(V60:$AQ60)*$N61/100</f>
        <v>5678.9579520000007</v>
      </c>
      <c r="W61" s="331">
        <f>SUM(W60:$AQ60)*$N61/100</f>
        <v>5137.8635519999998</v>
      </c>
      <c r="X61" s="331">
        <f>SUM(X60:$AQ60)*$N61/100</f>
        <v>4596.7691519999998</v>
      </c>
      <c r="Y61" s="331">
        <f>SUM(Y60:$AQ60)*$N61/100</f>
        <v>4055.6747519999999</v>
      </c>
      <c r="Z61" s="331">
        <f>SUM(Z60:$AQ60)*$N61/100</f>
        <v>3514.5803519999999</v>
      </c>
      <c r="AA61" s="331">
        <f>SUM(AA60:$AQ60)*$N61/100</f>
        <v>2973.4859520000005</v>
      </c>
      <c r="AB61" s="331">
        <f>SUM(AB60:$AQ60)*$N61/100</f>
        <v>2432.391552</v>
      </c>
      <c r="AC61" s="331">
        <f>SUM(AC60:$AQ60)*$N61/100</f>
        <v>1891.2971520000001</v>
      </c>
      <c r="AD61" s="331">
        <f>SUM(AD60:$AQ60)*$N61/100</f>
        <v>1350.2027520000001</v>
      </c>
      <c r="AE61" s="331">
        <f>SUM(AE60:$AQ60)*$N61/100</f>
        <v>809.10835199999997</v>
      </c>
      <c r="AF61" s="331">
        <f>SUM(AF60:$AQ60)*$N61/100</f>
        <v>268.01395200000002</v>
      </c>
      <c r="AG61" s="331">
        <v>0</v>
      </c>
      <c r="AH61" s="331">
        <v>0</v>
      </c>
      <c r="AI61" s="331">
        <v>0</v>
      </c>
      <c r="AJ61" s="331">
        <v>0</v>
      </c>
      <c r="AK61" s="331">
        <v>0</v>
      </c>
      <c r="AL61" s="331">
        <v>0</v>
      </c>
      <c r="AM61" s="331">
        <v>0</v>
      </c>
      <c r="AN61" s="331">
        <v>0</v>
      </c>
      <c r="AO61" s="331">
        <v>0</v>
      </c>
      <c r="AP61" s="331">
        <v>0</v>
      </c>
      <c r="AQ61" s="331">
        <v>0</v>
      </c>
      <c r="AR61" s="331"/>
      <c r="AS61" s="331"/>
      <c r="AT61" s="332">
        <f t="shared" si="0"/>
        <v>60835.121280000007</v>
      </c>
      <c r="AU61" s="320">
        <f t="shared" si="1"/>
        <v>0</v>
      </c>
      <c r="AV61" s="333">
        <f t="shared" si="3"/>
        <v>17294.754816000001</v>
      </c>
      <c r="AW61" s="331">
        <f t="shared" si="2"/>
        <v>60835.121280000007</v>
      </c>
      <c r="AY61" s="322"/>
    </row>
    <row r="62" spans="1:51" s="309" customFormat="1" outlineLevel="2" x14ac:dyDescent="0.25">
      <c r="B62" s="310" t="s">
        <v>786</v>
      </c>
      <c r="C62" s="311">
        <v>29</v>
      </c>
      <c r="D62" s="312" t="s">
        <v>921</v>
      </c>
      <c r="E62" s="313" t="s">
        <v>922</v>
      </c>
      <c r="F62" s="314" t="s">
        <v>923</v>
      </c>
      <c r="G62" s="314" t="s">
        <v>924</v>
      </c>
      <c r="H62" s="314" t="s">
        <v>925</v>
      </c>
      <c r="I62" s="314" t="s">
        <v>747</v>
      </c>
      <c r="J62" s="315">
        <v>9703992</v>
      </c>
      <c r="K62" s="316">
        <v>8627007.9199999999</v>
      </c>
      <c r="L62" s="316"/>
      <c r="M62" s="316"/>
      <c r="N62" s="334"/>
      <c r="O62" s="334"/>
      <c r="P62" s="317"/>
      <c r="Q62" s="317" t="s">
        <v>748</v>
      </c>
      <c r="R62" s="318">
        <v>343508</v>
      </c>
      <c r="S62" s="318">
        <v>343508</v>
      </c>
      <c r="T62" s="318">
        <v>343508</v>
      </c>
      <c r="U62" s="318">
        <v>343508</v>
      </c>
      <c r="V62" s="318">
        <v>343508</v>
      </c>
      <c r="W62" s="318">
        <v>343508</v>
      </c>
      <c r="X62" s="318">
        <v>343508</v>
      </c>
      <c r="Y62" s="318">
        <v>343508</v>
      </c>
      <c r="Z62" s="318">
        <v>343508</v>
      </c>
      <c r="AA62" s="318">
        <v>343508</v>
      </c>
      <c r="AB62" s="318">
        <v>343508</v>
      </c>
      <c r="AC62" s="318">
        <v>343508</v>
      </c>
      <c r="AD62" s="318">
        <v>343508</v>
      </c>
      <c r="AE62" s="318">
        <v>343508</v>
      </c>
      <c r="AF62" s="318">
        <v>343508</v>
      </c>
      <c r="AG62" s="318">
        <v>343508</v>
      </c>
      <c r="AH62" s="318">
        <v>343508</v>
      </c>
      <c r="AI62" s="318">
        <v>343508</v>
      </c>
      <c r="AJ62" s="318">
        <v>343508</v>
      </c>
      <c r="AK62" s="318">
        <v>343508</v>
      </c>
      <c r="AL62" s="318">
        <v>343508</v>
      </c>
      <c r="AM62" s="318">
        <v>343508</v>
      </c>
      <c r="AN62" s="318">
        <v>343508</v>
      </c>
      <c r="AO62" s="318">
        <v>343508</v>
      </c>
      <c r="AP62" s="318">
        <v>343508</v>
      </c>
      <c r="AQ62" s="318">
        <v>39307.919999999998</v>
      </c>
      <c r="AR62" s="318"/>
      <c r="AS62" s="318"/>
      <c r="AT62" s="319">
        <f t="shared" si="0"/>
        <v>8627007.9199999999</v>
      </c>
      <c r="AU62" s="320">
        <f t="shared" si="1"/>
        <v>0</v>
      </c>
      <c r="AV62" s="321">
        <f t="shared" si="3"/>
        <v>6222451.9199999999</v>
      </c>
      <c r="AW62" s="318">
        <f t="shared" si="2"/>
        <v>8627007.9199999999</v>
      </c>
      <c r="AY62" s="322"/>
    </row>
    <row r="63" spans="1:51" outlineLevel="2" x14ac:dyDescent="0.25">
      <c r="B63" s="323" t="s">
        <v>786</v>
      </c>
      <c r="C63" s="324"/>
      <c r="D63" s="325"/>
      <c r="E63" s="326"/>
      <c r="F63" s="327"/>
      <c r="G63" s="327"/>
      <c r="H63" s="327"/>
      <c r="I63" s="327"/>
      <c r="J63" s="328"/>
      <c r="K63" s="329"/>
      <c r="L63" s="328" t="s">
        <v>926</v>
      </c>
      <c r="M63" s="328"/>
      <c r="N63" s="330">
        <f t="shared" si="4"/>
        <v>3.2919999999999998</v>
      </c>
      <c r="O63" s="330">
        <v>3.2919999999999998</v>
      </c>
      <c r="P63" s="330">
        <f>$P$4</f>
        <v>0</v>
      </c>
      <c r="Q63" s="330" t="s">
        <v>751</v>
      </c>
      <c r="R63" s="331">
        <f>SUM(R62:$AQ62)*$N63/100-10000</f>
        <v>274001.10072639998</v>
      </c>
      <c r="S63" s="331">
        <f>SUM(S62:$AQ62)*$N63/100</f>
        <v>272692.81736639998</v>
      </c>
      <c r="T63" s="331">
        <f>SUM(T62:$AQ62)*$N63/100-5000</f>
        <v>256384.5340064</v>
      </c>
      <c r="U63" s="331">
        <f>SUM(U62:$AQ62)*$N63/100</f>
        <v>250076.25064639997</v>
      </c>
      <c r="V63" s="331">
        <f>SUM(V62:$AQ62)*$N63/100</f>
        <v>238767.96728639997</v>
      </c>
      <c r="W63" s="331">
        <f>SUM(W62:$AQ62)*$N63/100</f>
        <v>227459.68392639997</v>
      </c>
      <c r="X63" s="331">
        <f>SUM(X62:$AQ62)*$N63/100</f>
        <v>216151.4005664</v>
      </c>
      <c r="Y63" s="331">
        <f>SUM(Y62:$AQ62)*$N63/100</f>
        <v>204843.1172064</v>
      </c>
      <c r="Z63" s="331">
        <f>SUM(Z62:$AQ62)*$N63/100</f>
        <v>193534.83384639997</v>
      </c>
      <c r="AA63" s="331">
        <f>SUM(AA62:$AQ62)*$N63/100</f>
        <v>182226.55048639997</v>
      </c>
      <c r="AB63" s="331">
        <f>SUM(AB62:$AQ62)*$N63/100</f>
        <v>170918.26712639999</v>
      </c>
      <c r="AC63" s="331">
        <f>SUM(AC62:$AQ62)*$N63/100</f>
        <v>159609.98376639999</v>
      </c>
      <c r="AD63" s="331">
        <f>SUM(AD62:$AQ62)*$N63/100</f>
        <v>148301.70040639999</v>
      </c>
      <c r="AE63" s="331">
        <f>SUM(AE62:$AQ62)*$N63/100</f>
        <v>136993.41704639999</v>
      </c>
      <c r="AF63" s="331">
        <f>SUM(AF62:$AQ62)*$N63/100</f>
        <v>125685.13368639997</v>
      </c>
      <c r="AG63" s="331">
        <f>SUM(AG62:$AQ62)*$N63/100</f>
        <v>114376.85032639999</v>
      </c>
      <c r="AH63" s="331">
        <f>SUM(AH62:$AQ62)*$N63/100</f>
        <v>103068.5669664</v>
      </c>
      <c r="AI63" s="331">
        <f>SUM(AI62:$AQ62)*$N63/100</f>
        <v>91760.283606399986</v>
      </c>
      <c r="AJ63" s="331">
        <f>SUM(AJ62:$AQ62)*$N63/100</f>
        <v>80452.000246399999</v>
      </c>
      <c r="AK63" s="331">
        <f>SUM(AK62:$AQ62)*$N63/100</f>
        <v>69143.716886399998</v>
      </c>
      <c r="AL63" s="331">
        <f>SUM(AL62:$AQ62)*$N63/100</f>
        <v>57835.433526399989</v>
      </c>
      <c r="AM63" s="331">
        <f>SUM(AM62:$AQ62)*$N63/100</f>
        <v>46527.150166399988</v>
      </c>
      <c r="AN63" s="331">
        <f>SUM(AN62:$AQ62)*$N63/100</f>
        <v>35218.866806399994</v>
      </c>
      <c r="AO63" s="331">
        <f>SUM(AO62:$AQ62)*$N63/100</f>
        <v>23910.583446399996</v>
      </c>
      <c r="AP63" s="331">
        <f>SUM(AP62:$AQ62)*$N63/100</f>
        <v>12602.300086399999</v>
      </c>
      <c r="AQ63" s="331">
        <f>SUM(AQ62:$AQ62)*$N63/100</f>
        <v>1294.0167263999999</v>
      </c>
      <c r="AR63" s="331"/>
      <c r="AS63" s="331"/>
      <c r="AT63" s="332">
        <f t="shared" si="0"/>
        <v>3693836.526886398</v>
      </c>
      <c r="AU63" s="320">
        <f t="shared" si="1"/>
        <v>0</v>
      </c>
      <c r="AV63" s="333">
        <f t="shared" si="3"/>
        <v>1958302.7723616001</v>
      </c>
      <c r="AW63" s="331">
        <f t="shared" si="2"/>
        <v>3693836.5268863998</v>
      </c>
      <c r="AY63" s="322"/>
    </row>
    <row r="64" spans="1:51" s="299" customFormat="1" outlineLevel="2" x14ac:dyDescent="0.25">
      <c r="B64" s="335" t="s">
        <v>786</v>
      </c>
      <c r="C64" s="336">
        <v>30</v>
      </c>
      <c r="D64" s="337" t="s">
        <v>927</v>
      </c>
      <c r="E64" s="313" t="s">
        <v>928</v>
      </c>
      <c r="F64" s="313" t="s">
        <v>929</v>
      </c>
      <c r="G64" s="313" t="s">
        <v>924</v>
      </c>
      <c r="H64" s="313" t="s">
        <v>930</v>
      </c>
      <c r="I64" s="313" t="s">
        <v>747</v>
      </c>
      <c r="J64" s="315">
        <v>43430</v>
      </c>
      <c r="K64" s="316">
        <v>4452</v>
      </c>
      <c r="L64" s="316"/>
      <c r="M64" s="316"/>
      <c r="N64" s="317"/>
      <c r="O64" s="317"/>
      <c r="P64" s="317"/>
      <c r="Q64" s="317" t="s">
        <v>748</v>
      </c>
      <c r="R64" s="318">
        <v>848</v>
      </c>
      <c r="S64" s="318">
        <v>848</v>
      </c>
      <c r="T64" s="318">
        <v>848</v>
      </c>
      <c r="U64" s="318">
        <v>848</v>
      </c>
      <c r="V64" s="318">
        <v>848</v>
      </c>
      <c r="W64" s="318">
        <v>212</v>
      </c>
      <c r="X64" s="318">
        <v>0</v>
      </c>
      <c r="Y64" s="318">
        <v>0</v>
      </c>
      <c r="Z64" s="318">
        <v>0</v>
      </c>
      <c r="AA64" s="318">
        <v>0</v>
      </c>
      <c r="AB64" s="318">
        <v>0</v>
      </c>
      <c r="AC64" s="318">
        <v>0</v>
      </c>
      <c r="AD64" s="318">
        <v>0</v>
      </c>
      <c r="AE64" s="318">
        <v>0</v>
      </c>
      <c r="AF64" s="318">
        <v>0</v>
      </c>
      <c r="AG64" s="318">
        <v>0</v>
      </c>
      <c r="AH64" s="318">
        <v>0</v>
      </c>
      <c r="AI64" s="318">
        <v>0</v>
      </c>
      <c r="AJ64" s="318">
        <v>0</v>
      </c>
      <c r="AK64" s="318">
        <v>0</v>
      </c>
      <c r="AL64" s="318">
        <v>0</v>
      </c>
      <c r="AM64" s="318">
        <v>0</v>
      </c>
      <c r="AN64" s="318">
        <v>0</v>
      </c>
      <c r="AO64" s="318">
        <v>0</v>
      </c>
      <c r="AP64" s="318">
        <v>0</v>
      </c>
      <c r="AQ64" s="318">
        <v>0</v>
      </c>
      <c r="AR64" s="318"/>
      <c r="AS64" s="318"/>
      <c r="AT64" s="318">
        <f t="shared" si="0"/>
        <v>4452</v>
      </c>
      <c r="AU64" s="338">
        <f t="shared" si="1"/>
        <v>0</v>
      </c>
      <c r="AV64" s="321">
        <f t="shared" si="3"/>
        <v>0</v>
      </c>
      <c r="AW64" s="318">
        <f t="shared" si="2"/>
        <v>4452</v>
      </c>
      <c r="AY64" s="322"/>
    </row>
    <row r="65" spans="2:51" s="291" customFormat="1" outlineLevel="2" x14ac:dyDescent="0.25">
      <c r="B65" s="339" t="s">
        <v>786</v>
      </c>
      <c r="C65" s="340"/>
      <c r="D65" s="341"/>
      <c r="E65" s="326"/>
      <c r="F65" s="326"/>
      <c r="G65" s="326"/>
      <c r="H65" s="326"/>
      <c r="I65" s="326"/>
      <c r="J65" s="328"/>
      <c r="K65" s="329"/>
      <c r="L65" s="328">
        <v>0</v>
      </c>
      <c r="M65" s="328" t="s">
        <v>931</v>
      </c>
      <c r="N65" s="330">
        <f>SUM(O65:P65)</f>
        <v>0.25</v>
      </c>
      <c r="O65" s="330">
        <v>0.25</v>
      </c>
      <c r="P65" s="330">
        <f>$P$4</f>
        <v>0</v>
      </c>
      <c r="Q65" s="330" t="s">
        <v>751</v>
      </c>
      <c r="R65" s="331">
        <f>SUM(R64:$AQ64)*$N65/100</f>
        <v>11.13</v>
      </c>
      <c r="S65" s="331">
        <f>SUM(S64:$AQ64)*$N65/100</f>
        <v>9.01</v>
      </c>
      <c r="T65" s="331">
        <f>SUM(T64:$AQ64)*$N65/100</f>
        <v>6.89</v>
      </c>
      <c r="U65" s="331">
        <f>SUM(U64:$AQ64)*$N65/100</f>
        <v>4.7699999999999996</v>
      </c>
      <c r="V65" s="331">
        <f>SUM(V64:$AQ64)*$N65/100</f>
        <v>2.65</v>
      </c>
      <c r="W65" s="331">
        <f>SUM(W64:$AQ64)*$N65/100</f>
        <v>0.53</v>
      </c>
      <c r="X65" s="331">
        <v>0</v>
      </c>
      <c r="Y65" s="331">
        <v>0</v>
      </c>
      <c r="Z65" s="331">
        <v>0</v>
      </c>
      <c r="AA65" s="331">
        <v>0</v>
      </c>
      <c r="AB65" s="331">
        <v>0</v>
      </c>
      <c r="AC65" s="331">
        <v>0</v>
      </c>
      <c r="AD65" s="331">
        <v>0</v>
      </c>
      <c r="AE65" s="331">
        <v>0</v>
      </c>
      <c r="AF65" s="331">
        <v>0</v>
      </c>
      <c r="AG65" s="331">
        <v>0</v>
      </c>
      <c r="AH65" s="331">
        <v>0</v>
      </c>
      <c r="AI65" s="331">
        <v>0</v>
      </c>
      <c r="AJ65" s="331">
        <v>0</v>
      </c>
      <c r="AK65" s="331">
        <v>0</v>
      </c>
      <c r="AL65" s="331">
        <v>0</v>
      </c>
      <c r="AM65" s="331">
        <v>0</v>
      </c>
      <c r="AN65" s="331">
        <v>0</v>
      </c>
      <c r="AO65" s="331">
        <v>0</v>
      </c>
      <c r="AP65" s="331">
        <v>0</v>
      </c>
      <c r="AQ65" s="331">
        <v>0</v>
      </c>
      <c r="AR65" s="331"/>
      <c r="AS65" s="331"/>
      <c r="AT65" s="331">
        <f t="shared" si="0"/>
        <v>34.980000000000004</v>
      </c>
      <c r="AU65" s="338">
        <f t="shared" si="1"/>
        <v>0</v>
      </c>
      <c r="AV65" s="333">
        <f t="shared" si="3"/>
        <v>0</v>
      </c>
      <c r="AW65" s="331">
        <f t="shared" si="2"/>
        <v>34.980000000000004</v>
      </c>
      <c r="AY65" s="322"/>
    </row>
    <row r="66" spans="2:51" s="309" customFormat="1" outlineLevel="2" x14ac:dyDescent="0.25">
      <c r="B66" s="310" t="s">
        <v>786</v>
      </c>
      <c r="C66" s="311">
        <v>31</v>
      </c>
      <c r="D66" s="312" t="s">
        <v>932</v>
      </c>
      <c r="E66" s="313" t="s">
        <v>933</v>
      </c>
      <c r="F66" s="314" t="s">
        <v>934</v>
      </c>
      <c r="G66" s="314" t="s">
        <v>935</v>
      </c>
      <c r="H66" s="314" t="s">
        <v>936</v>
      </c>
      <c r="I66" s="314" t="s">
        <v>747</v>
      </c>
      <c r="J66" s="315">
        <v>400000</v>
      </c>
      <c r="K66" s="316">
        <v>345319</v>
      </c>
      <c r="L66" s="316"/>
      <c r="M66" s="316"/>
      <c r="N66" s="334"/>
      <c r="O66" s="334"/>
      <c r="P66" s="317"/>
      <c r="Q66" s="317" t="s">
        <v>748</v>
      </c>
      <c r="R66" s="318">
        <v>13676</v>
      </c>
      <c r="S66" s="318">
        <v>13676</v>
      </c>
      <c r="T66" s="318">
        <v>13676</v>
      </c>
      <c r="U66" s="318">
        <v>13676</v>
      </c>
      <c r="V66" s="318">
        <v>13676</v>
      </c>
      <c r="W66" s="318">
        <v>13676</v>
      </c>
      <c r="X66" s="318">
        <v>13676</v>
      </c>
      <c r="Y66" s="318">
        <v>13676</v>
      </c>
      <c r="Z66" s="318">
        <v>13676</v>
      </c>
      <c r="AA66" s="318">
        <v>13676</v>
      </c>
      <c r="AB66" s="318">
        <v>13676</v>
      </c>
      <c r="AC66" s="318">
        <v>13676</v>
      </c>
      <c r="AD66" s="318">
        <v>13676</v>
      </c>
      <c r="AE66" s="318">
        <v>13676</v>
      </c>
      <c r="AF66" s="318">
        <v>13676</v>
      </c>
      <c r="AG66" s="318">
        <v>13676</v>
      </c>
      <c r="AH66" s="318">
        <v>13676</v>
      </c>
      <c r="AI66" s="318">
        <v>13676</v>
      </c>
      <c r="AJ66" s="318">
        <v>13676</v>
      </c>
      <c r="AK66" s="318">
        <v>13676</v>
      </c>
      <c r="AL66" s="318">
        <v>13676</v>
      </c>
      <c r="AM66" s="318">
        <v>13676</v>
      </c>
      <c r="AN66" s="318">
        <v>13676</v>
      </c>
      <c r="AO66" s="318">
        <v>13676</v>
      </c>
      <c r="AP66" s="318">
        <v>13676</v>
      </c>
      <c r="AQ66" s="318">
        <v>3419</v>
      </c>
      <c r="AR66" s="318"/>
      <c r="AS66" s="318"/>
      <c r="AT66" s="319">
        <f t="shared" si="0"/>
        <v>345319</v>
      </c>
      <c r="AU66" s="320">
        <f t="shared" si="1"/>
        <v>0</v>
      </c>
      <c r="AV66" s="321">
        <f t="shared" si="3"/>
        <v>249587</v>
      </c>
      <c r="AW66" s="318">
        <f t="shared" si="2"/>
        <v>345319</v>
      </c>
      <c r="AY66" s="322"/>
    </row>
    <row r="67" spans="2:51" outlineLevel="2" x14ac:dyDescent="0.25">
      <c r="B67" s="323" t="s">
        <v>786</v>
      </c>
      <c r="C67" s="324"/>
      <c r="D67" s="325" t="s">
        <v>937</v>
      </c>
      <c r="E67" s="326"/>
      <c r="F67" s="327"/>
      <c r="G67" s="327"/>
      <c r="H67" s="327"/>
      <c r="I67" s="327"/>
      <c r="J67" s="328"/>
      <c r="K67" s="329"/>
      <c r="L67" s="328" t="s">
        <v>938</v>
      </c>
      <c r="M67" s="328"/>
      <c r="N67" s="330">
        <f>SUM(O67:P67)</f>
        <v>3.0630000000000002</v>
      </c>
      <c r="O67" s="330">
        <v>3.0630000000000002</v>
      </c>
      <c r="P67" s="330">
        <f>$P$4</f>
        <v>0</v>
      </c>
      <c r="Q67" s="330" t="s">
        <v>751</v>
      </c>
      <c r="R67" s="331">
        <f>SUM(R66:$AQ66)*$N67/100</f>
        <v>10577.12097</v>
      </c>
      <c r="S67" s="331">
        <f>SUM(S66:$AQ66)*$N67/100</f>
        <v>10158.22509</v>
      </c>
      <c r="T67" s="331">
        <f>SUM(T66:$AQ66)*$N67/100</f>
        <v>9739.3292100000017</v>
      </c>
      <c r="U67" s="331">
        <f>SUM(U66:$AQ66)*$N67/100</f>
        <v>9320.4333300000017</v>
      </c>
      <c r="V67" s="331">
        <f>SUM(V66:$AQ66)*$N67/100</f>
        <v>8901.5374499999998</v>
      </c>
      <c r="W67" s="331">
        <f>SUM(W66:$AQ66)*$N67/100</f>
        <v>8482.6415699999998</v>
      </c>
      <c r="X67" s="331">
        <f>SUM(X66:$AQ66)*$N67/100</f>
        <v>8063.7456899999997</v>
      </c>
      <c r="Y67" s="331">
        <f>SUM(Y66:$AQ66)*$N67/100</f>
        <v>7644.8498100000006</v>
      </c>
      <c r="Z67" s="331">
        <f>SUM(Z66:$AQ66)*$N67/100</f>
        <v>7225.9539300000006</v>
      </c>
      <c r="AA67" s="331">
        <f>SUM(AA66:$AQ66)*$N67/100</f>
        <v>6807.0580500000005</v>
      </c>
      <c r="AB67" s="331">
        <f>SUM(AB66:$AQ66)*$N67/100</f>
        <v>6388.1621700000005</v>
      </c>
      <c r="AC67" s="331">
        <f>SUM(AC66:$AQ66)*$N67/100</f>
        <v>5969.2662900000005</v>
      </c>
      <c r="AD67" s="331">
        <f>SUM(AD66:$AQ66)*$N67/100</f>
        <v>5550.3704100000004</v>
      </c>
      <c r="AE67" s="331">
        <f>SUM(AE66:$AQ66)*$N67/100</f>
        <v>5131.4745300000004</v>
      </c>
      <c r="AF67" s="331">
        <f>SUM(AF66:$AQ66)*$N67/100</f>
        <v>4712.5786500000004</v>
      </c>
      <c r="AG67" s="331">
        <f>SUM(AG66:$AQ66)*$N67/100</f>
        <v>4293.6827700000003</v>
      </c>
      <c r="AH67" s="331">
        <f>SUM(AH66:$AQ66)*$N67/100</f>
        <v>3874.7868900000003</v>
      </c>
      <c r="AI67" s="331">
        <f>SUM(AI66:$AQ66)*$N67/100</f>
        <v>3455.8910100000003</v>
      </c>
      <c r="AJ67" s="331">
        <f>SUM(AJ66:$AQ66)*$N67/100</f>
        <v>3036.9951300000002</v>
      </c>
      <c r="AK67" s="331">
        <f>SUM(AK66:$AQ66)*$N67/100</f>
        <v>2618.0992500000002</v>
      </c>
      <c r="AL67" s="331">
        <f>SUM(AL66:$AQ66)*$N67/100</f>
        <v>2199.2033700000002</v>
      </c>
      <c r="AM67" s="331">
        <f>SUM(AM66:$AQ66)*$N67/100</f>
        <v>1780.3074900000001</v>
      </c>
      <c r="AN67" s="331">
        <f>SUM(AN66:$AQ66)*$N67/100</f>
        <v>1361.4116100000001</v>
      </c>
      <c r="AO67" s="331">
        <f>SUM(AO66:$AQ66)*$N67/100</f>
        <v>942.51573000000008</v>
      </c>
      <c r="AP67" s="331">
        <f>SUM(AP66:$AQ66)*$N67/100</f>
        <v>523.61985000000004</v>
      </c>
      <c r="AQ67" s="331">
        <f>SUM(AQ66:$AQ66)*$N67/100</f>
        <v>104.72397000000001</v>
      </c>
      <c r="AR67" s="331"/>
      <c r="AS67" s="331"/>
      <c r="AT67" s="332">
        <f t="shared" si="0"/>
        <v>138863.98422000004</v>
      </c>
      <c r="AU67" s="320">
        <f t="shared" si="1"/>
        <v>0</v>
      </c>
      <c r="AV67" s="333">
        <f t="shared" si="3"/>
        <v>73620.950910000029</v>
      </c>
      <c r="AW67" s="331">
        <f t="shared" si="2"/>
        <v>138863.98422000004</v>
      </c>
      <c r="AY67" s="322"/>
    </row>
    <row r="68" spans="2:51" s="309" customFormat="1" outlineLevel="2" collapsed="1" x14ac:dyDescent="0.25">
      <c r="B68" s="310" t="s">
        <v>786</v>
      </c>
      <c r="C68" s="311">
        <v>32</v>
      </c>
      <c r="D68" s="312" t="s">
        <v>939</v>
      </c>
      <c r="E68" s="313" t="s">
        <v>940</v>
      </c>
      <c r="F68" s="314" t="s">
        <v>941</v>
      </c>
      <c r="G68" s="314" t="s">
        <v>942</v>
      </c>
      <c r="H68" s="314" t="s">
        <v>943</v>
      </c>
      <c r="I68" s="314" t="s">
        <v>747</v>
      </c>
      <c r="J68" s="315">
        <v>279650</v>
      </c>
      <c r="K68" s="316">
        <v>241491</v>
      </c>
      <c r="L68" s="316"/>
      <c r="M68" s="316"/>
      <c r="N68" s="334"/>
      <c r="O68" s="334"/>
      <c r="P68" s="317"/>
      <c r="Q68" s="317" t="s">
        <v>748</v>
      </c>
      <c r="R68" s="318">
        <v>9564</v>
      </c>
      <c r="S68" s="318">
        <v>9564</v>
      </c>
      <c r="T68" s="318">
        <v>9564</v>
      </c>
      <c r="U68" s="318">
        <v>9564</v>
      </c>
      <c r="V68" s="318">
        <v>9564</v>
      </c>
      <c r="W68" s="318">
        <v>9564</v>
      </c>
      <c r="X68" s="318">
        <v>9564</v>
      </c>
      <c r="Y68" s="318">
        <v>9564</v>
      </c>
      <c r="Z68" s="318">
        <v>9564</v>
      </c>
      <c r="AA68" s="318">
        <v>9564</v>
      </c>
      <c r="AB68" s="318">
        <v>9564</v>
      </c>
      <c r="AC68" s="318">
        <v>9564</v>
      </c>
      <c r="AD68" s="318">
        <v>9564</v>
      </c>
      <c r="AE68" s="318">
        <v>9564</v>
      </c>
      <c r="AF68" s="318">
        <v>9564</v>
      </c>
      <c r="AG68" s="318">
        <v>9564</v>
      </c>
      <c r="AH68" s="318">
        <v>9564</v>
      </c>
      <c r="AI68" s="318">
        <v>9564</v>
      </c>
      <c r="AJ68" s="318">
        <v>9564</v>
      </c>
      <c r="AK68" s="318">
        <v>9564</v>
      </c>
      <c r="AL68" s="318">
        <v>9564</v>
      </c>
      <c r="AM68" s="318">
        <v>9564</v>
      </c>
      <c r="AN68" s="318">
        <v>9564</v>
      </c>
      <c r="AO68" s="318">
        <v>9564</v>
      </c>
      <c r="AP68" s="318">
        <v>9564</v>
      </c>
      <c r="AQ68" s="318">
        <v>2391</v>
      </c>
      <c r="AR68" s="318"/>
      <c r="AS68" s="318"/>
      <c r="AT68" s="319">
        <f t="shared" si="0"/>
        <v>241491</v>
      </c>
      <c r="AU68" s="320">
        <f t="shared" si="1"/>
        <v>0</v>
      </c>
      <c r="AV68" s="321">
        <f t="shared" si="3"/>
        <v>174543</v>
      </c>
      <c r="AW68" s="318">
        <f t="shared" si="2"/>
        <v>241491</v>
      </c>
      <c r="AY68" s="322"/>
    </row>
    <row r="69" spans="2:51" outlineLevel="2" x14ac:dyDescent="0.25">
      <c r="B69" s="323" t="s">
        <v>786</v>
      </c>
      <c r="C69" s="324"/>
      <c r="D69" s="325"/>
      <c r="E69" s="326"/>
      <c r="F69" s="327"/>
      <c r="G69" s="327"/>
      <c r="H69" s="327"/>
      <c r="I69" s="327"/>
      <c r="J69" s="328"/>
      <c r="K69" s="329"/>
      <c r="L69" s="328" t="s">
        <v>944</v>
      </c>
      <c r="M69" s="328"/>
      <c r="N69" s="330">
        <f>SUM(O69:P69)</f>
        <v>2.835</v>
      </c>
      <c r="O69" s="330">
        <v>2.835</v>
      </c>
      <c r="P69" s="330">
        <f>$P$4</f>
        <v>0</v>
      </c>
      <c r="Q69" s="330" t="s">
        <v>751</v>
      </c>
      <c r="R69" s="331">
        <f>SUM(R68:$AQ68)*$N69/100</f>
        <v>6846.2698499999997</v>
      </c>
      <c r="S69" s="331">
        <f>SUM(S68:$AQ68)*$N69/100</f>
        <v>6575.1304500000006</v>
      </c>
      <c r="T69" s="331">
        <f>SUM(T68:$AQ68)*$N69/100</f>
        <v>6303.9910499999996</v>
      </c>
      <c r="U69" s="331">
        <f>SUM(U68:$AQ68)*$N69/100</f>
        <v>6032.8516500000005</v>
      </c>
      <c r="V69" s="331">
        <f>SUM(V68:$AQ68)*$N69/100</f>
        <v>5761.7122499999996</v>
      </c>
      <c r="W69" s="331">
        <f>SUM(W68:$AQ68)*$N69/100</f>
        <v>5490.5728500000005</v>
      </c>
      <c r="X69" s="331">
        <f>SUM(X68:$AQ68)*$N69/100</f>
        <v>5219.4334499999995</v>
      </c>
      <c r="Y69" s="331">
        <f>SUM(Y68:$AQ68)*$N69/100</f>
        <v>4948.2940499999995</v>
      </c>
      <c r="Z69" s="331">
        <f>SUM(Z68:$AQ68)*$N69/100</f>
        <v>4677.1546499999995</v>
      </c>
      <c r="AA69" s="331">
        <f>SUM(AA68:$AQ68)*$N69/100</f>
        <v>4406.0152500000004</v>
      </c>
      <c r="AB69" s="331">
        <f>SUM(AB68:$AQ68)*$N69/100</f>
        <v>4134.8758500000004</v>
      </c>
      <c r="AC69" s="331">
        <f>SUM(AC68:$AQ68)*$N69/100</f>
        <v>3863.7364500000003</v>
      </c>
      <c r="AD69" s="331">
        <f>SUM(AD68:$AQ68)*$N69/100</f>
        <v>3592.5970500000003</v>
      </c>
      <c r="AE69" s="331">
        <f>SUM(AE68:$AQ68)*$N69/100</f>
        <v>3321.4576500000003</v>
      </c>
      <c r="AF69" s="331">
        <f>SUM(AF68:$AQ68)*$N69/100</f>
        <v>3050.3182500000003</v>
      </c>
      <c r="AG69" s="331">
        <f>SUM(AG68:$AQ68)*$N69/100</f>
        <v>2779.1788500000002</v>
      </c>
      <c r="AH69" s="331">
        <f>SUM(AH68:$AQ68)*$N69/100</f>
        <v>2508.0394500000002</v>
      </c>
      <c r="AI69" s="331">
        <f>SUM(AI68:$AQ68)*$N69/100</f>
        <v>2236.9000500000002</v>
      </c>
      <c r="AJ69" s="331">
        <f>SUM(AJ68:$AQ68)*$N69/100</f>
        <v>1965.7606499999999</v>
      </c>
      <c r="AK69" s="331">
        <f>SUM(AK68:$AQ68)*$N69/100</f>
        <v>1694.6212499999999</v>
      </c>
      <c r="AL69" s="331">
        <f>SUM(AL68:$AQ68)*$N69/100</f>
        <v>1423.4818499999999</v>
      </c>
      <c r="AM69" s="331">
        <f>SUM(AM68:$AQ68)*$N69/100</f>
        <v>1152.3424499999999</v>
      </c>
      <c r="AN69" s="331">
        <f>SUM(AN68:$AQ68)*$N69/100</f>
        <v>881.20304999999996</v>
      </c>
      <c r="AO69" s="331">
        <f>SUM(AO68:$AQ68)*$N69/100</f>
        <v>610.06364999999994</v>
      </c>
      <c r="AP69" s="331">
        <f>SUM(AP68:$AQ68)*$N69/100</f>
        <v>338.92425000000003</v>
      </c>
      <c r="AQ69" s="331">
        <f>SUM(AQ68:$AQ68)*$N69/100</f>
        <v>67.784849999999992</v>
      </c>
      <c r="AR69" s="331"/>
      <c r="AS69" s="331"/>
      <c r="AT69" s="332">
        <f t="shared" si="0"/>
        <v>89882.711099999942</v>
      </c>
      <c r="AU69" s="320">
        <f t="shared" si="1"/>
        <v>0</v>
      </c>
      <c r="AV69" s="333">
        <f t="shared" si="3"/>
        <v>47652.749549999964</v>
      </c>
      <c r="AW69" s="331">
        <f t="shared" si="2"/>
        <v>89882.711099999957</v>
      </c>
      <c r="AY69" s="322"/>
    </row>
    <row r="70" spans="2:51" s="309" customFormat="1" outlineLevel="2" x14ac:dyDescent="0.25">
      <c r="B70" s="310" t="s">
        <v>786</v>
      </c>
      <c r="C70" s="311">
        <v>33</v>
      </c>
      <c r="D70" s="312" t="s">
        <v>945</v>
      </c>
      <c r="E70" s="313" t="s">
        <v>946</v>
      </c>
      <c r="F70" s="314" t="s">
        <v>947</v>
      </c>
      <c r="G70" s="314" t="s">
        <v>948</v>
      </c>
      <c r="H70" s="314" t="s">
        <v>949</v>
      </c>
      <c r="I70" s="314" t="s">
        <v>747</v>
      </c>
      <c r="J70" s="315">
        <v>2075409</v>
      </c>
      <c r="K70" s="316">
        <v>1159750</v>
      </c>
      <c r="L70" s="316"/>
      <c r="M70" s="316"/>
      <c r="N70" s="334"/>
      <c r="O70" s="334"/>
      <c r="P70" s="317"/>
      <c r="Q70" s="317" t="s">
        <v>748</v>
      </c>
      <c r="R70" s="318">
        <v>121648</v>
      </c>
      <c r="S70" s="318">
        <v>117000</v>
      </c>
      <c r="T70" s="318">
        <v>117000</v>
      </c>
      <c r="U70" s="318">
        <v>117000</v>
      </c>
      <c r="V70" s="318">
        <v>117000</v>
      </c>
      <c r="W70" s="318">
        <v>110320</v>
      </c>
      <c r="X70" s="318">
        <v>91212</v>
      </c>
      <c r="Y70" s="318">
        <v>82616</v>
      </c>
      <c r="Z70" s="318">
        <v>82616</v>
      </c>
      <c r="AA70" s="318">
        <v>82616</v>
      </c>
      <c r="AB70" s="318">
        <v>75860</v>
      </c>
      <c r="AC70" s="318">
        <v>36908</v>
      </c>
      <c r="AD70" s="318">
        <v>7954</v>
      </c>
      <c r="AE70" s="318">
        <v>0</v>
      </c>
      <c r="AF70" s="318">
        <v>0</v>
      </c>
      <c r="AG70" s="318">
        <v>0</v>
      </c>
      <c r="AH70" s="318">
        <v>0</v>
      </c>
      <c r="AI70" s="318">
        <v>0</v>
      </c>
      <c r="AJ70" s="318">
        <v>0</v>
      </c>
      <c r="AK70" s="318">
        <v>0</v>
      </c>
      <c r="AL70" s="318">
        <v>0</v>
      </c>
      <c r="AM70" s="318">
        <v>0</v>
      </c>
      <c r="AN70" s="318">
        <v>0</v>
      </c>
      <c r="AO70" s="318">
        <v>0</v>
      </c>
      <c r="AP70" s="318">
        <v>0</v>
      </c>
      <c r="AQ70" s="318">
        <v>0</v>
      </c>
      <c r="AR70" s="318"/>
      <c r="AS70" s="318"/>
      <c r="AT70" s="319">
        <f t="shared" ref="AT70:AT129" si="5">SUM(R70:AS70)</f>
        <v>1159750</v>
      </c>
      <c r="AU70" s="320">
        <f t="shared" ref="AU70:AU127" si="6">AT70-SUM(R70:AS70)</f>
        <v>0</v>
      </c>
      <c r="AV70" s="321">
        <f t="shared" si="3"/>
        <v>368570</v>
      </c>
      <c r="AW70" s="318">
        <f t="shared" si="2"/>
        <v>1159750</v>
      </c>
      <c r="AY70" s="322"/>
    </row>
    <row r="71" spans="2:51" outlineLevel="2" x14ac:dyDescent="0.25">
      <c r="B71" s="323" t="s">
        <v>786</v>
      </c>
      <c r="C71" s="324"/>
      <c r="D71" s="325" t="s">
        <v>950</v>
      </c>
      <c r="E71" s="326"/>
      <c r="F71" s="327"/>
      <c r="G71" s="327"/>
      <c r="H71" s="327"/>
      <c r="I71" s="327"/>
      <c r="J71" s="328"/>
      <c r="K71" s="329"/>
      <c r="L71" s="328" t="s">
        <v>951</v>
      </c>
      <c r="M71" s="328"/>
      <c r="N71" s="330">
        <f>SUM(O71:P71)</f>
        <v>2.2999999999999998</v>
      </c>
      <c r="O71" s="330">
        <v>2.2999999999999998</v>
      </c>
      <c r="P71" s="330">
        <f>$P$4</f>
        <v>0</v>
      </c>
      <c r="Q71" s="330" t="s">
        <v>751</v>
      </c>
      <c r="R71" s="331">
        <f>SUM(R70:$AQ70)*$N71/100</f>
        <v>26674.25</v>
      </c>
      <c r="S71" s="331">
        <f>SUM(S70:$AQ70)*$N71/100</f>
        <v>23876.345999999998</v>
      </c>
      <c r="T71" s="331">
        <f>SUM(T70:$AQ70)*$N71/100</f>
        <v>21185.345999999998</v>
      </c>
      <c r="U71" s="331">
        <f>SUM(U70:$AQ70)*$N71/100</f>
        <v>18494.345999999998</v>
      </c>
      <c r="V71" s="331">
        <f>SUM(V70:$AQ70)*$N71/100</f>
        <v>15803.345999999998</v>
      </c>
      <c r="W71" s="331">
        <f>SUM(W70:$AQ70)*$N71/100</f>
        <v>13112.345999999998</v>
      </c>
      <c r="X71" s="331">
        <f>SUM(X70:$AQ70)*$N71/100</f>
        <v>10574.985999999999</v>
      </c>
      <c r="Y71" s="331">
        <f>SUM(Y70:$AQ70)*$N71/100</f>
        <v>8477.1099999999988</v>
      </c>
      <c r="Z71" s="331">
        <f>SUM(Z70:$AQ70)*$N71/100</f>
        <v>6576.9419999999991</v>
      </c>
      <c r="AA71" s="331">
        <f>SUM(AA70:$AQ70)*$N71/100</f>
        <v>4676.7739999999994</v>
      </c>
      <c r="AB71" s="331">
        <f>SUM(AB70:$AQ70)*$N71/100</f>
        <v>2776.6059999999998</v>
      </c>
      <c r="AC71" s="331">
        <f>SUM(AC70:$AQ70)*$N71/100</f>
        <v>1031.826</v>
      </c>
      <c r="AD71" s="331">
        <f>SUM(AD70:$AQ70)*$N71/100</f>
        <v>182.94199999999998</v>
      </c>
      <c r="AE71" s="331">
        <v>0</v>
      </c>
      <c r="AF71" s="331">
        <v>0</v>
      </c>
      <c r="AG71" s="331">
        <v>0</v>
      </c>
      <c r="AH71" s="331">
        <v>0</v>
      </c>
      <c r="AI71" s="331">
        <v>0</v>
      </c>
      <c r="AJ71" s="331">
        <v>0</v>
      </c>
      <c r="AK71" s="331">
        <v>0</v>
      </c>
      <c r="AL71" s="331">
        <v>0</v>
      </c>
      <c r="AM71" s="331">
        <v>0</v>
      </c>
      <c r="AN71" s="331">
        <v>0</v>
      </c>
      <c r="AO71" s="331">
        <v>0</v>
      </c>
      <c r="AP71" s="331">
        <v>0</v>
      </c>
      <c r="AQ71" s="331">
        <v>0</v>
      </c>
      <c r="AR71" s="331"/>
      <c r="AS71" s="331"/>
      <c r="AT71" s="332">
        <f t="shared" si="5"/>
        <v>153443.166</v>
      </c>
      <c r="AU71" s="320">
        <f t="shared" si="6"/>
        <v>0</v>
      </c>
      <c r="AV71" s="333">
        <f t="shared" si="3"/>
        <v>23722.199999999997</v>
      </c>
      <c r="AW71" s="331">
        <f t="shared" ref="AW71:AW129" si="7">SUM(R71:X71,AV71)</f>
        <v>153443.16599999997</v>
      </c>
      <c r="AY71" s="322"/>
    </row>
    <row r="72" spans="2:51" s="309" customFormat="1" outlineLevel="2" x14ac:dyDescent="0.25">
      <c r="B72" s="310" t="s">
        <v>786</v>
      </c>
      <c r="C72" s="311">
        <v>34</v>
      </c>
      <c r="D72" s="312" t="s">
        <v>952</v>
      </c>
      <c r="E72" s="313" t="s">
        <v>953</v>
      </c>
      <c r="F72" s="314" t="s">
        <v>954</v>
      </c>
      <c r="G72" s="314" t="s">
        <v>955</v>
      </c>
      <c r="H72" s="314" t="s">
        <v>956</v>
      </c>
      <c r="I72" s="314" t="s">
        <v>747</v>
      </c>
      <c r="J72" s="315">
        <v>617703</v>
      </c>
      <c r="K72" s="316">
        <v>533970</v>
      </c>
      <c r="L72" s="316"/>
      <c r="M72" s="316"/>
      <c r="N72" s="334"/>
      <c r="O72" s="334"/>
      <c r="P72" s="317"/>
      <c r="Q72" s="317" t="s">
        <v>748</v>
      </c>
      <c r="R72" s="318">
        <v>20940</v>
      </c>
      <c r="S72" s="318">
        <v>20940</v>
      </c>
      <c r="T72" s="318">
        <v>20940</v>
      </c>
      <c r="U72" s="318">
        <v>20940</v>
      </c>
      <c r="V72" s="318">
        <v>20940</v>
      </c>
      <c r="W72" s="318">
        <v>20940</v>
      </c>
      <c r="X72" s="318">
        <v>20940</v>
      </c>
      <c r="Y72" s="318">
        <v>20940</v>
      </c>
      <c r="Z72" s="318">
        <v>20940</v>
      </c>
      <c r="AA72" s="318">
        <v>20940</v>
      </c>
      <c r="AB72" s="318">
        <v>20940</v>
      </c>
      <c r="AC72" s="318">
        <v>20940</v>
      </c>
      <c r="AD72" s="318">
        <v>20940</v>
      </c>
      <c r="AE72" s="318">
        <v>20940</v>
      </c>
      <c r="AF72" s="318">
        <v>20940</v>
      </c>
      <c r="AG72" s="318">
        <v>20940</v>
      </c>
      <c r="AH72" s="318">
        <v>20940</v>
      </c>
      <c r="AI72" s="318">
        <v>20940</v>
      </c>
      <c r="AJ72" s="318">
        <v>20940</v>
      </c>
      <c r="AK72" s="318">
        <v>20940</v>
      </c>
      <c r="AL72" s="318">
        <v>20940</v>
      </c>
      <c r="AM72" s="318">
        <v>20940</v>
      </c>
      <c r="AN72" s="318">
        <v>20940</v>
      </c>
      <c r="AO72" s="318">
        <v>20940</v>
      </c>
      <c r="AP72" s="318">
        <v>20940</v>
      </c>
      <c r="AQ72" s="318">
        <v>10470</v>
      </c>
      <c r="AR72" s="318"/>
      <c r="AS72" s="318"/>
      <c r="AT72" s="319">
        <f t="shared" si="5"/>
        <v>533970</v>
      </c>
      <c r="AU72" s="320">
        <f t="shared" si="6"/>
        <v>0</v>
      </c>
      <c r="AV72" s="321">
        <f t="shared" ref="AV72:AV129" si="8">SUM(Y72:AS72)</f>
        <v>387390</v>
      </c>
      <c r="AW72" s="318">
        <f t="shared" si="7"/>
        <v>533970</v>
      </c>
      <c r="AY72" s="322"/>
    </row>
    <row r="73" spans="2:51" outlineLevel="2" x14ac:dyDescent="0.25">
      <c r="B73" s="323" t="s">
        <v>786</v>
      </c>
      <c r="C73" s="324"/>
      <c r="D73" s="325"/>
      <c r="E73" s="326"/>
      <c r="F73" s="327"/>
      <c r="G73" s="327"/>
      <c r="H73" s="327"/>
      <c r="I73" s="327"/>
      <c r="J73" s="328"/>
      <c r="K73" s="329"/>
      <c r="L73" s="328" t="s">
        <v>957</v>
      </c>
      <c r="M73" s="328"/>
      <c r="N73" s="330">
        <f>SUM(O73:P73)</f>
        <v>2.7010000000000001</v>
      </c>
      <c r="O73" s="330">
        <v>2.7010000000000001</v>
      </c>
      <c r="P73" s="330">
        <f>$P$4</f>
        <v>0</v>
      </c>
      <c r="Q73" s="330" t="s">
        <v>751</v>
      </c>
      <c r="R73" s="331">
        <f>SUM(R72:$AQ72)*$N73/100</f>
        <v>14422.529699999999</v>
      </c>
      <c r="S73" s="331">
        <f>SUM(S72:$AQ72)*$N73/100</f>
        <v>13856.9403</v>
      </c>
      <c r="T73" s="331">
        <f>SUM(T72:$AQ72)*$N73/100</f>
        <v>13291.350900000001</v>
      </c>
      <c r="U73" s="331">
        <f>SUM(U72:$AQ72)*$N73/100</f>
        <v>12725.761500000001</v>
      </c>
      <c r="V73" s="331">
        <f>SUM(V72:$AQ72)*$N73/100</f>
        <v>12160.1721</v>
      </c>
      <c r="W73" s="331">
        <f>SUM(W72:$AQ72)*$N73/100</f>
        <v>11594.582700000001</v>
      </c>
      <c r="X73" s="331">
        <f>SUM(X72:$AQ72)*$N73/100</f>
        <v>11028.9933</v>
      </c>
      <c r="Y73" s="331">
        <f>SUM(Y72:$AQ72)*$N73/100</f>
        <v>10463.403899999999</v>
      </c>
      <c r="Z73" s="331">
        <f>SUM(Z72:$AQ72)*$N73/100</f>
        <v>9897.8145000000004</v>
      </c>
      <c r="AA73" s="331">
        <f>SUM(AA72:$AQ72)*$N73/100</f>
        <v>9332.2250999999997</v>
      </c>
      <c r="AB73" s="331">
        <f>SUM(AB72:$AQ72)*$N73/100</f>
        <v>8766.6357000000007</v>
      </c>
      <c r="AC73" s="331">
        <f>SUM(AC72:$AQ72)*$N73/100</f>
        <v>8201.0463</v>
      </c>
      <c r="AD73" s="331">
        <f>SUM(AD72:$AQ72)*$N73/100</f>
        <v>7635.456900000001</v>
      </c>
      <c r="AE73" s="331">
        <f>SUM(AE72:$AQ72)*$N73/100</f>
        <v>7069.8675000000003</v>
      </c>
      <c r="AF73" s="331">
        <f>SUM(AF72:$AQ72)*$N73/100</f>
        <v>6504.2781000000004</v>
      </c>
      <c r="AG73" s="331">
        <f>SUM(AG72:$AQ72)*$N73/100</f>
        <v>5938.6886999999997</v>
      </c>
      <c r="AH73" s="331">
        <f>SUM(AH72:$AQ72)*$N73/100</f>
        <v>5373.0993000000008</v>
      </c>
      <c r="AI73" s="331">
        <f>SUM(AI72:$AQ72)*$N73/100</f>
        <v>4807.5099</v>
      </c>
      <c r="AJ73" s="331">
        <f>SUM(AJ72:$AQ72)*$N73/100</f>
        <v>4241.9205000000002</v>
      </c>
      <c r="AK73" s="331">
        <f>SUM(AK72:$AQ72)*$N73/100</f>
        <v>3676.3310999999999</v>
      </c>
      <c r="AL73" s="331">
        <f>SUM(AL72:$AQ72)*$N73/100</f>
        <v>3110.7417</v>
      </c>
      <c r="AM73" s="331">
        <f>SUM(AM72:$AQ72)*$N73/100</f>
        <v>2545.1523000000002</v>
      </c>
      <c r="AN73" s="331">
        <f>SUM(AN72:$AQ72)*$N73/100</f>
        <v>1979.5629000000001</v>
      </c>
      <c r="AO73" s="331">
        <f>SUM(AO72:$AQ72)*$N73/100</f>
        <v>1413.9735000000001</v>
      </c>
      <c r="AP73" s="331">
        <f>SUM(AP72:$AQ72)*$N73/100</f>
        <v>848.38409999999999</v>
      </c>
      <c r="AQ73" s="331">
        <f>SUM(AQ72:$AQ72)*$N73/100</f>
        <v>282.79470000000003</v>
      </c>
      <c r="AR73" s="331"/>
      <c r="AS73" s="331"/>
      <c r="AT73" s="332">
        <f t="shared" si="5"/>
        <v>191169.21719999998</v>
      </c>
      <c r="AU73" s="320">
        <f t="shared" si="6"/>
        <v>0</v>
      </c>
      <c r="AV73" s="333">
        <f t="shared" si="8"/>
        <v>102088.8867</v>
      </c>
      <c r="AW73" s="331">
        <f t="shared" si="7"/>
        <v>191169.21720000001</v>
      </c>
      <c r="AY73" s="322"/>
    </row>
    <row r="74" spans="2:51" s="309" customFormat="1" outlineLevel="2" x14ac:dyDescent="0.25">
      <c r="B74" s="310" t="s">
        <v>786</v>
      </c>
      <c r="C74" s="311">
        <v>35</v>
      </c>
      <c r="D74" s="312" t="s">
        <v>958</v>
      </c>
      <c r="E74" s="313" t="s">
        <v>959</v>
      </c>
      <c r="F74" s="314" t="s">
        <v>960</v>
      </c>
      <c r="G74" s="314" t="s">
        <v>961</v>
      </c>
      <c r="H74" s="314" t="s">
        <v>962</v>
      </c>
      <c r="I74" s="314" t="s">
        <v>747</v>
      </c>
      <c r="J74" s="315">
        <v>131926.07</v>
      </c>
      <c r="K74" s="316">
        <v>104865.07</v>
      </c>
      <c r="L74" s="316"/>
      <c r="M74" s="316"/>
      <c r="N74" s="334"/>
      <c r="O74" s="334"/>
      <c r="P74" s="317"/>
      <c r="Q74" s="317" t="s">
        <v>748</v>
      </c>
      <c r="R74" s="318">
        <v>6772</v>
      </c>
      <c r="S74" s="318">
        <v>6772</v>
      </c>
      <c r="T74" s="318">
        <v>6772</v>
      </c>
      <c r="U74" s="318">
        <v>6772</v>
      </c>
      <c r="V74" s="318">
        <v>6772</v>
      </c>
      <c r="W74" s="318">
        <v>6772</v>
      </c>
      <c r="X74" s="318">
        <v>6772</v>
      </c>
      <c r="Y74" s="318">
        <v>6772</v>
      </c>
      <c r="Z74" s="318">
        <v>6772</v>
      </c>
      <c r="AA74" s="318">
        <v>6772</v>
      </c>
      <c r="AB74" s="318">
        <v>6772</v>
      </c>
      <c r="AC74" s="318">
        <v>6772</v>
      </c>
      <c r="AD74" s="318">
        <v>6772</v>
      </c>
      <c r="AE74" s="318">
        <v>6772</v>
      </c>
      <c r="AF74" s="318">
        <v>6772</v>
      </c>
      <c r="AG74" s="318">
        <v>3285.0699999999997</v>
      </c>
      <c r="AH74" s="318">
        <v>0</v>
      </c>
      <c r="AI74" s="318">
        <v>0</v>
      </c>
      <c r="AJ74" s="318">
        <v>0</v>
      </c>
      <c r="AK74" s="318">
        <v>0</v>
      </c>
      <c r="AL74" s="318">
        <v>0</v>
      </c>
      <c r="AM74" s="318">
        <v>0</v>
      </c>
      <c r="AN74" s="318">
        <v>0</v>
      </c>
      <c r="AO74" s="318">
        <v>0</v>
      </c>
      <c r="AP74" s="318">
        <v>0</v>
      </c>
      <c r="AQ74" s="318">
        <v>0</v>
      </c>
      <c r="AR74" s="318"/>
      <c r="AS74" s="318"/>
      <c r="AT74" s="319">
        <f t="shared" si="5"/>
        <v>104865.07</v>
      </c>
      <c r="AU74" s="320">
        <f t="shared" si="6"/>
        <v>0</v>
      </c>
      <c r="AV74" s="321">
        <f t="shared" si="8"/>
        <v>57461.07</v>
      </c>
      <c r="AW74" s="318">
        <f t="shared" si="7"/>
        <v>104865.07</v>
      </c>
      <c r="AY74" s="322"/>
    </row>
    <row r="75" spans="2:51" outlineLevel="2" x14ac:dyDescent="0.25">
      <c r="B75" s="323" t="s">
        <v>786</v>
      </c>
      <c r="C75" s="324"/>
      <c r="D75" s="325"/>
      <c r="E75" s="326"/>
      <c r="F75" s="327"/>
      <c r="G75" s="327"/>
      <c r="H75" s="327"/>
      <c r="I75" s="327"/>
      <c r="J75" s="328"/>
      <c r="K75" s="329"/>
      <c r="L75" s="328" t="s">
        <v>963</v>
      </c>
      <c r="M75" s="328"/>
      <c r="N75" s="330">
        <f>SUM(O75:P75)</f>
        <v>2.5369999999999999</v>
      </c>
      <c r="O75" s="330">
        <v>2.5369999999999999</v>
      </c>
      <c r="P75" s="330">
        <f>$P$4</f>
        <v>0</v>
      </c>
      <c r="Q75" s="330" t="s">
        <v>751</v>
      </c>
      <c r="R75" s="331">
        <f>SUM(R74:$AQ74)*$N75/100</f>
        <v>2660.4268259</v>
      </c>
      <c r="S75" s="331">
        <f>SUM(S74:$AQ74)*$N75/100</f>
        <v>2488.6211859</v>
      </c>
      <c r="T75" s="331">
        <f>SUM(T74:$AQ74)*$N75/100</f>
        <v>2316.8155459</v>
      </c>
      <c r="U75" s="331">
        <f>SUM(U74:$AQ74)*$N75/100</f>
        <v>2145.0099058999999</v>
      </c>
      <c r="V75" s="331">
        <f>SUM(V74:$AQ74)*$N75/100</f>
        <v>1973.2042659000001</v>
      </c>
      <c r="W75" s="331">
        <f>SUM(W74:$AQ74)*$N75/100</f>
        <v>1801.3986259000001</v>
      </c>
      <c r="X75" s="331">
        <f>SUM(X74:$AQ74)*$N75/100</f>
        <v>1629.5929858999998</v>
      </c>
      <c r="Y75" s="331">
        <f>SUM(Y74:$AQ74)*$N75/100</f>
        <v>1457.7873459</v>
      </c>
      <c r="Z75" s="331">
        <f>SUM(Z74:$AQ74)*$N75/100</f>
        <v>1285.9817059</v>
      </c>
      <c r="AA75" s="331">
        <f>SUM(AA74:$AQ74)*$N75/100</f>
        <v>1114.1760658999999</v>
      </c>
      <c r="AB75" s="331">
        <f>SUM(AB74:$AQ74)*$N75/100</f>
        <v>942.37042589999999</v>
      </c>
      <c r="AC75" s="331">
        <f>SUM(AC74:$AQ74)*$N75/100</f>
        <v>770.56478589999995</v>
      </c>
      <c r="AD75" s="331">
        <f>SUM(AD74:$AQ74)*$N75/100</f>
        <v>598.75914590000002</v>
      </c>
      <c r="AE75" s="331">
        <f>SUM(AE74:$AQ74)*$N75/100</f>
        <v>426.95350589999993</v>
      </c>
      <c r="AF75" s="331">
        <f>SUM(AF74:$AQ74)*$N75/100</f>
        <v>255.1478659</v>
      </c>
      <c r="AG75" s="331">
        <f>SUM(AG74:$AQ74)*$N75/100</f>
        <v>83.342225899999988</v>
      </c>
      <c r="AH75" s="331">
        <v>0</v>
      </c>
      <c r="AI75" s="331">
        <v>0</v>
      </c>
      <c r="AJ75" s="331">
        <v>0</v>
      </c>
      <c r="AK75" s="331">
        <v>0</v>
      </c>
      <c r="AL75" s="331">
        <v>0</v>
      </c>
      <c r="AM75" s="331">
        <v>0</v>
      </c>
      <c r="AN75" s="331">
        <v>0</v>
      </c>
      <c r="AO75" s="331">
        <v>0</v>
      </c>
      <c r="AP75" s="331">
        <v>0</v>
      </c>
      <c r="AQ75" s="331">
        <v>0</v>
      </c>
      <c r="AR75" s="331"/>
      <c r="AS75" s="331"/>
      <c r="AT75" s="332">
        <f t="shared" si="5"/>
        <v>21950.152414399996</v>
      </c>
      <c r="AU75" s="320">
        <f t="shared" si="6"/>
        <v>0</v>
      </c>
      <c r="AV75" s="333">
        <f t="shared" si="8"/>
        <v>6935.0830730999996</v>
      </c>
      <c r="AW75" s="331">
        <f t="shared" si="7"/>
        <v>21950.152414399996</v>
      </c>
      <c r="AY75" s="322"/>
    </row>
    <row r="76" spans="2:51" s="309" customFormat="1" outlineLevel="2" collapsed="1" x14ac:dyDescent="0.25">
      <c r="B76" s="310" t="s">
        <v>786</v>
      </c>
      <c r="C76" s="311">
        <v>36</v>
      </c>
      <c r="D76" s="312" t="s">
        <v>964</v>
      </c>
      <c r="E76" s="313" t="s">
        <v>965</v>
      </c>
      <c r="F76" s="314" t="s">
        <v>966</v>
      </c>
      <c r="G76" s="314" t="s">
        <v>961</v>
      </c>
      <c r="H76" s="314" t="s">
        <v>962</v>
      </c>
      <c r="I76" s="314" t="s">
        <v>747</v>
      </c>
      <c r="J76" s="315">
        <v>145332</v>
      </c>
      <c r="K76" s="316">
        <v>115568</v>
      </c>
      <c r="L76" s="316"/>
      <c r="M76" s="316"/>
      <c r="N76" s="334"/>
      <c r="O76" s="334"/>
      <c r="P76" s="317"/>
      <c r="Q76" s="317" t="s">
        <v>748</v>
      </c>
      <c r="R76" s="318">
        <v>7456</v>
      </c>
      <c r="S76" s="318">
        <v>7456</v>
      </c>
      <c r="T76" s="318">
        <v>7456</v>
      </c>
      <c r="U76" s="318">
        <v>7456</v>
      </c>
      <c r="V76" s="318">
        <v>7456</v>
      </c>
      <c r="W76" s="318">
        <v>7456</v>
      </c>
      <c r="X76" s="318">
        <v>7456</v>
      </c>
      <c r="Y76" s="318">
        <v>7456</v>
      </c>
      <c r="Z76" s="318">
        <v>7456</v>
      </c>
      <c r="AA76" s="318">
        <v>7456</v>
      </c>
      <c r="AB76" s="318">
        <v>7456</v>
      </c>
      <c r="AC76" s="318">
        <v>7456</v>
      </c>
      <c r="AD76" s="318">
        <v>7456</v>
      </c>
      <c r="AE76" s="318">
        <v>7456</v>
      </c>
      <c r="AF76" s="318">
        <v>7456</v>
      </c>
      <c r="AG76" s="318">
        <v>3728</v>
      </c>
      <c r="AH76" s="318">
        <v>0</v>
      </c>
      <c r="AI76" s="318">
        <v>0</v>
      </c>
      <c r="AJ76" s="318">
        <v>0</v>
      </c>
      <c r="AK76" s="318">
        <v>0</v>
      </c>
      <c r="AL76" s="318">
        <v>0</v>
      </c>
      <c r="AM76" s="318">
        <v>0</v>
      </c>
      <c r="AN76" s="318">
        <v>0</v>
      </c>
      <c r="AO76" s="318">
        <v>0</v>
      </c>
      <c r="AP76" s="318">
        <v>0</v>
      </c>
      <c r="AQ76" s="318">
        <v>0</v>
      </c>
      <c r="AR76" s="318"/>
      <c r="AS76" s="318"/>
      <c r="AT76" s="319">
        <f t="shared" si="5"/>
        <v>115568</v>
      </c>
      <c r="AU76" s="320">
        <f t="shared" si="6"/>
        <v>0</v>
      </c>
      <c r="AV76" s="321">
        <f t="shared" si="8"/>
        <v>63376</v>
      </c>
      <c r="AW76" s="318">
        <f t="shared" si="7"/>
        <v>115568</v>
      </c>
      <c r="AY76" s="322"/>
    </row>
    <row r="77" spans="2:51" outlineLevel="2" x14ac:dyDescent="0.25">
      <c r="B77" s="323" t="s">
        <v>786</v>
      </c>
      <c r="C77" s="324"/>
      <c r="D77" s="325" t="s">
        <v>967</v>
      </c>
      <c r="E77" s="326"/>
      <c r="F77" s="327"/>
      <c r="G77" s="327"/>
      <c r="H77" s="327"/>
      <c r="I77" s="327"/>
      <c r="J77" s="328"/>
      <c r="K77" s="329"/>
      <c r="L77" s="328" t="s">
        <v>963</v>
      </c>
      <c r="M77" s="328"/>
      <c r="N77" s="330">
        <f>SUM(O77:P77)</f>
        <v>2.5369999999999999</v>
      </c>
      <c r="O77" s="330">
        <v>2.5369999999999999</v>
      </c>
      <c r="P77" s="330">
        <f>$P$4</f>
        <v>0</v>
      </c>
      <c r="Q77" s="330" t="s">
        <v>751</v>
      </c>
      <c r="R77" s="331">
        <f>SUM(R76:$AQ76)*$N77/100</f>
        <v>2931.9601600000001</v>
      </c>
      <c r="S77" s="331">
        <f>SUM(S76:$AQ76)*$N77/100</f>
        <v>2742.8014399999997</v>
      </c>
      <c r="T77" s="331">
        <f>SUM(T76:$AQ76)*$N77/100</f>
        <v>2553.6427199999998</v>
      </c>
      <c r="U77" s="331">
        <f>SUM(U76:$AQ76)*$N77/100</f>
        <v>2364.4839999999999</v>
      </c>
      <c r="V77" s="331">
        <f>SUM(V76:$AQ76)*$N77/100</f>
        <v>2175.32528</v>
      </c>
      <c r="W77" s="331">
        <f>SUM(W76:$AQ76)*$N77/100</f>
        <v>1986.1665599999999</v>
      </c>
      <c r="X77" s="331">
        <f>SUM(X76:$AQ76)*$N77/100</f>
        <v>1797.0078399999998</v>
      </c>
      <c r="Y77" s="331">
        <f>SUM(Y76:$AQ76)*$N77/100</f>
        <v>1607.8491199999999</v>
      </c>
      <c r="Z77" s="331">
        <f>SUM(Z76:$AQ76)*$N77/100</f>
        <v>1418.6904000000002</v>
      </c>
      <c r="AA77" s="331">
        <f>SUM(AA76:$AQ76)*$N77/100</f>
        <v>1229.5316799999998</v>
      </c>
      <c r="AB77" s="331">
        <f>SUM(AB76:$AQ76)*$N77/100</f>
        <v>1040.3729599999999</v>
      </c>
      <c r="AC77" s="331">
        <f>SUM(AC76:$AQ76)*$N77/100</f>
        <v>851.21424000000002</v>
      </c>
      <c r="AD77" s="331">
        <f>SUM(AD76:$AQ76)*$N77/100</f>
        <v>662.05552</v>
      </c>
      <c r="AE77" s="331">
        <f>SUM(AE76:$AQ76)*$N77/100</f>
        <v>472.89679999999998</v>
      </c>
      <c r="AF77" s="331">
        <f>SUM(AF76:$AQ76)*$N77/100</f>
        <v>283.73808000000002</v>
      </c>
      <c r="AG77" s="331">
        <f>SUM(AG76:$AQ76)*$N77/100</f>
        <v>94.579359999999994</v>
      </c>
      <c r="AH77" s="331">
        <v>0</v>
      </c>
      <c r="AI77" s="331">
        <v>0</v>
      </c>
      <c r="AJ77" s="331">
        <v>0</v>
      </c>
      <c r="AK77" s="331">
        <v>0</v>
      </c>
      <c r="AL77" s="331">
        <v>0</v>
      </c>
      <c r="AM77" s="331">
        <v>0</v>
      </c>
      <c r="AN77" s="331">
        <v>0</v>
      </c>
      <c r="AO77" s="331">
        <v>0</v>
      </c>
      <c r="AP77" s="331">
        <v>0</v>
      </c>
      <c r="AQ77" s="331">
        <v>0</v>
      </c>
      <c r="AR77" s="331"/>
      <c r="AS77" s="331"/>
      <c r="AT77" s="332">
        <f t="shared" si="5"/>
        <v>24212.316159999998</v>
      </c>
      <c r="AU77" s="320">
        <f t="shared" si="6"/>
        <v>0</v>
      </c>
      <c r="AV77" s="333">
        <f t="shared" si="8"/>
        <v>7660.9281600000004</v>
      </c>
      <c r="AW77" s="331">
        <f t="shared" si="7"/>
        <v>24212.316159999998</v>
      </c>
      <c r="AY77" s="322"/>
    </row>
    <row r="78" spans="2:51" s="309" customFormat="1" outlineLevel="2" x14ac:dyDescent="0.25">
      <c r="B78" s="310" t="s">
        <v>741</v>
      </c>
      <c r="C78" s="311">
        <v>37</v>
      </c>
      <c r="D78" s="312" t="s">
        <v>968</v>
      </c>
      <c r="E78" s="313" t="s">
        <v>969</v>
      </c>
      <c r="F78" s="314" t="s">
        <v>970</v>
      </c>
      <c r="G78" s="314" t="s">
        <v>971</v>
      </c>
      <c r="H78" s="314" t="s">
        <v>972</v>
      </c>
      <c r="I78" s="314" t="s">
        <v>747</v>
      </c>
      <c r="J78" s="315">
        <v>141294</v>
      </c>
      <c r="K78" s="316">
        <v>22311</v>
      </c>
      <c r="L78" s="316"/>
      <c r="M78" s="316"/>
      <c r="N78" s="334"/>
      <c r="O78" s="334"/>
      <c r="P78" s="317"/>
      <c r="Q78" s="317" t="s">
        <v>748</v>
      </c>
      <c r="R78" s="318">
        <v>22311</v>
      </c>
      <c r="S78" s="318">
        <v>0</v>
      </c>
      <c r="T78" s="318">
        <v>0</v>
      </c>
      <c r="U78" s="318">
        <v>0</v>
      </c>
      <c r="V78" s="318">
        <v>0</v>
      </c>
      <c r="W78" s="318">
        <v>0</v>
      </c>
      <c r="X78" s="318">
        <v>0</v>
      </c>
      <c r="Y78" s="318">
        <v>0</v>
      </c>
      <c r="Z78" s="318">
        <v>0</v>
      </c>
      <c r="AA78" s="318">
        <v>0</v>
      </c>
      <c r="AB78" s="318">
        <v>0</v>
      </c>
      <c r="AC78" s="318">
        <v>0</v>
      </c>
      <c r="AD78" s="318">
        <v>0</v>
      </c>
      <c r="AE78" s="318">
        <v>0</v>
      </c>
      <c r="AF78" s="318">
        <v>0</v>
      </c>
      <c r="AG78" s="318">
        <v>0</v>
      </c>
      <c r="AH78" s="318">
        <v>0</v>
      </c>
      <c r="AI78" s="318">
        <v>0</v>
      </c>
      <c r="AJ78" s="318">
        <v>0</v>
      </c>
      <c r="AK78" s="318">
        <v>0</v>
      </c>
      <c r="AL78" s="318">
        <v>0</v>
      </c>
      <c r="AM78" s="318">
        <v>0</v>
      </c>
      <c r="AN78" s="318">
        <v>0</v>
      </c>
      <c r="AO78" s="318">
        <v>0</v>
      </c>
      <c r="AP78" s="318">
        <v>0</v>
      </c>
      <c r="AQ78" s="318">
        <v>0</v>
      </c>
      <c r="AR78" s="318"/>
      <c r="AS78" s="318"/>
      <c r="AT78" s="319">
        <f t="shared" si="5"/>
        <v>22311</v>
      </c>
      <c r="AU78" s="320">
        <f t="shared" si="6"/>
        <v>0</v>
      </c>
      <c r="AV78" s="321">
        <f t="shared" si="8"/>
        <v>0</v>
      </c>
      <c r="AW78" s="318">
        <f t="shared" si="7"/>
        <v>22311</v>
      </c>
      <c r="AY78" s="322"/>
    </row>
    <row r="79" spans="2:51" outlineLevel="2" x14ac:dyDescent="0.25">
      <c r="B79" s="323" t="s">
        <v>741</v>
      </c>
      <c r="C79" s="324"/>
      <c r="D79" s="325"/>
      <c r="E79" s="326"/>
      <c r="F79" s="327"/>
      <c r="G79" s="327"/>
      <c r="H79" s="327"/>
      <c r="I79" s="327"/>
      <c r="J79" s="328"/>
      <c r="K79" s="329"/>
      <c r="L79" s="328">
        <v>0</v>
      </c>
      <c r="M79" s="328" t="s">
        <v>931</v>
      </c>
      <c r="N79" s="330">
        <f>SUM(O79:P79)</f>
        <v>0.25</v>
      </c>
      <c r="O79" s="330">
        <v>0.25</v>
      </c>
      <c r="P79" s="330">
        <f>$P$4</f>
        <v>0</v>
      </c>
      <c r="Q79" s="330" t="s">
        <v>751</v>
      </c>
      <c r="R79" s="331">
        <f>SUM(R78:$AQ78)*$N79/100</f>
        <v>55.777500000000003</v>
      </c>
      <c r="S79" s="331">
        <v>0</v>
      </c>
      <c r="T79" s="331">
        <v>0</v>
      </c>
      <c r="U79" s="331">
        <v>0</v>
      </c>
      <c r="V79" s="331">
        <v>0</v>
      </c>
      <c r="W79" s="331">
        <v>0</v>
      </c>
      <c r="X79" s="331">
        <v>0</v>
      </c>
      <c r="Y79" s="331">
        <v>0</v>
      </c>
      <c r="Z79" s="331">
        <v>0</v>
      </c>
      <c r="AA79" s="331">
        <v>0</v>
      </c>
      <c r="AB79" s="331">
        <v>0</v>
      </c>
      <c r="AC79" s="331">
        <v>0</v>
      </c>
      <c r="AD79" s="331">
        <v>0</v>
      </c>
      <c r="AE79" s="331">
        <v>0</v>
      </c>
      <c r="AF79" s="331">
        <v>0</v>
      </c>
      <c r="AG79" s="331">
        <v>0</v>
      </c>
      <c r="AH79" s="331">
        <v>0</v>
      </c>
      <c r="AI79" s="331">
        <v>0</v>
      </c>
      <c r="AJ79" s="331">
        <v>0</v>
      </c>
      <c r="AK79" s="331">
        <v>0</v>
      </c>
      <c r="AL79" s="331">
        <v>0</v>
      </c>
      <c r="AM79" s="331">
        <v>0</v>
      </c>
      <c r="AN79" s="331">
        <v>0</v>
      </c>
      <c r="AO79" s="331">
        <v>0</v>
      </c>
      <c r="AP79" s="331">
        <v>0</v>
      </c>
      <c r="AQ79" s="331">
        <v>0</v>
      </c>
      <c r="AR79" s="331"/>
      <c r="AS79" s="331"/>
      <c r="AT79" s="332">
        <f t="shared" si="5"/>
        <v>55.777500000000003</v>
      </c>
      <c r="AU79" s="320">
        <f t="shared" si="6"/>
        <v>0</v>
      </c>
      <c r="AV79" s="333">
        <f t="shared" si="8"/>
        <v>0</v>
      </c>
      <c r="AW79" s="331">
        <f t="shared" si="7"/>
        <v>55.777500000000003</v>
      </c>
      <c r="AY79" s="322"/>
    </row>
    <row r="80" spans="2:51" s="309" customFormat="1" outlineLevel="2" x14ac:dyDescent="0.25">
      <c r="B80" s="310" t="s">
        <v>741</v>
      </c>
      <c r="C80" s="311">
        <v>38</v>
      </c>
      <c r="D80" s="312" t="s">
        <v>973</v>
      </c>
      <c r="E80" s="313" t="s">
        <v>974</v>
      </c>
      <c r="F80" s="314" t="s">
        <v>975</v>
      </c>
      <c r="G80" s="314" t="s">
        <v>976</v>
      </c>
      <c r="H80" s="314" t="s">
        <v>977</v>
      </c>
      <c r="I80" s="314" t="s">
        <v>747</v>
      </c>
      <c r="J80" s="315">
        <v>186392</v>
      </c>
      <c r="K80" s="316">
        <v>23512.46</v>
      </c>
      <c r="L80" s="316"/>
      <c r="M80" s="316"/>
      <c r="N80" s="334"/>
      <c r="O80" s="334"/>
      <c r="P80" s="317"/>
      <c r="Q80" s="317" t="s">
        <v>748</v>
      </c>
      <c r="R80" s="318">
        <v>8240</v>
      </c>
      <c r="S80" s="318">
        <v>8240</v>
      </c>
      <c r="T80" s="318">
        <f>8240-1208</f>
        <v>7032</v>
      </c>
      <c r="U80" s="318"/>
      <c r="V80" s="318"/>
      <c r="W80" s="318"/>
      <c r="X80" s="318"/>
      <c r="Y80" s="318"/>
      <c r="Z80" s="318"/>
      <c r="AA80" s="318"/>
      <c r="AB80" s="318"/>
      <c r="AC80" s="318"/>
      <c r="AD80" s="318"/>
      <c r="AE80" s="318"/>
      <c r="AF80" s="318"/>
      <c r="AG80" s="318">
        <v>0</v>
      </c>
      <c r="AH80" s="318">
        <v>0</v>
      </c>
      <c r="AI80" s="318">
        <v>0</v>
      </c>
      <c r="AJ80" s="318">
        <v>0</v>
      </c>
      <c r="AK80" s="318">
        <v>0</v>
      </c>
      <c r="AL80" s="318">
        <v>0</v>
      </c>
      <c r="AM80" s="318">
        <v>0</v>
      </c>
      <c r="AN80" s="318">
        <v>0</v>
      </c>
      <c r="AO80" s="318">
        <v>0</v>
      </c>
      <c r="AP80" s="318">
        <v>0</v>
      </c>
      <c r="AQ80" s="318">
        <v>0</v>
      </c>
      <c r="AR80" s="318"/>
      <c r="AS80" s="318"/>
      <c r="AT80" s="319">
        <f t="shared" si="5"/>
        <v>23512</v>
      </c>
      <c r="AU80" s="320">
        <f t="shared" si="6"/>
        <v>0</v>
      </c>
      <c r="AV80" s="321">
        <f t="shared" si="8"/>
        <v>0</v>
      </c>
      <c r="AW80" s="318">
        <f t="shared" si="7"/>
        <v>23512</v>
      </c>
      <c r="AY80" s="322"/>
    </row>
    <row r="81" spans="2:51" outlineLevel="2" x14ac:dyDescent="0.25">
      <c r="B81" s="323" t="s">
        <v>741</v>
      </c>
      <c r="C81" s="324"/>
      <c r="D81" s="325" t="s">
        <v>978</v>
      </c>
      <c r="E81" s="326"/>
      <c r="F81" s="327"/>
      <c r="G81" s="327"/>
      <c r="H81" s="327"/>
      <c r="I81" s="327"/>
      <c r="J81" s="328"/>
      <c r="K81" s="329"/>
      <c r="L81" s="328" t="s">
        <v>979</v>
      </c>
      <c r="M81" s="328"/>
      <c r="N81" s="330">
        <f>SUM(O81:P81)</f>
        <v>2.831</v>
      </c>
      <c r="O81" s="330">
        <v>2.831</v>
      </c>
      <c r="P81" s="330">
        <f>$P$4</f>
        <v>0</v>
      </c>
      <c r="Q81" s="330" t="s">
        <v>751</v>
      </c>
      <c r="R81" s="331">
        <f>SUM(R80:$AQ80)*$N81/100</f>
        <v>665.62471999999991</v>
      </c>
      <c r="S81" s="331">
        <f>SUM(S80:$AQ80)*$N81/100</f>
        <v>432.35032000000001</v>
      </c>
      <c r="T81" s="331">
        <f>SUM(T80:$AQ80)*$N81/100</f>
        <v>199.07592</v>
      </c>
      <c r="U81" s="331">
        <f>SUM(U80:$AQ80)*$N81/100</f>
        <v>0</v>
      </c>
      <c r="V81" s="331">
        <f>SUM(V80:$AQ80)*$N81/100</f>
        <v>0</v>
      </c>
      <c r="W81" s="331">
        <f>SUM(W80:$AQ80)*$N81/100</f>
        <v>0</v>
      </c>
      <c r="X81" s="331">
        <f>SUM(X80:$AQ80)*$N81/100</f>
        <v>0</v>
      </c>
      <c r="Y81" s="331">
        <f>SUM(Y80:$AQ80)*$N81/100</f>
        <v>0</v>
      </c>
      <c r="Z81" s="331">
        <f>SUM(Z80:$AQ80)*$N81/100</f>
        <v>0</v>
      </c>
      <c r="AA81" s="331">
        <f>SUM(AA80:$AQ80)*$N81/100</f>
        <v>0</v>
      </c>
      <c r="AB81" s="331">
        <f>SUM(AB80:$AQ80)*$N81/100</f>
        <v>0</v>
      </c>
      <c r="AC81" s="331">
        <f>SUM(AC80:$AQ80)*$N81/100</f>
        <v>0</v>
      </c>
      <c r="AD81" s="331">
        <f>SUM(AD80:$AQ80)*$N81/100</f>
        <v>0</v>
      </c>
      <c r="AE81" s="331">
        <f>SUM(AE80:$AQ80)*$N81/100</f>
        <v>0</v>
      </c>
      <c r="AF81" s="331">
        <f>SUM(AF80:$AQ80)*$N81/100</f>
        <v>0</v>
      </c>
      <c r="AG81" s="331">
        <v>0</v>
      </c>
      <c r="AH81" s="331">
        <v>0</v>
      </c>
      <c r="AI81" s="331">
        <v>0</v>
      </c>
      <c r="AJ81" s="331">
        <v>0</v>
      </c>
      <c r="AK81" s="331">
        <v>0</v>
      </c>
      <c r="AL81" s="331">
        <v>0</v>
      </c>
      <c r="AM81" s="331">
        <v>0</v>
      </c>
      <c r="AN81" s="331">
        <v>0</v>
      </c>
      <c r="AO81" s="331">
        <v>0</v>
      </c>
      <c r="AP81" s="331">
        <v>0</v>
      </c>
      <c r="AQ81" s="331">
        <v>0</v>
      </c>
      <c r="AR81" s="331"/>
      <c r="AS81" s="331"/>
      <c r="AT81" s="332">
        <f t="shared" si="5"/>
        <v>1297.0509599999998</v>
      </c>
      <c r="AU81" s="320">
        <f t="shared" si="6"/>
        <v>0</v>
      </c>
      <c r="AV81" s="333">
        <f t="shared" si="8"/>
        <v>0</v>
      </c>
      <c r="AW81" s="331">
        <f t="shared" si="7"/>
        <v>1297.0509599999998</v>
      </c>
      <c r="AY81" s="322"/>
    </row>
    <row r="82" spans="2:51" s="309" customFormat="1" outlineLevel="2" x14ac:dyDescent="0.25">
      <c r="B82" s="310" t="s">
        <v>741</v>
      </c>
      <c r="C82" s="311">
        <v>39</v>
      </c>
      <c r="D82" s="312" t="s">
        <v>980</v>
      </c>
      <c r="E82" s="313" t="s">
        <v>981</v>
      </c>
      <c r="F82" s="314" t="s">
        <v>982</v>
      </c>
      <c r="G82" s="314" t="s">
        <v>976</v>
      </c>
      <c r="H82" s="314" t="s">
        <v>983</v>
      </c>
      <c r="I82" s="314" t="s">
        <v>747</v>
      </c>
      <c r="J82" s="315">
        <v>697002</v>
      </c>
      <c r="K82" s="316">
        <v>440232</v>
      </c>
      <c r="L82" s="316"/>
      <c r="M82" s="316"/>
      <c r="N82" s="334"/>
      <c r="O82" s="334"/>
      <c r="P82" s="317"/>
      <c r="Q82" s="317" t="s">
        <v>748</v>
      </c>
      <c r="R82" s="318">
        <v>73372</v>
      </c>
      <c r="S82" s="318">
        <v>73372</v>
      </c>
      <c r="T82" s="318">
        <v>73372</v>
      </c>
      <c r="U82" s="318">
        <v>73372</v>
      </c>
      <c r="V82" s="318">
        <v>73372</v>
      </c>
      <c r="W82" s="318">
        <v>73372</v>
      </c>
      <c r="X82" s="318">
        <v>0</v>
      </c>
      <c r="Y82" s="318">
        <v>0</v>
      </c>
      <c r="Z82" s="318">
        <v>0</v>
      </c>
      <c r="AA82" s="318">
        <v>0</v>
      </c>
      <c r="AB82" s="318">
        <v>0</v>
      </c>
      <c r="AC82" s="318">
        <v>0</v>
      </c>
      <c r="AD82" s="318">
        <v>0</v>
      </c>
      <c r="AE82" s="318">
        <v>0</v>
      </c>
      <c r="AF82" s="318">
        <v>0</v>
      </c>
      <c r="AG82" s="318">
        <v>0</v>
      </c>
      <c r="AH82" s="318">
        <v>0</v>
      </c>
      <c r="AI82" s="318">
        <v>0</v>
      </c>
      <c r="AJ82" s="318">
        <v>0</v>
      </c>
      <c r="AK82" s="318">
        <v>0</v>
      </c>
      <c r="AL82" s="318">
        <v>0</v>
      </c>
      <c r="AM82" s="318">
        <v>0</v>
      </c>
      <c r="AN82" s="318">
        <v>0</v>
      </c>
      <c r="AO82" s="318">
        <v>0</v>
      </c>
      <c r="AP82" s="318">
        <v>0</v>
      </c>
      <c r="AQ82" s="318">
        <v>0</v>
      </c>
      <c r="AR82" s="318"/>
      <c r="AS82" s="318"/>
      <c r="AT82" s="319">
        <f t="shared" si="5"/>
        <v>440232</v>
      </c>
      <c r="AU82" s="320">
        <f t="shared" si="6"/>
        <v>0</v>
      </c>
      <c r="AV82" s="321">
        <f t="shared" si="8"/>
        <v>0</v>
      </c>
      <c r="AW82" s="318">
        <f t="shared" si="7"/>
        <v>440232</v>
      </c>
      <c r="AY82" s="322"/>
    </row>
    <row r="83" spans="2:51" outlineLevel="2" x14ac:dyDescent="0.25">
      <c r="B83" s="323" t="s">
        <v>741</v>
      </c>
      <c r="C83" s="324"/>
      <c r="D83" s="325"/>
      <c r="E83" s="326"/>
      <c r="F83" s="327"/>
      <c r="G83" s="327"/>
      <c r="H83" s="327"/>
      <c r="I83" s="327"/>
      <c r="J83" s="328"/>
      <c r="K83" s="329"/>
      <c r="L83" s="328" t="s">
        <v>979</v>
      </c>
      <c r="M83" s="328"/>
      <c r="N83" s="330">
        <f>SUM(O83:P83)</f>
        <v>2.6869999999999998</v>
      </c>
      <c r="O83" s="330">
        <v>2.6869999999999998</v>
      </c>
      <c r="P83" s="330">
        <f>$P$4</f>
        <v>0</v>
      </c>
      <c r="Q83" s="330" t="s">
        <v>751</v>
      </c>
      <c r="R83" s="331">
        <f>SUM(R82:$AQ82)*$N83/100</f>
        <v>11829.033839999998</v>
      </c>
      <c r="S83" s="331">
        <f>SUM(S82:$AQ82)*$N83/100</f>
        <v>9857.5281999999988</v>
      </c>
      <c r="T83" s="331">
        <f>SUM(T82:$AQ82)*$N83/100</f>
        <v>7886.0225599999994</v>
      </c>
      <c r="U83" s="331">
        <f>SUM(U82:$AQ82)*$N83/100</f>
        <v>5914.5169199999991</v>
      </c>
      <c r="V83" s="331">
        <f>SUM(V82:$AQ82)*$N83/100</f>
        <v>3943.0112799999997</v>
      </c>
      <c r="W83" s="331">
        <f>SUM(W82:$AQ82)*$N83/100</f>
        <v>1971.5056399999999</v>
      </c>
      <c r="X83" s="331">
        <v>0</v>
      </c>
      <c r="Y83" s="331">
        <v>0</v>
      </c>
      <c r="Z83" s="331">
        <v>0</v>
      </c>
      <c r="AA83" s="331">
        <v>0</v>
      </c>
      <c r="AB83" s="331">
        <v>0</v>
      </c>
      <c r="AC83" s="331">
        <v>0</v>
      </c>
      <c r="AD83" s="331">
        <v>0</v>
      </c>
      <c r="AE83" s="331">
        <v>0</v>
      </c>
      <c r="AF83" s="331">
        <v>0</v>
      </c>
      <c r="AG83" s="331">
        <v>0</v>
      </c>
      <c r="AH83" s="331">
        <v>0</v>
      </c>
      <c r="AI83" s="331">
        <v>0</v>
      </c>
      <c r="AJ83" s="331">
        <v>0</v>
      </c>
      <c r="AK83" s="331">
        <v>0</v>
      </c>
      <c r="AL83" s="331">
        <v>0</v>
      </c>
      <c r="AM83" s="331">
        <v>0</v>
      </c>
      <c r="AN83" s="331">
        <v>0</v>
      </c>
      <c r="AO83" s="331">
        <v>0</v>
      </c>
      <c r="AP83" s="331">
        <v>0</v>
      </c>
      <c r="AQ83" s="331">
        <v>0</v>
      </c>
      <c r="AR83" s="331"/>
      <c r="AS83" s="331"/>
      <c r="AT83" s="332">
        <f t="shared" si="5"/>
        <v>41401.618439999998</v>
      </c>
      <c r="AU83" s="320">
        <f t="shared" si="6"/>
        <v>0</v>
      </c>
      <c r="AV83" s="333">
        <f t="shared" si="8"/>
        <v>0</v>
      </c>
      <c r="AW83" s="331">
        <f t="shared" si="7"/>
        <v>41401.618439999998</v>
      </c>
      <c r="AY83" s="322"/>
    </row>
    <row r="84" spans="2:51" s="309" customFormat="1" outlineLevel="2" x14ac:dyDescent="0.25">
      <c r="B84" s="310" t="s">
        <v>741</v>
      </c>
      <c r="C84" s="311">
        <v>40</v>
      </c>
      <c r="D84" s="312" t="s">
        <v>984</v>
      </c>
      <c r="E84" s="313" t="s">
        <v>985</v>
      </c>
      <c r="F84" s="314" t="s">
        <v>986</v>
      </c>
      <c r="G84" s="314" t="s">
        <v>976</v>
      </c>
      <c r="H84" s="314" t="s">
        <v>983</v>
      </c>
      <c r="I84" s="314" t="s">
        <v>747</v>
      </c>
      <c r="J84" s="315">
        <v>559121.98</v>
      </c>
      <c r="K84" s="316">
        <v>326575.86</v>
      </c>
      <c r="L84" s="316"/>
      <c r="M84" s="316"/>
      <c r="N84" s="334"/>
      <c r="O84" s="334"/>
      <c r="P84" s="317"/>
      <c r="Q84" s="317" t="s">
        <v>748</v>
      </c>
      <c r="R84" s="318">
        <v>58116</v>
      </c>
      <c r="S84" s="318">
        <v>58116</v>
      </c>
      <c r="T84" s="318">
        <v>58116</v>
      </c>
      <c r="U84" s="318">
        <v>58116</v>
      </c>
      <c r="V84" s="318">
        <v>58116</v>
      </c>
      <c r="W84" s="318">
        <v>35995.86</v>
      </c>
      <c r="X84" s="318">
        <v>0</v>
      </c>
      <c r="Y84" s="318">
        <v>0</v>
      </c>
      <c r="Z84" s="318">
        <v>0</v>
      </c>
      <c r="AA84" s="318">
        <v>0</v>
      </c>
      <c r="AB84" s="318">
        <v>0</v>
      </c>
      <c r="AC84" s="318">
        <v>0</v>
      </c>
      <c r="AD84" s="318">
        <v>0</v>
      </c>
      <c r="AE84" s="318">
        <v>0</v>
      </c>
      <c r="AF84" s="318">
        <v>0</v>
      </c>
      <c r="AG84" s="318">
        <v>0</v>
      </c>
      <c r="AH84" s="318">
        <v>0</v>
      </c>
      <c r="AI84" s="318">
        <v>0</v>
      </c>
      <c r="AJ84" s="318">
        <v>0</v>
      </c>
      <c r="AK84" s="318">
        <v>0</v>
      </c>
      <c r="AL84" s="318">
        <v>0</v>
      </c>
      <c r="AM84" s="318">
        <v>0</v>
      </c>
      <c r="AN84" s="318">
        <v>0</v>
      </c>
      <c r="AO84" s="318">
        <v>0</v>
      </c>
      <c r="AP84" s="318">
        <v>0</v>
      </c>
      <c r="AQ84" s="318">
        <v>0</v>
      </c>
      <c r="AR84" s="318"/>
      <c r="AS84" s="318"/>
      <c r="AT84" s="319">
        <f t="shared" si="5"/>
        <v>326575.86</v>
      </c>
      <c r="AU84" s="320">
        <f t="shared" si="6"/>
        <v>0</v>
      </c>
      <c r="AV84" s="321">
        <f t="shared" si="8"/>
        <v>0</v>
      </c>
      <c r="AW84" s="318">
        <f t="shared" si="7"/>
        <v>326575.86</v>
      </c>
      <c r="AY84" s="322"/>
    </row>
    <row r="85" spans="2:51" outlineLevel="2" x14ac:dyDescent="0.25">
      <c r="B85" s="323" t="s">
        <v>741</v>
      </c>
      <c r="C85" s="324"/>
      <c r="D85" s="325"/>
      <c r="E85" s="326"/>
      <c r="F85" s="327"/>
      <c r="G85" s="327"/>
      <c r="H85" s="327"/>
      <c r="I85" s="327"/>
      <c r="J85" s="328"/>
      <c r="K85" s="329"/>
      <c r="L85" s="328" t="s">
        <v>979</v>
      </c>
      <c r="M85" s="328"/>
      <c r="N85" s="330">
        <f>SUM(O85:P85)</f>
        <v>2.6869999999999998</v>
      </c>
      <c r="O85" s="330">
        <v>2.6869999999999998</v>
      </c>
      <c r="P85" s="330">
        <f>$P$4</f>
        <v>0</v>
      </c>
      <c r="Q85" s="330" t="s">
        <v>751</v>
      </c>
      <c r="R85" s="331">
        <f>SUM(R84:$AQ84)*$N85/100</f>
        <v>8775.0933581999998</v>
      </c>
      <c r="S85" s="331">
        <f>SUM(S84:$AQ84)*$N85/100</f>
        <v>7213.5164381999984</v>
      </c>
      <c r="T85" s="331">
        <f>SUM(T84:$AQ84)*$N85/100</f>
        <v>5651.9395181999998</v>
      </c>
      <c r="U85" s="331">
        <f>SUM(U84:$AQ84)*$N85/100</f>
        <v>4090.3625981999994</v>
      </c>
      <c r="V85" s="331">
        <f>SUM(V84:$AQ84)*$N85/100</f>
        <v>2528.7856781999999</v>
      </c>
      <c r="W85" s="331">
        <f>SUM(W84:$AQ84)*$N85/100</f>
        <v>967.20875820000003</v>
      </c>
      <c r="X85" s="331">
        <v>0</v>
      </c>
      <c r="Y85" s="331">
        <v>0</v>
      </c>
      <c r="Z85" s="331">
        <v>0</v>
      </c>
      <c r="AA85" s="331">
        <v>0</v>
      </c>
      <c r="AB85" s="331">
        <v>0</v>
      </c>
      <c r="AC85" s="331">
        <v>0</v>
      </c>
      <c r="AD85" s="331">
        <v>0</v>
      </c>
      <c r="AE85" s="331">
        <v>0</v>
      </c>
      <c r="AF85" s="331">
        <v>0</v>
      </c>
      <c r="AG85" s="331">
        <v>0</v>
      </c>
      <c r="AH85" s="331">
        <v>0</v>
      </c>
      <c r="AI85" s="331">
        <v>0</v>
      </c>
      <c r="AJ85" s="331">
        <v>0</v>
      </c>
      <c r="AK85" s="331">
        <v>0</v>
      </c>
      <c r="AL85" s="331">
        <v>0</v>
      </c>
      <c r="AM85" s="331">
        <v>0</v>
      </c>
      <c r="AN85" s="331">
        <v>0</v>
      </c>
      <c r="AO85" s="331">
        <v>0</v>
      </c>
      <c r="AP85" s="331">
        <v>0</v>
      </c>
      <c r="AQ85" s="331">
        <v>0</v>
      </c>
      <c r="AR85" s="331"/>
      <c r="AS85" s="331"/>
      <c r="AT85" s="332">
        <f t="shared" si="5"/>
        <v>29226.906349199995</v>
      </c>
      <c r="AU85" s="320">
        <f t="shared" si="6"/>
        <v>0</v>
      </c>
      <c r="AV85" s="333">
        <f t="shared" si="8"/>
        <v>0</v>
      </c>
      <c r="AW85" s="331">
        <f t="shared" si="7"/>
        <v>29226.906349199995</v>
      </c>
      <c r="AY85" s="322"/>
    </row>
    <row r="86" spans="2:51" s="309" customFormat="1" outlineLevel="2" x14ac:dyDescent="0.25">
      <c r="B86" s="310" t="s">
        <v>786</v>
      </c>
      <c r="C86" s="311">
        <v>41</v>
      </c>
      <c r="D86" s="312" t="s">
        <v>987</v>
      </c>
      <c r="E86" s="313" t="s">
        <v>988</v>
      </c>
      <c r="F86" s="314" t="s">
        <v>989</v>
      </c>
      <c r="G86" s="314" t="s">
        <v>990</v>
      </c>
      <c r="H86" s="314" t="s">
        <v>991</v>
      </c>
      <c r="I86" s="314" t="s">
        <v>747</v>
      </c>
      <c r="J86" s="315">
        <v>247902</v>
      </c>
      <c r="K86" s="316">
        <v>61976</v>
      </c>
      <c r="L86" s="316"/>
      <c r="M86" s="316"/>
      <c r="N86" s="334"/>
      <c r="O86" s="334"/>
      <c r="P86" s="317"/>
      <c r="Q86" s="317" t="s">
        <v>748</v>
      </c>
      <c r="R86" s="318">
        <v>61976</v>
      </c>
      <c r="S86" s="318">
        <v>0</v>
      </c>
      <c r="T86" s="318">
        <v>0</v>
      </c>
      <c r="U86" s="318">
        <v>0</v>
      </c>
      <c r="V86" s="318">
        <v>0</v>
      </c>
      <c r="W86" s="318">
        <v>0</v>
      </c>
      <c r="X86" s="318">
        <v>0</v>
      </c>
      <c r="Y86" s="318">
        <v>0</v>
      </c>
      <c r="Z86" s="318">
        <v>0</v>
      </c>
      <c r="AA86" s="318">
        <v>0</v>
      </c>
      <c r="AB86" s="318">
        <v>0</v>
      </c>
      <c r="AC86" s="318">
        <v>0</v>
      </c>
      <c r="AD86" s="318">
        <v>0</v>
      </c>
      <c r="AE86" s="318">
        <v>0</v>
      </c>
      <c r="AF86" s="318">
        <v>0</v>
      </c>
      <c r="AG86" s="318">
        <v>0</v>
      </c>
      <c r="AH86" s="318">
        <v>0</v>
      </c>
      <c r="AI86" s="318">
        <v>0</v>
      </c>
      <c r="AJ86" s="318">
        <v>0</v>
      </c>
      <c r="AK86" s="318">
        <v>0</v>
      </c>
      <c r="AL86" s="318">
        <v>0</v>
      </c>
      <c r="AM86" s="318">
        <v>0</v>
      </c>
      <c r="AN86" s="318">
        <v>0</v>
      </c>
      <c r="AO86" s="318">
        <v>0</v>
      </c>
      <c r="AP86" s="318">
        <v>0</v>
      </c>
      <c r="AQ86" s="318">
        <v>0</v>
      </c>
      <c r="AR86" s="318"/>
      <c r="AS86" s="318"/>
      <c r="AT86" s="319">
        <f t="shared" si="5"/>
        <v>61976</v>
      </c>
      <c r="AU86" s="320">
        <f t="shared" si="6"/>
        <v>0</v>
      </c>
      <c r="AV86" s="321">
        <f t="shared" si="8"/>
        <v>0</v>
      </c>
      <c r="AW86" s="318">
        <f t="shared" si="7"/>
        <v>61976</v>
      </c>
      <c r="AY86" s="322"/>
    </row>
    <row r="87" spans="2:51" outlineLevel="2" x14ac:dyDescent="0.25">
      <c r="B87" s="323" t="s">
        <v>786</v>
      </c>
      <c r="C87" s="324"/>
      <c r="D87" s="325" t="s">
        <v>992</v>
      </c>
      <c r="E87" s="326"/>
      <c r="F87" s="327"/>
      <c r="G87" s="327"/>
      <c r="H87" s="327"/>
      <c r="I87" s="327"/>
      <c r="J87" s="328"/>
      <c r="K87" s="329"/>
      <c r="L87" s="328" t="s">
        <v>993</v>
      </c>
      <c r="M87" s="328"/>
      <c r="N87" s="330">
        <f>SUM(O87:P87)</f>
        <v>2.7040000000000002</v>
      </c>
      <c r="O87" s="330">
        <v>2.7040000000000002</v>
      </c>
      <c r="P87" s="330">
        <f>$P$4</f>
        <v>0</v>
      </c>
      <c r="Q87" s="330" t="s">
        <v>751</v>
      </c>
      <c r="R87" s="331">
        <f>SUM(R86:$AQ86)*$N87/100</f>
        <v>1675.8310400000003</v>
      </c>
      <c r="S87" s="331">
        <f>SUM(S86:$AQ86)*$N87/100</f>
        <v>0</v>
      </c>
      <c r="T87" s="331">
        <v>0</v>
      </c>
      <c r="U87" s="331">
        <v>0</v>
      </c>
      <c r="V87" s="331">
        <v>0</v>
      </c>
      <c r="W87" s="331">
        <v>0</v>
      </c>
      <c r="X87" s="331">
        <v>0</v>
      </c>
      <c r="Y87" s="331">
        <v>0</v>
      </c>
      <c r="Z87" s="331">
        <v>0</v>
      </c>
      <c r="AA87" s="331">
        <v>0</v>
      </c>
      <c r="AB87" s="331">
        <v>0</v>
      </c>
      <c r="AC87" s="331">
        <v>0</v>
      </c>
      <c r="AD87" s="331">
        <v>0</v>
      </c>
      <c r="AE87" s="331">
        <v>0</v>
      </c>
      <c r="AF87" s="331">
        <v>0</v>
      </c>
      <c r="AG87" s="331">
        <v>0</v>
      </c>
      <c r="AH87" s="331">
        <v>0</v>
      </c>
      <c r="AI87" s="331">
        <v>0</v>
      </c>
      <c r="AJ87" s="331">
        <v>0</v>
      </c>
      <c r="AK87" s="331">
        <v>0</v>
      </c>
      <c r="AL87" s="331">
        <v>0</v>
      </c>
      <c r="AM87" s="331">
        <v>0</v>
      </c>
      <c r="AN87" s="331">
        <v>0</v>
      </c>
      <c r="AO87" s="331">
        <v>0</v>
      </c>
      <c r="AP87" s="331">
        <v>0</v>
      </c>
      <c r="AQ87" s="331">
        <v>0</v>
      </c>
      <c r="AR87" s="331"/>
      <c r="AS87" s="331"/>
      <c r="AT87" s="332">
        <f t="shared" si="5"/>
        <v>1675.8310400000003</v>
      </c>
      <c r="AU87" s="320">
        <f t="shared" si="6"/>
        <v>0</v>
      </c>
      <c r="AV87" s="333">
        <f t="shared" si="8"/>
        <v>0</v>
      </c>
      <c r="AW87" s="331">
        <f t="shared" si="7"/>
        <v>1675.8310400000003</v>
      </c>
      <c r="AY87" s="322"/>
    </row>
    <row r="88" spans="2:51" s="309" customFormat="1" outlineLevel="2" x14ac:dyDescent="0.25">
      <c r="B88" s="310" t="s">
        <v>786</v>
      </c>
      <c r="C88" s="311">
        <v>42</v>
      </c>
      <c r="D88" s="312" t="s">
        <v>994</v>
      </c>
      <c r="E88" s="313" t="s">
        <v>995</v>
      </c>
      <c r="F88" s="314" t="s">
        <v>996</v>
      </c>
      <c r="G88" s="314" t="s">
        <v>997</v>
      </c>
      <c r="H88" s="314" t="s">
        <v>998</v>
      </c>
      <c r="I88" s="314" t="s">
        <v>747</v>
      </c>
      <c r="J88" s="315">
        <v>178121</v>
      </c>
      <c r="K88" s="316">
        <v>68283.520000000004</v>
      </c>
      <c r="L88" s="316"/>
      <c r="M88" s="316"/>
      <c r="N88" s="334"/>
      <c r="O88" s="334"/>
      <c r="P88" s="317"/>
      <c r="Q88" s="317" t="s">
        <v>748</v>
      </c>
      <c r="R88" s="318">
        <v>12500</v>
      </c>
      <c r="S88" s="318">
        <v>12500</v>
      </c>
      <c r="T88" s="318">
        <v>12500</v>
      </c>
      <c r="U88" s="318">
        <v>12500</v>
      </c>
      <c r="V88" s="318">
        <v>12500</v>
      </c>
      <c r="W88" s="318">
        <v>5783.52</v>
      </c>
      <c r="X88" s="318">
        <v>0</v>
      </c>
      <c r="Y88" s="318">
        <v>0</v>
      </c>
      <c r="Z88" s="318">
        <v>0</v>
      </c>
      <c r="AA88" s="318">
        <v>0</v>
      </c>
      <c r="AB88" s="318">
        <v>0</v>
      </c>
      <c r="AC88" s="318">
        <v>0</v>
      </c>
      <c r="AD88" s="318">
        <v>0</v>
      </c>
      <c r="AE88" s="318">
        <v>0</v>
      </c>
      <c r="AF88" s="318">
        <v>0</v>
      </c>
      <c r="AG88" s="318">
        <v>0</v>
      </c>
      <c r="AH88" s="318">
        <v>0</v>
      </c>
      <c r="AI88" s="318">
        <v>0</v>
      </c>
      <c r="AJ88" s="318">
        <v>0</v>
      </c>
      <c r="AK88" s="318">
        <v>0</v>
      </c>
      <c r="AL88" s="318">
        <v>0</v>
      </c>
      <c r="AM88" s="318">
        <v>0</v>
      </c>
      <c r="AN88" s="318">
        <v>0</v>
      </c>
      <c r="AO88" s="318">
        <v>0</v>
      </c>
      <c r="AP88" s="318">
        <v>0</v>
      </c>
      <c r="AQ88" s="318">
        <v>0</v>
      </c>
      <c r="AR88" s="318"/>
      <c r="AS88" s="318"/>
      <c r="AT88" s="319">
        <f t="shared" si="5"/>
        <v>68283.520000000004</v>
      </c>
      <c r="AU88" s="320">
        <f t="shared" si="6"/>
        <v>0</v>
      </c>
      <c r="AV88" s="321">
        <f t="shared" si="8"/>
        <v>0</v>
      </c>
      <c r="AW88" s="318">
        <f t="shared" si="7"/>
        <v>68283.520000000004</v>
      </c>
      <c r="AY88" s="322"/>
    </row>
    <row r="89" spans="2:51" outlineLevel="2" x14ac:dyDescent="0.25">
      <c r="B89" s="323" t="s">
        <v>786</v>
      </c>
      <c r="C89" s="324"/>
      <c r="D89" s="325" t="s">
        <v>999</v>
      </c>
      <c r="E89" s="326"/>
      <c r="F89" s="327"/>
      <c r="G89" s="327"/>
      <c r="H89" s="327"/>
      <c r="I89" s="327"/>
      <c r="J89" s="328"/>
      <c r="K89" s="329"/>
      <c r="L89" s="328" t="s">
        <v>1000</v>
      </c>
      <c r="M89" s="328"/>
      <c r="N89" s="330">
        <f>SUM(O89:P89)</f>
        <v>3.0070000000000001</v>
      </c>
      <c r="O89" s="330">
        <v>3.0070000000000001</v>
      </c>
      <c r="P89" s="330">
        <f>$P$4</f>
        <v>0</v>
      </c>
      <c r="Q89" s="330" t="s">
        <v>751</v>
      </c>
      <c r="R89" s="331">
        <f>SUM(R88:$AQ88)*$N89/100</f>
        <v>2053.2854464000002</v>
      </c>
      <c r="S89" s="331">
        <f>SUM(S88:$AQ88)*$N89/100</f>
        <v>1677.4104464000002</v>
      </c>
      <c r="T89" s="331">
        <f>SUM(T88:$AQ88)*$N89/100</f>
        <v>1301.5354464000002</v>
      </c>
      <c r="U89" s="331">
        <f>SUM(U88:$AQ88)*$N89/100</f>
        <v>925.66044640000007</v>
      </c>
      <c r="V89" s="331">
        <f>SUM(V88:$AQ88)*$N89/100</f>
        <v>549.78544639999996</v>
      </c>
      <c r="W89" s="331">
        <f>SUM(W88:$AQ88)*$N89/100</f>
        <v>173.91044640000004</v>
      </c>
      <c r="X89" s="331">
        <v>0</v>
      </c>
      <c r="Y89" s="331">
        <v>0</v>
      </c>
      <c r="Z89" s="331">
        <v>0</v>
      </c>
      <c r="AA89" s="331">
        <v>0</v>
      </c>
      <c r="AB89" s="331">
        <v>0</v>
      </c>
      <c r="AC89" s="331">
        <v>0</v>
      </c>
      <c r="AD89" s="331">
        <v>0</v>
      </c>
      <c r="AE89" s="331">
        <v>0</v>
      </c>
      <c r="AF89" s="331">
        <v>0</v>
      </c>
      <c r="AG89" s="331">
        <v>0</v>
      </c>
      <c r="AH89" s="331">
        <v>0</v>
      </c>
      <c r="AI89" s="331">
        <v>0</v>
      </c>
      <c r="AJ89" s="331">
        <v>0</v>
      </c>
      <c r="AK89" s="331">
        <v>0</v>
      </c>
      <c r="AL89" s="331">
        <v>0</v>
      </c>
      <c r="AM89" s="331">
        <v>0</v>
      </c>
      <c r="AN89" s="331">
        <v>0</v>
      </c>
      <c r="AO89" s="331">
        <v>0</v>
      </c>
      <c r="AP89" s="331">
        <v>0</v>
      </c>
      <c r="AQ89" s="331">
        <v>0</v>
      </c>
      <c r="AR89" s="331"/>
      <c r="AS89" s="331"/>
      <c r="AT89" s="332">
        <f t="shared" si="5"/>
        <v>6681.5876784000011</v>
      </c>
      <c r="AU89" s="320">
        <f t="shared" si="6"/>
        <v>0</v>
      </c>
      <c r="AV89" s="333">
        <f t="shared" si="8"/>
        <v>0</v>
      </c>
      <c r="AW89" s="331">
        <f t="shared" si="7"/>
        <v>6681.5876784000011</v>
      </c>
      <c r="AY89" s="322"/>
    </row>
    <row r="90" spans="2:51" s="309" customFormat="1" outlineLevel="2" x14ac:dyDescent="0.25">
      <c r="B90" s="310" t="s">
        <v>741</v>
      </c>
      <c r="C90" s="311">
        <v>43</v>
      </c>
      <c r="D90" s="312" t="s">
        <v>1001</v>
      </c>
      <c r="E90" s="313" t="s">
        <v>1002</v>
      </c>
      <c r="F90" s="314" t="s">
        <v>1003</v>
      </c>
      <c r="G90" s="314" t="s">
        <v>1004</v>
      </c>
      <c r="H90" s="314" t="s">
        <v>1005</v>
      </c>
      <c r="I90" s="314" t="s">
        <v>747</v>
      </c>
      <c r="J90" s="315">
        <v>1230506</v>
      </c>
      <c r="K90" s="316">
        <v>715727.24</v>
      </c>
      <c r="L90" s="316"/>
      <c r="M90" s="316"/>
      <c r="N90" s="334"/>
      <c r="O90" s="334"/>
      <c r="P90" s="317"/>
      <c r="Q90" s="317" t="s">
        <v>748</v>
      </c>
      <c r="R90" s="318">
        <f>21588*4</f>
        <v>86352</v>
      </c>
      <c r="S90" s="318">
        <v>86352</v>
      </c>
      <c r="T90" s="318">
        <v>86352</v>
      </c>
      <c r="U90" s="318">
        <v>86352</v>
      </c>
      <c r="V90" s="318">
        <v>86352</v>
      </c>
      <c r="W90" s="318">
        <v>86352</v>
      </c>
      <c r="X90" s="318">
        <v>86352</v>
      </c>
      <c r="Y90" s="318">
        <v>86352</v>
      </c>
      <c r="Z90" s="318">
        <f>21588+3323</f>
        <v>24911</v>
      </c>
      <c r="AA90" s="318"/>
      <c r="AB90" s="318"/>
      <c r="AC90" s="318"/>
      <c r="AD90" s="318">
        <v>0</v>
      </c>
      <c r="AE90" s="318">
        <v>0</v>
      </c>
      <c r="AF90" s="318">
        <v>0</v>
      </c>
      <c r="AG90" s="318">
        <v>0</v>
      </c>
      <c r="AH90" s="318">
        <v>0</v>
      </c>
      <c r="AI90" s="318">
        <v>0</v>
      </c>
      <c r="AJ90" s="318">
        <v>0</v>
      </c>
      <c r="AK90" s="318">
        <v>0</v>
      </c>
      <c r="AL90" s="318">
        <v>0</v>
      </c>
      <c r="AM90" s="318">
        <v>0</v>
      </c>
      <c r="AN90" s="318">
        <v>0</v>
      </c>
      <c r="AO90" s="318">
        <v>0</v>
      </c>
      <c r="AP90" s="318">
        <v>0</v>
      </c>
      <c r="AQ90" s="318">
        <v>0</v>
      </c>
      <c r="AR90" s="318"/>
      <c r="AS90" s="318"/>
      <c r="AT90" s="319">
        <f t="shared" si="5"/>
        <v>715727</v>
      </c>
      <c r="AU90" s="320">
        <f t="shared" si="6"/>
        <v>0</v>
      </c>
      <c r="AV90" s="321">
        <f t="shared" si="8"/>
        <v>111263</v>
      </c>
      <c r="AW90" s="318">
        <f t="shared" si="7"/>
        <v>715727</v>
      </c>
      <c r="AY90" s="322"/>
    </row>
    <row r="91" spans="2:51" outlineLevel="2" x14ac:dyDescent="0.25">
      <c r="B91" s="323" t="s">
        <v>741</v>
      </c>
      <c r="C91" s="324"/>
      <c r="D91" s="325" t="s">
        <v>1006</v>
      </c>
      <c r="E91" s="326"/>
      <c r="F91" s="327"/>
      <c r="G91" s="327"/>
      <c r="H91" s="327"/>
      <c r="I91" s="327"/>
      <c r="J91" s="328"/>
      <c r="K91" s="329"/>
      <c r="L91" s="328" t="s">
        <v>1007</v>
      </c>
      <c r="M91" s="328"/>
      <c r="N91" s="330">
        <f>SUM(O91:P91)</f>
        <v>3.1779999999999999</v>
      </c>
      <c r="O91" s="330">
        <v>3.1779999999999999</v>
      </c>
      <c r="P91" s="330">
        <f>$P$4</f>
        <v>0</v>
      </c>
      <c r="Q91" s="330" t="s">
        <v>751</v>
      </c>
      <c r="R91" s="331">
        <f>SUM(R90:$AQ90)*$N91/100</f>
        <v>22745.804059999999</v>
      </c>
      <c r="S91" s="331">
        <f>SUM(S90:$AQ90)*$N91/100</f>
        <v>20001.537499999999</v>
      </c>
      <c r="T91" s="331">
        <f>SUM(T90:$AQ90)*$N91/100-2000</f>
        <v>15257.270940000002</v>
      </c>
      <c r="U91" s="331">
        <f>SUM(U90:$AQ90)*$N91/100</f>
        <v>14513.00438</v>
      </c>
      <c r="V91" s="331">
        <f>SUM(V90:$AQ90)*$N91/100</f>
        <v>11768.737819999998</v>
      </c>
      <c r="W91" s="331">
        <f>SUM(W90:$AQ90)*$N91/100</f>
        <v>9024.4712599999984</v>
      </c>
      <c r="X91" s="331">
        <f>SUM(X90:$AQ90)*$N91/100</f>
        <v>6280.2046999999993</v>
      </c>
      <c r="Y91" s="331">
        <f>SUM(Y90:$AQ90)*$N91/100</f>
        <v>3535.9381400000002</v>
      </c>
      <c r="Z91" s="331">
        <f>SUM(Z90:$AQ90)*$N91/100</f>
        <v>791.67157999999995</v>
      </c>
      <c r="AA91" s="331">
        <f>SUM(AA90:$AQ90)*$N91/100</f>
        <v>0</v>
      </c>
      <c r="AB91" s="331">
        <f>SUM(AB90:$AQ90)*$N91/100</f>
        <v>0</v>
      </c>
      <c r="AC91" s="331">
        <f>SUM(AC90:$AQ90)*$N91/100</f>
        <v>0</v>
      </c>
      <c r="AD91" s="331">
        <v>0</v>
      </c>
      <c r="AE91" s="331">
        <v>0</v>
      </c>
      <c r="AF91" s="331">
        <v>0</v>
      </c>
      <c r="AG91" s="331">
        <v>0</v>
      </c>
      <c r="AH91" s="331">
        <v>0</v>
      </c>
      <c r="AI91" s="331">
        <v>0</v>
      </c>
      <c r="AJ91" s="331">
        <v>0</v>
      </c>
      <c r="AK91" s="331">
        <v>0</v>
      </c>
      <c r="AL91" s="331">
        <v>0</v>
      </c>
      <c r="AM91" s="331">
        <v>0</v>
      </c>
      <c r="AN91" s="331">
        <v>0</v>
      </c>
      <c r="AO91" s="331">
        <v>0</v>
      </c>
      <c r="AP91" s="331">
        <v>0</v>
      </c>
      <c r="AQ91" s="331">
        <v>0</v>
      </c>
      <c r="AR91" s="331"/>
      <c r="AS91" s="331"/>
      <c r="AT91" s="332">
        <f t="shared" si="5"/>
        <v>103918.64037999998</v>
      </c>
      <c r="AU91" s="320">
        <f t="shared" si="6"/>
        <v>0</v>
      </c>
      <c r="AV91" s="333">
        <f t="shared" si="8"/>
        <v>4327.6097200000004</v>
      </c>
      <c r="AW91" s="331">
        <f t="shared" si="7"/>
        <v>103918.64038</v>
      </c>
      <c r="AY91" s="322"/>
    </row>
    <row r="92" spans="2:51" s="309" customFormat="1" outlineLevel="2" x14ac:dyDescent="0.25">
      <c r="B92" s="310" t="s">
        <v>741</v>
      </c>
      <c r="C92" s="311">
        <v>44</v>
      </c>
      <c r="D92" s="312" t="s">
        <v>1008</v>
      </c>
      <c r="E92" s="313" t="s">
        <v>1009</v>
      </c>
      <c r="F92" s="314" t="s">
        <v>1010</v>
      </c>
      <c r="G92" s="314" t="s">
        <v>1011</v>
      </c>
      <c r="H92" s="314" t="s">
        <v>1012</v>
      </c>
      <c r="I92" s="314" t="s">
        <v>747</v>
      </c>
      <c r="J92" s="315">
        <v>156436.10999999999</v>
      </c>
      <c r="K92" s="316">
        <v>45213.11</v>
      </c>
      <c r="L92" s="316"/>
      <c r="M92" s="316"/>
      <c r="N92" s="334"/>
      <c r="O92" s="334"/>
      <c r="P92" s="317"/>
      <c r="Q92" s="317" t="s">
        <v>748</v>
      </c>
      <c r="R92" s="318">
        <v>37076</v>
      </c>
      <c r="S92" s="318">
        <v>8137.11</v>
      </c>
      <c r="T92" s="318">
        <v>0</v>
      </c>
      <c r="U92" s="318">
        <v>0</v>
      </c>
      <c r="V92" s="318">
        <v>0</v>
      </c>
      <c r="W92" s="318">
        <v>0</v>
      </c>
      <c r="X92" s="318">
        <v>0</v>
      </c>
      <c r="Y92" s="318">
        <v>0</v>
      </c>
      <c r="Z92" s="318">
        <v>0</v>
      </c>
      <c r="AA92" s="318">
        <v>0</v>
      </c>
      <c r="AB92" s="318">
        <v>0</v>
      </c>
      <c r="AC92" s="318">
        <v>0</v>
      </c>
      <c r="AD92" s="318">
        <v>0</v>
      </c>
      <c r="AE92" s="318">
        <v>0</v>
      </c>
      <c r="AF92" s="318">
        <v>0</v>
      </c>
      <c r="AG92" s="318">
        <v>0</v>
      </c>
      <c r="AH92" s="318">
        <v>0</v>
      </c>
      <c r="AI92" s="318">
        <v>0</v>
      </c>
      <c r="AJ92" s="318">
        <v>0</v>
      </c>
      <c r="AK92" s="318">
        <v>0</v>
      </c>
      <c r="AL92" s="318">
        <v>0</v>
      </c>
      <c r="AM92" s="318">
        <v>0</v>
      </c>
      <c r="AN92" s="318">
        <v>0</v>
      </c>
      <c r="AO92" s="318">
        <v>0</v>
      </c>
      <c r="AP92" s="318">
        <v>0</v>
      </c>
      <c r="AQ92" s="318">
        <v>0</v>
      </c>
      <c r="AR92" s="318"/>
      <c r="AS92" s="318"/>
      <c r="AT92" s="319">
        <f t="shared" si="5"/>
        <v>45213.11</v>
      </c>
      <c r="AU92" s="320">
        <f t="shared" si="6"/>
        <v>0</v>
      </c>
      <c r="AV92" s="321">
        <f t="shared" si="8"/>
        <v>0</v>
      </c>
      <c r="AW92" s="318">
        <f t="shared" si="7"/>
        <v>45213.11</v>
      </c>
      <c r="AY92" s="322"/>
    </row>
    <row r="93" spans="2:51" outlineLevel="2" x14ac:dyDescent="0.25">
      <c r="B93" s="323" t="s">
        <v>741</v>
      </c>
      <c r="C93" s="324"/>
      <c r="D93" s="325"/>
      <c r="E93" s="326"/>
      <c r="F93" s="327"/>
      <c r="G93" s="327"/>
      <c r="H93" s="327"/>
      <c r="I93" s="327"/>
      <c r="J93" s="328"/>
      <c r="K93" s="329"/>
      <c r="L93" s="328" t="s">
        <v>1013</v>
      </c>
      <c r="M93" s="328"/>
      <c r="N93" s="330">
        <f>SUM(O93:P93)</f>
        <v>2.9620000000000002</v>
      </c>
      <c r="O93" s="330">
        <v>2.9620000000000002</v>
      </c>
      <c r="P93" s="330">
        <f>$P$4</f>
        <v>0</v>
      </c>
      <c r="Q93" s="330" t="s">
        <v>751</v>
      </c>
      <c r="R93" s="331">
        <f>SUM(R92:$AQ92)*$N93/100</f>
        <v>1339.2123182000003</v>
      </c>
      <c r="S93" s="331">
        <f>SUM(S92:$AQ92)*$N93/100</f>
        <v>241.02119819999999</v>
      </c>
      <c r="T93" s="331">
        <v>0</v>
      </c>
      <c r="U93" s="331">
        <v>0</v>
      </c>
      <c r="V93" s="331">
        <v>0</v>
      </c>
      <c r="W93" s="331">
        <v>0</v>
      </c>
      <c r="X93" s="331">
        <v>0</v>
      </c>
      <c r="Y93" s="331">
        <v>0</v>
      </c>
      <c r="Z93" s="331">
        <v>0</v>
      </c>
      <c r="AA93" s="331">
        <v>0</v>
      </c>
      <c r="AB93" s="331">
        <v>0</v>
      </c>
      <c r="AC93" s="331">
        <v>0</v>
      </c>
      <c r="AD93" s="331">
        <v>0</v>
      </c>
      <c r="AE93" s="331">
        <v>0</v>
      </c>
      <c r="AF93" s="331">
        <v>0</v>
      </c>
      <c r="AG93" s="331">
        <v>0</v>
      </c>
      <c r="AH93" s="331">
        <v>0</v>
      </c>
      <c r="AI93" s="331">
        <v>0</v>
      </c>
      <c r="AJ93" s="331">
        <v>0</v>
      </c>
      <c r="AK93" s="331">
        <v>0</v>
      </c>
      <c r="AL93" s="331">
        <v>0</v>
      </c>
      <c r="AM93" s="331">
        <v>0</v>
      </c>
      <c r="AN93" s="331">
        <v>0</v>
      </c>
      <c r="AO93" s="331">
        <v>0</v>
      </c>
      <c r="AP93" s="331">
        <v>0</v>
      </c>
      <c r="AQ93" s="331">
        <v>0</v>
      </c>
      <c r="AR93" s="331"/>
      <c r="AS93" s="331"/>
      <c r="AT93" s="332">
        <f t="shared" si="5"/>
        <v>1580.2335164000003</v>
      </c>
      <c r="AU93" s="320">
        <f t="shared" si="6"/>
        <v>0</v>
      </c>
      <c r="AV93" s="333">
        <f t="shared" si="8"/>
        <v>0</v>
      </c>
      <c r="AW93" s="331">
        <f t="shared" si="7"/>
        <v>1580.2335164000003</v>
      </c>
      <c r="AY93" s="322"/>
    </row>
    <row r="94" spans="2:51" s="309" customFormat="1" outlineLevel="2" x14ac:dyDescent="0.25">
      <c r="B94" s="310" t="s">
        <v>741</v>
      </c>
      <c r="C94" s="311">
        <v>45</v>
      </c>
      <c r="D94" s="312" t="s">
        <v>1014</v>
      </c>
      <c r="E94" s="313" t="s">
        <v>1015</v>
      </c>
      <c r="F94" s="314" t="s">
        <v>1016</v>
      </c>
      <c r="G94" s="314" t="s">
        <v>1017</v>
      </c>
      <c r="H94" s="314" t="s">
        <v>1018</v>
      </c>
      <c r="I94" s="314" t="s">
        <v>747</v>
      </c>
      <c r="J94" s="315">
        <v>90861.19</v>
      </c>
      <c r="K94" s="316">
        <v>29726.19</v>
      </c>
      <c r="L94" s="316"/>
      <c r="M94" s="316"/>
      <c r="N94" s="334"/>
      <c r="O94" s="334"/>
      <c r="P94" s="317"/>
      <c r="Q94" s="317" t="s">
        <v>748</v>
      </c>
      <c r="R94" s="318">
        <v>20380</v>
      </c>
      <c r="S94" s="318">
        <v>9346.1899999999987</v>
      </c>
      <c r="T94" s="318">
        <v>0</v>
      </c>
      <c r="U94" s="318">
        <v>0</v>
      </c>
      <c r="V94" s="318">
        <v>0</v>
      </c>
      <c r="W94" s="318">
        <v>0</v>
      </c>
      <c r="X94" s="318">
        <v>0</v>
      </c>
      <c r="Y94" s="318">
        <v>0</v>
      </c>
      <c r="Z94" s="318">
        <v>0</v>
      </c>
      <c r="AA94" s="318">
        <v>0</v>
      </c>
      <c r="AB94" s="318">
        <v>0</v>
      </c>
      <c r="AC94" s="318">
        <v>0</v>
      </c>
      <c r="AD94" s="318">
        <v>0</v>
      </c>
      <c r="AE94" s="318">
        <v>0</v>
      </c>
      <c r="AF94" s="318">
        <v>0</v>
      </c>
      <c r="AG94" s="318">
        <v>0</v>
      </c>
      <c r="AH94" s="318">
        <v>0</v>
      </c>
      <c r="AI94" s="318">
        <v>0</v>
      </c>
      <c r="AJ94" s="318">
        <v>0</v>
      </c>
      <c r="AK94" s="318">
        <v>0</v>
      </c>
      <c r="AL94" s="318">
        <v>0</v>
      </c>
      <c r="AM94" s="318">
        <v>0</v>
      </c>
      <c r="AN94" s="318">
        <v>0</v>
      </c>
      <c r="AO94" s="318">
        <v>0</v>
      </c>
      <c r="AP94" s="318">
        <v>0</v>
      </c>
      <c r="AQ94" s="318">
        <v>0</v>
      </c>
      <c r="AR94" s="318"/>
      <c r="AS94" s="318"/>
      <c r="AT94" s="319">
        <f t="shared" si="5"/>
        <v>29726.19</v>
      </c>
      <c r="AU94" s="320">
        <f t="shared" si="6"/>
        <v>0</v>
      </c>
      <c r="AV94" s="321">
        <f t="shared" si="8"/>
        <v>0</v>
      </c>
      <c r="AW94" s="318">
        <f t="shared" si="7"/>
        <v>29726.19</v>
      </c>
      <c r="AY94" s="322"/>
    </row>
    <row r="95" spans="2:51" outlineLevel="2" x14ac:dyDescent="0.25">
      <c r="B95" s="323" t="s">
        <v>741</v>
      </c>
      <c r="C95" s="324"/>
      <c r="D95" s="325" t="s">
        <v>1019</v>
      </c>
      <c r="E95" s="326"/>
      <c r="F95" s="327"/>
      <c r="G95" s="327"/>
      <c r="H95" s="327"/>
      <c r="I95" s="327"/>
      <c r="J95" s="328"/>
      <c r="K95" s="329"/>
      <c r="L95" s="328" t="s">
        <v>1020</v>
      </c>
      <c r="M95" s="328"/>
      <c r="N95" s="330">
        <f>SUM(O95:P95)</f>
        <v>3.165</v>
      </c>
      <c r="O95" s="330">
        <v>3.165</v>
      </c>
      <c r="P95" s="330">
        <f>$P$4</f>
        <v>0</v>
      </c>
      <c r="Q95" s="330" t="s">
        <v>751</v>
      </c>
      <c r="R95" s="331">
        <f>SUM(R94:$AQ94)*$N95/100</f>
        <v>940.83391349999988</v>
      </c>
      <c r="S95" s="331">
        <f>SUM(S94:$AQ94)*$N95/100</f>
        <v>295.80691349999995</v>
      </c>
      <c r="T95" s="331">
        <v>0</v>
      </c>
      <c r="U95" s="331">
        <v>0</v>
      </c>
      <c r="V95" s="331">
        <v>0</v>
      </c>
      <c r="W95" s="331">
        <v>0</v>
      </c>
      <c r="X95" s="331">
        <v>0</v>
      </c>
      <c r="Y95" s="331">
        <v>0</v>
      </c>
      <c r="Z95" s="331">
        <v>0</v>
      </c>
      <c r="AA95" s="331">
        <v>0</v>
      </c>
      <c r="AB95" s="331">
        <v>0</v>
      </c>
      <c r="AC95" s="331">
        <v>0</v>
      </c>
      <c r="AD95" s="331">
        <v>0</v>
      </c>
      <c r="AE95" s="331">
        <v>0</v>
      </c>
      <c r="AF95" s="331">
        <v>0</v>
      </c>
      <c r="AG95" s="331">
        <v>0</v>
      </c>
      <c r="AH95" s="331">
        <v>0</v>
      </c>
      <c r="AI95" s="331">
        <v>0</v>
      </c>
      <c r="AJ95" s="331">
        <v>0</v>
      </c>
      <c r="AK95" s="331">
        <v>0</v>
      </c>
      <c r="AL95" s="331">
        <v>0</v>
      </c>
      <c r="AM95" s="331">
        <v>0</v>
      </c>
      <c r="AN95" s="331">
        <v>0</v>
      </c>
      <c r="AO95" s="331">
        <v>0</v>
      </c>
      <c r="AP95" s="331">
        <v>0</v>
      </c>
      <c r="AQ95" s="331">
        <v>0</v>
      </c>
      <c r="AR95" s="331"/>
      <c r="AS95" s="331"/>
      <c r="AT95" s="332">
        <f t="shared" si="5"/>
        <v>1236.6408269999997</v>
      </c>
      <c r="AU95" s="320">
        <f t="shared" si="6"/>
        <v>0</v>
      </c>
      <c r="AV95" s="333">
        <f t="shared" si="8"/>
        <v>0</v>
      </c>
      <c r="AW95" s="331">
        <f t="shared" si="7"/>
        <v>1236.6408269999997</v>
      </c>
      <c r="AY95" s="322"/>
    </row>
    <row r="96" spans="2:51" s="309" customFormat="1" outlineLevel="2" x14ac:dyDescent="0.25">
      <c r="B96" s="310" t="s">
        <v>741</v>
      </c>
      <c r="C96" s="311">
        <v>46</v>
      </c>
      <c r="D96" s="312" t="s">
        <v>1021</v>
      </c>
      <c r="E96" s="313" t="s">
        <v>1022</v>
      </c>
      <c r="F96" s="314" t="s">
        <v>1023</v>
      </c>
      <c r="G96" s="314" t="s">
        <v>1024</v>
      </c>
      <c r="H96" s="314" t="s">
        <v>1025</v>
      </c>
      <c r="I96" s="314" t="s">
        <v>747</v>
      </c>
      <c r="J96" s="315">
        <v>496340</v>
      </c>
      <c r="K96" s="316">
        <v>362205</v>
      </c>
      <c r="L96" s="316"/>
      <c r="M96" s="316"/>
      <c r="N96" s="334"/>
      <c r="O96" s="334"/>
      <c r="P96" s="317"/>
      <c r="Q96" s="317" t="s">
        <v>748</v>
      </c>
      <c r="R96" s="318">
        <v>53660</v>
      </c>
      <c r="S96" s="318">
        <v>53660</v>
      </c>
      <c r="T96" s="318">
        <v>53660</v>
      </c>
      <c r="U96" s="318">
        <v>53660</v>
      </c>
      <c r="V96" s="318">
        <v>53660</v>
      </c>
      <c r="W96" s="318">
        <v>53660</v>
      </c>
      <c r="X96" s="318">
        <v>40245</v>
      </c>
      <c r="Y96" s="318">
        <v>0</v>
      </c>
      <c r="Z96" s="318">
        <v>0</v>
      </c>
      <c r="AA96" s="318">
        <v>0</v>
      </c>
      <c r="AB96" s="318">
        <v>0</v>
      </c>
      <c r="AC96" s="318">
        <v>0</v>
      </c>
      <c r="AD96" s="318">
        <v>0</v>
      </c>
      <c r="AE96" s="318">
        <v>0</v>
      </c>
      <c r="AF96" s="318">
        <v>0</v>
      </c>
      <c r="AG96" s="318">
        <v>0</v>
      </c>
      <c r="AH96" s="318">
        <v>0</v>
      </c>
      <c r="AI96" s="318">
        <v>0</v>
      </c>
      <c r="AJ96" s="318">
        <v>0</v>
      </c>
      <c r="AK96" s="318">
        <v>0</v>
      </c>
      <c r="AL96" s="318">
        <v>0</v>
      </c>
      <c r="AM96" s="318">
        <v>0</v>
      </c>
      <c r="AN96" s="318">
        <v>0</v>
      </c>
      <c r="AO96" s="318">
        <v>0</v>
      </c>
      <c r="AP96" s="318">
        <v>0</v>
      </c>
      <c r="AQ96" s="318">
        <v>0</v>
      </c>
      <c r="AR96" s="318"/>
      <c r="AS96" s="318"/>
      <c r="AT96" s="319">
        <f t="shared" si="5"/>
        <v>362205</v>
      </c>
      <c r="AU96" s="320">
        <f t="shared" si="6"/>
        <v>0</v>
      </c>
      <c r="AV96" s="321">
        <f t="shared" si="8"/>
        <v>0</v>
      </c>
      <c r="AW96" s="318">
        <f t="shared" si="7"/>
        <v>362205</v>
      </c>
      <c r="AY96" s="322"/>
    </row>
    <row r="97" spans="2:51" outlineLevel="2" x14ac:dyDescent="0.25">
      <c r="B97" s="323" t="s">
        <v>741</v>
      </c>
      <c r="C97" s="324"/>
      <c r="D97" s="325" t="s">
        <v>1026</v>
      </c>
      <c r="E97" s="326"/>
      <c r="F97" s="327"/>
      <c r="G97" s="327"/>
      <c r="H97" s="327"/>
      <c r="I97" s="327"/>
      <c r="J97" s="328"/>
      <c r="K97" s="329"/>
      <c r="L97" s="328" t="s">
        <v>1027</v>
      </c>
      <c r="M97" s="328"/>
      <c r="N97" s="330">
        <f>SUM(O97:P97)</f>
        <v>3.597</v>
      </c>
      <c r="O97" s="330">
        <v>3.597</v>
      </c>
      <c r="P97" s="330">
        <f>$P$4</f>
        <v>0</v>
      </c>
      <c r="Q97" s="330" t="s">
        <v>751</v>
      </c>
      <c r="R97" s="331">
        <f>SUM(R96:$AQ96)*$N97/100</f>
        <v>13028.513849999999</v>
      </c>
      <c r="S97" s="331">
        <f>SUM(S96:$AQ96)*$N97/100</f>
        <v>11098.363649999999</v>
      </c>
      <c r="T97" s="331">
        <f>SUM(T96:$AQ96)*$N97/100</f>
        <v>9168.2134499999993</v>
      </c>
      <c r="U97" s="331">
        <f>SUM(U96:$AQ96)*$N97/100</f>
        <v>7238.0632499999992</v>
      </c>
      <c r="V97" s="331">
        <f>SUM(V96:$AQ96)*$N97/100</f>
        <v>5307.9130500000001</v>
      </c>
      <c r="W97" s="331">
        <f>SUM(W96:$AQ96)*$N97/100</f>
        <v>3377.7628499999996</v>
      </c>
      <c r="X97" s="331">
        <f>SUM(X96:$AQ96)*$N97/100</f>
        <v>1447.6126499999998</v>
      </c>
      <c r="Y97" s="331">
        <v>0</v>
      </c>
      <c r="Z97" s="331">
        <v>0</v>
      </c>
      <c r="AA97" s="331">
        <v>0</v>
      </c>
      <c r="AB97" s="331">
        <v>0</v>
      </c>
      <c r="AC97" s="331">
        <v>0</v>
      </c>
      <c r="AD97" s="331">
        <v>0</v>
      </c>
      <c r="AE97" s="331">
        <v>0</v>
      </c>
      <c r="AF97" s="331">
        <v>0</v>
      </c>
      <c r="AG97" s="331">
        <v>0</v>
      </c>
      <c r="AH97" s="331">
        <v>0</v>
      </c>
      <c r="AI97" s="331">
        <v>0</v>
      </c>
      <c r="AJ97" s="331">
        <v>0</v>
      </c>
      <c r="AK97" s="331">
        <v>0</v>
      </c>
      <c r="AL97" s="331">
        <v>0</v>
      </c>
      <c r="AM97" s="331">
        <v>0</v>
      </c>
      <c r="AN97" s="331">
        <v>0</v>
      </c>
      <c r="AO97" s="331">
        <v>0</v>
      </c>
      <c r="AP97" s="331">
        <v>0</v>
      </c>
      <c r="AQ97" s="331">
        <v>0</v>
      </c>
      <c r="AR97" s="331"/>
      <c r="AS97" s="331"/>
      <c r="AT97" s="332">
        <f t="shared" si="5"/>
        <v>50666.442750000002</v>
      </c>
      <c r="AU97" s="320">
        <f t="shared" si="6"/>
        <v>0</v>
      </c>
      <c r="AV97" s="333">
        <f t="shared" si="8"/>
        <v>0</v>
      </c>
      <c r="AW97" s="331">
        <f t="shared" si="7"/>
        <v>50666.442750000002</v>
      </c>
      <c r="AY97" s="322"/>
    </row>
    <row r="98" spans="2:51" s="299" customFormat="1" outlineLevel="2" x14ac:dyDescent="0.25">
      <c r="B98" s="335" t="s">
        <v>786</v>
      </c>
      <c r="C98" s="336">
        <v>47</v>
      </c>
      <c r="D98" s="337" t="s">
        <v>1028</v>
      </c>
      <c r="E98" s="313" t="s">
        <v>1029</v>
      </c>
      <c r="F98" s="313" t="s">
        <v>1030</v>
      </c>
      <c r="G98" s="313" t="s">
        <v>1031</v>
      </c>
      <c r="H98" s="313" t="s">
        <v>1032</v>
      </c>
      <c r="I98" s="313" t="s">
        <v>747</v>
      </c>
      <c r="J98" s="315">
        <v>6469</v>
      </c>
      <c r="K98" s="316">
        <v>3480</v>
      </c>
      <c r="L98" s="316"/>
      <c r="M98" s="316"/>
      <c r="N98" s="334"/>
      <c r="O98" s="334"/>
      <c r="P98" s="317"/>
      <c r="Q98" s="317" t="s">
        <v>748</v>
      </c>
      <c r="R98" s="318">
        <f>928+305</f>
        <v>1233</v>
      </c>
      <c r="S98" s="318">
        <v>928</v>
      </c>
      <c r="T98" s="318">
        <v>928</v>
      </c>
      <c r="U98" s="318">
        <v>696</v>
      </c>
      <c r="V98" s="318">
        <v>0</v>
      </c>
      <c r="W98" s="318">
        <v>0</v>
      </c>
      <c r="X98" s="318">
        <v>0</v>
      </c>
      <c r="Y98" s="318">
        <v>0</v>
      </c>
      <c r="Z98" s="318">
        <v>0</v>
      </c>
      <c r="AA98" s="318">
        <v>0</v>
      </c>
      <c r="AB98" s="318">
        <v>0</v>
      </c>
      <c r="AC98" s="318">
        <v>0</v>
      </c>
      <c r="AD98" s="318">
        <v>0</v>
      </c>
      <c r="AE98" s="318">
        <v>0</v>
      </c>
      <c r="AF98" s="318">
        <v>0</v>
      </c>
      <c r="AG98" s="318">
        <v>0</v>
      </c>
      <c r="AH98" s="318">
        <v>0</v>
      </c>
      <c r="AI98" s="318">
        <v>0</v>
      </c>
      <c r="AJ98" s="318">
        <v>0</v>
      </c>
      <c r="AK98" s="318">
        <v>0</v>
      </c>
      <c r="AL98" s="318">
        <v>0</v>
      </c>
      <c r="AM98" s="318">
        <v>0</v>
      </c>
      <c r="AN98" s="318">
        <v>0</v>
      </c>
      <c r="AO98" s="318">
        <v>0</v>
      </c>
      <c r="AP98" s="318">
        <v>0</v>
      </c>
      <c r="AQ98" s="318">
        <v>0</v>
      </c>
      <c r="AR98" s="318"/>
      <c r="AS98" s="318"/>
      <c r="AT98" s="318">
        <f t="shared" si="5"/>
        <v>3785</v>
      </c>
      <c r="AU98" s="338">
        <f t="shared" si="6"/>
        <v>0</v>
      </c>
      <c r="AV98" s="321">
        <f t="shared" si="8"/>
        <v>0</v>
      </c>
      <c r="AW98" s="318">
        <f t="shared" si="7"/>
        <v>3785</v>
      </c>
      <c r="AY98" s="322"/>
    </row>
    <row r="99" spans="2:51" s="291" customFormat="1" outlineLevel="2" x14ac:dyDescent="0.25">
      <c r="B99" s="339" t="s">
        <v>786</v>
      </c>
      <c r="C99" s="340"/>
      <c r="D99" s="341" t="s">
        <v>1033</v>
      </c>
      <c r="E99" s="326"/>
      <c r="F99" s="326"/>
      <c r="G99" s="326"/>
      <c r="H99" s="326"/>
      <c r="I99" s="326"/>
      <c r="J99" s="328"/>
      <c r="K99" s="329"/>
      <c r="L99" s="328" t="s">
        <v>1034</v>
      </c>
      <c r="M99" s="328"/>
      <c r="N99" s="330">
        <f>SUM(O99:P99)</f>
        <v>3.5019999999999998</v>
      </c>
      <c r="O99" s="330">
        <v>3.5019999999999998</v>
      </c>
      <c r="P99" s="330">
        <f>$P$4</f>
        <v>0</v>
      </c>
      <c r="Q99" s="330" t="s">
        <v>751</v>
      </c>
      <c r="R99" s="331">
        <f>SUM(R98:$AQ98)*$N99/100</f>
        <v>132.55070000000001</v>
      </c>
      <c r="S99" s="331">
        <f>SUM(S98:$AQ98)*$N99/100</f>
        <v>89.371039999999994</v>
      </c>
      <c r="T99" s="331">
        <f>SUM(T98:$AQ98)*$N99/100</f>
        <v>56.872479999999996</v>
      </c>
      <c r="U99" s="331">
        <f>SUM(U98:$AQ98)*$N99/100</f>
        <v>24.373919999999998</v>
      </c>
      <c r="V99" s="331">
        <v>0</v>
      </c>
      <c r="W99" s="331">
        <v>0</v>
      </c>
      <c r="X99" s="331">
        <v>0</v>
      </c>
      <c r="Y99" s="331">
        <v>0</v>
      </c>
      <c r="Z99" s="331">
        <v>0</v>
      </c>
      <c r="AA99" s="331">
        <v>0</v>
      </c>
      <c r="AB99" s="331">
        <v>0</v>
      </c>
      <c r="AC99" s="331">
        <v>0</v>
      </c>
      <c r="AD99" s="331">
        <v>0</v>
      </c>
      <c r="AE99" s="331">
        <v>0</v>
      </c>
      <c r="AF99" s="331">
        <v>0</v>
      </c>
      <c r="AG99" s="331">
        <v>0</v>
      </c>
      <c r="AH99" s="331">
        <v>0</v>
      </c>
      <c r="AI99" s="331">
        <v>0</v>
      </c>
      <c r="AJ99" s="331">
        <v>0</v>
      </c>
      <c r="AK99" s="331">
        <v>0</v>
      </c>
      <c r="AL99" s="331">
        <v>0</v>
      </c>
      <c r="AM99" s="331">
        <v>0</v>
      </c>
      <c r="AN99" s="331">
        <v>0</v>
      </c>
      <c r="AO99" s="331">
        <v>0</v>
      </c>
      <c r="AP99" s="331">
        <v>0</v>
      </c>
      <c r="AQ99" s="331">
        <v>0</v>
      </c>
      <c r="AR99" s="331"/>
      <c r="AS99" s="331"/>
      <c r="AT99" s="331">
        <f t="shared" si="5"/>
        <v>303.16813999999999</v>
      </c>
      <c r="AU99" s="338">
        <f t="shared" si="6"/>
        <v>0</v>
      </c>
      <c r="AV99" s="333">
        <f t="shared" si="8"/>
        <v>0</v>
      </c>
      <c r="AW99" s="331">
        <f t="shared" si="7"/>
        <v>303.16813999999999</v>
      </c>
      <c r="AY99" s="322"/>
    </row>
    <row r="100" spans="2:51" s="309" customFormat="1" outlineLevel="2" x14ac:dyDescent="0.25">
      <c r="B100" s="310" t="s">
        <v>786</v>
      </c>
      <c r="C100" s="311">
        <v>48</v>
      </c>
      <c r="D100" s="312" t="s">
        <v>1035</v>
      </c>
      <c r="E100" s="313" t="s">
        <v>1036</v>
      </c>
      <c r="F100" s="314" t="s">
        <v>1037</v>
      </c>
      <c r="G100" s="314" t="s">
        <v>1038</v>
      </c>
      <c r="H100" s="314" t="s">
        <v>1039</v>
      </c>
      <c r="I100" s="314" t="s">
        <v>747</v>
      </c>
      <c r="J100" s="315">
        <v>503660</v>
      </c>
      <c r="K100" s="316">
        <v>424176</v>
      </c>
      <c r="L100" s="316"/>
      <c r="M100" s="316"/>
      <c r="N100" s="334"/>
      <c r="O100" s="334"/>
      <c r="P100" s="317"/>
      <c r="Q100" s="317" t="s">
        <v>748</v>
      </c>
      <c r="R100" s="318">
        <v>35348</v>
      </c>
      <c r="S100" s="318">
        <v>35348</v>
      </c>
      <c r="T100" s="318">
        <v>35348</v>
      </c>
      <c r="U100" s="318">
        <v>35348</v>
      </c>
      <c r="V100" s="318">
        <v>35348</v>
      </c>
      <c r="W100" s="318">
        <v>35348</v>
      </c>
      <c r="X100" s="318">
        <v>35348</v>
      </c>
      <c r="Y100" s="318">
        <v>35348</v>
      </c>
      <c r="Z100" s="318">
        <v>35348</v>
      </c>
      <c r="AA100" s="318">
        <v>35348</v>
      </c>
      <c r="AB100" s="318">
        <v>35348</v>
      </c>
      <c r="AC100" s="318">
        <v>35348</v>
      </c>
      <c r="AD100" s="318">
        <v>0</v>
      </c>
      <c r="AE100" s="318">
        <v>0</v>
      </c>
      <c r="AF100" s="318">
        <v>0</v>
      </c>
      <c r="AG100" s="318">
        <v>0</v>
      </c>
      <c r="AH100" s="318">
        <v>0</v>
      </c>
      <c r="AI100" s="318">
        <v>0</v>
      </c>
      <c r="AJ100" s="318">
        <v>0</v>
      </c>
      <c r="AK100" s="318">
        <v>0</v>
      </c>
      <c r="AL100" s="318">
        <v>0</v>
      </c>
      <c r="AM100" s="318">
        <v>0</v>
      </c>
      <c r="AN100" s="318">
        <v>0</v>
      </c>
      <c r="AO100" s="318">
        <v>0</v>
      </c>
      <c r="AP100" s="318">
        <v>0</v>
      </c>
      <c r="AQ100" s="318">
        <v>0</v>
      </c>
      <c r="AR100" s="318"/>
      <c r="AS100" s="318"/>
      <c r="AT100" s="319">
        <f t="shared" si="5"/>
        <v>424176</v>
      </c>
      <c r="AU100" s="320">
        <f t="shared" si="6"/>
        <v>0</v>
      </c>
      <c r="AV100" s="321">
        <f t="shared" si="8"/>
        <v>176740</v>
      </c>
      <c r="AW100" s="318">
        <f t="shared" si="7"/>
        <v>424176</v>
      </c>
      <c r="AY100" s="322"/>
    </row>
    <row r="101" spans="2:51" outlineLevel="2" x14ac:dyDescent="0.25">
      <c r="B101" s="323" t="s">
        <v>786</v>
      </c>
      <c r="C101" s="324"/>
      <c r="D101" s="325" t="s">
        <v>1040</v>
      </c>
      <c r="E101" s="326"/>
      <c r="F101" s="327"/>
      <c r="G101" s="327"/>
      <c r="H101" s="327"/>
      <c r="I101" s="327"/>
      <c r="J101" s="328"/>
      <c r="K101" s="329"/>
      <c r="L101" s="328">
        <v>0</v>
      </c>
      <c r="M101" s="328"/>
      <c r="N101" s="330">
        <f>SUM(O101:P101)</f>
        <v>3.41</v>
      </c>
      <c r="O101" s="330">
        <v>3.41</v>
      </c>
      <c r="P101" s="330">
        <f>$P$4</f>
        <v>0</v>
      </c>
      <c r="Q101" s="330" t="s">
        <v>751</v>
      </c>
      <c r="R101" s="331">
        <f>SUM(R100:$AQ100)*$N101/100</f>
        <v>14464.401600000001</v>
      </c>
      <c r="S101" s="331">
        <f>SUM(S100:$AQ100)*$N101/100</f>
        <v>13259.034799999999</v>
      </c>
      <c r="T101" s="331">
        <f>SUM(T100:$AQ100)*$N101/100</f>
        <v>12053.668</v>
      </c>
      <c r="U101" s="331">
        <f>SUM(U100:$AQ100)*$N101/100</f>
        <v>10848.301200000002</v>
      </c>
      <c r="V101" s="331">
        <f>SUM(V100:$AQ100)*$N101/100</f>
        <v>9642.9344000000001</v>
      </c>
      <c r="W101" s="331">
        <f>SUM(W100:$AQ100)*$N101/100</f>
        <v>8437.5676000000003</v>
      </c>
      <c r="X101" s="331">
        <f>SUM(X100:$AQ100)*$N101/100</f>
        <v>7232.2008000000005</v>
      </c>
      <c r="Y101" s="331">
        <f>SUM(Y100:$AQ100)*$N101/100</f>
        <v>6026.8339999999998</v>
      </c>
      <c r="Z101" s="331">
        <f>SUM(Z100:$AQ100)*$N101/100</f>
        <v>4821.4672</v>
      </c>
      <c r="AA101" s="331">
        <f>SUM(AA100:$AQ100)*$N101/100</f>
        <v>3616.1004000000003</v>
      </c>
      <c r="AB101" s="331">
        <f>SUM(AB100:$AQ100)*$N101/100</f>
        <v>2410.7336</v>
      </c>
      <c r="AC101" s="331">
        <f>SUM(AC100:$AQ100)*$N101/100</f>
        <v>1205.3668</v>
      </c>
      <c r="AD101" s="331">
        <v>0</v>
      </c>
      <c r="AE101" s="331">
        <v>0</v>
      </c>
      <c r="AF101" s="331">
        <v>0</v>
      </c>
      <c r="AG101" s="331">
        <v>0</v>
      </c>
      <c r="AH101" s="331">
        <v>0</v>
      </c>
      <c r="AI101" s="331">
        <v>0</v>
      </c>
      <c r="AJ101" s="331">
        <v>0</v>
      </c>
      <c r="AK101" s="331">
        <v>0</v>
      </c>
      <c r="AL101" s="331">
        <v>0</v>
      </c>
      <c r="AM101" s="331">
        <v>0</v>
      </c>
      <c r="AN101" s="331">
        <v>0</v>
      </c>
      <c r="AO101" s="331">
        <v>0</v>
      </c>
      <c r="AP101" s="331">
        <v>0</v>
      </c>
      <c r="AQ101" s="331">
        <v>0</v>
      </c>
      <c r="AR101" s="331"/>
      <c r="AS101" s="331"/>
      <c r="AT101" s="332">
        <f t="shared" si="5"/>
        <v>94018.610400000005</v>
      </c>
      <c r="AU101" s="320">
        <f t="shared" si="6"/>
        <v>0</v>
      </c>
      <c r="AV101" s="333">
        <f t="shared" si="8"/>
        <v>18080.502</v>
      </c>
      <c r="AW101" s="331">
        <f t="shared" si="7"/>
        <v>94018.610400000005</v>
      </c>
      <c r="AY101" s="322"/>
    </row>
    <row r="102" spans="2:51" s="309" customFormat="1" outlineLevel="2" x14ac:dyDescent="0.25">
      <c r="B102" s="310" t="s">
        <v>786</v>
      </c>
      <c r="C102" s="311">
        <v>49</v>
      </c>
      <c r="D102" s="312" t="s">
        <v>1035</v>
      </c>
      <c r="E102" s="313" t="s">
        <v>1041</v>
      </c>
      <c r="F102" s="314" t="s">
        <v>1042</v>
      </c>
      <c r="G102" s="314" t="s">
        <v>1038</v>
      </c>
      <c r="H102" s="314" t="s">
        <v>1043</v>
      </c>
      <c r="I102" s="314" t="s">
        <v>747</v>
      </c>
      <c r="J102" s="315">
        <v>300000</v>
      </c>
      <c r="K102" s="316">
        <v>227052</v>
      </c>
      <c r="L102" s="316"/>
      <c r="M102" s="316"/>
      <c r="N102" s="334"/>
      <c r="O102" s="334"/>
      <c r="P102" s="317"/>
      <c r="Q102" s="317" t="s">
        <v>748</v>
      </c>
      <c r="R102" s="318">
        <v>32436</v>
      </c>
      <c r="S102" s="318">
        <v>32436</v>
      </c>
      <c r="T102" s="318">
        <v>32436</v>
      </c>
      <c r="U102" s="318">
        <v>32436</v>
      </c>
      <c r="V102" s="318">
        <v>32436</v>
      </c>
      <c r="W102" s="318">
        <v>32436</v>
      </c>
      <c r="X102" s="318">
        <v>32436</v>
      </c>
      <c r="Y102" s="318">
        <v>0</v>
      </c>
      <c r="Z102" s="318">
        <v>0</v>
      </c>
      <c r="AA102" s="318">
        <v>0</v>
      </c>
      <c r="AB102" s="318">
        <v>0</v>
      </c>
      <c r="AC102" s="318">
        <v>0</v>
      </c>
      <c r="AD102" s="318">
        <v>0</v>
      </c>
      <c r="AE102" s="318">
        <v>0</v>
      </c>
      <c r="AF102" s="318">
        <v>0</v>
      </c>
      <c r="AG102" s="318">
        <v>0</v>
      </c>
      <c r="AH102" s="318">
        <v>0</v>
      </c>
      <c r="AI102" s="318">
        <v>0</v>
      </c>
      <c r="AJ102" s="318">
        <v>0</v>
      </c>
      <c r="AK102" s="318">
        <v>0</v>
      </c>
      <c r="AL102" s="318">
        <v>0</v>
      </c>
      <c r="AM102" s="318">
        <v>0</v>
      </c>
      <c r="AN102" s="318">
        <v>0</v>
      </c>
      <c r="AO102" s="318">
        <v>0</v>
      </c>
      <c r="AP102" s="318">
        <v>0</v>
      </c>
      <c r="AQ102" s="318">
        <v>0</v>
      </c>
      <c r="AR102" s="318"/>
      <c r="AS102" s="318"/>
      <c r="AT102" s="319">
        <f t="shared" si="5"/>
        <v>227052</v>
      </c>
      <c r="AU102" s="320">
        <f t="shared" si="6"/>
        <v>0</v>
      </c>
      <c r="AV102" s="321">
        <f t="shared" si="8"/>
        <v>0</v>
      </c>
      <c r="AW102" s="318">
        <f t="shared" si="7"/>
        <v>227052</v>
      </c>
      <c r="AY102" s="322"/>
    </row>
    <row r="103" spans="2:51" outlineLevel="2" x14ac:dyDescent="0.25">
      <c r="B103" s="323" t="s">
        <v>786</v>
      </c>
      <c r="C103" s="324"/>
      <c r="D103" s="325" t="s">
        <v>1044</v>
      </c>
      <c r="E103" s="326"/>
      <c r="F103" s="327"/>
      <c r="G103" s="327"/>
      <c r="H103" s="327"/>
      <c r="I103" s="327"/>
      <c r="J103" s="328"/>
      <c r="K103" s="329"/>
      <c r="L103" s="328">
        <v>0</v>
      </c>
      <c r="M103" s="328"/>
      <c r="N103" s="330">
        <f>SUM(O103:P103)</f>
        <v>3.2160000000000002</v>
      </c>
      <c r="O103" s="330">
        <v>3.2160000000000002</v>
      </c>
      <c r="P103" s="330">
        <f>$P$4</f>
        <v>0</v>
      </c>
      <c r="Q103" s="330" t="s">
        <v>751</v>
      </c>
      <c r="R103" s="331">
        <f>SUM(R102:$AQ102)*$N103/100</f>
        <v>7301.9923200000012</v>
      </c>
      <c r="S103" s="331">
        <f>SUM(S102:$AQ102)*$N103/100</f>
        <v>6258.8505599999999</v>
      </c>
      <c r="T103" s="331">
        <f>SUM(T102:$AQ102)*$N103/100</f>
        <v>5215.7088000000003</v>
      </c>
      <c r="U103" s="331">
        <f>SUM(U102:$AQ102)*$N103/100</f>
        <v>4172.5670399999999</v>
      </c>
      <c r="V103" s="331">
        <f>SUM(V102:$AQ102)*$N103/100</f>
        <v>3129.4252799999999</v>
      </c>
      <c r="W103" s="331">
        <f>SUM(W102:$AQ102)*$N103/100</f>
        <v>2086.28352</v>
      </c>
      <c r="X103" s="331">
        <f>SUM(X102:$AQ102)*$N103/100</f>
        <v>1043.14176</v>
      </c>
      <c r="Y103" s="331">
        <v>0</v>
      </c>
      <c r="Z103" s="331">
        <v>0</v>
      </c>
      <c r="AA103" s="331">
        <v>0</v>
      </c>
      <c r="AB103" s="331">
        <v>0</v>
      </c>
      <c r="AC103" s="331">
        <v>0</v>
      </c>
      <c r="AD103" s="331">
        <v>0</v>
      </c>
      <c r="AE103" s="331">
        <v>0</v>
      </c>
      <c r="AF103" s="331">
        <v>0</v>
      </c>
      <c r="AG103" s="331">
        <v>0</v>
      </c>
      <c r="AH103" s="331">
        <v>0</v>
      </c>
      <c r="AI103" s="331">
        <v>0</v>
      </c>
      <c r="AJ103" s="331">
        <v>0</v>
      </c>
      <c r="AK103" s="331">
        <v>0</v>
      </c>
      <c r="AL103" s="331">
        <v>0</v>
      </c>
      <c r="AM103" s="331">
        <v>0</v>
      </c>
      <c r="AN103" s="331">
        <v>0</v>
      </c>
      <c r="AO103" s="331">
        <v>0</v>
      </c>
      <c r="AP103" s="331">
        <v>0</v>
      </c>
      <c r="AQ103" s="331">
        <v>0</v>
      </c>
      <c r="AR103" s="331"/>
      <c r="AS103" s="331"/>
      <c r="AT103" s="332">
        <f t="shared" si="5"/>
        <v>29207.969279999998</v>
      </c>
      <c r="AU103" s="320">
        <f t="shared" si="6"/>
        <v>0</v>
      </c>
      <c r="AV103" s="333">
        <f t="shared" si="8"/>
        <v>0</v>
      </c>
      <c r="AW103" s="331">
        <f t="shared" si="7"/>
        <v>29207.969279999998</v>
      </c>
      <c r="AY103" s="322"/>
    </row>
    <row r="104" spans="2:51" s="309" customFormat="1" outlineLevel="2" x14ac:dyDescent="0.25">
      <c r="B104" s="310" t="s">
        <v>741</v>
      </c>
      <c r="C104" s="311">
        <v>50</v>
      </c>
      <c r="D104" s="312" t="s">
        <v>1045</v>
      </c>
      <c r="E104" s="313" t="s">
        <v>1046</v>
      </c>
      <c r="F104" s="314" t="s">
        <v>1047</v>
      </c>
      <c r="G104" s="314" t="s">
        <v>1048</v>
      </c>
      <c r="H104" s="314" t="s">
        <v>1049</v>
      </c>
      <c r="I104" s="314" t="s">
        <v>747</v>
      </c>
      <c r="J104" s="315">
        <v>292889</v>
      </c>
      <c r="K104" s="316">
        <v>173884.25</v>
      </c>
      <c r="L104" s="316"/>
      <c r="M104" s="316"/>
      <c r="N104" s="334"/>
      <c r="O104" s="334"/>
      <c r="P104" s="317"/>
      <c r="Q104" s="317" t="s">
        <v>748</v>
      </c>
      <c r="R104" s="318">
        <v>20200</v>
      </c>
      <c r="S104" s="318">
        <v>20200</v>
      </c>
      <c r="T104" s="318">
        <v>20200</v>
      </c>
      <c r="U104" s="318">
        <v>20200</v>
      </c>
      <c r="V104" s="318">
        <v>20200</v>
      </c>
      <c r="W104" s="318">
        <v>20200</v>
      </c>
      <c r="X104" s="318">
        <v>20200</v>
      </c>
      <c r="Y104" s="318">
        <v>20200</v>
      </c>
      <c r="Z104" s="318">
        <f>20200-7916</f>
        <v>12284</v>
      </c>
      <c r="AA104" s="318"/>
      <c r="AB104" s="318"/>
      <c r="AC104" s="318"/>
      <c r="AD104" s="318">
        <v>0</v>
      </c>
      <c r="AE104" s="318">
        <v>0</v>
      </c>
      <c r="AF104" s="318">
        <v>0</v>
      </c>
      <c r="AG104" s="318">
        <v>0</v>
      </c>
      <c r="AH104" s="318">
        <v>0</v>
      </c>
      <c r="AI104" s="318">
        <v>0</v>
      </c>
      <c r="AJ104" s="318">
        <v>0</v>
      </c>
      <c r="AK104" s="318">
        <v>0</v>
      </c>
      <c r="AL104" s="318">
        <v>0</v>
      </c>
      <c r="AM104" s="318">
        <v>0</v>
      </c>
      <c r="AN104" s="318">
        <v>0</v>
      </c>
      <c r="AO104" s="318">
        <v>0</v>
      </c>
      <c r="AP104" s="318">
        <v>0</v>
      </c>
      <c r="AQ104" s="318">
        <v>0</v>
      </c>
      <c r="AR104" s="318"/>
      <c r="AS104" s="318"/>
      <c r="AT104" s="319">
        <f t="shared" si="5"/>
        <v>173884</v>
      </c>
      <c r="AU104" s="320">
        <f t="shared" si="6"/>
        <v>0</v>
      </c>
      <c r="AV104" s="321">
        <f t="shared" si="8"/>
        <v>32484</v>
      </c>
      <c r="AW104" s="318">
        <f t="shared" si="7"/>
        <v>173884</v>
      </c>
      <c r="AY104" s="322"/>
    </row>
    <row r="105" spans="2:51" outlineLevel="2" x14ac:dyDescent="0.25">
      <c r="B105" s="323" t="s">
        <v>741</v>
      </c>
      <c r="C105" s="324"/>
      <c r="D105" s="325" t="s">
        <v>1050</v>
      </c>
      <c r="E105" s="326"/>
      <c r="F105" s="327"/>
      <c r="G105" s="327"/>
      <c r="H105" s="327"/>
      <c r="I105" s="327"/>
      <c r="J105" s="328"/>
      <c r="K105" s="329"/>
      <c r="L105" s="328">
        <v>0</v>
      </c>
      <c r="M105" s="328"/>
      <c r="N105" s="330">
        <f>SUM(O105:P105)</f>
        <v>3.41</v>
      </c>
      <c r="O105" s="330">
        <v>3.41</v>
      </c>
      <c r="P105" s="330">
        <f>$P$4</f>
        <v>0</v>
      </c>
      <c r="Q105" s="330" t="s">
        <v>751</v>
      </c>
      <c r="R105" s="331">
        <f>SUM(R104:$AQ104)*$N105/100</f>
        <v>5929.4444000000003</v>
      </c>
      <c r="S105" s="331">
        <f>SUM(S104:$AQ104)*$N105/100</f>
        <v>5240.6243999999997</v>
      </c>
      <c r="T105" s="331">
        <f>SUM(T104:$AQ104)*$N105/100</f>
        <v>4551.8044</v>
      </c>
      <c r="U105" s="331">
        <f>SUM(U104:$AQ104)*$N105/100</f>
        <v>3862.9843999999998</v>
      </c>
      <c r="V105" s="331">
        <f>SUM(V104:$AQ104)*$N105/100</f>
        <v>3174.1644000000001</v>
      </c>
      <c r="W105" s="331">
        <f>SUM(W104:$AQ104)*$N105/100</f>
        <v>2485.3444</v>
      </c>
      <c r="X105" s="331">
        <f>SUM(X104:$AQ104)*$N105/100</f>
        <v>1796.5244</v>
      </c>
      <c r="Y105" s="331">
        <f>SUM(Y104:$AQ104)*$N105/100</f>
        <v>1107.7044000000001</v>
      </c>
      <c r="Z105" s="331">
        <f>SUM(Z104:$AQ104)*$N105/100</f>
        <v>418.88440000000003</v>
      </c>
      <c r="AA105" s="331">
        <f>SUM(AA104:$AQ104)*$N105/100</f>
        <v>0</v>
      </c>
      <c r="AB105" s="331">
        <f>SUM(AB104:$AQ104)*$N105/100</f>
        <v>0</v>
      </c>
      <c r="AC105" s="331">
        <f>SUM(AC104:$AQ104)*$N105/100</f>
        <v>0</v>
      </c>
      <c r="AD105" s="331">
        <v>0</v>
      </c>
      <c r="AE105" s="331">
        <v>0</v>
      </c>
      <c r="AF105" s="331">
        <v>0</v>
      </c>
      <c r="AG105" s="331">
        <v>0</v>
      </c>
      <c r="AH105" s="331">
        <v>0</v>
      </c>
      <c r="AI105" s="331">
        <v>0</v>
      </c>
      <c r="AJ105" s="331">
        <v>0</v>
      </c>
      <c r="AK105" s="331">
        <v>0</v>
      </c>
      <c r="AL105" s="331">
        <v>0</v>
      </c>
      <c r="AM105" s="331">
        <v>0</v>
      </c>
      <c r="AN105" s="331">
        <v>0</v>
      </c>
      <c r="AO105" s="331">
        <v>0</v>
      </c>
      <c r="AP105" s="331">
        <v>0</v>
      </c>
      <c r="AQ105" s="331">
        <v>0</v>
      </c>
      <c r="AR105" s="331"/>
      <c r="AS105" s="331"/>
      <c r="AT105" s="332">
        <f t="shared" si="5"/>
        <v>28567.479600000002</v>
      </c>
      <c r="AU105" s="320">
        <f t="shared" si="6"/>
        <v>0</v>
      </c>
      <c r="AV105" s="333">
        <f t="shared" si="8"/>
        <v>1526.5888</v>
      </c>
      <c r="AW105" s="331">
        <f t="shared" si="7"/>
        <v>28567.479600000006</v>
      </c>
      <c r="AY105" s="322"/>
    </row>
    <row r="106" spans="2:51" s="309" customFormat="1" outlineLevel="2" x14ac:dyDescent="0.25">
      <c r="B106" s="310" t="s">
        <v>786</v>
      </c>
      <c r="C106" s="311">
        <v>51</v>
      </c>
      <c r="D106" s="312" t="s">
        <v>1051</v>
      </c>
      <c r="E106" s="313" t="s">
        <v>1052</v>
      </c>
      <c r="F106" s="314" t="s">
        <v>1053</v>
      </c>
      <c r="G106" s="314" t="s">
        <v>1054</v>
      </c>
      <c r="H106" s="314" t="s">
        <v>949</v>
      </c>
      <c r="I106" s="314" t="s">
        <v>747</v>
      </c>
      <c r="J106" s="315">
        <v>495501</v>
      </c>
      <c r="K106" s="316">
        <v>434650</v>
      </c>
      <c r="L106" s="316"/>
      <c r="M106" s="316"/>
      <c r="N106" s="334"/>
      <c r="O106" s="334"/>
      <c r="P106" s="317"/>
      <c r="Q106" s="317" t="s">
        <v>748</v>
      </c>
      <c r="R106" s="318">
        <v>34772</v>
      </c>
      <c r="S106" s="318">
        <v>34772</v>
      </c>
      <c r="T106" s="318">
        <v>34772</v>
      </c>
      <c r="U106" s="318">
        <v>34772</v>
      </c>
      <c r="V106" s="318">
        <v>34772</v>
      </c>
      <c r="W106" s="318">
        <v>34772</v>
      </c>
      <c r="X106" s="318">
        <v>34772</v>
      </c>
      <c r="Y106" s="318">
        <v>34772</v>
      </c>
      <c r="Z106" s="318">
        <v>34772</v>
      </c>
      <c r="AA106" s="318">
        <v>34772</v>
      </c>
      <c r="AB106" s="318">
        <v>34772</v>
      </c>
      <c r="AC106" s="318">
        <v>34772</v>
      </c>
      <c r="AD106" s="318">
        <v>17386</v>
      </c>
      <c r="AE106" s="318">
        <v>0</v>
      </c>
      <c r="AF106" s="318">
        <v>0</v>
      </c>
      <c r="AG106" s="318">
        <v>0</v>
      </c>
      <c r="AH106" s="318">
        <v>0</v>
      </c>
      <c r="AI106" s="318">
        <v>0</v>
      </c>
      <c r="AJ106" s="318">
        <v>0</v>
      </c>
      <c r="AK106" s="318">
        <v>0</v>
      </c>
      <c r="AL106" s="318">
        <v>0</v>
      </c>
      <c r="AM106" s="318">
        <v>0</v>
      </c>
      <c r="AN106" s="318">
        <v>0</v>
      </c>
      <c r="AO106" s="318">
        <v>0</v>
      </c>
      <c r="AP106" s="318">
        <v>0</v>
      </c>
      <c r="AQ106" s="318">
        <v>0</v>
      </c>
      <c r="AR106" s="318"/>
      <c r="AS106" s="318"/>
      <c r="AT106" s="319">
        <f t="shared" si="5"/>
        <v>434650</v>
      </c>
      <c r="AU106" s="320">
        <f t="shared" si="6"/>
        <v>0</v>
      </c>
      <c r="AV106" s="321">
        <f t="shared" si="8"/>
        <v>191246</v>
      </c>
      <c r="AW106" s="318">
        <f t="shared" si="7"/>
        <v>434650</v>
      </c>
      <c r="AY106" s="322"/>
    </row>
    <row r="107" spans="2:51" outlineLevel="2" x14ac:dyDescent="0.25">
      <c r="B107" s="323" t="s">
        <v>786</v>
      </c>
      <c r="C107" s="324"/>
      <c r="D107" s="325" t="s">
        <v>1055</v>
      </c>
      <c r="E107" s="326"/>
      <c r="F107" s="327"/>
      <c r="G107" s="327"/>
      <c r="H107" s="327"/>
      <c r="I107" s="327"/>
      <c r="J107" s="328"/>
      <c r="K107" s="329"/>
      <c r="L107" s="328" t="s">
        <v>1056</v>
      </c>
      <c r="M107" s="328"/>
      <c r="N107" s="330">
        <f>SUM(O107:P107)</f>
        <v>3.4969999999999999</v>
      </c>
      <c r="O107" s="330">
        <v>3.4969999999999999</v>
      </c>
      <c r="P107" s="330">
        <f>$P$4</f>
        <v>0</v>
      </c>
      <c r="Q107" s="330" t="s">
        <v>751</v>
      </c>
      <c r="R107" s="331">
        <f>SUM(R106:$AQ106)*$N107/100</f>
        <v>15199.710500000001</v>
      </c>
      <c r="S107" s="331">
        <f>SUM(S106:$AQ106)*$N107/100</f>
        <v>13983.73366</v>
      </c>
      <c r="T107" s="331">
        <f>SUM(T106:$AQ106)*$N107/100</f>
        <v>12767.756820000001</v>
      </c>
      <c r="U107" s="331">
        <f>SUM(U106:$AQ106)*$N107/100</f>
        <v>11551.779979999999</v>
      </c>
      <c r="V107" s="331">
        <f>SUM(V106:$AQ106)*$N107/100</f>
        <v>10335.80314</v>
      </c>
      <c r="W107" s="331">
        <f>SUM(W106:$AQ106)*$N107/100</f>
        <v>9119.8263000000006</v>
      </c>
      <c r="X107" s="331">
        <f>SUM(X106:$AQ106)*$N107/100</f>
        <v>7903.8494600000004</v>
      </c>
      <c r="Y107" s="331">
        <f>SUM(Y106:$AQ106)*$N107/100</f>
        <v>6687.8726200000001</v>
      </c>
      <c r="Z107" s="331">
        <f>SUM(Z106:$AQ106)*$N107/100</f>
        <v>5471.8957799999998</v>
      </c>
      <c r="AA107" s="331">
        <f>SUM(AA106:$AQ106)*$N107/100</f>
        <v>4255.9189399999996</v>
      </c>
      <c r="AB107" s="331">
        <f>SUM(AB106:$AQ106)*$N107/100</f>
        <v>3039.9420999999998</v>
      </c>
      <c r="AC107" s="331">
        <f>SUM(AC106:$AQ106)*$N107/100</f>
        <v>1823.9652599999999</v>
      </c>
      <c r="AD107" s="331">
        <f>SUM(AD106:$AQ106)*$N107/100</f>
        <v>607.98842000000002</v>
      </c>
      <c r="AE107" s="331">
        <v>0</v>
      </c>
      <c r="AF107" s="331">
        <v>0</v>
      </c>
      <c r="AG107" s="331">
        <v>0</v>
      </c>
      <c r="AH107" s="331">
        <v>0</v>
      </c>
      <c r="AI107" s="331">
        <v>0</v>
      </c>
      <c r="AJ107" s="331">
        <v>0</v>
      </c>
      <c r="AK107" s="331">
        <v>0</v>
      </c>
      <c r="AL107" s="331">
        <v>0</v>
      </c>
      <c r="AM107" s="331">
        <v>0</v>
      </c>
      <c r="AN107" s="331">
        <v>0</v>
      </c>
      <c r="AO107" s="331">
        <v>0</v>
      </c>
      <c r="AP107" s="331">
        <v>0</v>
      </c>
      <c r="AQ107" s="331">
        <v>0</v>
      </c>
      <c r="AR107" s="331"/>
      <c r="AS107" s="331"/>
      <c r="AT107" s="332">
        <f t="shared" si="5"/>
        <v>102750.04298</v>
      </c>
      <c r="AU107" s="320">
        <f t="shared" si="6"/>
        <v>0</v>
      </c>
      <c r="AV107" s="333">
        <f t="shared" si="8"/>
        <v>21887.583120000003</v>
      </c>
      <c r="AW107" s="331">
        <f t="shared" si="7"/>
        <v>102750.04298</v>
      </c>
      <c r="AY107" s="322"/>
    </row>
    <row r="108" spans="2:51" s="299" customFormat="1" outlineLevel="1" x14ac:dyDescent="0.25">
      <c r="B108" s="335" t="s">
        <v>741</v>
      </c>
      <c r="C108" s="336">
        <v>52</v>
      </c>
      <c r="D108" s="337" t="s">
        <v>1057</v>
      </c>
      <c r="E108" s="313" t="s">
        <v>1058</v>
      </c>
      <c r="F108" s="313" t="s">
        <v>1059</v>
      </c>
      <c r="G108" s="342">
        <v>45159</v>
      </c>
      <c r="H108" s="313" t="s">
        <v>1060</v>
      </c>
      <c r="I108" s="313" t="s">
        <v>747</v>
      </c>
      <c r="J108" s="315">
        <v>165176</v>
      </c>
      <c r="K108" s="316">
        <v>118549.93</v>
      </c>
      <c r="L108" s="316"/>
      <c r="M108" s="316"/>
      <c r="N108" s="334"/>
      <c r="O108" s="334"/>
      <c r="P108" s="317"/>
      <c r="Q108" s="317" t="s">
        <v>748</v>
      </c>
      <c r="R108" s="318">
        <v>31084</v>
      </c>
      <c r="S108" s="318">
        <v>31084</v>
      </c>
      <c r="T108" s="318">
        <v>31084</v>
      </c>
      <c r="U108" s="318">
        <f>31084-5786</f>
        <v>25298</v>
      </c>
      <c r="V108" s="318"/>
      <c r="W108" s="318"/>
      <c r="X108" s="318"/>
      <c r="Y108" s="318"/>
      <c r="Z108" s="318"/>
      <c r="AA108" s="318"/>
      <c r="AB108" s="318"/>
      <c r="AC108" s="318"/>
      <c r="AD108" s="318"/>
      <c r="AE108" s="318"/>
      <c r="AF108" s="318"/>
      <c r="AG108" s="318"/>
      <c r="AH108" s="318"/>
      <c r="AI108" s="318"/>
      <c r="AJ108" s="318"/>
      <c r="AK108" s="318"/>
      <c r="AL108" s="318"/>
      <c r="AM108" s="318"/>
      <c r="AN108" s="318"/>
      <c r="AO108" s="318"/>
      <c r="AP108" s="318"/>
      <c r="AQ108" s="318"/>
      <c r="AR108" s="318"/>
      <c r="AS108" s="318"/>
      <c r="AT108" s="319">
        <f t="shared" si="5"/>
        <v>118550</v>
      </c>
      <c r="AU108" s="320">
        <f t="shared" si="6"/>
        <v>0</v>
      </c>
      <c r="AV108" s="321">
        <f t="shared" si="8"/>
        <v>0</v>
      </c>
      <c r="AW108" s="318">
        <f t="shared" si="7"/>
        <v>118550</v>
      </c>
      <c r="AY108" s="322"/>
    </row>
    <row r="109" spans="2:51" s="291" customFormat="1" outlineLevel="1" x14ac:dyDescent="0.25">
      <c r="B109" s="339" t="s">
        <v>741</v>
      </c>
      <c r="C109" s="340"/>
      <c r="D109" s="341" t="s">
        <v>1061</v>
      </c>
      <c r="E109" s="326"/>
      <c r="F109" s="326"/>
      <c r="G109" s="326"/>
      <c r="H109" s="326"/>
      <c r="I109" s="326"/>
      <c r="J109" s="328"/>
      <c r="K109" s="329"/>
      <c r="L109" s="328" t="s">
        <v>1062</v>
      </c>
      <c r="M109" s="328"/>
      <c r="N109" s="330">
        <f>SUM(O109:P109)</f>
        <v>3.1520000000000001</v>
      </c>
      <c r="O109" s="330">
        <v>3.1520000000000001</v>
      </c>
      <c r="P109" s="330">
        <f>$P$4</f>
        <v>0</v>
      </c>
      <c r="Q109" s="330" t="s">
        <v>751</v>
      </c>
      <c r="R109" s="331">
        <f>SUM(R108:$AQ108)*$N109/100</f>
        <v>3736.6960000000004</v>
      </c>
      <c r="S109" s="331">
        <f>SUM(S108:$AQ108)*$N109/100</f>
        <v>2756.92832</v>
      </c>
      <c r="T109" s="331">
        <f>SUM(T108:$AQ108)*$N109/100</f>
        <v>1777.1606400000001</v>
      </c>
      <c r="U109" s="331">
        <f>SUM(U108:$AQ108)*$N109/100</f>
        <v>797.39296000000002</v>
      </c>
      <c r="V109" s="331"/>
      <c r="W109" s="331"/>
      <c r="X109" s="331"/>
      <c r="Y109" s="331"/>
      <c r="Z109" s="331"/>
      <c r="AA109" s="331"/>
      <c r="AB109" s="331"/>
      <c r="AC109" s="331"/>
      <c r="AD109" s="331"/>
      <c r="AE109" s="331"/>
      <c r="AF109" s="331"/>
      <c r="AG109" s="331"/>
      <c r="AH109" s="331"/>
      <c r="AI109" s="331"/>
      <c r="AJ109" s="331"/>
      <c r="AK109" s="331"/>
      <c r="AL109" s="331"/>
      <c r="AM109" s="331"/>
      <c r="AN109" s="331"/>
      <c r="AO109" s="331"/>
      <c r="AP109" s="331"/>
      <c r="AQ109" s="331"/>
      <c r="AR109" s="331"/>
      <c r="AS109" s="331"/>
      <c r="AT109" s="332">
        <f t="shared" si="5"/>
        <v>9068.1779200000001</v>
      </c>
      <c r="AU109" s="320">
        <f t="shared" si="6"/>
        <v>0</v>
      </c>
      <c r="AV109" s="333">
        <f t="shared" si="8"/>
        <v>0</v>
      </c>
      <c r="AW109" s="331">
        <f t="shared" si="7"/>
        <v>9068.1779200000001</v>
      </c>
      <c r="AY109" s="322"/>
    </row>
    <row r="110" spans="2:51" s="299" customFormat="1" outlineLevel="1" x14ac:dyDescent="0.25">
      <c r="B110" s="335" t="s">
        <v>741</v>
      </c>
      <c r="C110" s="336">
        <v>53</v>
      </c>
      <c r="D110" s="337" t="s">
        <v>1063</v>
      </c>
      <c r="E110" s="313" t="s">
        <v>1064</v>
      </c>
      <c r="F110" s="313" t="s">
        <v>1065</v>
      </c>
      <c r="G110" s="342">
        <v>45215</v>
      </c>
      <c r="H110" s="342">
        <v>49572</v>
      </c>
      <c r="I110" s="313" t="s">
        <v>747</v>
      </c>
      <c r="J110" s="315">
        <v>345038</v>
      </c>
      <c r="K110" s="316">
        <v>284822</v>
      </c>
      <c r="L110" s="316"/>
      <c r="M110" s="316"/>
      <c r="N110" s="334"/>
      <c r="O110" s="334"/>
      <c r="P110" s="317"/>
      <c r="Q110" s="317" t="s">
        <v>748</v>
      </c>
      <c r="R110" s="318">
        <f t="shared" ref="R110:Z110" si="9">7527*4</f>
        <v>30108</v>
      </c>
      <c r="S110" s="318">
        <f t="shared" si="9"/>
        <v>30108</v>
      </c>
      <c r="T110" s="318">
        <f t="shared" si="9"/>
        <v>30108</v>
      </c>
      <c r="U110" s="318">
        <f t="shared" si="9"/>
        <v>30108</v>
      </c>
      <c r="V110" s="318">
        <f t="shared" si="9"/>
        <v>30108</v>
      </c>
      <c r="W110" s="318">
        <f t="shared" si="9"/>
        <v>30108</v>
      </c>
      <c r="X110" s="318">
        <f t="shared" si="9"/>
        <v>30108</v>
      </c>
      <c r="Y110" s="318">
        <f t="shared" si="9"/>
        <v>30108</v>
      </c>
      <c r="Z110" s="318">
        <f t="shared" si="9"/>
        <v>30108</v>
      </c>
      <c r="AA110" s="318">
        <f>7527*2+7508-8712</f>
        <v>13850</v>
      </c>
      <c r="AB110" s="318"/>
      <c r="AC110" s="318"/>
      <c r="AD110" s="318"/>
      <c r="AE110" s="318"/>
      <c r="AF110" s="318"/>
      <c r="AG110" s="318"/>
      <c r="AH110" s="318"/>
      <c r="AI110" s="318"/>
      <c r="AJ110" s="318"/>
      <c r="AK110" s="318"/>
      <c r="AL110" s="318"/>
      <c r="AM110" s="318"/>
      <c r="AN110" s="318"/>
      <c r="AO110" s="318"/>
      <c r="AP110" s="318"/>
      <c r="AQ110" s="318"/>
      <c r="AR110" s="318"/>
      <c r="AS110" s="318"/>
      <c r="AT110" s="319">
        <f t="shared" si="5"/>
        <v>284822</v>
      </c>
      <c r="AU110" s="320">
        <f t="shared" si="6"/>
        <v>0</v>
      </c>
      <c r="AV110" s="321">
        <f t="shared" si="8"/>
        <v>74066</v>
      </c>
      <c r="AW110" s="318">
        <f t="shared" si="7"/>
        <v>284822</v>
      </c>
      <c r="AY110" s="322"/>
    </row>
    <row r="111" spans="2:51" s="291" customFormat="1" outlineLevel="1" x14ac:dyDescent="0.25">
      <c r="B111" s="339" t="s">
        <v>741</v>
      </c>
      <c r="C111" s="340"/>
      <c r="D111" s="341" t="s">
        <v>1066</v>
      </c>
      <c r="E111" s="326"/>
      <c r="F111" s="326"/>
      <c r="G111" s="326"/>
      <c r="H111" s="326"/>
      <c r="I111" s="326"/>
      <c r="J111" s="328"/>
      <c r="K111" s="329"/>
      <c r="L111" s="328"/>
      <c r="M111" s="328"/>
      <c r="N111" s="330">
        <f>SUM(O111:P111)</f>
        <v>3.294</v>
      </c>
      <c r="O111" s="330">
        <v>3.294</v>
      </c>
      <c r="P111" s="330"/>
      <c r="Q111" s="330" t="s">
        <v>751</v>
      </c>
      <c r="R111" s="331">
        <f>SUM(R110:$AQ110)*$N111/100</f>
        <v>9382.0366800000011</v>
      </c>
      <c r="S111" s="331">
        <f>SUM(S110:$AQ110)*$N111/100</f>
        <v>8390.27916</v>
      </c>
      <c r="T111" s="331">
        <f>SUM(T110:$AQ110)*$N111/100</f>
        <v>7398.5216399999999</v>
      </c>
      <c r="U111" s="331">
        <f>SUM(U110:$AQ110)*$N111/100</f>
        <v>6406.7641199999998</v>
      </c>
      <c r="V111" s="331">
        <f>SUM(V110:$AQ110)*$N111/100</f>
        <v>5415.0066000000006</v>
      </c>
      <c r="W111" s="331">
        <f>SUM(W110:$AQ110)*$N111/100</f>
        <v>4423.2490799999996</v>
      </c>
      <c r="X111" s="331">
        <f>SUM(X110:$AQ110)*$N111/100</f>
        <v>3431.4915600000004</v>
      </c>
      <c r="Y111" s="331">
        <f>SUM(Y110:$AQ110)*$N111/100</f>
        <v>2439.7340400000003</v>
      </c>
      <c r="Z111" s="331">
        <f>SUM(Z110:$AQ110)*$N111/100</f>
        <v>1447.9765199999999</v>
      </c>
      <c r="AA111" s="331">
        <f>SUM(AA110:$AQ110)*$N111/100</f>
        <v>456.21899999999999</v>
      </c>
      <c r="AB111" s="331"/>
      <c r="AC111" s="331"/>
      <c r="AD111" s="331"/>
      <c r="AE111" s="331"/>
      <c r="AF111" s="331"/>
      <c r="AG111" s="331"/>
      <c r="AH111" s="331"/>
      <c r="AI111" s="331"/>
      <c r="AJ111" s="331"/>
      <c r="AK111" s="331"/>
      <c r="AL111" s="331"/>
      <c r="AM111" s="331"/>
      <c r="AN111" s="331"/>
      <c r="AO111" s="331"/>
      <c r="AP111" s="331"/>
      <c r="AQ111" s="331"/>
      <c r="AR111" s="331"/>
      <c r="AS111" s="331"/>
      <c r="AT111" s="332">
        <f t="shared" si="5"/>
        <v>49191.278400000003</v>
      </c>
      <c r="AU111" s="320">
        <f t="shared" si="6"/>
        <v>0</v>
      </c>
      <c r="AV111" s="333">
        <f t="shared" si="8"/>
        <v>4343.9295600000005</v>
      </c>
      <c r="AW111" s="331">
        <f t="shared" si="7"/>
        <v>49191.27840000001</v>
      </c>
      <c r="AY111" s="322"/>
    </row>
    <row r="112" spans="2:51" s="299" customFormat="1" outlineLevel="1" x14ac:dyDescent="0.25">
      <c r="B112" s="335" t="s">
        <v>741</v>
      </c>
      <c r="C112" s="336">
        <v>54</v>
      </c>
      <c r="D112" s="337" t="s">
        <v>1067</v>
      </c>
      <c r="E112" s="313" t="s">
        <v>1068</v>
      </c>
      <c r="F112" s="313" t="s">
        <v>1069</v>
      </c>
      <c r="G112" s="342">
        <v>45561</v>
      </c>
      <c r="H112" s="342">
        <v>49207</v>
      </c>
      <c r="I112" s="313" t="s">
        <v>747</v>
      </c>
      <c r="J112" s="315">
        <v>729424</v>
      </c>
      <c r="K112" s="316">
        <v>689994</v>
      </c>
      <c r="L112" s="316"/>
      <c r="M112" s="316"/>
      <c r="N112" s="334"/>
      <c r="O112" s="334"/>
      <c r="P112" s="317"/>
      <c r="Q112" s="317" t="s">
        <v>748</v>
      </c>
      <c r="R112" s="318">
        <f>19715*4</f>
        <v>78860</v>
      </c>
      <c r="S112" s="318">
        <f t="shared" ref="S112:Y112" si="10">19715*4</f>
        <v>78860</v>
      </c>
      <c r="T112" s="318">
        <f t="shared" si="10"/>
        <v>78860</v>
      </c>
      <c r="U112" s="318">
        <f t="shared" si="10"/>
        <v>78860</v>
      </c>
      <c r="V112" s="318">
        <f t="shared" si="10"/>
        <v>78860</v>
      </c>
      <c r="W112" s="318">
        <f t="shared" si="10"/>
        <v>78860</v>
      </c>
      <c r="X112" s="318">
        <f t="shared" si="10"/>
        <v>78860</v>
      </c>
      <c r="Y112" s="318">
        <f t="shared" si="10"/>
        <v>78860</v>
      </c>
      <c r="Z112" s="318">
        <v>59114</v>
      </c>
      <c r="AA112" s="318"/>
      <c r="AB112" s="318"/>
      <c r="AC112" s="318"/>
      <c r="AD112" s="318"/>
      <c r="AE112" s="318"/>
      <c r="AF112" s="318"/>
      <c r="AG112" s="318"/>
      <c r="AH112" s="318"/>
      <c r="AI112" s="318"/>
      <c r="AJ112" s="318"/>
      <c r="AK112" s="318"/>
      <c r="AL112" s="318"/>
      <c r="AM112" s="318"/>
      <c r="AN112" s="318"/>
      <c r="AO112" s="318"/>
      <c r="AP112" s="318"/>
      <c r="AQ112" s="318"/>
      <c r="AR112" s="318"/>
      <c r="AS112" s="318"/>
      <c r="AT112" s="319">
        <f t="shared" si="5"/>
        <v>689994</v>
      </c>
      <c r="AU112" s="320">
        <f t="shared" si="6"/>
        <v>0</v>
      </c>
      <c r="AV112" s="321">
        <f t="shared" si="8"/>
        <v>137974</v>
      </c>
      <c r="AW112" s="318">
        <f t="shared" si="7"/>
        <v>689994</v>
      </c>
      <c r="AY112" s="322"/>
    </row>
    <row r="113" spans="2:51" s="291" customFormat="1" ht="14.25" customHeight="1" outlineLevel="1" x14ac:dyDescent="0.25">
      <c r="B113" s="339" t="s">
        <v>741</v>
      </c>
      <c r="C113" s="340"/>
      <c r="D113" s="341" t="s">
        <v>1070</v>
      </c>
      <c r="E113" s="326"/>
      <c r="F113" s="326"/>
      <c r="G113" s="326"/>
      <c r="H113" s="326"/>
      <c r="I113" s="326"/>
      <c r="J113" s="328"/>
      <c r="K113" s="329"/>
      <c r="L113" s="328" t="s">
        <v>1071</v>
      </c>
      <c r="M113" s="328"/>
      <c r="N113" s="330">
        <f>SUM(O113:P113)</f>
        <v>3.379</v>
      </c>
      <c r="O113" s="330">
        <v>3.379</v>
      </c>
      <c r="P113" s="330">
        <f>$P$4</f>
        <v>0</v>
      </c>
      <c r="Q113" s="330" t="s">
        <v>751</v>
      </c>
      <c r="R113" s="331">
        <f>SUM(R112:$AQ112)*$N113/100</f>
        <v>23314.897259999998</v>
      </c>
      <c r="S113" s="331">
        <f>SUM(S112:$AQ112)*$N113/100</f>
        <v>20650.217860000001</v>
      </c>
      <c r="T113" s="331">
        <f>SUM(T112:$AQ112)*$N113/100</f>
        <v>17985.53846</v>
      </c>
      <c r="U113" s="331">
        <f>SUM(U112:$AQ112)*$N113/100</f>
        <v>15320.859059999999</v>
      </c>
      <c r="V113" s="331">
        <f>SUM(V112:$AQ112)*$N113/100</f>
        <v>12656.17966</v>
      </c>
      <c r="W113" s="331">
        <f>SUM(W112:$AQ112)*$N113/100</f>
        <v>9991.5002599999989</v>
      </c>
      <c r="X113" s="331">
        <f>SUM(X112:$AQ112)*$N113/100</f>
        <v>7326.8208599999998</v>
      </c>
      <c r="Y113" s="331">
        <f>SUM(Y112:$AQ112)*$N113/100</f>
        <v>4662.1414599999998</v>
      </c>
      <c r="Z113" s="331">
        <f>SUM(Z112:$AQ112)*$N113/100</f>
        <v>1997.4620600000001</v>
      </c>
      <c r="AA113" s="331"/>
      <c r="AB113" s="331"/>
      <c r="AC113" s="331"/>
      <c r="AD113" s="331"/>
      <c r="AE113" s="331"/>
      <c r="AF113" s="331"/>
      <c r="AG113" s="331"/>
      <c r="AH113" s="331"/>
      <c r="AI113" s="331"/>
      <c r="AJ113" s="331"/>
      <c r="AK113" s="331"/>
      <c r="AL113" s="331"/>
      <c r="AM113" s="331"/>
      <c r="AN113" s="331"/>
      <c r="AO113" s="331"/>
      <c r="AP113" s="331"/>
      <c r="AQ113" s="331"/>
      <c r="AR113" s="331"/>
      <c r="AS113" s="331"/>
      <c r="AT113" s="332">
        <f t="shared" si="5"/>
        <v>113905.61694000001</v>
      </c>
      <c r="AU113" s="320">
        <f t="shared" si="6"/>
        <v>0</v>
      </c>
      <c r="AV113" s="333">
        <f t="shared" si="8"/>
        <v>6659.6035199999997</v>
      </c>
      <c r="AW113" s="331">
        <f t="shared" si="7"/>
        <v>113905.61694000001</v>
      </c>
      <c r="AY113" s="322"/>
    </row>
    <row r="114" spans="2:51" s="291" customFormat="1" outlineLevel="1" x14ac:dyDescent="0.25">
      <c r="B114" s="335" t="s">
        <v>741</v>
      </c>
      <c r="C114" s="336">
        <v>55</v>
      </c>
      <c r="D114" s="337" t="s">
        <v>470</v>
      </c>
      <c r="E114" s="313" t="s">
        <v>1072</v>
      </c>
      <c r="F114" s="313" t="s">
        <v>1073</v>
      </c>
      <c r="G114" s="342">
        <v>45616</v>
      </c>
      <c r="H114" s="342">
        <v>47411</v>
      </c>
      <c r="I114" s="313" t="s">
        <v>747</v>
      </c>
      <c r="J114" s="315">
        <v>123379.93</v>
      </c>
      <c r="K114" s="316">
        <v>59450.57</v>
      </c>
      <c r="L114" s="315"/>
      <c r="M114" s="315"/>
      <c r="N114" s="343"/>
      <c r="O114" s="343"/>
      <c r="P114" s="344"/>
      <c r="Q114" s="317" t="s">
        <v>748</v>
      </c>
      <c r="R114" s="318">
        <f>6494*4</f>
        <v>25976</v>
      </c>
      <c r="S114" s="318">
        <f>6494*4</f>
        <v>25976</v>
      </c>
      <c r="T114" s="318">
        <f>6494*4-18477</f>
        <v>7499</v>
      </c>
      <c r="U114" s="318">
        <v>0</v>
      </c>
      <c r="V114" s="318">
        <v>0</v>
      </c>
      <c r="W114" s="318">
        <v>0</v>
      </c>
      <c r="X114" s="318">
        <v>0</v>
      </c>
      <c r="Y114" s="318"/>
      <c r="Z114" s="318"/>
      <c r="AA114" s="318"/>
      <c r="AB114" s="318"/>
      <c r="AC114" s="318"/>
      <c r="AD114" s="318"/>
      <c r="AE114" s="318"/>
      <c r="AF114" s="318"/>
      <c r="AG114" s="318"/>
      <c r="AH114" s="318"/>
      <c r="AI114" s="318"/>
      <c r="AJ114" s="318"/>
      <c r="AK114" s="318"/>
      <c r="AL114" s="318"/>
      <c r="AM114" s="318"/>
      <c r="AN114" s="318"/>
      <c r="AO114" s="318"/>
      <c r="AP114" s="318"/>
      <c r="AQ114" s="318"/>
      <c r="AR114" s="318"/>
      <c r="AS114" s="318"/>
      <c r="AT114" s="318">
        <f t="shared" si="5"/>
        <v>59451</v>
      </c>
      <c r="AU114" s="338">
        <f t="shared" si="6"/>
        <v>0</v>
      </c>
      <c r="AV114" s="321">
        <f t="shared" si="8"/>
        <v>0</v>
      </c>
      <c r="AW114" s="318">
        <f t="shared" si="7"/>
        <v>59451</v>
      </c>
      <c r="AY114" s="322"/>
    </row>
    <row r="115" spans="2:51" s="291" customFormat="1" outlineLevel="1" x14ac:dyDescent="0.25">
      <c r="B115" s="339" t="s">
        <v>741</v>
      </c>
      <c r="C115" s="345"/>
      <c r="D115" s="341"/>
      <c r="E115" s="326"/>
      <c r="F115" s="326"/>
      <c r="G115" s="326"/>
      <c r="H115" s="326"/>
      <c r="I115" s="326"/>
      <c r="J115" s="328"/>
      <c r="K115" s="329"/>
      <c r="L115" s="328" t="s">
        <v>1074</v>
      </c>
      <c r="M115" s="328"/>
      <c r="N115" s="330">
        <f>SUM(O115:P115)</f>
        <v>3.177</v>
      </c>
      <c r="O115" s="330">
        <v>3.177</v>
      </c>
      <c r="P115" s="330">
        <f>$P$4</f>
        <v>0</v>
      </c>
      <c r="Q115" s="330" t="s">
        <v>751</v>
      </c>
      <c r="R115" s="331">
        <f>SUM(R114:$AQ114)*$N115/100</f>
        <v>1888.7582699999998</v>
      </c>
      <c r="S115" s="331">
        <f>SUM(S114:$AQ114)*$N115/100</f>
        <v>1063.5007499999999</v>
      </c>
      <c r="T115" s="331">
        <f>SUM(T114:$AQ114)*$N115/100</f>
        <v>238.24323000000001</v>
      </c>
      <c r="U115" s="331">
        <v>0</v>
      </c>
      <c r="V115" s="331">
        <v>0</v>
      </c>
      <c r="W115" s="331">
        <v>0</v>
      </c>
      <c r="X115" s="331">
        <v>0</v>
      </c>
      <c r="Y115" s="331"/>
      <c r="Z115" s="331"/>
      <c r="AA115" s="331"/>
      <c r="AB115" s="331"/>
      <c r="AC115" s="331"/>
      <c r="AD115" s="331"/>
      <c r="AE115" s="331"/>
      <c r="AF115" s="331"/>
      <c r="AG115" s="331"/>
      <c r="AH115" s="331"/>
      <c r="AI115" s="331"/>
      <c r="AJ115" s="331"/>
      <c r="AK115" s="331"/>
      <c r="AL115" s="331"/>
      <c r="AM115" s="331"/>
      <c r="AN115" s="331"/>
      <c r="AO115" s="331"/>
      <c r="AP115" s="331"/>
      <c r="AQ115" s="331"/>
      <c r="AR115" s="331"/>
      <c r="AS115" s="331"/>
      <c r="AT115" s="331">
        <f t="shared" si="5"/>
        <v>3190.5022499999995</v>
      </c>
      <c r="AU115" s="338">
        <f t="shared" si="6"/>
        <v>0</v>
      </c>
      <c r="AV115" s="333">
        <f t="shared" si="8"/>
        <v>0</v>
      </c>
      <c r="AW115" s="331">
        <f t="shared" si="7"/>
        <v>3190.5022499999995</v>
      </c>
      <c r="AY115" s="322"/>
    </row>
    <row r="116" spans="2:51" s="358" customFormat="1" x14ac:dyDescent="0.25">
      <c r="B116" s="346" t="s">
        <v>786</v>
      </c>
      <c r="C116" s="347">
        <v>56</v>
      </c>
      <c r="D116" s="348" t="s">
        <v>1075</v>
      </c>
      <c r="E116" s="349" t="s">
        <v>1076</v>
      </c>
      <c r="F116" s="349" t="s">
        <v>1077</v>
      </c>
      <c r="G116" s="350">
        <v>45915</v>
      </c>
      <c r="H116" s="350">
        <v>47715</v>
      </c>
      <c r="I116" s="349" t="s">
        <v>747</v>
      </c>
      <c r="J116" s="351">
        <v>223584</v>
      </c>
      <c r="K116" s="352"/>
      <c r="L116" s="351"/>
      <c r="M116" s="351"/>
      <c r="N116" s="343"/>
      <c r="O116" s="343"/>
      <c r="P116" s="353"/>
      <c r="Q116" s="354" t="s">
        <v>748</v>
      </c>
      <c r="R116" s="355">
        <f>13152*2</f>
        <v>26304</v>
      </c>
      <c r="S116" s="355">
        <f>13152*4</f>
        <v>52608</v>
      </c>
      <c r="T116" s="355">
        <f t="shared" ref="T116:U116" si="11">13152*4</f>
        <v>52608</v>
      </c>
      <c r="U116" s="355">
        <f t="shared" si="11"/>
        <v>52608</v>
      </c>
      <c r="V116" s="355">
        <f>13152*3</f>
        <v>39456</v>
      </c>
      <c r="W116" s="356">
        <v>0</v>
      </c>
      <c r="X116" s="356">
        <v>0</v>
      </c>
      <c r="Y116" s="355"/>
      <c r="Z116" s="355"/>
      <c r="AA116" s="355"/>
      <c r="AB116" s="355"/>
      <c r="AC116" s="355"/>
      <c r="AD116" s="355"/>
      <c r="AE116" s="355"/>
      <c r="AF116" s="355"/>
      <c r="AG116" s="355"/>
      <c r="AH116" s="355"/>
      <c r="AI116" s="355"/>
      <c r="AJ116" s="355"/>
      <c r="AK116" s="355"/>
      <c r="AL116" s="355"/>
      <c r="AM116" s="355"/>
      <c r="AN116" s="355"/>
      <c r="AO116" s="355"/>
      <c r="AP116" s="355"/>
      <c r="AQ116" s="355"/>
      <c r="AR116" s="355"/>
      <c r="AS116" s="355"/>
      <c r="AT116" s="355">
        <f t="shared" si="5"/>
        <v>223584</v>
      </c>
      <c r="AU116" s="357">
        <f t="shared" si="6"/>
        <v>0</v>
      </c>
      <c r="AV116" s="356">
        <f t="shared" si="8"/>
        <v>0</v>
      </c>
      <c r="AW116" s="355">
        <f t="shared" si="7"/>
        <v>223584</v>
      </c>
      <c r="AY116" s="359"/>
    </row>
    <row r="117" spans="2:51" s="358" customFormat="1" x14ac:dyDescent="0.25">
      <c r="B117" s="360" t="s">
        <v>786</v>
      </c>
      <c r="C117" s="361"/>
      <c r="D117" s="362" t="s">
        <v>1078</v>
      </c>
      <c r="E117" s="363"/>
      <c r="F117" s="363"/>
      <c r="G117" s="363"/>
      <c r="H117" s="363"/>
      <c r="I117" s="363"/>
      <c r="J117" s="364"/>
      <c r="K117" s="329"/>
      <c r="L117" s="364"/>
      <c r="M117" s="364"/>
      <c r="N117" s="330">
        <f>SUM(O117:P117)</f>
        <v>2.8180000000000001</v>
      </c>
      <c r="O117" s="330">
        <v>2.8180000000000001</v>
      </c>
      <c r="P117" s="365">
        <f>$P$4</f>
        <v>0</v>
      </c>
      <c r="Q117" s="365" t="s">
        <v>751</v>
      </c>
      <c r="R117" s="366">
        <f>SUM(R116:$AQ116)*$N117/100</f>
        <v>6300.5971200000004</v>
      </c>
      <c r="S117" s="366">
        <f>SUM(S116:$AQ116)*$N117/100</f>
        <v>5559.3504000000003</v>
      </c>
      <c r="T117" s="366">
        <f>SUM(T116:$AQ116)*$N117/100</f>
        <v>4076.8569600000001</v>
      </c>
      <c r="U117" s="366">
        <f>SUM(U116:$AQ116)*$N117/100</f>
        <v>2594.3635200000003</v>
      </c>
      <c r="V117" s="366">
        <f>SUM(V116:$AQ116)*$N117/100</f>
        <v>1111.8700799999999</v>
      </c>
      <c r="W117" s="367">
        <v>0</v>
      </c>
      <c r="X117" s="367">
        <v>0</v>
      </c>
      <c r="Y117" s="366"/>
      <c r="Z117" s="366"/>
      <c r="AA117" s="366"/>
      <c r="AB117" s="366"/>
      <c r="AC117" s="366"/>
      <c r="AD117" s="366"/>
      <c r="AE117" s="366"/>
      <c r="AF117" s="366"/>
      <c r="AG117" s="366"/>
      <c r="AH117" s="366"/>
      <c r="AI117" s="366"/>
      <c r="AJ117" s="366"/>
      <c r="AK117" s="366"/>
      <c r="AL117" s="366"/>
      <c r="AM117" s="366"/>
      <c r="AN117" s="366"/>
      <c r="AO117" s="366"/>
      <c r="AP117" s="366"/>
      <c r="AQ117" s="366"/>
      <c r="AR117" s="366"/>
      <c r="AS117" s="366"/>
      <c r="AT117" s="366">
        <f t="shared" si="5"/>
        <v>19643.038080000002</v>
      </c>
      <c r="AU117" s="357">
        <f t="shared" si="6"/>
        <v>0</v>
      </c>
      <c r="AV117" s="367">
        <f t="shared" si="8"/>
        <v>0</v>
      </c>
      <c r="AW117" s="366">
        <f t="shared" si="7"/>
        <v>19643.038080000002</v>
      </c>
      <c r="AY117" s="359"/>
    </row>
    <row r="118" spans="2:51" s="358" customFormat="1" x14ac:dyDescent="0.25">
      <c r="B118" s="346" t="s">
        <v>786</v>
      </c>
      <c r="C118" s="347">
        <v>57</v>
      </c>
      <c r="D118" s="348" t="s">
        <v>1079</v>
      </c>
      <c r="E118" s="349" t="s">
        <v>1080</v>
      </c>
      <c r="F118" s="349" t="s">
        <v>1081</v>
      </c>
      <c r="G118" s="350">
        <v>45922</v>
      </c>
      <c r="H118" s="350">
        <v>51399</v>
      </c>
      <c r="I118" s="349" t="s">
        <v>747</v>
      </c>
      <c r="J118" s="351">
        <v>2691272</v>
      </c>
      <c r="K118" s="352"/>
      <c r="L118" s="351"/>
      <c r="M118" s="351"/>
      <c r="N118" s="343"/>
      <c r="O118" s="343"/>
      <c r="P118" s="353"/>
      <c r="Q118" s="354" t="s">
        <v>748</v>
      </c>
      <c r="R118" s="355">
        <v>390462</v>
      </c>
      <c r="S118" s="355"/>
      <c r="T118" s="355">
        <f>52771*4</f>
        <v>211084</v>
      </c>
      <c r="U118" s="355">
        <f t="shared" ref="U118:AC118" si="12">52771*4</f>
        <v>211084</v>
      </c>
      <c r="V118" s="355">
        <f t="shared" si="12"/>
        <v>211084</v>
      </c>
      <c r="W118" s="355">
        <f t="shared" si="12"/>
        <v>211084</v>
      </c>
      <c r="X118" s="355">
        <f t="shared" si="12"/>
        <v>211084</v>
      </c>
      <c r="Y118" s="355">
        <f t="shared" si="12"/>
        <v>211084</v>
      </c>
      <c r="Z118" s="355">
        <f t="shared" si="12"/>
        <v>211084</v>
      </c>
      <c r="AA118" s="355">
        <f t="shared" si="12"/>
        <v>211084</v>
      </c>
      <c r="AB118" s="355">
        <f t="shared" si="12"/>
        <v>211084</v>
      </c>
      <c r="AC118" s="355">
        <f t="shared" si="12"/>
        <v>211084</v>
      </c>
      <c r="AD118" s="355">
        <f>52771*4-21114</f>
        <v>189970</v>
      </c>
      <c r="AE118" s="355">
        <f>52771*4-211084</f>
        <v>0</v>
      </c>
      <c r="AF118" s="355">
        <f>52771*3-158313</f>
        <v>0</v>
      </c>
      <c r="AG118" s="355"/>
      <c r="AH118" s="355"/>
      <c r="AI118" s="355"/>
      <c r="AJ118" s="355"/>
      <c r="AK118" s="355"/>
      <c r="AL118" s="355"/>
      <c r="AM118" s="355"/>
      <c r="AN118" s="355"/>
      <c r="AO118" s="355"/>
      <c r="AP118" s="355"/>
      <c r="AQ118" s="355"/>
      <c r="AR118" s="355"/>
      <c r="AS118" s="355"/>
      <c r="AT118" s="355">
        <f t="shared" si="5"/>
        <v>2691272</v>
      </c>
      <c r="AU118" s="357">
        <f t="shared" si="6"/>
        <v>0</v>
      </c>
      <c r="AV118" s="356">
        <f t="shared" si="8"/>
        <v>1245390</v>
      </c>
      <c r="AW118" s="355">
        <f t="shared" si="7"/>
        <v>2691272</v>
      </c>
      <c r="AX118" s="368"/>
      <c r="AY118" s="359"/>
    </row>
    <row r="119" spans="2:51" s="358" customFormat="1" x14ac:dyDescent="0.25">
      <c r="B119" s="360" t="s">
        <v>786</v>
      </c>
      <c r="C119" s="361"/>
      <c r="D119" s="362" t="s">
        <v>1082</v>
      </c>
      <c r="E119" s="363"/>
      <c r="F119" s="363"/>
      <c r="G119" s="363"/>
      <c r="H119" s="363"/>
      <c r="I119" s="363"/>
      <c r="J119" s="363"/>
      <c r="K119" s="329"/>
      <c r="L119" s="364"/>
      <c r="M119" s="364"/>
      <c r="N119" s="330">
        <f>SUM(O119:P119)</f>
        <v>3.282</v>
      </c>
      <c r="O119" s="330">
        <v>3.282</v>
      </c>
      <c r="P119" s="365">
        <f>$P$4</f>
        <v>0</v>
      </c>
      <c r="Q119" s="365" t="s">
        <v>751</v>
      </c>
      <c r="R119" s="366">
        <f>SUM(R118:$AQ118)*$N119/100/4</f>
        <v>22081.886760000001</v>
      </c>
      <c r="S119" s="366">
        <f>SUM(S118:$AQ118)*$N119/100</f>
        <v>75512.584199999998</v>
      </c>
      <c r="T119" s="366">
        <f>SUM(T118:$AQ118)*$N119/100-5000</f>
        <v>70512.584199999998</v>
      </c>
      <c r="U119" s="366">
        <f>SUM(U118:$AQ118)*$N119/100</f>
        <v>68584.807319999993</v>
      </c>
      <c r="V119" s="366">
        <f>SUM(V118:$AQ118)*$N119/100</f>
        <v>61657.030439999995</v>
      </c>
      <c r="W119" s="366">
        <f>SUM(W118:$AQ118)*$N119/100</f>
        <v>54729.253559999997</v>
      </c>
      <c r="X119" s="366">
        <f>SUM(X118:$AQ118)*$N119/100</f>
        <v>47801.476679999992</v>
      </c>
      <c r="Y119" s="366">
        <f>SUM(Y118:$AQ118)*$N119/100</f>
        <v>40873.699800000002</v>
      </c>
      <c r="Z119" s="366">
        <f>SUM(Z118:$AQ118)*$N119/100</f>
        <v>33945.922919999997</v>
      </c>
      <c r="AA119" s="366">
        <f>SUM(AA118:$AQ118)*$N119/100</f>
        <v>27018.14604</v>
      </c>
      <c r="AB119" s="366">
        <f>SUM(AB118:$AQ118)*$N119/100</f>
        <v>20090.369159999998</v>
      </c>
      <c r="AC119" s="366">
        <f>SUM(AC118:$AQ118)*$N119/100</f>
        <v>13162.592280000001</v>
      </c>
      <c r="AD119" s="366">
        <f>SUM(AD118:$AQ118)*$N119/100</f>
        <v>6234.8154000000004</v>
      </c>
      <c r="AE119" s="366">
        <f>SUM(AE118:$AQ118)*$N119/100</f>
        <v>0</v>
      </c>
      <c r="AF119" s="366">
        <f>SUM(AF118:$AQ118)*$N119/100</f>
        <v>0</v>
      </c>
      <c r="AG119" s="366">
        <f>SUM(AG118:$AQ118)*$N119/100</f>
        <v>0</v>
      </c>
      <c r="AH119" s="366"/>
      <c r="AI119" s="366"/>
      <c r="AJ119" s="366"/>
      <c r="AK119" s="366"/>
      <c r="AL119" s="366"/>
      <c r="AM119" s="366"/>
      <c r="AN119" s="366"/>
      <c r="AO119" s="366"/>
      <c r="AP119" s="366"/>
      <c r="AQ119" s="366"/>
      <c r="AR119" s="366"/>
      <c r="AS119" s="366"/>
      <c r="AT119" s="366">
        <f t="shared" si="5"/>
        <v>542205.16875999991</v>
      </c>
      <c r="AU119" s="357">
        <f t="shared" si="6"/>
        <v>0</v>
      </c>
      <c r="AV119" s="367">
        <f t="shared" si="8"/>
        <v>141325.54560000001</v>
      </c>
      <c r="AW119" s="366">
        <f t="shared" si="7"/>
        <v>542205.16876000003</v>
      </c>
      <c r="AY119" s="359"/>
    </row>
    <row r="120" spans="2:51" s="358" customFormat="1" x14ac:dyDescent="0.25">
      <c r="B120" s="346" t="s">
        <v>741</v>
      </c>
      <c r="C120" s="347">
        <v>58</v>
      </c>
      <c r="D120" s="348" t="s">
        <v>326</v>
      </c>
      <c r="E120" s="349" t="s">
        <v>1083</v>
      </c>
      <c r="F120" s="349" t="s">
        <v>1084</v>
      </c>
      <c r="G120" s="350">
        <v>45992</v>
      </c>
      <c r="H120" s="350">
        <v>49633</v>
      </c>
      <c r="I120" s="349" t="s">
        <v>747</v>
      </c>
      <c r="J120" s="351">
        <v>231105</v>
      </c>
      <c r="K120" s="352"/>
      <c r="L120" s="351"/>
      <c r="M120" s="351"/>
      <c r="N120" s="353"/>
      <c r="O120" s="353"/>
      <c r="P120" s="353"/>
      <c r="Q120" s="354" t="s">
        <v>748</v>
      </c>
      <c r="R120" s="355">
        <f>6082*2</f>
        <v>12164</v>
      </c>
      <c r="S120" s="355">
        <f>6082*4</f>
        <v>24328</v>
      </c>
      <c r="T120" s="355">
        <f t="shared" ref="T120:Z120" si="13">6082*4</f>
        <v>24328</v>
      </c>
      <c r="U120" s="355">
        <f t="shared" si="13"/>
        <v>24328</v>
      </c>
      <c r="V120" s="355">
        <f t="shared" si="13"/>
        <v>24328</v>
      </c>
      <c r="W120" s="355">
        <f t="shared" si="13"/>
        <v>24328</v>
      </c>
      <c r="X120" s="355">
        <f t="shared" si="13"/>
        <v>24328</v>
      </c>
      <c r="Y120" s="355">
        <f t="shared" si="13"/>
        <v>24328</v>
      </c>
      <c r="Z120" s="355">
        <f t="shared" si="13"/>
        <v>24328</v>
      </c>
      <c r="AA120" s="355">
        <f>6082*3+6071</f>
        <v>24317</v>
      </c>
      <c r="AB120" s="355"/>
      <c r="AC120" s="355"/>
      <c r="AD120" s="355"/>
      <c r="AE120" s="355"/>
      <c r="AF120" s="355"/>
      <c r="AG120" s="355"/>
      <c r="AH120" s="355"/>
      <c r="AI120" s="355"/>
      <c r="AJ120" s="355"/>
      <c r="AK120" s="355"/>
      <c r="AL120" s="355"/>
      <c r="AM120" s="355"/>
      <c r="AN120" s="355"/>
      <c r="AO120" s="355"/>
      <c r="AP120" s="355"/>
      <c r="AQ120" s="355"/>
      <c r="AR120" s="355"/>
      <c r="AS120" s="355"/>
      <c r="AT120" s="355">
        <f>SUM(R120:AS120)</f>
        <v>231105</v>
      </c>
      <c r="AU120" s="357"/>
      <c r="AV120" s="356">
        <f>SUM(Y120:AS120)</f>
        <v>72973</v>
      </c>
      <c r="AW120" s="355">
        <f>SUM(R120:X120,AV120)</f>
        <v>231105</v>
      </c>
      <c r="AX120" s="368"/>
      <c r="AY120" s="359"/>
    </row>
    <row r="121" spans="2:51" s="358" customFormat="1" x14ac:dyDescent="0.25">
      <c r="B121" s="360" t="s">
        <v>741</v>
      </c>
      <c r="C121" s="361"/>
      <c r="D121" s="362"/>
      <c r="E121" s="363"/>
      <c r="F121" s="363"/>
      <c r="G121" s="363"/>
      <c r="H121" s="363"/>
      <c r="I121" s="363"/>
      <c r="J121" s="363"/>
      <c r="K121" s="329"/>
      <c r="L121" s="364"/>
      <c r="M121" s="364"/>
      <c r="N121" s="365">
        <f>SUM(O121:P121)</f>
        <v>3.0670000000000002</v>
      </c>
      <c r="O121" s="365">
        <v>3.0670000000000002</v>
      </c>
      <c r="P121" s="365">
        <f>$P$4</f>
        <v>0</v>
      </c>
      <c r="Q121" s="365" t="s">
        <v>751</v>
      </c>
      <c r="R121" s="366">
        <f>SUM(R120:$AQ120)*$N121/100</f>
        <v>7087.99035</v>
      </c>
      <c r="S121" s="366">
        <f>SUM(S120:$AQ120)*$N121/100</f>
        <v>6714.92047</v>
      </c>
      <c r="T121" s="366">
        <f>SUM(T120:$AQ120)*$N121/100</f>
        <v>5968.78071</v>
      </c>
      <c r="U121" s="366">
        <f>SUM(U120:$AQ120)*$N121/100</f>
        <v>5222.64095</v>
      </c>
      <c r="V121" s="366">
        <f>SUM(V120:$AQ120)*$N121/100</f>
        <v>4476.50119</v>
      </c>
      <c r="W121" s="366">
        <f>SUM(W120:$AQ120)*$N121/100</f>
        <v>3730.3614300000004</v>
      </c>
      <c r="X121" s="366">
        <f>SUM(X120:$AQ120)*$N121/100</f>
        <v>2984.2216700000004</v>
      </c>
      <c r="Y121" s="366">
        <f>SUM(Y120:$AQ120)*$N121/100</f>
        <v>2238.0819100000003</v>
      </c>
      <c r="Z121" s="366">
        <f>SUM(Z120:$AQ120)*$N121/100</f>
        <v>1491.9421499999999</v>
      </c>
      <c r="AA121" s="366">
        <f>SUM(AA120:$AQ120)*$N121/100</f>
        <v>745.80239000000006</v>
      </c>
      <c r="AB121" s="366"/>
      <c r="AC121" s="366"/>
      <c r="AD121" s="366"/>
      <c r="AE121" s="366"/>
      <c r="AF121" s="366"/>
      <c r="AG121" s="366"/>
      <c r="AH121" s="366"/>
      <c r="AI121" s="366"/>
      <c r="AJ121" s="366"/>
      <c r="AK121" s="366"/>
      <c r="AL121" s="366"/>
      <c r="AM121" s="366"/>
      <c r="AN121" s="366"/>
      <c r="AO121" s="366"/>
      <c r="AP121" s="366"/>
      <c r="AQ121" s="366"/>
      <c r="AR121" s="366"/>
      <c r="AS121" s="366"/>
      <c r="AT121" s="366">
        <f>SUM(R121:AS121)</f>
        <v>40661.243219999997</v>
      </c>
      <c r="AU121" s="357"/>
      <c r="AV121" s="367">
        <f>SUM(Y121:AS121)</f>
        <v>4475.8264500000005</v>
      </c>
      <c r="AW121" s="366">
        <f>SUM(R121:X121,AV121)</f>
        <v>40661.243219999997</v>
      </c>
      <c r="AY121" s="359"/>
    </row>
    <row r="122" spans="2:51" s="358" customFormat="1" x14ac:dyDescent="0.25">
      <c r="B122" s="346" t="s">
        <v>786</v>
      </c>
      <c r="C122" s="347">
        <v>59</v>
      </c>
      <c r="D122" s="348" t="s">
        <v>1085</v>
      </c>
      <c r="E122" s="349" t="s">
        <v>1086</v>
      </c>
      <c r="F122" s="349" t="s">
        <v>1087</v>
      </c>
      <c r="G122" s="350">
        <v>46006</v>
      </c>
      <c r="H122" s="350">
        <v>50729</v>
      </c>
      <c r="I122" s="349" t="s">
        <v>747</v>
      </c>
      <c r="J122" s="351">
        <v>512760</v>
      </c>
      <c r="K122" s="352"/>
      <c r="L122" s="351"/>
      <c r="M122" s="351"/>
      <c r="N122" s="353"/>
      <c r="O122" s="353"/>
      <c r="P122" s="353"/>
      <c r="Q122" s="354" t="s">
        <v>748</v>
      </c>
      <c r="R122" s="355">
        <f>10256*2</f>
        <v>20512</v>
      </c>
      <c r="S122" s="355">
        <f>10256*4</f>
        <v>41024</v>
      </c>
      <c r="T122" s="355">
        <f t="shared" ref="T122:AC122" si="14">10256*4</f>
        <v>41024</v>
      </c>
      <c r="U122" s="355">
        <f t="shared" si="14"/>
        <v>41024</v>
      </c>
      <c r="V122" s="355">
        <f t="shared" si="14"/>
        <v>41024</v>
      </c>
      <c r="W122" s="355">
        <f t="shared" si="14"/>
        <v>41024</v>
      </c>
      <c r="X122" s="355">
        <f t="shared" si="14"/>
        <v>41024</v>
      </c>
      <c r="Y122" s="355">
        <f t="shared" si="14"/>
        <v>41024</v>
      </c>
      <c r="Z122" s="355">
        <f t="shared" si="14"/>
        <v>41024</v>
      </c>
      <c r="AA122" s="355">
        <f t="shared" si="14"/>
        <v>41024</v>
      </c>
      <c r="AB122" s="355">
        <f t="shared" si="14"/>
        <v>41024</v>
      </c>
      <c r="AC122" s="355">
        <f t="shared" si="14"/>
        <v>41024</v>
      </c>
      <c r="AD122" s="355">
        <v>40984</v>
      </c>
      <c r="AE122" s="355"/>
      <c r="AF122" s="355"/>
      <c r="AG122" s="355"/>
      <c r="AH122" s="355"/>
      <c r="AI122" s="355"/>
      <c r="AJ122" s="355"/>
      <c r="AK122" s="355"/>
      <c r="AL122" s="355"/>
      <c r="AM122" s="355"/>
      <c r="AN122" s="355"/>
      <c r="AO122" s="355"/>
      <c r="AP122" s="355"/>
      <c r="AQ122" s="355"/>
      <c r="AR122" s="355"/>
      <c r="AS122" s="355"/>
      <c r="AT122" s="355">
        <f>SUM(R122:AS122)</f>
        <v>512760</v>
      </c>
      <c r="AU122" s="357">
        <f>AT122-SUM(R122:AS122)</f>
        <v>0</v>
      </c>
      <c r="AV122" s="356">
        <f>SUM(Y122:AS122)</f>
        <v>246104</v>
      </c>
      <c r="AW122" s="355">
        <f>SUM(R122:X122,AV122)</f>
        <v>512760</v>
      </c>
      <c r="AX122" s="368"/>
      <c r="AY122" s="359"/>
    </row>
    <row r="123" spans="2:51" s="358" customFormat="1" x14ac:dyDescent="0.25">
      <c r="B123" s="360" t="s">
        <v>786</v>
      </c>
      <c r="C123" s="361"/>
      <c r="D123" s="362"/>
      <c r="E123" s="363"/>
      <c r="F123" s="363"/>
      <c r="G123" s="363"/>
      <c r="H123" s="363"/>
      <c r="I123" s="363"/>
      <c r="J123" s="363"/>
      <c r="K123" s="329"/>
      <c r="L123" s="364"/>
      <c r="M123" s="364"/>
      <c r="N123" s="365">
        <f>SUM(O123:P123)</f>
        <v>3.2869999999999999</v>
      </c>
      <c r="O123" s="365">
        <v>3.2869999999999999</v>
      </c>
      <c r="P123" s="365">
        <f>$P$4</f>
        <v>0</v>
      </c>
      <c r="Q123" s="365" t="s">
        <v>751</v>
      </c>
      <c r="R123" s="366">
        <f>SUM(R122:$AQ122)*$N123/100</f>
        <v>16854.421199999997</v>
      </c>
      <c r="S123" s="366">
        <f>SUM(S122:$AQ122)*$N123/100</f>
        <v>16180.19176</v>
      </c>
      <c r="T123" s="366">
        <f>SUM(T122:$AQ122)*$N123/100</f>
        <v>14831.73288</v>
      </c>
      <c r="U123" s="366">
        <f>SUM(U122:$AQ122)*$N123/100</f>
        <v>13483.273999999999</v>
      </c>
      <c r="V123" s="366">
        <f>SUM(V122:$AQ122)*$N123/100</f>
        <v>12134.815119999999</v>
      </c>
      <c r="W123" s="366">
        <f>SUM(W122:$AQ122)*$N123/100</f>
        <v>10786.356240000001</v>
      </c>
      <c r="X123" s="366">
        <f>SUM(X122:$AQ122)*$N123/100</f>
        <v>9437.8973600000008</v>
      </c>
      <c r="Y123" s="366">
        <f>SUM(Y122:$AQ122)*$N123/100</f>
        <v>8089.4384799999998</v>
      </c>
      <c r="Z123" s="366">
        <f>SUM(Z122:$AQ122)*$N123/100</f>
        <v>6740.9795999999997</v>
      </c>
      <c r="AA123" s="366">
        <f>SUM(AA122:$AQ122)*$N123/100</f>
        <v>5392.5207200000004</v>
      </c>
      <c r="AB123" s="366">
        <f>SUM(AB122:$AQ122)*$N123/100</f>
        <v>4044.0618400000003</v>
      </c>
      <c r="AC123" s="366">
        <f>SUM(AC122:$AQ122)*$N123/100</f>
        <v>2695.6029599999997</v>
      </c>
      <c r="AD123" s="366">
        <f>SUM(AD122:$AQ122)*$N123/100</f>
        <v>1347.14408</v>
      </c>
      <c r="AE123" s="366">
        <f>SUM(AE122:$AQ122)*$N123/100</f>
        <v>0</v>
      </c>
      <c r="AF123" s="366">
        <f>SUM(AF122:$AQ122)*$N123/100</f>
        <v>0</v>
      </c>
      <c r="AG123" s="366">
        <f>SUM(AG122:$AQ122)*$N123/100</f>
        <v>0</v>
      </c>
      <c r="AH123" s="366">
        <f>SUM(AH122:$AQ122)*$N123/100</f>
        <v>0</v>
      </c>
      <c r="AI123" s="366">
        <f>SUM(AI122:$AQ122)*$N123/100</f>
        <v>0</v>
      </c>
      <c r="AJ123" s="366">
        <f>SUM(AJ122:$AQ122)*$N123/100</f>
        <v>0</v>
      </c>
      <c r="AK123" s="366"/>
      <c r="AL123" s="366"/>
      <c r="AM123" s="366"/>
      <c r="AN123" s="366"/>
      <c r="AO123" s="366"/>
      <c r="AP123" s="366"/>
      <c r="AQ123" s="366"/>
      <c r="AR123" s="366"/>
      <c r="AS123" s="366"/>
      <c r="AT123" s="366">
        <f>SUM(R123:AS123)</f>
        <v>122018.43623999998</v>
      </c>
      <c r="AU123" s="357">
        <f>AT123-SUM(R123:AS123)</f>
        <v>0</v>
      </c>
      <c r="AV123" s="367">
        <f>SUM(Y123:AS123)</f>
        <v>28309.74768</v>
      </c>
      <c r="AW123" s="366">
        <f>SUM(R123:X123,AV123)</f>
        <v>122018.43623999998</v>
      </c>
      <c r="AY123" s="359"/>
    </row>
    <row r="124" spans="2:51" s="299" customFormat="1" x14ac:dyDescent="0.25">
      <c r="B124" s="335" t="s">
        <v>741</v>
      </c>
      <c r="C124" s="336">
        <v>60</v>
      </c>
      <c r="D124" s="337" t="s">
        <v>1088</v>
      </c>
      <c r="E124" s="313" t="s">
        <v>1089</v>
      </c>
      <c r="F124" s="313"/>
      <c r="G124" s="313">
        <v>2026</v>
      </c>
      <c r="H124" s="313">
        <v>2045</v>
      </c>
      <c r="I124" s="313" t="s">
        <v>747</v>
      </c>
      <c r="J124" s="315">
        <v>7004719.1600000001</v>
      </c>
      <c r="K124" s="316"/>
      <c r="L124" s="316"/>
      <c r="M124" s="316"/>
      <c r="N124" s="317"/>
      <c r="O124" s="317"/>
      <c r="P124" s="317"/>
      <c r="Q124" s="317" t="s">
        <v>748</v>
      </c>
      <c r="R124" s="318"/>
      <c r="S124" s="318">
        <f>$J$124/18/2</f>
        <v>194575.53222222222</v>
      </c>
      <c r="T124" s="318">
        <f>$J$124/18</f>
        <v>389151.06444444443</v>
      </c>
      <c r="U124" s="318">
        <f t="shared" ref="U124:AJ124" si="15">$J$124/18</f>
        <v>389151.06444444443</v>
      </c>
      <c r="V124" s="318">
        <f t="shared" si="15"/>
        <v>389151.06444444443</v>
      </c>
      <c r="W124" s="318">
        <f t="shared" si="15"/>
        <v>389151.06444444443</v>
      </c>
      <c r="X124" s="318">
        <f t="shared" si="15"/>
        <v>389151.06444444443</v>
      </c>
      <c r="Y124" s="318">
        <f t="shared" si="15"/>
        <v>389151.06444444443</v>
      </c>
      <c r="Z124" s="318">
        <f t="shared" si="15"/>
        <v>389151.06444444443</v>
      </c>
      <c r="AA124" s="318">
        <f t="shared" si="15"/>
        <v>389151.06444444443</v>
      </c>
      <c r="AB124" s="318">
        <f t="shared" si="15"/>
        <v>389151.06444444443</v>
      </c>
      <c r="AC124" s="318">
        <f t="shared" si="15"/>
        <v>389151.06444444443</v>
      </c>
      <c r="AD124" s="318">
        <f t="shared" si="15"/>
        <v>389151.06444444443</v>
      </c>
      <c r="AE124" s="318">
        <f t="shared" si="15"/>
        <v>389151.06444444443</v>
      </c>
      <c r="AF124" s="318">
        <f t="shared" si="15"/>
        <v>389151.06444444443</v>
      </c>
      <c r="AG124" s="318">
        <f t="shared" si="15"/>
        <v>389151.06444444443</v>
      </c>
      <c r="AH124" s="318">
        <f t="shared" si="15"/>
        <v>389151.06444444443</v>
      </c>
      <c r="AI124" s="318">
        <f t="shared" si="15"/>
        <v>389151.06444444443</v>
      </c>
      <c r="AJ124" s="318">
        <f t="shared" si="15"/>
        <v>389151.06444444443</v>
      </c>
      <c r="AK124" s="318">
        <f>$J$124/18/2</f>
        <v>194575.53222222222</v>
      </c>
      <c r="AL124" s="318"/>
      <c r="AM124" s="318"/>
      <c r="AN124" s="318"/>
      <c r="AO124" s="318"/>
      <c r="AP124" s="318"/>
      <c r="AQ124" s="318"/>
      <c r="AR124" s="318"/>
      <c r="AS124" s="318"/>
      <c r="AT124" s="318">
        <f t="shared" si="5"/>
        <v>7004719.1599999992</v>
      </c>
      <c r="AU124" s="369">
        <f t="shared" si="6"/>
        <v>0</v>
      </c>
      <c r="AV124" s="321">
        <f t="shared" si="8"/>
        <v>4864388.305555556</v>
      </c>
      <c r="AW124" s="318">
        <f t="shared" si="7"/>
        <v>7004719.1600000001</v>
      </c>
      <c r="AY124" s="370"/>
    </row>
    <row r="125" spans="2:51" s="299" customFormat="1" x14ac:dyDescent="0.25">
      <c r="B125" s="371" t="s">
        <v>741</v>
      </c>
      <c r="C125" s="345"/>
      <c r="D125" s="341"/>
      <c r="E125" s="326"/>
      <c r="F125" s="326"/>
      <c r="G125" s="326"/>
      <c r="H125" s="326"/>
      <c r="I125" s="326"/>
      <c r="J125" s="328"/>
      <c r="K125" s="372"/>
      <c r="L125" s="372"/>
      <c r="M125" s="372"/>
      <c r="N125" s="373">
        <f>SUM(O125:P125)</f>
        <v>2</v>
      </c>
      <c r="O125" s="373">
        <v>2</v>
      </c>
      <c r="P125" s="373">
        <f>$P$4</f>
        <v>0</v>
      </c>
      <c r="Q125" s="373" t="s">
        <v>751</v>
      </c>
      <c r="R125" s="331">
        <v>96710.43</v>
      </c>
      <c r="S125" s="331">
        <f>SUM(S124:$AQ124)*$N125/100-90000</f>
        <v>50094.383199999982</v>
      </c>
      <c r="T125" s="331">
        <f>SUM(T124:$AQ124)*$N125/100-80000</f>
        <v>56202.872555555543</v>
      </c>
      <c r="U125" s="331">
        <f>SUM(U124:$AQ124)*$N125/100</f>
        <v>128419.85126666665</v>
      </c>
      <c r="V125" s="331">
        <f>SUM(V124:$AQ124)*$N125/100</f>
        <v>120636.82997777777</v>
      </c>
      <c r="W125" s="331">
        <f>SUM(W124:$AQ124)*$N125/100</f>
        <v>112853.80868888888</v>
      </c>
      <c r="X125" s="331">
        <f>SUM(X124:$AQ124)*$N125/100</f>
        <v>105070.7874</v>
      </c>
      <c r="Y125" s="331">
        <f>SUM(Y124:$AQ124)*$N125/100</f>
        <v>97287.766111111123</v>
      </c>
      <c r="Z125" s="331">
        <f>SUM(Z124:$AQ124)*$N125/100</f>
        <v>89504.74482222223</v>
      </c>
      <c r="AA125" s="331">
        <f>SUM(AA124:$AQ124)*$N125/100</f>
        <v>81721.723533333337</v>
      </c>
      <c r="AB125" s="331">
        <f>SUM(AB124:$AQ124)*$N125/100</f>
        <v>73938.702244444459</v>
      </c>
      <c r="AC125" s="331">
        <f>SUM(AC124:$AQ124)*$N125/100</f>
        <v>66155.680955555566</v>
      </c>
      <c r="AD125" s="331">
        <f>SUM(AD124:$AQ124)*$N125/100</f>
        <v>58372.659666666666</v>
      </c>
      <c r="AE125" s="331">
        <f>SUM(AE124:$AQ124)*$N125/100</f>
        <v>50589.638377777774</v>
      </c>
      <c r="AF125" s="331">
        <f>SUM(AF124:$AQ124)*$N125/100</f>
        <v>42806.617088888881</v>
      </c>
      <c r="AG125" s="331">
        <f>SUM(AG124:$AQ124)*$N125/100</f>
        <v>35023.595800000003</v>
      </c>
      <c r="AH125" s="331">
        <f>SUM(AH124:$AQ124)*$N125/100</f>
        <v>27240.574511111114</v>
      </c>
      <c r="AI125" s="331">
        <f>SUM(AI124:$AQ124)*$N125/100</f>
        <v>19457.553222222221</v>
      </c>
      <c r="AJ125" s="331">
        <f>SUM(AJ124:$AQ124)*$N125/100</f>
        <v>11674.531933333334</v>
      </c>
      <c r="AK125" s="331">
        <f>SUM(AK124:$AQ124)*$N125/100</f>
        <v>3891.5106444444446</v>
      </c>
      <c r="AL125" s="331"/>
      <c r="AM125" s="331"/>
      <c r="AN125" s="331"/>
      <c r="AO125" s="331"/>
      <c r="AP125" s="331"/>
      <c r="AQ125" s="331"/>
      <c r="AR125" s="331"/>
      <c r="AS125" s="331"/>
      <c r="AT125" s="331">
        <f t="shared" si="5"/>
        <v>1327654.2620000001</v>
      </c>
      <c r="AU125" s="374">
        <f t="shared" si="6"/>
        <v>0</v>
      </c>
      <c r="AV125" s="333">
        <f t="shared" si="8"/>
        <v>657665.29891111131</v>
      </c>
      <c r="AW125" s="331">
        <f t="shared" si="7"/>
        <v>1327654.2620000001</v>
      </c>
      <c r="AY125" s="370"/>
    </row>
    <row r="126" spans="2:51" s="299" customFormat="1" x14ac:dyDescent="0.25">
      <c r="B126" s="335" t="s">
        <v>741</v>
      </c>
      <c r="C126" s="336">
        <v>61</v>
      </c>
      <c r="D126" s="337" t="s">
        <v>1090</v>
      </c>
      <c r="E126" s="313" t="s">
        <v>1091</v>
      </c>
      <c r="F126" s="313"/>
      <c r="G126" s="313">
        <v>2026</v>
      </c>
      <c r="H126" s="313">
        <v>2036</v>
      </c>
      <c r="I126" s="313" t="s">
        <v>747</v>
      </c>
      <c r="J126" s="315">
        <v>1514893.8</v>
      </c>
      <c r="K126" s="316"/>
      <c r="L126" s="316"/>
      <c r="M126" s="316"/>
      <c r="N126" s="317"/>
      <c r="O126" s="317"/>
      <c r="P126" s="317"/>
      <c r="Q126" s="317" t="s">
        <v>748</v>
      </c>
      <c r="R126" s="318"/>
      <c r="S126" s="318">
        <f>$J$126/8/2</f>
        <v>94680.862500000003</v>
      </c>
      <c r="T126" s="318">
        <f>$J$126/8</f>
        <v>189361.72500000001</v>
      </c>
      <c r="U126" s="318">
        <f t="shared" ref="U126:Z126" si="16">$J$126/8</f>
        <v>189361.72500000001</v>
      </c>
      <c r="V126" s="318">
        <f t="shared" si="16"/>
        <v>189361.72500000001</v>
      </c>
      <c r="W126" s="318">
        <f t="shared" si="16"/>
        <v>189361.72500000001</v>
      </c>
      <c r="X126" s="318">
        <f t="shared" si="16"/>
        <v>189361.72500000001</v>
      </c>
      <c r="Y126" s="318">
        <f t="shared" si="16"/>
        <v>189361.72500000001</v>
      </c>
      <c r="Z126" s="318">
        <f t="shared" si="16"/>
        <v>189361.72500000001</v>
      </c>
      <c r="AA126" s="318">
        <f>$J$126/8/2</f>
        <v>94680.862500000003</v>
      </c>
      <c r="AB126" s="318"/>
      <c r="AC126" s="318"/>
      <c r="AD126" s="318"/>
      <c r="AE126" s="318"/>
      <c r="AF126" s="318"/>
      <c r="AG126" s="318"/>
      <c r="AH126" s="318"/>
      <c r="AI126" s="318"/>
      <c r="AJ126" s="318"/>
      <c r="AK126" s="318"/>
      <c r="AL126" s="318"/>
      <c r="AM126" s="318"/>
      <c r="AN126" s="318"/>
      <c r="AO126" s="318"/>
      <c r="AP126" s="318"/>
      <c r="AQ126" s="318"/>
      <c r="AR126" s="318"/>
      <c r="AS126" s="318"/>
      <c r="AT126" s="318">
        <f t="shared" si="5"/>
        <v>1514893.8</v>
      </c>
      <c r="AU126" s="369">
        <f t="shared" si="6"/>
        <v>0</v>
      </c>
      <c r="AV126" s="321">
        <f t="shared" si="8"/>
        <v>473404.3125</v>
      </c>
      <c r="AW126" s="318">
        <f t="shared" si="7"/>
        <v>1514893.7999999998</v>
      </c>
      <c r="AY126" s="370"/>
    </row>
    <row r="127" spans="2:51" s="299" customFormat="1" x14ac:dyDescent="0.25">
      <c r="B127" s="371" t="s">
        <v>741</v>
      </c>
      <c r="C127" s="345"/>
      <c r="D127" s="341"/>
      <c r="E127" s="326"/>
      <c r="F127" s="326"/>
      <c r="G127" s="326"/>
      <c r="H127" s="326"/>
      <c r="I127" s="326"/>
      <c r="J127" s="328"/>
      <c r="K127" s="372"/>
      <c r="L127" s="372"/>
      <c r="M127" s="372"/>
      <c r="N127" s="373">
        <f>SUM(O127:P127)</f>
        <v>2</v>
      </c>
      <c r="O127" s="373">
        <v>2</v>
      </c>
      <c r="P127" s="373">
        <f>$P$4</f>
        <v>0</v>
      </c>
      <c r="Q127" s="373" t="s">
        <v>751</v>
      </c>
      <c r="R127" s="331">
        <v>16289.407000000003</v>
      </c>
      <c r="S127" s="331">
        <f>SUM(S126:$AQ126)*$N127/100-8000</f>
        <v>22297.876</v>
      </c>
      <c r="T127" s="331">
        <f>SUM(T126:$AQ126)*$N127/100-10000</f>
        <v>18404.258750000005</v>
      </c>
      <c r="U127" s="331">
        <f>SUM(U126:$AQ126)*$N127/100-7000</f>
        <v>17617.024250000002</v>
      </c>
      <c r="V127" s="331">
        <f>SUM(V126:$AQ126)*$N127/100-4000</f>
        <v>16829.78975</v>
      </c>
      <c r="W127" s="331">
        <f>SUM(W126:$AQ126)*$N127/100-2000</f>
        <v>15042.555250000001</v>
      </c>
      <c r="X127" s="331">
        <f>SUM(X126:$AQ126)*$N127/100</f>
        <v>13255.320750000003</v>
      </c>
      <c r="Y127" s="331">
        <f>SUM(Y126:$AQ126)*$N127/100</f>
        <v>9468.0862500000003</v>
      </c>
      <c r="Z127" s="331">
        <f>SUM(Z126:$AQ126)*$N127/100</f>
        <v>5680.8517500000007</v>
      </c>
      <c r="AA127" s="331">
        <f>SUM(AA126:$AQ126)*$N127/100</f>
        <v>1893.61725</v>
      </c>
      <c r="AB127" s="331"/>
      <c r="AC127" s="331"/>
      <c r="AD127" s="331"/>
      <c r="AE127" s="331"/>
      <c r="AF127" s="331"/>
      <c r="AG127" s="331"/>
      <c r="AH127" s="331"/>
      <c r="AI127" s="331"/>
      <c r="AJ127" s="331"/>
      <c r="AK127" s="331"/>
      <c r="AL127" s="331"/>
      <c r="AM127" s="331"/>
      <c r="AN127" s="331"/>
      <c r="AO127" s="331"/>
      <c r="AP127" s="331"/>
      <c r="AQ127" s="331"/>
      <c r="AR127" s="331"/>
      <c r="AS127" s="331"/>
      <c r="AT127" s="331">
        <f t="shared" si="5"/>
        <v>136778.78700000001</v>
      </c>
      <c r="AU127" s="374">
        <f t="shared" si="6"/>
        <v>0</v>
      </c>
      <c r="AV127" s="333">
        <f t="shared" si="8"/>
        <v>17042.555250000001</v>
      </c>
      <c r="AW127" s="331">
        <f t="shared" si="7"/>
        <v>136778.78700000001</v>
      </c>
      <c r="AY127" s="370"/>
    </row>
    <row r="128" spans="2:51" s="299" customFormat="1" x14ac:dyDescent="0.25">
      <c r="B128" s="335" t="s">
        <v>741</v>
      </c>
      <c r="C128" s="336">
        <v>62</v>
      </c>
      <c r="D128" s="337" t="s">
        <v>1092</v>
      </c>
      <c r="E128" s="375" t="s">
        <v>1091</v>
      </c>
      <c r="F128" s="313"/>
      <c r="G128" s="313">
        <v>2026</v>
      </c>
      <c r="H128" s="313">
        <v>2031</v>
      </c>
      <c r="I128" s="313" t="s">
        <v>747</v>
      </c>
      <c r="J128" s="315">
        <v>295238</v>
      </c>
      <c r="K128" s="316"/>
      <c r="L128" s="316"/>
      <c r="M128" s="316"/>
      <c r="N128" s="317"/>
      <c r="O128" s="317"/>
      <c r="P128" s="317"/>
      <c r="Q128" s="317" t="s">
        <v>748</v>
      </c>
      <c r="R128" s="318"/>
      <c r="S128" s="318">
        <f>$J$128/5</f>
        <v>59047.6</v>
      </c>
      <c r="T128" s="318">
        <f t="shared" ref="T128:W128" si="17">$J$128/5</f>
        <v>59047.6</v>
      </c>
      <c r="U128" s="318">
        <f t="shared" si="17"/>
        <v>59047.6</v>
      </c>
      <c r="V128" s="318">
        <f t="shared" si="17"/>
        <v>59047.6</v>
      </c>
      <c r="W128" s="318">
        <f t="shared" si="17"/>
        <v>59047.6</v>
      </c>
      <c r="X128" s="318"/>
      <c r="Y128" s="318"/>
      <c r="Z128" s="318"/>
      <c r="AA128" s="318"/>
      <c r="AB128" s="318"/>
      <c r="AC128" s="318"/>
      <c r="AD128" s="318"/>
      <c r="AE128" s="318"/>
      <c r="AF128" s="318"/>
      <c r="AG128" s="318"/>
      <c r="AH128" s="318"/>
      <c r="AI128" s="318"/>
      <c r="AJ128" s="318"/>
      <c r="AK128" s="318"/>
      <c r="AL128" s="318"/>
      <c r="AM128" s="318"/>
      <c r="AN128" s="318"/>
      <c r="AO128" s="318"/>
      <c r="AP128" s="318"/>
      <c r="AQ128" s="318"/>
      <c r="AR128" s="318"/>
      <c r="AS128" s="318"/>
      <c r="AT128" s="318">
        <f t="shared" si="5"/>
        <v>295238</v>
      </c>
      <c r="AU128" s="369"/>
      <c r="AV128" s="321">
        <f t="shared" si="8"/>
        <v>0</v>
      </c>
      <c r="AW128" s="318">
        <f t="shared" si="7"/>
        <v>295238</v>
      </c>
      <c r="AY128" s="370"/>
    </row>
    <row r="129" spans="2:51" s="299" customFormat="1" x14ac:dyDescent="0.25">
      <c r="B129" s="371" t="s">
        <v>741</v>
      </c>
      <c r="C129" s="345"/>
      <c r="D129" s="341" t="s">
        <v>1093</v>
      </c>
      <c r="E129" s="341"/>
      <c r="F129" s="341"/>
      <c r="G129" s="341"/>
      <c r="H129" s="341"/>
      <c r="I129" s="341"/>
      <c r="J129" s="372"/>
      <c r="K129" s="372"/>
      <c r="L129" s="372"/>
      <c r="M129" s="372"/>
      <c r="N129" s="373">
        <f>SUM(O129:P129)</f>
        <v>2</v>
      </c>
      <c r="O129" s="373">
        <v>2</v>
      </c>
      <c r="P129" s="373">
        <f>$P$4</f>
        <v>0</v>
      </c>
      <c r="Q129" s="373" t="s">
        <v>751</v>
      </c>
      <c r="R129" s="331">
        <v>7212.8520000000062</v>
      </c>
      <c r="S129" s="331">
        <f>SUM(S128:$AQ128)*$N129/100</f>
        <v>5904.76</v>
      </c>
      <c r="T129" s="331">
        <f>SUM(T128:$AQ128)*$N129/100</f>
        <v>4723.808</v>
      </c>
      <c r="U129" s="331">
        <f>SUM(U128:$AQ128)*$N129/100</f>
        <v>3542.8559999999998</v>
      </c>
      <c r="V129" s="331">
        <f>SUM(V128:$AQ128)*$N129/100</f>
        <v>2361.904</v>
      </c>
      <c r="W129" s="331">
        <f>SUM(W128:$AQ128)*$N129/100</f>
        <v>1180.952</v>
      </c>
      <c r="X129" s="331"/>
      <c r="Y129" s="331"/>
      <c r="Z129" s="331"/>
      <c r="AA129" s="331"/>
      <c r="AB129" s="331"/>
      <c r="AC129" s="331"/>
      <c r="AD129" s="331"/>
      <c r="AE129" s="331"/>
      <c r="AF129" s="331"/>
      <c r="AG129" s="331"/>
      <c r="AH129" s="331"/>
      <c r="AI129" s="331"/>
      <c r="AJ129" s="331"/>
      <c r="AK129" s="331"/>
      <c r="AL129" s="331"/>
      <c r="AM129" s="331"/>
      <c r="AN129" s="331"/>
      <c r="AO129" s="331"/>
      <c r="AP129" s="331"/>
      <c r="AQ129" s="331"/>
      <c r="AR129" s="331"/>
      <c r="AS129" s="331"/>
      <c r="AT129" s="331">
        <f t="shared" si="5"/>
        <v>24927.132000000005</v>
      </c>
      <c r="AU129" s="374"/>
      <c r="AV129" s="333">
        <f t="shared" si="8"/>
        <v>0</v>
      </c>
      <c r="AW129" s="331">
        <f t="shared" si="7"/>
        <v>24927.132000000005</v>
      </c>
      <c r="AY129" s="370"/>
    </row>
    <row r="131" spans="2:51" hidden="1" outlineLevel="1" x14ac:dyDescent="0.25">
      <c r="J131" s="370">
        <f>SUM(J6:J129)</f>
        <v>79311732.339999989</v>
      </c>
      <c r="K131" s="376"/>
      <c r="L131" s="376"/>
      <c r="M131" s="376"/>
      <c r="N131" s="377"/>
      <c r="O131" s="377"/>
      <c r="P131" s="377"/>
      <c r="Q131" s="377"/>
      <c r="R131" s="376"/>
      <c r="S131" s="376"/>
      <c r="T131" s="376"/>
      <c r="U131" s="376"/>
      <c r="V131" s="376"/>
      <c r="W131" s="376"/>
      <c r="X131" s="376"/>
      <c r="Y131" s="376"/>
      <c r="Z131" s="376"/>
      <c r="AA131" s="376"/>
      <c r="AB131" s="376"/>
      <c r="AC131" s="376"/>
      <c r="AD131" s="376"/>
      <c r="AE131" s="376"/>
      <c r="AF131" s="376"/>
      <c r="AG131" s="376"/>
      <c r="AH131" s="376"/>
      <c r="AI131" s="376"/>
      <c r="AJ131" s="376"/>
      <c r="AK131" s="376"/>
      <c r="AL131" s="376"/>
      <c r="AM131" s="376"/>
      <c r="AN131" s="376"/>
      <c r="AO131" s="376"/>
      <c r="AP131" s="376"/>
      <c r="AQ131" s="376"/>
      <c r="AR131" s="376"/>
      <c r="AS131" s="376"/>
      <c r="AT131" s="376"/>
      <c r="AU131" s="378">
        <f t="shared" ref="AU131:AU134" si="18">AT131-SUM(R131:AS131)</f>
        <v>0</v>
      </c>
      <c r="AV131" s="376">
        <f>SUM(X131:AS131)</f>
        <v>0</v>
      </c>
      <c r="AW131" s="376">
        <f>SUM(R131:W131,AV131)</f>
        <v>0</v>
      </c>
      <c r="AY131" s="322"/>
    </row>
    <row r="132" spans="2:51" s="309" customFormat="1" collapsed="1" x14ac:dyDescent="0.25">
      <c r="E132" s="299"/>
      <c r="H132" s="379"/>
      <c r="I132" s="380"/>
      <c r="J132" s="322"/>
      <c r="K132" s="322">
        <f>SUM(K6:K129)</f>
        <v>44352623.920000002</v>
      </c>
      <c r="L132" s="322"/>
      <c r="M132" s="322"/>
      <c r="N132" s="381">
        <f>AVERAGE(N7:N129)</f>
        <v>2.708338709677419</v>
      </c>
      <c r="O132" s="322"/>
      <c r="P132" s="376"/>
      <c r="Q132" s="382" t="s">
        <v>748</v>
      </c>
      <c r="R132" s="318">
        <f t="shared" ref="R132:AG133" si="19">SUMIF($Q$6:$Q$129,$Q132,R$6:R$129)</f>
        <v>3907497.16</v>
      </c>
      <c r="S132" s="318">
        <f t="shared" si="19"/>
        <v>3765626.4547222219</v>
      </c>
      <c r="T132" s="318">
        <f t="shared" si="19"/>
        <v>4207506.5494444445</v>
      </c>
      <c r="U132" s="318">
        <f t="shared" si="19"/>
        <v>4129412.5494444449</v>
      </c>
      <c r="V132" s="318">
        <f t="shared" si="19"/>
        <v>4061899.5494444449</v>
      </c>
      <c r="W132" s="318">
        <f t="shared" si="19"/>
        <v>3975441.2094444446</v>
      </c>
      <c r="X132" s="318">
        <f t="shared" si="19"/>
        <v>3257766.4994444447</v>
      </c>
      <c r="Y132" s="318">
        <f t="shared" si="19"/>
        <v>3095034.5394444447</v>
      </c>
      <c r="Z132" s="318">
        <f t="shared" si="19"/>
        <v>2725299.5494444445</v>
      </c>
      <c r="AA132" s="318">
        <f t="shared" si="19"/>
        <v>2426730.6869444442</v>
      </c>
      <c r="AB132" s="318">
        <f t="shared" si="19"/>
        <v>2187335.7744444446</v>
      </c>
      <c r="AC132" s="318">
        <f t="shared" si="19"/>
        <v>2076523.0644444444</v>
      </c>
      <c r="AD132" s="318">
        <f t="shared" si="19"/>
        <v>1941165.0644444444</v>
      </c>
      <c r="AE132" s="318">
        <f t="shared" si="19"/>
        <v>1638083.0644444444</v>
      </c>
      <c r="AF132" s="318">
        <f t="shared" si="19"/>
        <v>1597033.1044444444</v>
      </c>
      <c r="AG132" s="318">
        <f t="shared" si="19"/>
        <v>1580512.1344444444</v>
      </c>
      <c r="AH132" s="318">
        <f t="shared" ref="AH132:AS133" si="20">SUMIF($Q$6:$Q$129,$Q132,AH$6:AH$129)</f>
        <v>1573499.0644444444</v>
      </c>
      <c r="AI132" s="318">
        <f t="shared" si="20"/>
        <v>1573499.0644444444</v>
      </c>
      <c r="AJ132" s="318">
        <f t="shared" si="20"/>
        <v>1573499.0644444444</v>
      </c>
      <c r="AK132" s="318">
        <f t="shared" si="20"/>
        <v>1378923.5322222223</v>
      </c>
      <c r="AL132" s="318">
        <f t="shared" si="20"/>
        <v>1184348</v>
      </c>
      <c r="AM132" s="318">
        <f t="shared" si="20"/>
        <v>1184348</v>
      </c>
      <c r="AN132" s="318">
        <f t="shared" si="20"/>
        <v>867315.83000000007</v>
      </c>
      <c r="AO132" s="318">
        <f t="shared" si="20"/>
        <v>452632</v>
      </c>
      <c r="AP132" s="318">
        <f t="shared" si="20"/>
        <v>409981</v>
      </c>
      <c r="AQ132" s="318">
        <f t="shared" si="20"/>
        <v>55587.92</v>
      </c>
      <c r="AR132" s="318">
        <f t="shared" si="20"/>
        <v>0</v>
      </c>
      <c r="AS132" s="318">
        <f t="shared" si="20"/>
        <v>0</v>
      </c>
      <c r="AT132" s="318">
        <f>SUM(R132:AS132)</f>
        <v>56826500.430000007</v>
      </c>
      <c r="AU132" s="378">
        <f t="shared" si="18"/>
        <v>0</v>
      </c>
      <c r="AV132" s="318">
        <f t="shared" ref="AV132:AV134" si="21">SUM(Y132:AS132)</f>
        <v>29521350.458055563</v>
      </c>
      <c r="AW132" s="318">
        <f t="shared" ref="AW132:AW134" si="22">SUM(R132:X132,AV132)</f>
        <v>56826500.430000007</v>
      </c>
      <c r="AY132" s="322"/>
    </row>
    <row r="133" spans="2:51" x14ac:dyDescent="0.25">
      <c r="H133" s="379"/>
      <c r="J133" s="322"/>
      <c r="K133" s="295"/>
      <c r="L133" s="295"/>
      <c r="M133" s="295"/>
      <c r="N133" s="295"/>
      <c r="O133" s="295"/>
      <c r="P133" s="376"/>
      <c r="Q133" s="383" t="s">
        <v>751</v>
      </c>
      <c r="R133" s="331">
        <f t="shared" si="19"/>
        <v>1402431.3806191001</v>
      </c>
      <c r="S133" s="331">
        <f t="shared" si="19"/>
        <v>1327468.1640190999</v>
      </c>
      <c r="T133" s="331">
        <f t="shared" si="19"/>
        <v>1205065.6474929557</v>
      </c>
      <c r="U133" s="331">
        <f t="shared" si="19"/>
        <v>1204593.2728940668</v>
      </c>
      <c r="V133" s="331">
        <f t="shared" si="19"/>
        <v>1097231.7619751778</v>
      </c>
      <c r="W133" s="331">
        <f t="shared" si="19"/>
        <v>990806.49178628915</v>
      </c>
      <c r="X133" s="331">
        <f t="shared" si="19"/>
        <v>887124.00427279994</v>
      </c>
      <c r="Y133" s="331">
        <f t="shared" si="19"/>
        <v>799044.85845391126</v>
      </c>
      <c r="Z133" s="331">
        <f t="shared" si="19"/>
        <v>715862.11603332229</v>
      </c>
      <c r="AA133" s="331">
        <f t="shared" si="19"/>
        <v>642680.29552443337</v>
      </c>
      <c r="AB133" s="331">
        <f t="shared" si="19"/>
        <v>577568.22167554428</v>
      </c>
      <c r="AC133" s="331">
        <f t="shared" si="19"/>
        <v>518304.54470665567</v>
      </c>
      <c r="AD133" s="331">
        <f t="shared" si="19"/>
        <v>461661.42077776662</v>
      </c>
      <c r="AE133" s="331">
        <f t="shared" si="19"/>
        <v>409072.54682887776</v>
      </c>
      <c r="AF133" s="331">
        <f t="shared" si="19"/>
        <v>366042.87229998887</v>
      </c>
      <c r="AG133" s="331">
        <f t="shared" si="19"/>
        <v>324080.84477909998</v>
      </c>
      <c r="AH133" s="331">
        <f t="shared" si="20"/>
        <v>282569.87398431113</v>
      </c>
      <c r="AI133" s="331">
        <f t="shared" si="20"/>
        <v>241236.82477542217</v>
      </c>
      <c r="AJ133" s="331">
        <f t="shared" si="20"/>
        <v>199903.77556653335</v>
      </c>
      <c r="AK133" s="331">
        <f t="shared" si="20"/>
        <v>158570.72635764442</v>
      </c>
      <c r="AL133" s="331">
        <f t="shared" si="20"/>
        <v>121129.18779319999</v>
      </c>
      <c r="AM133" s="331">
        <f t="shared" si="20"/>
        <v>87579.159873199984</v>
      </c>
      <c r="AN133" s="331">
        <f t="shared" si="20"/>
        <v>54029.131953199991</v>
      </c>
      <c r="AO133" s="331">
        <f t="shared" si="20"/>
        <v>29303.884686399997</v>
      </c>
      <c r="AP133" s="331">
        <f t="shared" si="20"/>
        <v>15006.094726399999</v>
      </c>
      <c r="AQ133" s="331">
        <f t="shared" si="20"/>
        <v>1749.3202464000001</v>
      </c>
      <c r="AR133" s="331">
        <f t="shared" si="20"/>
        <v>0</v>
      </c>
      <c r="AS133" s="331">
        <f t="shared" si="20"/>
        <v>0</v>
      </c>
      <c r="AT133" s="331">
        <f>SUM(R133:AS133)</f>
        <v>14120116.424101802</v>
      </c>
      <c r="AU133" s="378">
        <f t="shared" si="18"/>
        <v>0</v>
      </c>
      <c r="AV133" s="331">
        <f t="shared" si="21"/>
        <v>6005395.7010423113</v>
      </c>
      <c r="AW133" s="331">
        <f t="shared" si="22"/>
        <v>14120116.4241018</v>
      </c>
      <c r="AY133" s="322"/>
    </row>
    <row r="134" spans="2:51" s="299" customFormat="1" x14ac:dyDescent="0.25">
      <c r="H134" s="379"/>
      <c r="J134" s="322"/>
      <c r="O134" s="370"/>
      <c r="P134" s="376"/>
      <c r="Q134" s="382" t="s">
        <v>1094</v>
      </c>
      <c r="R134" s="384">
        <f t="shared" ref="R134:AS134" si="23">SUM(R132:R133)</f>
        <v>5309928.5406191004</v>
      </c>
      <c r="S134" s="384">
        <f t="shared" si="23"/>
        <v>5093094.6187413223</v>
      </c>
      <c r="T134" s="384">
        <f t="shared" si="23"/>
        <v>5412572.1969373999</v>
      </c>
      <c r="U134" s="384">
        <f t="shared" si="23"/>
        <v>5334005.8223385122</v>
      </c>
      <c r="V134" s="384">
        <f t="shared" si="23"/>
        <v>5159131.311419623</v>
      </c>
      <c r="W134" s="384">
        <f t="shared" si="23"/>
        <v>4966247.7012307337</v>
      </c>
      <c r="X134" s="384">
        <f t="shared" si="23"/>
        <v>4144890.5037172446</v>
      </c>
      <c r="Y134" s="384">
        <f t="shared" si="23"/>
        <v>3894079.397898356</v>
      </c>
      <c r="Z134" s="384">
        <f t="shared" si="23"/>
        <v>3441161.6654777667</v>
      </c>
      <c r="AA134" s="384">
        <f t="shared" si="23"/>
        <v>3069410.9824688775</v>
      </c>
      <c r="AB134" s="384">
        <f t="shared" si="23"/>
        <v>2764903.9961199891</v>
      </c>
      <c r="AC134" s="384">
        <f t="shared" si="23"/>
        <v>2594827.6091510998</v>
      </c>
      <c r="AD134" s="384">
        <f t="shared" si="23"/>
        <v>2402826.4852222111</v>
      </c>
      <c r="AE134" s="384">
        <f t="shared" si="23"/>
        <v>2047155.6112733223</v>
      </c>
      <c r="AF134" s="384">
        <f t="shared" si="23"/>
        <v>1963075.9767444334</v>
      </c>
      <c r="AG134" s="384">
        <f t="shared" si="23"/>
        <v>1904592.9792235445</v>
      </c>
      <c r="AH134" s="384">
        <f t="shared" si="23"/>
        <v>1856068.9384287554</v>
      </c>
      <c r="AI134" s="384">
        <f t="shared" si="23"/>
        <v>1814735.8892198666</v>
      </c>
      <c r="AJ134" s="384">
        <f t="shared" si="23"/>
        <v>1773402.8400109778</v>
      </c>
      <c r="AK134" s="384">
        <f t="shared" si="23"/>
        <v>1537494.2585798667</v>
      </c>
      <c r="AL134" s="384">
        <f t="shared" si="23"/>
        <v>1305477.1877931999</v>
      </c>
      <c r="AM134" s="384">
        <f t="shared" si="23"/>
        <v>1271927.1598731999</v>
      </c>
      <c r="AN134" s="384">
        <f t="shared" si="23"/>
        <v>921344.96195320005</v>
      </c>
      <c r="AO134" s="384">
        <f t="shared" si="23"/>
        <v>481935.88468640001</v>
      </c>
      <c r="AP134" s="384">
        <f t="shared" si="23"/>
        <v>424987.09472639998</v>
      </c>
      <c r="AQ134" s="384">
        <f t="shared" si="23"/>
        <v>57337.240246399997</v>
      </c>
      <c r="AR134" s="384">
        <f t="shared" si="23"/>
        <v>0</v>
      </c>
      <c r="AS134" s="384">
        <f t="shared" si="23"/>
        <v>0</v>
      </c>
      <c r="AT134" s="384">
        <f>SUM(R134:AS134)</f>
        <v>70946616.854101792</v>
      </c>
      <c r="AU134" s="378">
        <f t="shared" si="18"/>
        <v>0</v>
      </c>
      <c r="AV134" s="384">
        <f t="shared" si="21"/>
        <v>35526746.159097865</v>
      </c>
      <c r="AW134" s="384">
        <f t="shared" si="22"/>
        <v>70946616.854101807</v>
      </c>
      <c r="AY134" s="322"/>
    </row>
    <row r="135" spans="2:51" x14ac:dyDescent="0.25">
      <c r="K135" s="299"/>
      <c r="R135" s="385"/>
      <c r="S135" s="385"/>
      <c r="T135" s="385"/>
      <c r="U135" s="385"/>
      <c r="V135" s="385"/>
      <c r="W135" s="385"/>
      <c r="X135" s="385"/>
      <c r="Y135" s="386"/>
      <c r="Z135" s="386"/>
      <c r="AA135" s="386"/>
      <c r="AB135" s="386"/>
      <c r="AC135" s="386"/>
      <c r="AD135" s="386"/>
      <c r="AE135" s="386"/>
      <c r="AF135" s="386"/>
      <c r="AG135" s="386"/>
      <c r="AH135" s="386"/>
      <c r="AI135" s="386"/>
      <c r="AJ135" s="386"/>
      <c r="AK135" s="386"/>
      <c r="AL135" s="386"/>
      <c r="AM135" s="386"/>
      <c r="AN135" s="386"/>
      <c r="AO135" s="386"/>
      <c r="AP135" s="386"/>
      <c r="AQ135" s="386"/>
      <c r="AR135" s="386"/>
      <c r="AS135" s="386"/>
      <c r="AT135" s="386"/>
      <c r="AU135" s="386"/>
      <c r="AV135" s="386"/>
      <c r="AW135" s="386"/>
      <c r="AY135" s="322"/>
    </row>
    <row r="136" spans="2:51" ht="15.75" x14ac:dyDescent="0.25">
      <c r="C136" s="296" t="s">
        <v>1095</v>
      </c>
      <c r="J136" s="387"/>
      <c r="R136" s="388"/>
      <c r="S136" s="388"/>
      <c r="T136" s="388"/>
      <c r="U136" s="388"/>
      <c r="V136" s="388"/>
      <c r="W136" s="388"/>
      <c r="X136" s="388"/>
      <c r="Y136" s="388"/>
      <c r="Z136" s="388"/>
      <c r="AA136" s="388"/>
      <c r="AB136" s="388"/>
      <c r="AC136" s="388"/>
      <c r="AD136" s="388"/>
      <c r="AE136" s="388"/>
      <c r="AF136" s="388"/>
      <c r="AG136" s="388"/>
      <c r="AH136" s="388"/>
      <c r="AI136" s="388"/>
      <c r="AJ136" s="388"/>
      <c r="AK136" s="388"/>
      <c r="AL136" s="388"/>
      <c r="AM136" s="388"/>
      <c r="AN136" s="388"/>
      <c r="AO136" s="388"/>
      <c r="AP136" s="388"/>
      <c r="AQ136" s="388"/>
      <c r="AR136" s="388"/>
      <c r="AS136" s="388"/>
      <c r="AT136" s="388"/>
      <c r="AU136" s="388"/>
      <c r="AV136" s="388"/>
      <c r="AW136" s="388"/>
    </row>
    <row r="137" spans="2:51" ht="60" x14ac:dyDescent="0.25">
      <c r="C137" s="303" t="s">
        <v>723</v>
      </c>
      <c r="D137" s="303" t="s">
        <v>1096</v>
      </c>
      <c r="E137" s="303" t="s">
        <v>1097</v>
      </c>
      <c r="F137" s="303" t="s">
        <v>1098</v>
      </c>
      <c r="G137" s="303" t="s">
        <v>727</v>
      </c>
      <c r="H137" s="303" t="s">
        <v>728</v>
      </c>
      <c r="I137" s="303" t="s">
        <v>729</v>
      </c>
      <c r="J137" s="305" t="s">
        <v>1099</v>
      </c>
      <c r="K137" s="305" t="s">
        <v>731</v>
      </c>
      <c r="L137" s="305" t="s">
        <v>732</v>
      </c>
      <c r="M137" s="305" t="s">
        <v>733</v>
      </c>
      <c r="N137" s="305" t="s">
        <v>734</v>
      </c>
      <c r="O137" s="305" t="s">
        <v>735</v>
      </c>
      <c r="P137" s="305" t="s">
        <v>736</v>
      </c>
      <c r="Q137" s="305" t="s">
        <v>737</v>
      </c>
      <c r="R137" s="304">
        <v>2026</v>
      </c>
      <c r="S137" s="304">
        <v>2027</v>
      </c>
      <c r="T137" s="304">
        <v>2028</v>
      </c>
      <c r="U137" s="304">
        <v>2029</v>
      </c>
      <c r="V137" s="304">
        <v>2030</v>
      </c>
      <c r="W137" s="304">
        <v>2031</v>
      </c>
      <c r="X137" s="304">
        <v>2032</v>
      </c>
      <c r="Y137" s="304">
        <v>2033</v>
      </c>
      <c r="Z137" s="304">
        <v>2034</v>
      </c>
      <c r="AA137" s="304">
        <v>2035</v>
      </c>
      <c r="AB137" s="304">
        <v>2036</v>
      </c>
      <c r="AC137" s="304">
        <v>2037</v>
      </c>
      <c r="AD137" s="304">
        <v>2038</v>
      </c>
      <c r="AE137" s="304">
        <v>2039</v>
      </c>
      <c r="AF137" s="304">
        <v>2040</v>
      </c>
      <c r="AG137" s="304">
        <v>2041</v>
      </c>
      <c r="AH137" s="304">
        <v>2042</v>
      </c>
      <c r="AI137" s="304">
        <v>2043</v>
      </c>
      <c r="AJ137" s="304">
        <v>2044</v>
      </c>
      <c r="AK137" s="304">
        <v>2045</v>
      </c>
      <c r="AL137" s="304">
        <v>2046</v>
      </c>
      <c r="AM137" s="304">
        <v>2047</v>
      </c>
      <c r="AN137" s="304">
        <v>2048</v>
      </c>
      <c r="AO137" s="304">
        <v>2049</v>
      </c>
      <c r="AP137" s="304">
        <v>2050</v>
      </c>
      <c r="AQ137" s="304">
        <v>2051</v>
      </c>
      <c r="AR137" s="304">
        <v>2052</v>
      </c>
      <c r="AS137" s="304">
        <v>2053</v>
      </c>
      <c r="AT137" s="303" t="s">
        <v>738</v>
      </c>
      <c r="AV137" s="302" t="s">
        <v>1100</v>
      </c>
      <c r="AW137" s="303" t="s">
        <v>1101</v>
      </c>
    </row>
    <row r="138" spans="2:51" s="309" customFormat="1" x14ac:dyDescent="0.25">
      <c r="B138" s="310"/>
      <c r="C138" s="311">
        <v>1</v>
      </c>
      <c r="D138" s="312" t="s">
        <v>1102</v>
      </c>
      <c r="E138" s="313" t="s">
        <v>1103</v>
      </c>
      <c r="F138" s="312"/>
      <c r="G138" s="314">
        <v>3.2017000000000002</v>
      </c>
      <c r="H138" s="314">
        <v>3.2031999999999998</v>
      </c>
      <c r="I138" s="314" t="s">
        <v>747</v>
      </c>
      <c r="J138" s="315">
        <v>129553</v>
      </c>
      <c r="K138" s="316"/>
      <c r="L138" s="316"/>
      <c r="M138" s="316"/>
      <c r="N138" s="317"/>
      <c r="O138" s="317"/>
      <c r="P138" s="317"/>
      <c r="Q138" s="389" t="s">
        <v>748</v>
      </c>
      <c r="R138" s="318">
        <v>8936</v>
      </c>
      <c r="S138" s="318">
        <v>8936</v>
      </c>
      <c r="T138" s="318">
        <v>8936</v>
      </c>
      <c r="U138" s="318">
        <v>8936</v>
      </c>
      <c r="V138" s="318">
        <v>8936</v>
      </c>
      <c r="W138" s="318">
        <v>8936</v>
      </c>
      <c r="X138" s="318">
        <v>2234</v>
      </c>
      <c r="Y138" s="318"/>
      <c r="Z138" s="318"/>
      <c r="AA138" s="318"/>
      <c r="AB138" s="318"/>
      <c r="AC138" s="318"/>
      <c r="AD138" s="318"/>
      <c r="AE138" s="318"/>
      <c r="AF138" s="318"/>
      <c r="AG138" s="318"/>
      <c r="AH138" s="318"/>
      <c r="AI138" s="318"/>
      <c r="AJ138" s="318"/>
      <c r="AK138" s="318"/>
      <c r="AL138" s="318"/>
      <c r="AM138" s="318"/>
      <c r="AN138" s="318"/>
      <c r="AO138" s="318"/>
      <c r="AP138" s="318"/>
      <c r="AQ138" s="318"/>
      <c r="AR138" s="318"/>
      <c r="AS138" s="318"/>
      <c r="AT138" s="318">
        <f t="shared" ref="AT138:AT144" si="24">SUM(R138:AS138)</f>
        <v>55850</v>
      </c>
      <c r="AU138" s="390"/>
      <c r="AV138" s="321">
        <f t="shared" ref="AV138:AV144" si="25">SUM(X138:AS138)</f>
        <v>2234</v>
      </c>
      <c r="AW138" s="318">
        <f t="shared" ref="AW138:AW144" si="26">SUM(R138:W138,AV138)</f>
        <v>55850</v>
      </c>
    </row>
    <row r="139" spans="2:51" x14ac:dyDescent="0.25">
      <c r="B139" s="323"/>
      <c r="C139" s="324"/>
      <c r="D139" s="327"/>
      <c r="E139" s="326"/>
      <c r="F139" s="327"/>
      <c r="G139" s="327"/>
      <c r="H139" s="327"/>
      <c r="I139" s="327"/>
      <c r="J139" s="328"/>
      <c r="K139" s="328"/>
      <c r="L139" s="328"/>
      <c r="M139" s="328"/>
      <c r="N139" s="330">
        <f>SUM(O139:P139)</f>
        <v>2.25</v>
      </c>
      <c r="O139" s="330">
        <v>2</v>
      </c>
      <c r="P139" s="330">
        <v>0.25</v>
      </c>
      <c r="Q139" s="391" t="s">
        <v>751</v>
      </c>
      <c r="R139" s="331">
        <v>1680.5264999999999</v>
      </c>
      <c r="S139" s="331">
        <f>SUM(S138:$AQ138)*$N139/100</f>
        <v>1055.5650000000001</v>
      </c>
      <c r="T139" s="331">
        <f>SUM(T138:$AQ138)*$N139/100</f>
        <v>854.505</v>
      </c>
      <c r="U139" s="331">
        <f>SUM(U138:$AQ138)*$N139/100</f>
        <v>653.44500000000005</v>
      </c>
      <c r="V139" s="331">
        <f>SUM(V138:$AQ138)*$N139/100</f>
        <v>452.38499999999999</v>
      </c>
      <c r="W139" s="331">
        <f>SUM(W138:$AQ138)*$N139/100</f>
        <v>251.32499999999999</v>
      </c>
      <c r="X139" s="331">
        <f>SUM(X138:$AQ138)*$N139/100</f>
        <v>50.265000000000001</v>
      </c>
      <c r="Y139" s="331"/>
      <c r="Z139" s="331"/>
      <c r="AA139" s="331"/>
      <c r="AB139" s="331"/>
      <c r="AC139" s="331"/>
      <c r="AD139" s="331"/>
      <c r="AE139" s="331"/>
      <c r="AF139" s="331"/>
      <c r="AG139" s="331"/>
      <c r="AH139" s="331"/>
      <c r="AI139" s="331"/>
      <c r="AJ139" s="331"/>
      <c r="AK139" s="331"/>
      <c r="AL139" s="331"/>
      <c r="AM139" s="331"/>
      <c r="AN139" s="331"/>
      <c r="AO139" s="331"/>
      <c r="AP139" s="331"/>
      <c r="AQ139" s="331"/>
      <c r="AR139" s="331"/>
      <c r="AS139" s="331"/>
      <c r="AT139" s="331">
        <f t="shared" si="24"/>
        <v>4998.0165000000006</v>
      </c>
      <c r="AU139" s="392"/>
      <c r="AV139" s="333">
        <f t="shared" si="25"/>
        <v>50.265000000000001</v>
      </c>
      <c r="AW139" s="331">
        <f t="shared" si="26"/>
        <v>4998.0165000000006</v>
      </c>
    </row>
    <row r="140" spans="2:51" s="309" customFormat="1" x14ac:dyDescent="0.25">
      <c r="B140" s="310"/>
      <c r="C140" s="311">
        <v>2</v>
      </c>
      <c r="D140" s="312" t="s">
        <v>1102</v>
      </c>
      <c r="E140" s="313" t="s">
        <v>1104</v>
      </c>
      <c r="F140" s="312"/>
      <c r="G140" s="393">
        <v>44655</v>
      </c>
      <c r="H140" s="393">
        <v>55598</v>
      </c>
      <c r="I140" s="314" t="s">
        <v>747</v>
      </c>
      <c r="J140" s="315">
        <v>2209678</v>
      </c>
      <c r="K140" s="316"/>
      <c r="L140" s="316"/>
      <c r="M140" s="316"/>
      <c r="N140" s="317"/>
      <c r="O140" s="317"/>
      <c r="P140" s="317"/>
      <c r="Q140" s="389" t="s">
        <v>748</v>
      </c>
      <c r="R140" s="318">
        <v>81588</v>
      </c>
      <c r="S140" s="318">
        <v>81588</v>
      </c>
      <c r="T140" s="318">
        <v>81588</v>
      </c>
      <c r="U140" s="318">
        <v>81588</v>
      </c>
      <c r="V140" s="318">
        <v>81588</v>
      </c>
      <c r="W140" s="318">
        <v>81588</v>
      </c>
      <c r="X140" s="318">
        <v>81588</v>
      </c>
      <c r="Y140" s="318">
        <v>81588</v>
      </c>
      <c r="Z140" s="318">
        <v>81588</v>
      </c>
      <c r="AA140" s="318">
        <v>81588</v>
      </c>
      <c r="AB140" s="318">
        <v>81588</v>
      </c>
      <c r="AC140" s="318">
        <v>81588</v>
      </c>
      <c r="AD140" s="318">
        <v>81588</v>
      </c>
      <c r="AE140" s="318">
        <v>81588</v>
      </c>
      <c r="AF140" s="318">
        <v>81588</v>
      </c>
      <c r="AG140" s="318">
        <v>81588</v>
      </c>
      <c r="AH140" s="318">
        <v>81588</v>
      </c>
      <c r="AI140" s="318">
        <v>81588</v>
      </c>
      <c r="AJ140" s="318">
        <v>81588</v>
      </c>
      <c r="AK140" s="318">
        <v>81588</v>
      </c>
      <c r="AL140" s="318">
        <v>81588</v>
      </c>
      <c r="AM140" s="318">
        <v>81588</v>
      </c>
      <c r="AN140" s="318">
        <v>81588</v>
      </c>
      <c r="AO140" s="318">
        <v>81588</v>
      </c>
      <c r="AP140" s="318">
        <v>81588</v>
      </c>
      <c r="AQ140" s="318">
        <v>81588</v>
      </c>
      <c r="AR140" s="318">
        <v>81588</v>
      </c>
      <c r="AS140" s="318">
        <v>20400</v>
      </c>
      <c r="AT140" s="318">
        <f t="shared" si="24"/>
        <v>2223276</v>
      </c>
      <c r="AU140" s="390"/>
      <c r="AV140" s="321">
        <f t="shared" si="25"/>
        <v>1733748</v>
      </c>
      <c r="AW140" s="318">
        <f t="shared" si="26"/>
        <v>2223276</v>
      </c>
    </row>
    <row r="141" spans="2:51" x14ac:dyDescent="0.25">
      <c r="B141" s="323"/>
      <c r="C141" s="324"/>
      <c r="D141" s="327"/>
      <c r="E141" s="326"/>
      <c r="F141" s="327"/>
      <c r="G141" s="327"/>
      <c r="H141" s="327"/>
      <c r="I141" s="327"/>
      <c r="J141" s="328"/>
      <c r="K141" s="328"/>
      <c r="L141" s="328"/>
      <c r="M141" s="328"/>
      <c r="N141" s="330">
        <f>SUM(O141:P141)</f>
        <v>2.25</v>
      </c>
      <c r="O141" s="330">
        <v>2</v>
      </c>
      <c r="P141" s="330">
        <v>0.25</v>
      </c>
      <c r="Q141" s="391" t="s">
        <v>751</v>
      </c>
      <c r="R141" s="331">
        <v>66876.142079999991</v>
      </c>
      <c r="S141" s="331">
        <f>SUM(S140:$AS140)*$N141/100</f>
        <v>48187.98</v>
      </c>
      <c r="T141" s="331">
        <f>SUM(T140:$AS140)*$N141/100</f>
        <v>46352.25</v>
      </c>
      <c r="U141" s="331">
        <f>SUM(U140:$AS140)*$N141/100</f>
        <v>44516.52</v>
      </c>
      <c r="V141" s="331">
        <f>SUM(V140:$AS140)*$N141/100</f>
        <v>42680.79</v>
      </c>
      <c r="W141" s="331">
        <f>SUM(W140:$AS140)*$N141/100</f>
        <v>40845.06</v>
      </c>
      <c r="X141" s="331">
        <f>SUM(X140:$AS140)*$N141/100</f>
        <v>39009.33</v>
      </c>
      <c r="Y141" s="331">
        <f>SUM(Y140:$AS140)*$N141/100</f>
        <v>37173.599999999999</v>
      </c>
      <c r="Z141" s="331">
        <f>SUM(Z140:$AS140)*$N141/100</f>
        <v>35337.870000000003</v>
      </c>
      <c r="AA141" s="331">
        <f>SUM(AA140:$AS140)*$N141/100</f>
        <v>33502.14</v>
      </c>
      <c r="AB141" s="331">
        <f>SUM(AB140:$AS140)*$N141/100</f>
        <v>31666.41</v>
      </c>
      <c r="AC141" s="331">
        <f>SUM(AC140:$AS140)*$N141/100</f>
        <v>29830.68</v>
      </c>
      <c r="AD141" s="331">
        <f>SUM(AD140:$AS140)*$N141/100</f>
        <v>27994.95</v>
      </c>
      <c r="AE141" s="331">
        <f>SUM(AE140:$AS140)*$N141/100</f>
        <v>26159.22</v>
      </c>
      <c r="AF141" s="331">
        <f>SUM(AF140:$AS140)*$N141/100</f>
        <v>24323.49</v>
      </c>
      <c r="AG141" s="331">
        <f>SUM(AG140:$AS140)*$N141/100</f>
        <v>22487.759999999998</v>
      </c>
      <c r="AH141" s="331">
        <f>SUM(AH140:$AS140)*$N141/100</f>
        <v>20652.03</v>
      </c>
      <c r="AI141" s="331">
        <f>SUM(AI140:$AS140)*$N141/100</f>
        <v>18816.3</v>
      </c>
      <c r="AJ141" s="331">
        <f>SUM(AJ140:$AS140)*$N141/100</f>
        <v>16980.57</v>
      </c>
      <c r="AK141" s="331">
        <f>SUM(AK140:$AS140)*$N141/100</f>
        <v>15144.84</v>
      </c>
      <c r="AL141" s="331">
        <f>SUM(AL140:$AS140)*$N141/100</f>
        <v>13309.11</v>
      </c>
      <c r="AM141" s="331">
        <f>SUM(AM140:$AS140)*$N141/100</f>
        <v>11473.38</v>
      </c>
      <c r="AN141" s="331">
        <f>SUM(AN140:$AS140)*$N141/100</f>
        <v>9637.65</v>
      </c>
      <c r="AO141" s="331">
        <f>SUM(AO140:$AS140)*$N141/100</f>
        <v>7801.92</v>
      </c>
      <c r="AP141" s="331">
        <f>SUM(AP140:$AS140)*$N141/100</f>
        <v>5966.19</v>
      </c>
      <c r="AQ141" s="331">
        <f>SUM(AQ140:$AS140)*$N141/100</f>
        <v>4130.46</v>
      </c>
      <c r="AR141" s="331">
        <f>SUM(AR140:$AS140)*$N141/100</f>
        <v>2294.73</v>
      </c>
      <c r="AS141" s="331">
        <f>SUM(AS140:$AS140)*$N141/100</f>
        <v>459</v>
      </c>
      <c r="AT141" s="331">
        <f t="shared" si="24"/>
        <v>723610.37207999988</v>
      </c>
      <c r="AU141" s="320"/>
      <c r="AV141" s="333">
        <f t="shared" si="25"/>
        <v>434151.63</v>
      </c>
      <c r="AW141" s="331">
        <f t="shared" si="26"/>
        <v>723610.37208</v>
      </c>
    </row>
    <row r="142" spans="2:51" s="299" customFormat="1" x14ac:dyDescent="0.25">
      <c r="B142" s="335"/>
      <c r="C142" s="336">
        <v>3</v>
      </c>
      <c r="D142" s="337" t="s">
        <v>1102</v>
      </c>
      <c r="E142" s="337"/>
      <c r="F142" s="337"/>
      <c r="G142" s="342" t="s">
        <v>1091</v>
      </c>
      <c r="H142" s="342">
        <v>49572</v>
      </c>
      <c r="I142" s="313" t="s">
        <v>747</v>
      </c>
      <c r="J142" s="315">
        <v>801681</v>
      </c>
      <c r="K142" s="316"/>
      <c r="L142" s="316"/>
      <c r="M142" s="316"/>
      <c r="N142" s="317"/>
      <c r="O142" s="317"/>
      <c r="P142" s="317"/>
      <c r="Q142" s="389" t="s">
        <v>748</v>
      </c>
      <c r="R142" s="318"/>
      <c r="S142" s="318">
        <f t="shared" ref="S142:AB142" si="27">$J$142/40*4</f>
        <v>80168.100000000006</v>
      </c>
      <c r="T142" s="318">
        <f t="shared" si="27"/>
        <v>80168.100000000006</v>
      </c>
      <c r="U142" s="318">
        <f t="shared" si="27"/>
        <v>80168.100000000006</v>
      </c>
      <c r="V142" s="318">
        <f t="shared" si="27"/>
        <v>80168.100000000006</v>
      </c>
      <c r="W142" s="318">
        <f t="shared" si="27"/>
        <v>80168.100000000006</v>
      </c>
      <c r="X142" s="318">
        <f t="shared" si="27"/>
        <v>80168.100000000006</v>
      </c>
      <c r="Y142" s="318">
        <f t="shared" si="27"/>
        <v>80168.100000000006</v>
      </c>
      <c r="Z142" s="318">
        <f t="shared" si="27"/>
        <v>80168.100000000006</v>
      </c>
      <c r="AA142" s="318">
        <f t="shared" si="27"/>
        <v>80168.100000000006</v>
      </c>
      <c r="AB142" s="318">
        <f t="shared" si="27"/>
        <v>80168.100000000006</v>
      </c>
      <c r="AC142" s="318"/>
      <c r="AD142" s="318"/>
      <c r="AE142" s="318"/>
      <c r="AF142" s="318"/>
      <c r="AG142" s="318"/>
      <c r="AH142" s="318"/>
      <c r="AI142" s="318"/>
      <c r="AJ142" s="318"/>
      <c r="AK142" s="318"/>
      <c r="AL142" s="318"/>
      <c r="AM142" s="318"/>
      <c r="AN142" s="318"/>
      <c r="AO142" s="318"/>
      <c r="AP142" s="318"/>
      <c r="AQ142" s="318"/>
      <c r="AR142" s="318"/>
      <c r="AS142" s="318"/>
      <c r="AT142" s="318">
        <f t="shared" si="24"/>
        <v>801680.99999999988</v>
      </c>
      <c r="AU142" s="394"/>
      <c r="AV142" s="321">
        <f t="shared" si="25"/>
        <v>400840.5</v>
      </c>
      <c r="AW142" s="318">
        <f t="shared" si="26"/>
        <v>801681</v>
      </c>
    </row>
    <row r="143" spans="2:51" s="291" customFormat="1" x14ac:dyDescent="0.25">
      <c r="B143" s="339"/>
      <c r="C143" s="340"/>
      <c r="D143" s="341" t="s">
        <v>1105</v>
      </c>
      <c r="E143" s="326"/>
      <c r="F143" s="326"/>
      <c r="G143" s="326"/>
      <c r="H143" s="326"/>
      <c r="I143" s="326"/>
      <c r="J143" s="328"/>
      <c r="K143" s="328"/>
      <c r="L143" s="328"/>
      <c r="M143" s="328"/>
      <c r="N143" s="330">
        <f>SUM(O143:P143)</f>
        <v>2.25</v>
      </c>
      <c r="O143" s="330">
        <v>2</v>
      </c>
      <c r="P143" s="330">
        <v>0.25</v>
      </c>
      <c r="Q143" s="391" t="s">
        <v>751</v>
      </c>
      <c r="R143" s="331">
        <v>39402.621149999992</v>
      </c>
      <c r="S143" s="331">
        <f>SUM(S142:$AS142)*$N143/100</f>
        <v>18037.822499999998</v>
      </c>
      <c r="T143" s="331">
        <f>SUM(T142:$AS142)*$N143/100</f>
        <v>16234.040249999998</v>
      </c>
      <c r="U143" s="331">
        <f>SUM(U142:$AS142)*$N143/100</f>
        <v>14430.257999999998</v>
      </c>
      <c r="V143" s="331">
        <f>SUM(V142:$AS142)*$N143/100</f>
        <v>12626.47575</v>
      </c>
      <c r="W143" s="331">
        <f>SUM(W142:$AS142)*$N143/100</f>
        <v>10822.693499999999</v>
      </c>
      <c r="X143" s="331">
        <f>SUM(X142:$AS142)*$N143/100</f>
        <v>9018.9112499999992</v>
      </c>
      <c r="Y143" s="331">
        <f>SUM(Y142:$AS142)*$N143/100</f>
        <v>7215.1289999999999</v>
      </c>
      <c r="Z143" s="331">
        <f>SUM(Z142:$AS142)*$N143/100</f>
        <v>5411.3467500000006</v>
      </c>
      <c r="AA143" s="331">
        <f>SUM(AA142:$AS142)*$N143/100</f>
        <v>3607.5645</v>
      </c>
      <c r="AB143" s="331">
        <f>SUM(AB142:$AS142)*$N143/100</f>
        <v>1803.78225</v>
      </c>
      <c r="AC143" s="331">
        <f>SUM(AC142:$AS142)*$N143/100</f>
        <v>0</v>
      </c>
      <c r="AD143" s="331">
        <f>SUM(AD142:$AS142)*$N143/100</f>
        <v>0</v>
      </c>
      <c r="AE143" s="331">
        <f>SUM(AE142:$AS142)*$N143/100</f>
        <v>0</v>
      </c>
      <c r="AF143" s="331">
        <f>SUM(AF142:$AS142)*$N143/100</f>
        <v>0</v>
      </c>
      <c r="AG143" s="331">
        <f>SUM(AG142:$AS142)*$N143/100</f>
        <v>0</v>
      </c>
      <c r="AH143" s="331">
        <f>SUM(AH142:$AS142)*$N143/100</f>
        <v>0</v>
      </c>
      <c r="AI143" s="331">
        <f>SUM(AI142:$AS142)*$N143/100</f>
        <v>0</v>
      </c>
      <c r="AJ143" s="331">
        <f>SUM(AJ142:$AS142)*$N143/100</f>
        <v>0</v>
      </c>
      <c r="AK143" s="331">
        <f>SUM(AK142:$AS142)*$N143/100</f>
        <v>0</v>
      </c>
      <c r="AL143" s="331">
        <f>SUM(AL142:$AS142)*$N143/100</f>
        <v>0</v>
      </c>
      <c r="AM143" s="331">
        <f>SUM(AM142:$AS142)*$N143/100</f>
        <v>0</v>
      </c>
      <c r="AN143" s="331">
        <f>SUM(AN142:$AS142)*$N143/100</f>
        <v>0</v>
      </c>
      <c r="AO143" s="331">
        <f>SUM(AO142:$AS142)*$N143/100</f>
        <v>0</v>
      </c>
      <c r="AP143" s="331">
        <f>SUM(AP142:$AS142)*$N143/100</f>
        <v>0</v>
      </c>
      <c r="AQ143" s="331">
        <f>SUM(AQ142:$AS142)*$N143/100</f>
        <v>0</v>
      </c>
      <c r="AR143" s="331">
        <f>SUM(AR142:$AS142)*$N143/100</f>
        <v>0</v>
      </c>
      <c r="AS143" s="331">
        <f>SUM(AS142:$AS142)*$N143/100</f>
        <v>0</v>
      </c>
      <c r="AT143" s="331">
        <f t="shared" si="24"/>
        <v>138610.64489999998</v>
      </c>
      <c r="AU143" s="338"/>
      <c r="AV143" s="333">
        <f t="shared" si="25"/>
        <v>27056.733749999999</v>
      </c>
      <c r="AW143" s="331">
        <f t="shared" si="26"/>
        <v>138610.64489999998</v>
      </c>
    </row>
    <row r="144" spans="2:51" s="299" customFormat="1" x14ac:dyDescent="0.25">
      <c r="C144" s="394"/>
      <c r="D144" s="394"/>
      <c r="E144" s="394"/>
      <c r="F144" s="394"/>
      <c r="G144" s="394"/>
      <c r="H144" s="394"/>
      <c r="I144" s="394"/>
      <c r="J144" s="394"/>
      <c r="K144" s="394"/>
      <c r="L144" s="394"/>
      <c r="M144" s="394"/>
      <c r="N144" s="394"/>
      <c r="O144" s="394"/>
      <c r="P144" s="394"/>
      <c r="Q144" s="395" t="s">
        <v>1106</v>
      </c>
      <c r="R144" s="396">
        <f t="shared" ref="R144:AS144" si="28">SUM(R138:R143)</f>
        <v>198483.28972999999</v>
      </c>
      <c r="S144" s="396">
        <f t="shared" si="28"/>
        <v>237973.46750000003</v>
      </c>
      <c r="T144" s="396">
        <f t="shared" si="28"/>
        <v>234132.89525</v>
      </c>
      <c r="U144" s="396">
        <f t="shared" si="28"/>
        <v>230292.323</v>
      </c>
      <c r="V144" s="396">
        <f t="shared" si="28"/>
        <v>226451.75075000001</v>
      </c>
      <c r="W144" s="396">
        <f t="shared" si="28"/>
        <v>222611.17850000001</v>
      </c>
      <c r="X144" s="396">
        <f t="shared" si="28"/>
        <v>212068.60625000001</v>
      </c>
      <c r="Y144" s="396">
        <f t="shared" si="28"/>
        <v>206144.829</v>
      </c>
      <c r="Z144" s="396">
        <f t="shared" si="28"/>
        <v>202505.31675</v>
      </c>
      <c r="AA144" s="396">
        <f t="shared" si="28"/>
        <v>198865.8045</v>
      </c>
      <c r="AB144" s="396">
        <f t="shared" si="28"/>
        <v>195226.29225</v>
      </c>
      <c r="AC144" s="396">
        <f t="shared" si="28"/>
        <v>111418.68</v>
      </c>
      <c r="AD144" s="396">
        <f t="shared" si="28"/>
        <v>109582.95</v>
      </c>
      <c r="AE144" s="396">
        <f t="shared" si="28"/>
        <v>107747.22</v>
      </c>
      <c r="AF144" s="396">
        <f t="shared" si="28"/>
        <v>105911.49</v>
      </c>
      <c r="AG144" s="396">
        <f t="shared" si="28"/>
        <v>104075.76</v>
      </c>
      <c r="AH144" s="396">
        <f t="shared" si="28"/>
        <v>102240.03</v>
      </c>
      <c r="AI144" s="396">
        <f t="shared" si="28"/>
        <v>100404.3</v>
      </c>
      <c r="AJ144" s="396">
        <f t="shared" si="28"/>
        <v>98568.57</v>
      </c>
      <c r="AK144" s="396">
        <f t="shared" si="28"/>
        <v>96732.84</v>
      </c>
      <c r="AL144" s="396">
        <f t="shared" si="28"/>
        <v>94897.11</v>
      </c>
      <c r="AM144" s="396">
        <f t="shared" si="28"/>
        <v>93061.38</v>
      </c>
      <c r="AN144" s="396">
        <f t="shared" si="28"/>
        <v>91225.65</v>
      </c>
      <c r="AO144" s="396">
        <f t="shared" si="28"/>
        <v>89389.92</v>
      </c>
      <c r="AP144" s="396">
        <f t="shared" si="28"/>
        <v>87554.19</v>
      </c>
      <c r="AQ144" s="396">
        <f t="shared" si="28"/>
        <v>85718.46</v>
      </c>
      <c r="AR144" s="396">
        <f t="shared" si="28"/>
        <v>83882.73</v>
      </c>
      <c r="AS144" s="396">
        <f t="shared" si="28"/>
        <v>20859</v>
      </c>
      <c r="AT144" s="397">
        <f t="shared" si="24"/>
        <v>3948026.0334799988</v>
      </c>
      <c r="AU144" s="394"/>
      <c r="AV144" s="398">
        <f t="shared" si="25"/>
        <v>2598081.1287499997</v>
      </c>
      <c r="AW144" s="398">
        <f t="shared" si="26"/>
        <v>3948026.0334799998</v>
      </c>
    </row>
    <row r="147" spans="10:49" ht="30" x14ac:dyDescent="0.25">
      <c r="R147" s="304">
        <v>2026</v>
      </c>
      <c r="S147" s="304">
        <v>2027</v>
      </c>
      <c r="T147" s="304">
        <v>2028</v>
      </c>
      <c r="U147" s="304">
        <v>2029</v>
      </c>
      <c r="V147" s="304">
        <v>2030</v>
      </c>
      <c r="W147" s="304">
        <v>2031</v>
      </c>
      <c r="X147" s="304">
        <v>2032</v>
      </c>
      <c r="Y147" s="304">
        <v>2033</v>
      </c>
      <c r="Z147" s="304">
        <v>2034</v>
      </c>
      <c r="AA147" s="304">
        <v>2035</v>
      </c>
      <c r="AB147" s="304">
        <v>2036</v>
      </c>
      <c r="AC147" s="304">
        <v>2037</v>
      </c>
      <c r="AD147" s="304">
        <v>2038</v>
      </c>
      <c r="AE147" s="304">
        <v>2039</v>
      </c>
      <c r="AF147" s="304">
        <v>2040</v>
      </c>
      <c r="AG147" s="304">
        <v>2041</v>
      </c>
      <c r="AH147" s="304">
        <v>2042</v>
      </c>
      <c r="AI147" s="304">
        <v>2043</v>
      </c>
      <c r="AJ147" s="304">
        <v>2044</v>
      </c>
      <c r="AK147" s="304">
        <v>2045</v>
      </c>
      <c r="AL147" s="304">
        <v>2046</v>
      </c>
      <c r="AM147" s="304">
        <v>2047</v>
      </c>
      <c r="AN147" s="304">
        <v>2048</v>
      </c>
      <c r="AO147" s="304">
        <v>2049</v>
      </c>
      <c r="AP147" s="304">
        <v>2050</v>
      </c>
      <c r="AQ147" s="304">
        <v>2051</v>
      </c>
      <c r="AR147" s="304">
        <v>2052</v>
      </c>
      <c r="AS147" s="304">
        <v>2053</v>
      </c>
      <c r="AT147" s="303" t="s">
        <v>738</v>
      </c>
      <c r="AV147" s="304" t="s">
        <v>1100</v>
      </c>
      <c r="AW147" s="303" t="s">
        <v>1101</v>
      </c>
    </row>
    <row r="148" spans="10:49" x14ac:dyDescent="0.25">
      <c r="Q148" s="399" t="s">
        <v>1107</v>
      </c>
      <c r="R148" s="400">
        <f t="shared" ref="R148:AS149" si="29">R132</f>
        <v>3907497.16</v>
      </c>
      <c r="S148" s="400">
        <f t="shared" si="29"/>
        <v>3765626.4547222219</v>
      </c>
      <c r="T148" s="400">
        <f t="shared" si="29"/>
        <v>4207506.5494444445</v>
      </c>
      <c r="U148" s="400">
        <f t="shared" si="29"/>
        <v>4129412.5494444449</v>
      </c>
      <c r="V148" s="400">
        <f t="shared" si="29"/>
        <v>4061899.5494444449</v>
      </c>
      <c r="W148" s="400">
        <f t="shared" si="29"/>
        <v>3975441.2094444446</v>
      </c>
      <c r="X148" s="400">
        <f t="shared" si="29"/>
        <v>3257766.4994444447</v>
      </c>
      <c r="Y148" s="400">
        <f t="shared" si="29"/>
        <v>3095034.5394444447</v>
      </c>
      <c r="Z148" s="400">
        <f t="shared" si="29"/>
        <v>2725299.5494444445</v>
      </c>
      <c r="AA148" s="400">
        <f t="shared" si="29"/>
        <v>2426730.6869444442</v>
      </c>
      <c r="AB148" s="400">
        <f t="shared" si="29"/>
        <v>2187335.7744444446</v>
      </c>
      <c r="AC148" s="400">
        <f t="shared" si="29"/>
        <v>2076523.0644444444</v>
      </c>
      <c r="AD148" s="400">
        <f t="shared" si="29"/>
        <v>1941165.0644444444</v>
      </c>
      <c r="AE148" s="400">
        <f t="shared" si="29"/>
        <v>1638083.0644444444</v>
      </c>
      <c r="AF148" s="400">
        <f t="shared" si="29"/>
        <v>1597033.1044444444</v>
      </c>
      <c r="AG148" s="400">
        <f t="shared" si="29"/>
        <v>1580512.1344444444</v>
      </c>
      <c r="AH148" s="400">
        <f t="shared" si="29"/>
        <v>1573499.0644444444</v>
      </c>
      <c r="AI148" s="400">
        <f t="shared" si="29"/>
        <v>1573499.0644444444</v>
      </c>
      <c r="AJ148" s="400">
        <f t="shared" si="29"/>
        <v>1573499.0644444444</v>
      </c>
      <c r="AK148" s="400">
        <f t="shared" si="29"/>
        <v>1378923.5322222223</v>
      </c>
      <c r="AL148" s="400">
        <f t="shared" si="29"/>
        <v>1184348</v>
      </c>
      <c r="AM148" s="400">
        <f t="shared" si="29"/>
        <v>1184348</v>
      </c>
      <c r="AN148" s="400">
        <f t="shared" si="29"/>
        <v>867315.83000000007</v>
      </c>
      <c r="AO148" s="400">
        <f t="shared" si="29"/>
        <v>452632</v>
      </c>
      <c r="AP148" s="400">
        <f t="shared" si="29"/>
        <v>409981</v>
      </c>
      <c r="AQ148" s="400">
        <f t="shared" si="29"/>
        <v>55587.92</v>
      </c>
      <c r="AR148" s="400">
        <f t="shared" si="29"/>
        <v>0</v>
      </c>
      <c r="AS148" s="400">
        <f t="shared" si="29"/>
        <v>0</v>
      </c>
      <c r="AT148" s="401">
        <f>SUM(R148:AS148)</f>
        <v>56826500.430000007</v>
      </c>
      <c r="AV148" s="402">
        <f>SUM(X148:AS148)</f>
        <v>32779116.957500003</v>
      </c>
      <c r="AW148" s="318">
        <f>SUM(R148:W148,AV148)</f>
        <v>56826500.430000007</v>
      </c>
    </row>
    <row r="149" spans="10:49" x14ac:dyDescent="0.25">
      <c r="Q149" s="399" t="s">
        <v>1108</v>
      </c>
      <c r="R149" s="400">
        <f t="shared" si="29"/>
        <v>1402431.3806191001</v>
      </c>
      <c r="S149" s="400">
        <f t="shared" si="29"/>
        <v>1327468.1640190999</v>
      </c>
      <c r="T149" s="400">
        <f t="shared" si="29"/>
        <v>1205065.6474929557</v>
      </c>
      <c r="U149" s="400">
        <f t="shared" si="29"/>
        <v>1204593.2728940668</v>
      </c>
      <c r="V149" s="400">
        <f t="shared" si="29"/>
        <v>1097231.7619751778</v>
      </c>
      <c r="W149" s="400">
        <f t="shared" si="29"/>
        <v>990806.49178628915</v>
      </c>
      <c r="X149" s="400">
        <f t="shared" si="29"/>
        <v>887124.00427279994</v>
      </c>
      <c r="Y149" s="400">
        <f t="shared" si="29"/>
        <v>799044.85845391126</v>
      </c>
      <c r="Z149" s="400">
        <f t="shared" si="29"/>
        <v>715862.11603332229</v>
      </c>
      <c r="AA149" s="400">
        <f t="shared" si="29"/>
        <v>642680.29552443337</v>
      </c>
      <c r="AB149" s="400">
        <f t="shared" si="29"/>
        <v>577568.22167554428</v>
      </c>
      <c r="AC149" s="400">
        <f t="shared" si="29"/>
        <v>518304.54470665567</v>
      </c>
      <c r="AD149" s="400">
        <f t="shared" si="29"/>
        <v>461661.42077776662</v>
      </c>
      <c r="AE149" s="400">
        <f t="shared" si="29"/>
        <v>409072.54682887776</v>
      </c>
      <c r="AF149" s="400">
        <f t="shared" si="29"/>
        <v>366042.87229998887</v>
      </c>
      <c r="AG149" s="400">
        <f t="shared" si="29"/>
        <v>324080.84477909998</v>
      </c>
      <c r="AH149" s="400">
        <f t="shared" si="29"/>
        <v>282569.87398431113</v>
      </c>
      <c r="AI149" s="400">
        <f t="shared" si="29"/>
        <v>241236.82477542217</v>
      </c>
      <c r="AJ149" s="400">
        <f t="shared" si="29"/>
        <v>199903.77556653335</v>
      </c>
      <c r="AK149" s="400">
        <f t="shared" si="29"/>
        <v>158570.72635764442</v>
      </c>
      <c r="AL149" s="400">
        <f t="shared" si="29"/>
        <v>121129.18779319999</v>
      </c>
      <c r="AM149" s="400">
        <f t="shared" si="29"/>
        <v>87579.159873199984</v>
      </c>
      <c r="AN149" s="400">
        <f t="shared" si="29"/>
        <v>54029.131953199991</v>
      </c>
      <c r="AO149" s="400">
        <f t="shared" si="29"/>
        <v>29303.884686399997</v>
      </c>
      <c r="AP149" s="400">
        <f t="shared" si="29"/>
        <v>15006.094726399999</v>
      </c>
      <c r="AQ149" s="400">
        <f t="shared" si="29"/>
        <v>1749.3202464000001</v>
      </c>
      <c r="AR149" s="400">
        <f t="shared" si="29"/>
        <v>0</v>
      </c>
      <c r="AS149" s="400">
        <f t="shared" si="29"/>
        <v>0</v>
      </c>
      <c r="AT149" s="401">
        <f>SUM(R149:AS149)</f>
        <v>14120116.424101802</v>
      </c>
      <c r="AV149" s="402">
        <f>SUM(X149:AS149)</f>
        <v>6892519.7053151121</v>
      </c>
      <c r="AW149" s="401">
        <f>SUM(R149:W149,AV149)</f>
        <v>14120116.4241018</v>
      </c>
    </row>
    <row r="150" spans="10:49" x14ac:dyDescent="0.25">
      <c r="Q150" s="399" t="s">
        <v>1109</v>
      </c>
      <c r="R150" s="400">
        <f t="shared" ref="R150:AS150" si="30">R144</f>
        <v>198483.28972999999</v>
      </c>
      <c r="S150" s="400">
        <f t="shared" si="30"/>
        <v>237973.46750000003</v>
      </c>
      <c r="T150" s="400">
        <f t="shared" si="30"/>
        <v>234132.89525</v>
      </c>
      <c r="U150" s="400">
        <f t="shared" si="30"/>
        <v>230292.323</v>
      </c>
      <c r="V150" s="400">
        <f t="shared" si="30"/>
        <v>226451.75075000001</v>
      </c>
      <c r="W150" s="400">
        <f t="shared" si="30"/>
        <v>222611.17850000001</v>
      </c>
      <c r="X150" s="400">
        <f t="shared" si="30"/>
        <v>212068.60625000001</v>
      </c>
      <c r="Y150" s="400">
        <f t="shared" si="30"/>
        <v>206144.829</v>
      </c>
      <c r="Z150" s="400">
        <f t="shared" si="30"/>
        <v>202505.31675</v>
      </c>
      <c r="AA150" s="400">
        <f t="shared" si="30"/>
        <v>198865.8045</v>
      </c>
      <c r="AB150" s="400">
        <f t="shared" si="30"/>
        <v>195226.29225</v>
      </c>
      <c r="AC150" s="400">
        <f t="shared" si="30"/>
        <v>111418.68</v>
      </c>
      <c r="AD150" s="400">
        <f t="shared" si="30"/>
        <v>109582.95</v>
      </c>
      <c r="AE150" s="400">
        <f t="shared" si="30"/>
        <v>107747.22</v>
      </c>
      <c r="AF150" s="400">
        <f t="shared" si="30"/>
        <v>105911.49</v>
      </c>
      <c r="AG150" s="400">
        <f t="shared" si="30"/>
        <v>104075.76</v>
      </c>
      <c r="AH150" s="400">
        <f t="shared" si="30"/>
        <v>102240.03</v>
      </c>
      <c r="AI150" s="400">
        <f t="shared" si="30"/>
        <v>100404.3</v>
      </c>
      <c r="AJ150" s="400">
        <f t="shared" si="30"/>
        <v>98568.57</v>
      </c>
      <c r="AK150" s="400">
        <f t="shared" si="30"/>
        <v>96732.84</v>
      </c>
      <c r="AL150" s="400">
        <f t="shared" si="30"/>
        <v>94897.11</v>
      </c>
      <c r="AM150" s="400">
        <f t="shared" si="30"/>
        <v>93061.38</v>
      </c>
      <c r="AN150" s="400">
        <f t="shared" si="30"/>
        <v>91225.65</v>
      </c>
      <c r="AO150" s="400">
        <f t="shared" si="30"/>
        <v>89389.92</v>
      </c>
      <c r="AP150" s="400">
        <f t="shared" si="30"/>
        <v>87554.19</v>
      </c>
      <c r="AQ150" s="400">
        <f t="shared" si="30"/>
        <v>85718.46</v>
      </c>
      <c r="AR150" s="400">
        <f t="shared" si="30"/>
        <v>83882.73</v>
      </c>
      <c r="AS150" s="400">
        <f t="shared" si="30"/>
        <v>20859</v>
      </c>
      <c r="AT150" s="401">
        <f>SUM(R150:AS150)</f>
        <v>3948026.0334799988</v>
      </c>
      <c r="AV150" s="331">
        <f>SUM(X150:AS150)</f>
        <v>2598081.1287499997</v>
      </c>
      <c r="AW150" s="401">
        <f>SUM(R150:W150,AV150)</f>
        <v>3948026.0334799998</v>
      </c>
    </row>
    <row r="151" spans="10:49" s="299" customFormat="1" x14ac:dyDescent="0.25">
      <c r="Q151" s="403" t="s">
        <v>1110</v>
      </c>
      <c r="R151" s="404">
        <f t="shared" ref="R151:AS151" si="31">SUM(R148:R150)</f>
        <v>5508411.8303491008</v>
      </c>
      <c r="S151" s="404">
        <f t="shared" si="31"/>
        <v>5331068.0862413226</v>
      </c>
      <c r="T151" s="404">
        <f t="shared" si="31"/>
        <v>5646705.0921874</v>
      </c>
      <c r="U151" s="404">
        <f t="shared" si="31"/>
        <v>5564298.145338512</v>
      </c>
      <c r="V151" s="404">
        <f t="shared" si="31"/>
        <v>5385583.0621696226</v>
      </c>
      <c r="W151" s="404">
        <f t="shared" si="31"/>
        <v>5188858.879730734</v>
      </c>
      <c r="X151" s="404">
        <f t="shared" si="31"/>
        <v>4356959.1099672448</v>
      </c>
      <c r="Y151" s="404">
        <f t="shared" si="31"/>
        <v>4100224.2268983559</v>
      </c>
      <c r="Z151" s="404">
        <f t="shared" si="31"/>
        <v>3643666.9822277669</v>
      </c>
      <c r="AA151" s="404">
        <f t="shared" si="31"/>
        <v>3268276.7869688775</v>
      </c>
      <c r="AB151" s="404">
        <f t="shared" si="31"/>
        <v>2960130.288369989</v>
      </c>
      <c r="AC151" s="404">
        <f t="shared" si="31"/>
        <v>2706246.2891511</v>
      </c>
      <c r="AD151" s="404">
        <f t="shared" si="31"/>
        <v>2512409.4352222113</v>
      </c>
      <c r="AE151" s="404">
        <f t="shared" si="31"/>
        <v>2154902.8312733225</v>
      </c>
      <c r="AF151" s="404">
        <f t="shared" si="31"/>
        <v>2068987.4667444334</v>
      </c>
      <c r="AG151" s="404">
        <f t="shared" si="31"/>
        <v>2008668.7392235445</v>
      </c>
      <c r="AH151" s="404">
        <f t="shared" si="31"/>
        <v>1958308.9684287554</v>
      </c>
      <c r="AI151" s="404">
        <f t="shared" si="31"/>
        <v>1915140.1892198666</v>
      </c>
      <c r="AJ151" s="404">
        <f t="shared" si="31"/>
        <v>1871971.4100109779</v>
      </c>
      <c r="AK151" s="404">
        <f t="shared" si="31"/>
        <v>1634227.0985798668</v>
      </c>
      <c r="AL151" s="404">
        <f t="shared" si="31"/>
        <v>1400374.2977932</v>
      </c>
      <c r="AM151" s="404">
        <f t="shared" si="31"/>
        <v>1364988.5398732</v>
      </c>
      <c r="AN151" s="404">
        <f t="shared" si="31"/>
        <v>1012570.6119532001</v>
      </c>
      <c r="AO151" s="404">
        <f t="shared" si="31"/>
        <v>571325.80468639999</v>
      </c>
      <c r="AP151" s="404">
        <f t="shared" si="31"/>
        <v>512541.28472639999</v>
      </c>
      <c r="AQ151" s="404">
        <f t="shared" si="31"/>
        <v>143055.7002464</v>
      </c>
      <c r="AR151" s="404">
        <f t="shared" si="31"/>
        <v>83882.73</v>
      </c>
      <c r="AS151" s="404">
        <f t="shared" si="31"/>
        <v>20859</v>
      </c>
      <c r="AT151" s="404">
        <f>SUM(R151:AS151)</f>
        <v>74894642.887581795</v>
      </c>
      <c r="AV151" s="404">
        <f>SUM(X151:AS151)</f>
        <v>42269717.791565113</v>
      </c>
      <c r="AW151" s="404">
        <f>SUM(R151:W151,AV151)</f>
        <v>74894642.88758181</v>
      </c>
    </row>
    <row r="153" spans="10:49" s="299" customFormat="1" x14ac:dyDescent="0.25">
      <c r="Q153" s="403" t="s">
        <v>1111</v>
      </c>
      <c r="R153" s="405">
        <f t="shared" ref="R153:AS153" si="32">R151/$Q$154</f>
        <v>0.13765489310562484</v>
      </c>
      <c r="S153" s="405">
        <f t="shared" si="32"/>
        <v>0.1332230831956239</v>
      </c>
      <c r="T153" s="405">
        <f t="shared" si="32"/>
        <v>0.14111083372188279</v>
      </c>
      <c r="U153" s="405">
        <f t="shared" si="32"/>
        <v>0.13905148888547361</v>
      </c>
      <c r="V153" s="405">
        <f t="shared" si="32"/>
        <v>0.13458540929163593</v>
      </c>
      <c r="W153" s="405">
        <f t="shared" si="32"/>
        <v>0.12966928334845268</v>
      </c>
      <c r="X153" s="405">
        <f t="shared" si="32"/>
        <v>0.10888015620831118</v>
      </c>
      <c r="Y153" s="405">
        <f t="shared" si="32"/>
        <v>0.10246436632662159</v>
      </c>
      <c r="Z153" s="405">
        <f t="shared" si="32"/>
        <v>9.1055027183628442E-2</v>
      </c>
      <c r="AA153" s="405">
        <f t="shared" si="32"/>
        <v>8.1674047911788644E-2</v>
      </c>
      <c r="AB153" s="405">
        <f t="shared" si="32"/>
        <v>7.3973484730982628E-2</v>
      </c>
      <c r="AC153" s="405">
        <f t="shared" si="32"/>
        <v>6.7628938271846545E-2</v>
      </c>
      <c r="AD153" s="405">
        <f t="shared" si="32"/>
        <v>6.278496650116272E-2</v>
      </c>
      <c r="AE153" s="405">
        <f t="shared" si="32"/>
        <v>5.3850897142005832E-2</v>
      </c>
      <c r="AF153" s="405">
        <f t="shared" si="32"/>
        <v>5.1703877150654623E-2</v>
      </c>
      <c r="AG153" s="405">
        <f t="shared" si="32"/>
        <v>5.0196515637957226E-2</v>
      </c>
      <c r="AH153" s="405">
        <f t="shared" si="32"/>
        <v>4.8938027877948709E-2</v>
      </c>
      <c r="AI153" s="405">
        <f t="shared" si="32"/>
        <v>4.7859242581838539E-2</v>
      </c>
      <c r="AJ153" s="405">
        <f t="shared" si="32"/>
        <v>4.6780457285728376E-2</v>
      </c>
      <c r="AK153" s="405">
        <f t="shared" si="32"/>
        <v>4.0839240691099517E-2</v>
      </c>
      <c r="AL153" s="405">
        <f t="shared" si="32"/>
        <v>3.4995272722441038E-2</v>
      </c>
      <c r="AM153" s="405">
        <f t="shared" si="32"/>
        <v>3.4110984678271609E-2</v>
      </c>
      <c r="AN153" s="405">
        <f t="shared" si="32"/>
        <v>2.5304081038813906E-2</v>
      </c>
      <c r="AO153" s="405">
        <f t="shared" si="32"/>
        <v>1.427739882106949E-2</v>
      </c>
      <c r="AP153" s="405">
        <f t="shared" si="32"/>
        <v>1.2808377066600121E-2</v>
      </c>
      <c r="AQ153" s="405">
        <f t="shared" si="32"/>
        <v>3.5749536766789785E-3</v>
      </c>
      <c r="AR153" s="405">
        <f t="shared" si="32"/>
        <v>2.096224572015378E-3</v>
      </c>
      <c r="AS153" s="405">
        <f t="shared" si="32"/>
        <v>5.2126520378710582E-4</v>
      </c>
      <c r="AV153" s="406"/>
      <c r="AW153" s="406"/>
    </row>
    <row r="154" spans="10:49" x14ac:dyDescent="0.25">
      <c r="J154" s="407" t="s">
        <v>1112</v>
      </c>
      <c r="Q154" s="408">
        <v>40016099</v>
      </c>
      <c r="R154" s="409"/>
      <c r="S154" s="409"/>
      <c r="T154" s="409"/>
      <c r="U154" s="409"/>
    </row>
    <row r="155" spans="10:49" x14ac:dyDescent="0.25">
      <c r="Q155" s="410"/>
      <c r="R155" s="379"/>
      <c r="S155" s="379"/>
      <c r="T155" s="379"/>
      <c r="U155" s="379"/>
      <c r="V155" s="379"/>
      <c r="W155" s="379"/>
      <c r="X155" s="379"/>
      <c r="Y155" s="379"/>
      <c r="Z155" s="379"/>
      <c r="AA155" s="379"/>
      <c r="AB155" s="379"/>
      <c r="AC155" s="379"/>
      <c r="AD155" s="379"/>
      <c r="AE155" s="379"/>
      <c r="AF155" s="379"/>
      <c r="AG155" s="379"/>
      <c r="AH155" s="379"/>
      <c r="AI155" s="379"/>
      <c r="AJ155" s="379"/>
      <c r="AK155" s="379"/>
      <c r="AL155" s="379"/>
      <c r="AM155" s="379"/>
      <c r="AN155" s="379"/>
      <c r="AO155" s="379"/>
      <c r="AP155" s="379"/>
      <c r="AQ155" s="379"/>
      <c r="AR155" s="379"/>
      <c r="AS155" s="379"/>
      <c r="AT155" s="379"/>
      <c r="AU155" s="379"/>
      <c r="AV155" s="379"/>
      <c r="AW155" s="379"/>
    </row>
  </sheetData>
  <pageMargins left="0.25" right="0.25" top="0.75" bottom="0.75" header="0.3" footer="0.3"/>
  <pageSetup paperSize="9" scale="4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2026.gada budzeta plans_apvieno</vt:lpstr>
      <vt:lpstr>Līgumu saraksts_28052026</vt:lpstr>
      <vt:lpstr>'2026.gada budzeta plans_apvieno'!Drukas_apgabals</vt:lpstr>
      <vt:lpstr>'2026.gada budzeta plans_apvieno'!Drukāt_virsrakstus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dcterms:created xsi:type="dcterms:W3CDTF">2026-05-14T19:45:26Z</dcterms:created>
  <dcterms:modified xsi:type="dcterms:W3CDTF">2026-05-25T14:30:48Z</dcterms:modified>
</cp:coreProperties>
</file>