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Šī_darbgrāmata" hidePivotFieldList="1"/>
  <mc:AlternateContent xmlns:mc="http://schemas.openxmlformats.org/markup-compatibility/2006">
    <mc:Choice Requires="x15">
      <x15ac:absPath xmlns:x15ac="http://schemas.microsoft.com/office/spreadsheetml/2010/11/ac" url="https://dvs-adazi.namejs.lv/webdav/9a06b9e0-d9dc-41ec-adfa-669cf94ae4b8/"/>
    </mc:Choice>
  </mc:AlternateContent>
  <xr:revisionPtr revIDLastSave="0" documentId="13_ncr:40000001_{851AC49A-EA08-47E3-AA83-3764FE329A2D}" xr6:coauthVersionLast="47" xr6:coauthVersionMax="47" xr10:uidLastSave="{00000000-0000-0000-0000-000000000000}"/>
  <bookViews>
    <workbookView xWindow="-120" yWindow="-120" windowWidth="29040" windowHeight="15720" tabRatio="921" firstSheet="1" activeTab="2" xr2:uid="{00000000-000D-0000-FFFF-FFFF00000000}"/>
  </bookViews>
  <sheets>
    <sheet name="Investīcijas_2026" sheetId="143" state="hidden" r:id="rId1"/>
    <sheet name="2026.gada budzeta plans_apvieno" sheetId="70" r:id="rId2"/>
    <sheet name="Grafiki_budžeta_izpilde" sheetId="128" r:id="rId3"/>
  </sheets>
  <definedNames>
    <definedName name="_0812" localSheetId="2">#REF!</definedName>
    <definedName name="_0812" localSheetId="0">#REF!</definedName>
    <definedName name="_0812">#REF!</definedName>
    <definedName name="_xlnm._FilterDatabase" localSheetId="1" hidden="1">'2026.gada budzeta plans_apvieno'!#REF!</definedName>
    <definedName name="_xlnm._FilterDatabase" localSheetId="0" hidden="1">Investīcijas_2026!$A$208:$Y$393</definedName>
    <definedName name="Apmaksa" localSheetId="1">#REF!</definedName>
    <definedName name="Apmaksa" localSheetId="0">#REF!</definedName>
    <definedName name="Apmaksa">#REF!</definedName>
    <definedName name="Darijums" localSheetId="1">#REF!</definedName>
    <definedName name="Darijums" localSheetId="0">#REF!</definedName>
    <definedName name="Darijums">#REF!</definedName>
    <definedName name="Excel_BuiltIn__FilterDatabase" localSheetId="1">#REF!</definedName>
    <definedName name="Excel_BuiltIn__FilterDatabase" localSheetId="0">#REF!</definedName>
    <definedName name="Excel_BuiltIn__FilterDatabase">#REF!</definedName>
    <definedName name="Firmas" localSheetId="1">#REF!</definedName>
    <definedName name="Firmas" localSheetId="0">#REF!</definedName>
    <definedName name="Firmas">#REF!</definedName>
    <definedName name="Kolonnas_virsraksta_reģions1..B11.1" localSheetId="0">#REF!</definedName>
    <definedName name="Kolonnas_virsraksta_reģions1..B11.1">#REF!</definedName>
    <definedName name="Kolonnas_virsraksta_reģions1..D4" localSheetId="0">#REF!</definedName>
    <definedName name="Kolonnas_virsraksta_reģions1..D4">#REF!</definedName>
    <definedName name="Kolonnas_virsraksta_reģions2..D7" localSheetId="0">#REF!</definedName>
    <definedName name="Kolonnas_virsraksta_reģions2..D7">#REF!</definedName>
    <definedName name="Kolonnas_virsraksta_reģions3..C12" localSheetId="0">#REF!</definedName>
    <definedName name="Kolonnas_virsraksta_reģions3..C12">#REF!</definedName>
    <definedName name="KolonnasNosaukums1" localSheetId="2">#REF!</definedName>
    <definedName name="KolonnasNosaukums1" localSheetId="0">#REF!</definedName>
    <definedName name="KolonnasNosaukums1">#REF!</definedName>
    <definedName name="Parvadataji" localSheetId="1">#REF!</definedName>
    <definedName name="Parvadataji" localSheetId="0">#REF!</definedName>
    <definedName name="Parvadataji">#REF!</definedName>
    <definedName name="_xlnm.Print_Area" localSheetId="1">'2026.gada budzeta plans_apvieno'!$A$1:$K$313</definedName>
    <definedName name="_xlnm.Print_Titles" localSheetId="1">'2026.gada budzeta plans_apvieno'!$5:$5</definedName>
    <definedName name="Saist_apmers_ar_galvojumu" localSheetId="0">#REF!</definedName>
    <definedName name="Saist_apmers_ar_galvojumu">#REF!</definedName>
    <definedName name="Z_1893421C_DBAA_4C10_AA6C_4D0F39122205_.wvu.FilterData" localSheetId="1">#REF!</definedName>
    <definedName name="Z_1893421C_DBAA_4C10_AA6C_4D0F39122205_.wvu.FilterData" localSheetId="0">#REF!</definedName>
    <definedName name="Z_1893421C_DBAA_4C10_AA6C_4D0F39122205_.wvu.FilterData">#REF!</definedName>
    <definedName name="Z_483F8D4B_D649_4D59_A67B_5E8B6C0D2E28_.wvu.FilterData" localSheetId="1">#REF!</definedName>
    <definedName name="Z_483F8D4B_D649_4D59_A67B_5E8B6C0D2E28_.wvu.FilterData" localSheetId="0">#REF!</definedName>
    <definedName name="Z_483F8D4B_D649_4D59_A67B_5E8B6C0D2E28_.wvu.FilterData">#REF!</definedName>
    <definedName name="Z_56A06D27_97E5_4D01_ADCE_F8E0A2A870EF_.wvu.FilterData" localSheetId="1">#REF!</definedName>
    <definedName name="Z_56A06D27_97E5_4D01_ADCE_F8E0A2A870EF_.wvu.FilterData" localSheetId="0">#REF!</definedName>
    <definedName name="Z_56A06D27_97E5_4D01_ADCE_F8E0A2A870EF_.wvu.FilterData">#REF!</definedName>
    <definedName name="Z_81EB1DB6_89AB_4045_90FA_EF2BA7E792F9_.wvu.FilterData" localSheetId="1">#REF!</definedName>
    <definedName name="Z_81EB1DB6_89AB_4045_90FA_EF2BA7E792F9_.wvu.FilterData" localSheetId="0">#REF!</definedName>
    <definedName name="Z_81EB1DB6_89AB_4045_90FA_EF2BA7E792F9_.wvu.FilterData">#REF!</definedName>
    <definedName name="Z_81EB1DB6_89AB_4045_90FA_EF2BA7E792F9_.wvu.PrintArea" localSheetId="1">#REF!</definedName>
    <definedName name="Z_81EB1DB6_89AB_4045_90FA_EF2BA7E792F9_.wvu.PrintArea" localSheetId="0">#REF!</definedName>
    <definedName name="Z_81EB1DB6_89AB_4045_90FA_EF2BA7E792F9_.wvu.PrintArea">#REF!</definedName>
    <definedName name="Z_8545B4E6_A517_4BD7_BFB7_42FEB5F229AD_.wvu.FilterData" localSheetId="1">#REF!</definedName>
    <definedName name="Z_8545B4E6_A517_4BD7_BFB7_42FEB5F229AD_.wvu.FilterData" localSheetId="0">#REF!</definedName>
    <definedName name="Z_8545B4E6_A517_4BD7_BFB7_42FEB5F229AD_.wvu.FilterData">#REF!</definedName>
    <definedName name="Z_877A1030_2452_46B0_88DF_8A068656C08E_.wvu.FilterData" localSheetId="1">#REF!</definedName>
    <definedName name="Z_877A1030_2452_46B0_88DF_8A068656C08E_.wvu.FilterData" localSheetId="0">#REF!</definedName>
    <definedName name="Z_877A1030_2452_46B0_88DF_8A068656C08E_.wvu.FilterData">#REF!</definedName>
    <definedName name="Z_ABD8A783_3A6C_4629_9559_1E4E89E80131_.wvu.FilterData" localSheetId="1">#REF!</definedName>
    <definedName name="Z_ABD8A783_3A6C_4629_9559_1E4E89E80131_.wvu.FilterData" localSheetId="0">#REF!</definedName>
    <definedName name="Z_ABD8A783_3A6C_4629_9559_1E4E89E80131_.wvu.FilterData">#REF!</definedName>
    <definedName name="Z_AF277C95_CBD9_4696_AC72_D010599E9831_.wvu.FilterData" localSheetId="1">#REF!</definedName>
    <definedName name="Z_AF277C95_CBD9_4696_AC72_D010599E9831_.wvu.FilterData" localSheetId="0">#REF!</definedName>
    <definedName name="Z_AF277C95_CBD9_4696_AC72_D010599E9831_.wvu.FilterData">#REF!</definedName>
    <definedName name="Z_B7CBCF06_FF41_423A_9AB3_E1D1F70C6FC5_.wvu.FilterData" localSheetId="1">#REF!</definedName>
    <definedName name="Z_B7CBCF06_FF41_423A_9AB3_E1D1F70C6FC5_.wvu.FilterData" localSheetId="0">#REF!</definedName>
    <definedName name="Z_B7CBCF06_FF41_423A_9AB3_E1D1F70C6FC5_.wvu.FilterData">#REF!</definedName>
    <definedName name="Z_C5511FB8_86C5_41F3_ADCD_B10310F066F5_.wvu.FilterData" localSheetId="1">#REF!</definedName>
    <definedName name="Z_C5511FB8_86C5_41F3_ADCD_B10310F066F5_.wvu.FilterData" localSheetId="0">#REF!</definedName>
    <definedName name="Z_C5511FB8_86C5_41F3_ADCD_B10310F066F5_.wvu.FilterData">#REF!</definedName>
    <definedName name="Z_DB8ECBD1_2D44_4F97_BCC9_F610BA0A3109_.wvu.FilterData" localSheetId="1">#REF!</definedName>
    <definedName name="Z_DB8ECBD1_2D44_4F97_BCC9_F610BA0A3109_.wvu.FilterData" localSheetId="0">#REF!</definedName>
    <definedName name="Z_DB8ECBD1_2D44_4F97_BCC9_F610BA0A3109_.wvu.FilterData">#REF!</definedName>
    <definedName name="Z_DEE3A27E_689A_4E9F_A3EB_C84F1E3B413E_.wvu.FilterData" localSheetId="1">#REF!</definedName>
    <definedName name="Z_DEE3A27E_689A_4E9F_A3EB_C84F1E3B413E_.wvu.FilterData" localSheetId="0">#REF!</definedName>
    <definedName name="Z_DEE3A27E_689A_4E9F_A3EB_C84F1E3B413E_.wvu.FilterData">#REF!</definedName>
    <definedName name="Z_F1F489B9_0F61_4F1F_A151_75EF77465344_.wvu.Cols" localSheetId="1">#REF!</definedName>
    <definedName name="Z_F1F489B9_0F61_4F1F_A151_75EF77465344_.wvu.Cols" localSheetId="0">#REF!</definedName>
    <definedName name="Z_F1F489B9_0F61_4F1F_A151_75EF77465344_.wvu.Cols">#REF!</definedName>
    <definedName name="Z_F1F489B9_0F61_4F1F_A151_75EF77465344_.wvu.FilterData" localSheetId="1">#REF!</definedName>
    <definedName name="Z_F1F489B9_0F61_4F1F_A151_75EF77465344_.wvu.FilterData" localSheetId="0">#REF!</definedName>
    <definedName name="Z_F1F489B9_0F61_4F1F_A151_75EF77465344_.wvu.FilterData">#REF!</definedName>
    <definedName name="Z_F1F489B9_0F61_4F1F_A151_75EF77465344_.wvu.PrintArea" localSheetId="1">#REF!</definedName>
    <definedName name="Z_F1F489B9_0F61_4F1F_A151_75EF77465344_.wvu.PrintArea" localSheetId="0">#REF!</definedName>
    <definedName name="Z_F1F489B9_0F61_4F1F_A151_75EF77465344_.wvu.PrintArea">#REF!</definedName>
    <definedName name="Z_F1F489B9_0F61_4F1F_A151_75EF77465344_.wvu.PrintTitles" localSheetId="1">#REF!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4" i="70" l="1"/>
  <c r="I201" i="70" l="1"/>
  <c r="I296" i="70"/>
  <c r="I272" i="70"/>
  <c r="I260" i="70"/>
  <c r="I215" i="70"/>
  <c r="I214" i="70"/>
  <c r="I184" i="70"/>
  <c r="I110" i="70"/>
  <c r="I185" i="70" l="1"/>
  <c r="I167" i="70"/>
  <c r="I157" i="70"/>
  <c r="I321" i="70" l="1"/>
  <c r="I320" i="70"/>
  <c r="C88" i="128" s="1"/>
  <c r="I47" i="70"/>
  <c r="I33" i="70"/>
  <c r="I99" i="70"/>
  <c r="I66" i="70"/>
  <c r="I70" i="70"/>
  <c r="I46" i="70"/>
  <c r="I38" i="70"/>
  <c r="J309" i="70"/>
  <c r="J308" i="70"/>
  <c r="J65" i="70"/>
  <c r="F208" i="70" l="1"/>
  <c r="J208" i="70" s="1"/>
  <c r="F134" i="70"/>
  <c r="F157" i="70"/>
  <c r="J157" i="70" s="1"/>
  <c r="F167" i="70"/>
  <c r="J167" i="70" s="1"/>
  <c r="J134" i="70" l="1"/>
  <c r="F296" i="70"/>
  <c r="F76" i="70"/>
  <c r="J76" i="70" s="1"/>
  <c r="B82" i="128" l="1"/>
  <c r="J296" i="70"/>
  <c r="F56" i="70" l="1"/>
  <c r="F55" i="70"/>
  <c r="F266" i="70"/>
  <c r="J266" i="70" s="1"/>
  <c r="F278" i="70"/>
  <c r="J278" i="70" s="1"/>
  <c r="F236" i="70"/>
  <c r="J236" i="70" s="1"/>
  <c r="F275" i="70"/>
  <c r="J275" i="70" s="1"/>
  <c r="F175" i="70"/>
  <c r="F185" i="70"/>
  <c r="J185" i="70" s="1"/>
  <c r="F183" i="70"/>
  <c r="J183" i="70" s="1"/>
  <c r="F112" i="70"/>
  <c r="J112" i="70" s="1"/>
  <c r="J55" i="70" l="1"/>
  <c r="J175" i="70"/>
  <c r="F178" i="70" l="1"/>
  <c r="J178" i="70" s="1"/>
  <c r="F179" i="70"/>
  <c r="J179" i="70" s="1"/>
  <c r="F180" i="70"/>
  <c r="F181" i="70"/>
  <c r="F288" i="70"/>
  <c r="J288" i="70" s="1"/>
  <c r="F247" i="70"/>
  <c r="F242" i="70"/>
  <c r="F283" i="70"/>
  <c r="J283" i="70" s="1"/>
  <c r="F282" i="70"/>
  <c r="J282" i="70" s="1"/>
  <c r="F279" i="70"/>
  <c r="F276" i="70"/>
  <c r="J276" i="70" s="1"/>
  <c r="F273" i="70"/>
  <c r="J273" i="70" s="1"/>
  <c r="F272" i="70"/>
  <c r="J272" i="70" s="1"/>
  <c r="I7" i="70"/>
  <c r="I10" i="70"/>
  <c r="I13" i="70"/>
  <c r="I16" i="70"/>
  <c r="I19" i="70"/>
  <c r="I23" i="70"/>
  <c r="I34" i="70"/>
  <c r="I37" i="70"/>
  <c r="I50" i="70"/>
  <c r="I67" i="70"/>
  <c r="I95" i="70"/>
  <c r="I102" i="70"/>
  <c r="I105" i="70"/>
  <c r="I109" i="70"/>
  <c r="I114" i="70"/>
  <c r="I118" i="70"/>
  <c r="I124" i="70"/>
  <c r="I126" i="70"/>
  <c r="I132" i="70"/>
  <c r="J132" i="70"/>
  <c r="I133" i="70"/>
  <c r="I145" i="70"/>
  <c r="I149" i="70"/>
  <c r="I156" i="70"/>
  <c r="I182" i="70"/>
  <c r="I198" i="70"/>
  <c r="I207" i="70"/>
  <c r="I219" i="70"/>
  <c r="I222" i="70"/>
  <c r="I234" i="70"/>
  <c r="I239" i="70"/>
  <c r="I244" i="70"/>
  <c r="I249" i="70"/>
  <c r="I254" i="70"/>
  <c r="I285" i="70"/>
  <c r="I290" i="70"/>
  <c r="I293" i="70"/>
  <c r="I303" i="70"/>
  <c r="I304" i="70"/>
  <c r="I307" i="70"/>
  <c r="I315" i="70"/>
  <c r="F260" i="70"/>
  <c r="J260" i="70" s="1"/>
  <c r="F267" i="70"/>
  <c r="F265" i="70"/>
  <c r="J265" i="70" s="1"/>
  <c r="F264" i="70"/>
  <c r="J264" i="70" s="1"/>
  <c r="F261" i="70"/>
  <c r="J261" i="70" s="1"/>
  <c r="F255" i="70"/>
  <c r="J255" i="70" s="1"/>
  <c r="F252" i="70"/>
  <c r="F238" i="70"/>
  <c r="J238" i="70" s="1"/>
  <c r="F237" i="70"/>
  <c r="F214" i="70"/>
  <c r="J214" i="70" s="1"/>
  <c r="F209" i="70"/>
  <c r="J209" i="70" s="1"/>
  <c r="F189" i="70"/>
  <c r="J189" i="70" s="1"/>
  <c r="F188" i="70"/>
  <c r="J188" i="70" s="1"/>
  <c r="F187" i="70"/>
  <c r="J187" i="70" s="1"/>
  <c r="F159" i="70"/>
  <c r="J159" i="70" s="1"/>
  <c r="F116" i="70"/>
  <c r="J116" i="70" s="1"/>
  <c r="F103" i="70"/>
  <c r="J103" i="70" s="1"/>
  <c r="F87" i="70"/>
  <c r="F88" i="70"/>
  <c r="F89" i="70"/>
  <c r="J89" i="70" s="1"/>
  <c r="F90" i="70"/>
  <c r="F91" i="70"/>
  <c r="F92" i="70"/>
  <c r="F93" i="70"/>
  <c r="F83" i="70"/>
  <c r="J83" i="70" s="1"/>
  <c r="F82" i="70"/>
  <c r="J82" i="70" s="1"/>
  <c r="F66" i="70"/>
  <c r="J66" i="70" s="1"/>
  <c r="F53" i="70"/>
  <c r="G53" i="70" s="1"/>
  <c r="G288" i="70" l="1"/>
  <c r="G178" i="70"/>
  <c r="G267" i="70"/>
  <c r="J267" i="70"/>
  <c r="G90" i="70"/>
  <c r="J90" i="70"/>
  <c r="G91" i="70"/>
  <c r="J91" i="70"/>
  <c r="G89" i="70"/>
  <c r="G237" i="70"/>
  <c r="J237" i="70"/>
  <c r="G181" i="70"/>
  <c r="J181" i="70"/>
  <c r="G180" i="70"/>
  <c r="J180" i="70"/>
  <c r="G93" i="70"/>
  <c r="J93" i="70"/>
  <c r="G247" i="70"/>
  <c r="J247" i="70"/>
  <c r="G252" i="70"/>
  <c r="J252" i="70"/>
  <c r="G179" i="70"/>
  <c r="G92" i="70"/>
  <c r="J92" i="70"/>
  <c r="G88" i="70"/>
  <c r="J88" i="70"/>
  <c r="G242" i="70"/>
  <c r="J242" i="70"/>
  <c r="G87" i="70"/>
  <c r="J87" i="70"/>
  <c r="G279" i="70"/>
  <c r="J279" i="70"/>
  <c r="I6" i="70"/>
  <c r="I197" i="70"/>
  <c r="I174" i="70"/>
  <c r="I144" i="70"/>
  <c r="I43" i="70"/>
  <c r="I9" i="70"/>
  <c r="I98" i="70"/>
  <c r="I213" i="70"/>
  <c r="I271" i="70"/>
  <c r="I117" i="70"/>
  <c r="I27" i="70"/>
  <c r="I259" i="70"/>
  <c r="I151" i="70" l="1"/>
  <c r="I42" i="70"/>
  <c r="I258" i="70"/>
  <c r="I270" i="70"/>
  <c r="I212" i="70"/>
  <c r="I22" i="70"/>
  <c r="I113" i="70" l="1"/>
  <c r="I232" i="70"/>
  <c r="I310" i="70" l="1"/>
  <c r="K4" i="70"/>
  <c r="I127" i="70"/>
  <c r="I312" i="70" l="1"/>
  <c r="I313" i="70" l="1"/>
  <c r="I317" i="70" s="1"/>
  <c r="I104" i="143" l="1"/>
  <c r="I95" i="143"/>
  <c r="L387" i="143"/>
  <c r="L386" i="143"/>
  <c r="K64" i="143" l="1"/>
  <c r="K41" i="143" l="1"/>
  <c r="K281" i="143"/>
  <c r="K253" i="143" l="1"/>
  <c r="I219" i="143"/>
  <c r="I218" i="143"/>
  <c r="I217" i="143"/>
  <c r="K216" i="143"/>
  <c r="L10" i="143" l="1"/>
  <c r="I420" i="143"/>
  <c r="L420" i="143" s="1"/>
  <c r="I317" i="143" l="1"/>
  <c r="K227" i="143"/>
  <c r="I228" i="143"/>
  <c r="K146" i="143"/>
  <c r="K172" i="143"/>
  <c r="L7" i="143" l="1"/>
  <c r="L114" i="143" l="1"/>
  <c r="Q114" i="143"/>
  <c r="R115" i="143" s="1"/>
  <c r="K336" i="143" l="1"/>
  <c r="K251" i="143"/>
  <c r="K215" i="143"/>
  <c r="K354" i="143" l="1"/>
  <c r="M92" i="143"/>
  <c r="O131" i="143" l="1"/>
  <c r="O132" i="143"/>
  <c r="O130" i="143"/>
  <c r="I378" i="143" l="1"/>
  <c r="K337" i="143"/>
  <c r="I337" i="143" s="1"/>
  <c r="I429" i="143"/>
  <c r="L429" i="143" s="1"/>
  <c r="K133" i="143"/>
  <c r="O133" i="143" s="1"/>
  <c r="K356" i="143"/>
  <c r="I356" i="143" s="1"/>
  <c r="K379" i="143"/>
  <c r="I379" i="143" s="1"/>
  <c r="I354" i="143"/>
  <c r="I353" i="143"/>
  <c r="I227" i="143"/>
  <c r="I425" i="143"/>
  <c r="L425" i="143" s="1"/>
  <c r="I418" i="143"/>
  <c r="L418" i="143" s="1"/>
  <c r="I417" i="143"/>
  <c r="L417" i="143" s="1"/>
  <c r="L419" i="143"/>
  <c r="L421" i="143"/>
  <c r="L422" i="143"/>
  <c r="L423" i="143"/>
  <c r="L424" i="143"/>
  <c r="L426" i="143"/>
  <c r="L427" i="143"/>
  <c r="L428" i="143"/>
  <c r="L409" i="143"/>
  <c r="L410" i="143"/>
  <c r="L411" i="143"/>
  <c r="L412" i="143"/>
  <c r="L413" i="143"/>
  <c r="L414" i="143"/>
  <c r="L415" i="143"/>
  <c r="L416" i="143"/>
  <c r="L408" i="143"/>
  <c r="L406" i="143"/>
  <c r="L407" i="143"/>
  <c r="L405" i="143"/>
  <c r="K73" i="143"/>
  <c r="L404" i="143"/>
  <c r="I102" i="143"/>
  <c r="K101" i="143"/>
  <c r="I210" i="143"/>
  <c r="I335" i="143"/>
  <c r="I358" i="143"/>
  <c r="I377" i="143"/>
  <c r="I357" i="143"/>
  <c r="I355" i="143"/>
  <c r="I229" i="143"/>
  <c r="K240" i="143"/>
  <c r="I220" i="143"/>
  <c r="K144" i="143"/>
  <c r="I144" i="143" s="1"/>
  <c r="K370" i="143"/>
  <c r="L430" i="143" l="1"/>
  <c r="I216" i="143"/>
  <c r="I262" i="143" l="1"/>
  <c r="F132" i="70" l="1"/>
  <c r="G132" i="70"/>
  <c r="L113" i="143" l="1"/>
  <c r="K112" i="143" l="1"/>
  <c r="I112" i="143" s="1"/>
  <c r="L116" i="143" l="1"/>
  <c r="L118" i="143"/>
  <c r="I103" i="143" l="1"/>
  <c r="I101" i="143"/>
  <c r="I297" i="143"/>
  <c r="I290" i="143"/>
  <c r="L97" i="143" l="1"/>
  <c r="G188" i="70" l="1"/>
  <c r="K54" i="143" l="1"/>
  <c r="F172" i="70" l="1"/>
  <c r="F170" i="70"/>
  <c r="F171" i="70"/>
  <c r="F173" i="70"/>
  <c r="G173" i="70" s="1"/>
  <c r="F169" i="70"/>
  <c r="J169" i="70" s="1"/>
  <c r="G171" i="70" l="1"/>
  <c r="J171" i="70"/>
  <c r="G170" i="70"/>
  <c r="J170" i="70"/>
  <c r="G172" i="70"/>
  <c r="J172" i="70"/>
  <c r="G82" i="70"/>
  <c r="L58" i="143" l="1"/>
  <c r="K58" i="143" s="1"/>
  <c r="K384" i="143" l="1"/>
  <c r="K49" i="143"/>
  <c r="I98" i="143" l="1"/>
  <c r="I264" i="143" l="1"/>
  <c r="K324" i="143" l="1"/>
  <c r="K66" i="143"/>
  <c r="K371" i="143" l="1"/>
  <c r="L99" i="143"/>
  <c r="M100" i="143" l="1"/>
  <c r="K100" i="143" s="1"/>
  <c r="K92" i="143"/>
  <c r="I360" i="143"/>
  <c r="I343" i="143"/>
  <c r="I342" i="143"/>
  <c r="I332" i="143"/>
  <c r="I333" i="143"/>
  <c r="L61" i="143"/>
  <c r="I251" i="143" l="1"/>
  <c r="I91" i="143"/>
  <c r="I88" i="143" l="1"/>
  <c r="K235" i="143"/>
  <c r="I73" i="143" l="1"/>
  <c r="O96" i="143" l="1"/>
  <c r="K99" i="143" l="1"/>
  <c r="I132" i="143" l="1"/>
  <c r="L120" i="143"/>
  <c r="L119" i="143" l="1"/>
  <c r="I75" i="143" l="1"/>
  <c r="I270" i="143" l="1"/>
  <c r="I271" i="143"/>
  <c r="I272" i="143"/>
  <c r="I273" i="143"/>
  <c r="I274" i="143"/>
  <c r="I275" i="143"/>
  <c r="I276" i="143"/>
  <c r="K300" i="143" l="1"/>
  <c r="I302" i="143" l="1"/>
  <c r="I301" i="143"/>
  <c r="K280" i="143"/>
  <c r="I278" i="143"/>
  <c r="I277" i="143"/>
  <c r="I100" i="143" l="1"/>
  <c r="I156" i="143" l="1"/>
  <c r="I155" i="143"/>
  <c r="I166" i="143"/>
  <c r="I339" i="143"/>
  <c r="I334" i="143"/>
  <c r="K268" i="143"/>
  <c r="I236" i="143" l="1"/>
  <c r="K214" i="143"/>
  <c r="I211" i="143"/>
  <c r="I239" i="143" l="1"/>
  <c r="I72" i="143" l="1"/>
  <c r="I43" i="143"/>
  <c r="I71" i="143"/>
  <c r="I70" i="143"/>
  <c r="I69" i="143"/>
  <c r="I68" i="143"/>
  <c r="I67" i="143"/>
  <c r="I66" i="143"/>
  <c r="I65" i="143"/>
  <c r="I79" i="143"/>
  <c r="I59" i="143"/>
  <c r="I50" i="143"/>
  <c r="I49" i="143"/>
  <c r="I48" i="143"/>
  <c r="I53" i="143"/>
  <c r="I52" i="143"/>
  <c r="I76" i="143"/>
  <c r="I238" i="143"/>
  <c r="K140" i="143"/>
  <c r="I74" i="143" l="1"/>
  <c r="I223" i="143" l="1"/>
  <c r="I87" i="143" l="1"/>
  <c r="I289" i="143" l="1"/>
  <c r="I85" i="143"/>
  <c r="I63" i="143"/>
  <c r="I242" i="143" l="1"/>
  <c r="I266" i="143" l="1"/>
  <c r="I267" i="143" l="1"/>
  <c r="I268" i="143"/>
  <c r="I159" i="143" l="1"/>
  <c r="I255" i="143" l="1"/>
  <c r="I256" i="143"/>
  <c r="K114" i="143" l="1"/>
  <c r="I114" i="143" l="1"/>
  <c r="I263" i="143"/>
  <c r="I41" i="143" l="1"/>
  <c r="I96" i="143"/>
  <c r="I86" i="143"/>
  <c r="I84" i="143"/>
  <c r="I83" i="143"/>
  <c r="I82" i="143"/>
  <c r="I81" i="143"/>
  <c r="I113" i="143" l="1"/>
  <c r="I94" i="143" l="1"/>
  <c r="I93" i="143"/>
  <c r="I92" i="143"/>
  <c r="I387" i="143" l="1"/>
  <c r="I386" i="143"/>
  <c r="I385" i="143"/>
  <c r="I384" i="143"/>
  <c r="I383" i="143"/>
  <c r="I382" i="143"/>
  <c r="I381" i="143"/>
  <c r="I380" i="143"/>
  <c r="I376" i="143"/>
  <c r="I375" i="143"/>
  <c r="I374" i="143"/>
  <c r="I373" i="143"/>
  <c r="I372" i="143"/>
  <c r="I371" i="143"/>
  <c r="I370" i="143"/>
  <c r="I369" i="143"/>
  <c r="I368" i="143"/>
  <c r="I367" i="143"/>
  <c r="I366" i="143"/>
  <c r="I365" i="143"/>
  <c r="I364" i="143"/>
  <c r="I362" i="143"/>
  <c r="I361" i="143"/>
  <c r="I467" i="143"/>
  <c r="I359" i="143"/>
  <c r="I352" i="143"/>
  <c r="I351" i="143"/>
  <c r="I350" i="143"/>
  <c r="I349" i="143"/>
  <c r="I348" i="143"/>
  <c r="I347" i="143"/>
  <c r="I346" i="143"/>
  <c r="I345" i="143"/>
  <c r="I344" i="143"/>
  <c r="I341" i="143"/>
  <c r="I340" i="143"/>
  <c r="I336" i="143"/>
  <c r="I338" i="143"/>
  <c r="I331" i="143"/>
  <c r="I330" i="143"/>
  <c r="I329" i="143"/>
  <c r="I328" i="143"/>
  <c r="I327" i="143"/>
  <c r="I326" i="143"/>
  <c r="I325" i="143"/>
  <c r="I324" i="143"/>
  <c r="I323" i="143"/>
  <c r="I322" i="143"/>
  <c r="I321" i="143"/>
  <c r="I320" i="143"/>
  <c r="I318" i="143"/>
  <c r="I316" i="143"/>
  <c r="I315" i="143"/>
  <c r="I314" i="143"/>
  <c r="I313" i="143"/>
  <c r="I312" i="143"/>
  <c r="I311" i="143"/>
  <c r="I310" i="143"/>
  <c r="I309" i="143"/>
  <c r="I308" i="143"/>
  <c r="I307" i="143"/>
  <c r="I306" i="143"/>
  <c r="I305" i="143"/>
  <c r="I304" i="143"/>
  <c r="I303" i="143"/>
  <c r="I300" i="143"/>
  <c r="I299" i="143"/>
  <c r="I298" i="143"/>
  <c r="I296" i="143"/>
  <c r="I295" i="143"/>
  <c r="I294" i="143"/>
  <c r="I293" i="143"/>
  <c r="I292" i="143"/>
  <c r="I291" i="143"/>
  <c r="I288" i="143"/>
  <c r="I287" i="143"/>
  <c r="I286" i="143"/>
  <c r="I285" i="143"/>
  <c r="I284" i="143"/>
  <c r="I283" i="143"/>
  <c r="I282" i="143"/>
  <c r="I281" i="143"/>
  <c r="I280" i="143"/>
  <c r="I279" i="143"/>
  <c r="I269" i="143"/>
  <c r="I265" i="143"/>
  <c r="I261" i="143"/>
  <c r="I260" i="143"/>
  <c r="I259" i="143"/>
  <c r="I258" i="143"/>
  <c r="I257" i="143"/>
  <c r="I254" i="143"/>
  <c r="I253" i="143"/>
  <c r="I252" i="143"/>
  <c r="I250" i="143"/>
  <c r="I249" i="143"/>
  <c r="I248" i="143"/>
  <c r="I247" i="143"/>
  <c r="I246" i="143"/>
  <c r="I245" i="143"/>
  <c r="I244" i="143"/>
  <c r="I243" i="143"/>
  <c r="I241" i="143"/>
  <c r="I240" i="143"/>
  <c r="I237" i="143"/>
  <c r="I235" i="143"/>
  <c r="I234" i="143"/>
  <c r="I233" i="143"/>
  <c r="I232" i="143"/>
  <c r="I231" i="143"/>
  <c r="I230" i="143"/>
  <c r="I226" i="143"/>
  <c r="I225" i="143"/>
  <c r="I224" i="143"/>
  <c r="I222" i="143"/>
  <c r="I221" i="143"/>
  <c r="I215" i="143"/>
  <c r="I214" i="143"/>
  <c r="I213" i="143"/>
  <c r="I212" i="143"/>
  <c r="I209" i="143"/>
  <c r="L121" i="143"/>
  <c r="I199" i="143"/>
  <c r="I198" i="143"/>
  <c r="I197" i="143"/>
  <c r="I196" i="143"/>
  <c r="I195" i="143"/>
  <c r="I194" i="143"/>
  <c r="I193" i="143"/>
  <c r="I192" i="143"/>
  <c r="I191" i="143"/>
  <c r="I190" i="143"/>
  <c r="I189" i="143"/>
  <c r="I188" i="143"/>
  <c r="I187" i="143"/>
  <c r="I186" i="143"/>
  <c r="I185" i="143"/>
  <c r="I184" i="143"/>
  <c r="I183" i="143"/>
  <c r="I182" i="143"/>
  <c r="I181" i="143"/>
  <c r="I180" i="143"/>
  <c r="I179" i="143"/>
  <c r="I178" i="143"/>
  <c r="I177" i="143"/>
  <c r="I176" i="143"/>
  <c r="I175" i="143"/>
  <c r="I173" i="143"/>
  <c r="I172" i="143"/>
  <c r="I171" i="143"/>
  <c r="I170" i="143"/>
  <c r="K169" i="143"/>
  <c r="I169" i="143" s="1"/>
  <c r="I168" i="143"/>
  <c r="I167" i="143"/>
  <c r="I165" i="143"/>
  <c r="I164" i="143"/>
  <c r="I163" i="143"/>
  <c r="I162" i="143"/>
  <c r="I161" i="143"/>
  <c r="I160" i="143"/>
  <c r="I158" i="143"/>
  <c r="I157" i="143"/>
  <c r="I154" i="143"/>
  <c r="I153" i="143"/>
  <c r="I152" i="143"/>
  <c r="I151" i="143"/>
  <c r="I150" i="143"/>
  <c r="I149" i="143"/>
  <c r="I148" i="143"/>
  <c r="I146" i="143"/>
  <c r="I145" i="143"/>
  <c r="I143" i="143"/>
  <c r="I142" i="143"/>
  <c r="I141" i="143"/>
  <c r="I140" i="143"/>
  <c r="I139" i="143"/>
  <c r="I138" i="143"/>
  <c r="I137" i="143"/>
  <c r="K136" i="143"/>
  <c r="I136" i="143" s="1"/>
  <c r="I135" i="143"/>
  <c r="I134" i="143"/>
  <c r="I133" i="143"/>
  <c r="I131" i="143"/>
  <c r="I130" i="143"/>
  <c r="I120" i="143"/>
  <c r="I119" i="143"/>
  <c r="I118" i="143"/>
  <c r="I117" i="143"/>
  <c r="I116" i="143"/>
  <c r="I115" i="143"/>
  <c r="I111" i="143"/>
  <c r="I110" i="143"/>
  <c r="I109" i="143"/>
  <c r="I108" i="143"/>
  <c r="I107" i="143"/>
  <c r="I106" i="143"/>
  <c r="I105" i="143"/>
  <c r="I99" i="143"/>
  <c r="I97" i="143"/>
  <c r="I90" i="143"/>
  <c r="I89" i="143"/>
  <c r="I80" i="143"/>
  <c r="I78" i="143"/>
  <c r="I77" i="143"/>
  <c r="I64" i="143"/>
  <c r="I62" i="143"/>
  <c r="I61" i="143"/>
  <c r="I57" i="143"/>
  <c r="I56" i="143"/>
  <c r="I55" i="143"/>
  <c r="I54" i="143"/>
  <c r="I51" i="143"/>
  <c r="I47" i="143"/>
  <c r="K46" i="143"/>
  <c r="I46" i="143" s="1"/>
  <c r="K45" i="143"/>
  <c r="I45" i="143" s="1"/>
  <c r="I44" i="143"/>
  <c r="I60" i="143"/>
  <c r="I42" i="143"/>
  <c r="I40" i="143"/>
  <c r="O105" i="143" l="1"/>
  <c r="I200" i="143"/>
  <c r="M121" i="143"/>
  <c r="H239" i="70" l="1"/>
  <c r="H244" i="70"/>
  <c r="H285" i="70"/>
  <c r="N158" i="70" l="1"/>
  <c r="C18" i="128" l="1"/>
  <c r="L43" i="70" l="1"/>
  <c r="F104" i="70" l="1"/>
  <c r="J104" i="70" s="1"/>
  <c r="C67" i="128"/>
  <c r="G104" i="70" l="1"/>
  <c r="C65" i="128" l="1"/>
  <c r="C84" i="128" l="1"/>
  <c r="C82" i="128"/>
  <c r="C72" i="128"/>
  <c r="C66" i="128"/>
  <c r="C62" i="128"/>
  <c r="C60" i="128"/>
  <c r="C59" i="128"/>
  <c r="C58" i="128"/>
  <c r="C57" i="128"/>
  <c r="D54" i="128"/>
  <c r="C54" i="128"/>
  <c r="B54" i="128"/>
  <c r="C14" i="128"/>
  <c r="D5" i="128"/>
  <c r="C5" i="128"/>
  <c r="F311" i="70"/>
  <c r="G309" i="70"/>
  <c r="G308" i="70"/>
  <c r="F307" i="70"/>
  <c r="J307" i="70" s="1"/>
  <c r="J306" i="70"/>
  <c r="J305" i="70"/>
  <c r="F303" i="70"/>
  <c r="J303" i="70" s="1"/>
  <c r="F302" i="70"/>
  <c r="J302" i="70" s="1"/>
  <c r="F301" i="70"/>
  <c r="F300" i="70"/>
  <c r="J300" i="70" s="1"/>
  <c r="F299" i="70"/>
  <c r="J299" i="70" s="1"/>
  <c r="F298" i="70"/>
  <c r="J298" i="70" s="1"/>
  <c r="F297" i="70"/>
  <c r="J297" i="70" s="1"/>
  <c r="F295" i="70"/>
  <c r="J295" i="70" s="1"/>
  <c r="F294" i="70"/>
  <c r="J294" i="70" s="1"/>
  <c r="F292" i="70"/>
  <c r="J292" i="70" s="1"/>
  <c r="F291" i="70"/>
  <c r="J291" i="70" s="1"/>
  <c r="F289" i="70"/>
  <c r="J289" i="70" s="1"/>
  <c r="F287" i="70"/>
  <c r="J287" i="70" s="1"/>
  <c r="F286" i="70"/>
  <c r="J286" i="70" s="1"/>
  <c r="F284" i="70"/>
  <c r="J284" i="70" s="1"/>
  <c r="F281" i="70"/>
  <c r="J281" i="70" s="1"/>
  <c r="F280" i="70"/>
  <c r="J280" i="70" s="1"/>
  <c r="F277" i="70"/>
  <c r="J277" i="70" s="1"/>
  <c r="F274" i="70"/>
  <c r="J274" i="70" s="1"/>
  <c r="F269" i="70"/>
  <c r="J269" i="70" s="1"/>
  <c r="F268" i="70"/>
  <c r="J268" i="70" s="1"/>
  <c r="F263" i="70"/>
  <c r="J263" i="70" s="1"/>
  <c r="F262" i="70"/>
  <c r="J262" i="70" s="1"/>
  <c r="F257" i="70"/>
  <c r="J257" i="70" s="1"/>
  <c r="F256" i="70"/>
  <c r="J256" i="70" s="1"/>
  <c r="F253" i="70"/>
  <c r="J253" i="70" s="1"/>
  <c r="F251" i="70"/>
  <c r="J251" i="70" s="1"/>
  <c r="F250" i="70"/>
  <c r="J250" i="70" s="1"/>
  <c r="F248" i="70"/>
  <c r="J248" i="70" s="1"/>
  <c r="F246" i="70"/>
  <c r="J246" i="70" s="1"/>
  <c r="F245" i="70"/>
  <c r="J245" i="70" s="1"/>
  <c r="F243" i="70"/>
  <c r="J243" i="70" s="1"/>
  <c r="F241" i="70"/>
  <c r="J241" i="70" s="1"/>
  <c r="F240" i="70"/>
  <c r="J240" i="70" s="1"/>
  <c r="F235" i="70"/>
  <c r="J235" i="70" s="1"/>
  <c r="F233" i="70"/>
  <c r="F231" i="70"/>
  <c r="J231" i="70" s="1"/>
  <c r="F230" i="70"/>
  <c r="J230" i="70" s="1"/>
  <c r="F229" i="70"/>
  <c r="J229" i="70" s="1"/>
  <c r="F228" i="70"/>
  <c r="J228" i="70" s="1"/>
  <c r="F227" i="70"/>
  <c r="J227" i="70" s="1"/>
  <c r="F226" i="70"/>
  <c r="J226" i="70" s="1"/>
  <c r="F225" i="70"/>
  <c r="J225" i="70" s="1"/>
  <c r="F224" i="70"/>
  <c r="J224" i="70" s="1"/>
  <c r="F223" i="70"/>
  <c r="J223" i="70" s="1"/>
  <c r="F221" i="70"/>
  <c r="J221" i="70" s="1"/>
  <c r="F220" i="70"/>
  <c r="J220" i="70" s="1"/>
  <c r="F218" i="70"/>
  <c r="J218" i="70" s="1"/>
  <c r="F217" i="70"/>
  <c r="J217" i="70" s="1"/>
  <c r="F216" i="70"/>
  <c r="J216" i="70" s="1"/>
  <c r="F215" i="70"/>
  <c r="J215" i="70" s="1"/>
  <c r="F211" i="70"/>
  <c r="J211" i="70" s="1"/>
  <c r="F210" i="70"/>
  <c r="J210" i="70" s="1"/>
  <c r="F206" i="70"/>
  <c r="J206" i="70" s="1"/>
  <c r="F205" i="70"/>
  <c r="J205" i="70" s="1"/>
  <c r="F204" i="70"/>
  <c r="J204" i="70" s="1"/>
  <c r="F203" i="70"/>
  <c r="J203" i="70" s="1"/>
  <c r="F202" i="70"/>
  <c r="J202" i="70" s="1"/>
  <c r="F201" i="70"/>
  <c r="J201" i="70" s="1"/>
  <c r="F200" i="70"/>
  <c r="J200" i="70" s="1"/>
  <c r="F199" i="70"/>
  <c r="J199" i="70" s="1"/>
  <c r="H198" i="70"/>
  <c r="J196" i="70"/>
  <c r="J195" i="70"/>
  <c r="J194" i="70"/>
  <c r="J193" i="70"/>
  <c r="J192" i="70"/>
  <c r="J191" i="70"/>
  <c r="J190" i="70"/>
  <c r="F186" i="70"/>
  <c r="J186" i="70" s="1"/>
  <c r="F184" i="70"/>
  <c r="J184" i="70" s="1"/>
  <c r="F177" i="70"/>
  <c r="J177" i="70" s="1"/>
  <c r="F176" i="70"/>
  <c r="J176" i="70" s="1"/>
  <c r="F168" i="70"/>
  <c r="J168" i="70" s="1"/>
  <c r="F166" i="70"/>
  <c r="J166" i="70" s="1"/>
  <c r="F165" i="70"/>
  <c r="J165" i="70" s="1"/>
  <c r="F164" i="70"/>
  <c r="J164" i="70" s="1"/>
  <c r="F163" i="70"/>
  <c r="J163" i="70" s="1"/>
  <c r="F162" i="70"/>
  <c r="J162" i="70" s="1"/>
  <c r="F161" i="70"/>
  <c r="J161" i="70" s="1"/>
  <c r="F160" i="70"/>
  <c r="F158" i="70"/>
  <c r="J158" i="70" s="1"/>
  <c r="F155" i="70"/>
  <c r="F154" i="70"/>
  <c r="J154" i="70" s="1"/>
  <c r="F153" i="70"/>
  <c r="J153" i="70" s="1"/>
  <c r="F152" i="70"/>
  <c r="F150" i="70"/>
  <c r="J150" i="70" s="1"/>
  <c r="F148" i="70"/>
  <c r="F147" i="70"/>
  <c r="J147" i="70" s="1"/>
  <c r="F146" i="70"/>
  <c r="J146" i="70" s="1"/>
  <c r="F143" i="70"/>
  <c r="F142" i="70"/>
  <c r="J142" i="70" s="1"/>
  <c r="F141" i="70"/>
  <c r="F140" i="70"/>
  <c r="F139" i="70"/>
  <c r="J139" i="70" s="1"/>
  <c r="F138" i="70"/>
  <c r="J138" i="70" s="1"/>
  <c r="F137" i="70"/>
  <c r="J137" i="70" s="1"/>
  <c r="F136" i="70"/>
  <c r="J136" i="70" s="1"/>
  <c r="F135" i="70"/>
  <c r="F126" i="70"/>
  <c r="J126" i="70" s="1"/>
  <c r="F125" i="70"/>
  <c r="J125" i="70" s="1"/>
  <c r="F124" i="70"/>
  <c r="J124" i="70" s="1"/>
  <c r="F123" i="70"/>
  <c r="J123" i="70" s="1"/>
  <c r="F122" i="70"/>
  <c r="J122" i="70" s="1"/>
  <c r="F121" i="70"/>
  <c r="F120" i="70"/>
  <c r="J120" i="70" s="1"/>
  <c r="F119" i="70"/>
  <c r="J119" i="70" s="1"/>
  <c r="F118" i="70"/>
  <c r="F115" i="70"/>
  <c r="J115" i="70" s="1"/>
  <c r="F111" i="70"/>
  <c r="J111" i="70" s="1"/>
  <c r="F110" i="70"/>
  <c r="J110" i="70" s="1"/>
  <c r="F108" i="70"/>
  <c r="J108" i="70" s="1"/>
  <c r="F107" i="70"/>
  <c r="J107" i="70" s="1"/>
  <c r="F106" i="70"/>
  <c r="J106" i="70" s="1"/>
  <c r="F101" i="70"/>
  <c r="J101" i="70" s="1"/>
  <c r="F100" i="70"/>
  <c r="J100" i="70" s="1"/>
  <c r="F97" i="70"/>
  <c r="J97" i="70" s="1"/>
  <c r="F96" i="70"/>
  <c r="J96" i="70" s="1"/>
  <c r="F86" i="70"/>
  <c r="J86" i="70" s="1"/>
  <c r="F85" i="70"/>
  <c r="J85" i="70" s="1"/>
  <c r="F84" i="70"/>
  <c r="J84" i="70" s="1"/>
  <c r="F81" i="70"/>
  <c r="J81" i="70" s="1"/>
  <c r="F80" i="70"/>
  <c r="J80" i="70" s="1"/>
  <c r="F79" i="70"/>
  <c r="J79" i="70" s="1"/>
  <c r="F78" i="70"/>
  <c r="J78" i="70" s="1"/>
  <c r="F77" i="70"/>
  <c r="J77" i="70" s="1"/>
  <c r="F75" i="70"/>
  <c r="J75" i="70" s="1"/>
  <c r="F74" i="70"/>
  <c r="J74" i="70" s="1"/>
  <c r="F73" i="70"/>
  <c r="J73" i="70" s="1"/>
  <c r="F72" i="70"/>
  <c r="J72" i="70" s="1"/>
  <c r="F71" i="70"/>
  <c r="J71" i="70" s="1"/>
  <c r="F70" i="70"/>
  <c r="J70" i="70" s="1"/>
  <c r="F69" i="70"/>
  <c r="J69" i="70" s="1"/>
  <c r="F68" i="70"/>
  <c r="J68" i="70" s="1"/>
  <c r="F64" i="70"/>
  <c r="J64" i="70" s="1"/>
  <c r="F63" i="70"/>
  <c r="J63" i="70" s="1"/>
  <c r="F62" i="70"/>
  <c r="J62" i="70" s="1"/>
  <c r="F61" i="70"/>
  <c r="F60" i="70"/>
  <c r="J60" i="70" s="1"/>
  <c r="F59" i="70"/>
  <c r="F58" i="70"/>
  <c r="F57" i="70"/>
  <c r="J57" i="70" s="1"/>
  <c r="F54" i="70"/>
  <c r="J54" i="70" s="1"/>
  <c r="F52" i="70"/>
  <c r="J52" i="70" s="1"/>
  <c r="F51" i="70"/>
  <c r="J51" i="70" s="1"/>
  <c r="F49" i="70"/>
  <c r="F48" i="70"/>
  <c r="F46" i="70"/>
  <c r="J46" i="70" s="1"/>
  <c r="F45" i="70"/>
  <c r="J45" i="70" s="1"/>
  <c r="F44" i="70"/>
  <c r="J44" i="70" s="1"/>
  <c r="F40" i="70"/>
  <c r="J40" i="70" s="1"/>
  <c r="F39" i="70"/>
  <c r="F38" i="70"/>
  <c r="J38" i="70" s="1"/>
  <c r="F36" i="70"/>
  <c r="J36" i="70" s="1"/>
  <c r="F35" i="70"/>
  <c r="J35" i="70" s="1"/>
  <c r="F33" i="70"/>
  <c r="J33" i="70" s="1"/>
  <c r="F32" i="70"/>
  <c r="J32" i="70" s="1"/>
  <c r="F31" i="70"/>
  <c r="J31" i="70" s="1"/>
  <c r="F30" i="70"/>
  <c r="J30" i="70" s="1"/>
  <c r="F29" i="70"/>
  <c r="J29" i="70" s="1"/>
  <c r="F28" i="70"/>
  <c r="J28" i="70" s="1"/>
  <c r="F26" i="70"/>
  <c r="J26" i="70" s="1"/>
  <c r="F25" i="70"/>
  <c r="J25" i="70" s="1"/>
  <c r="F24" i="70"/>
  <c r="J24" i="70" s="1"/>
  <c r="F21" i="70"/>
  <c r="J21" i="70" s="1"/>
  <c r="F20" i="70"/>
  <c r="J20" i="70" s="1"/>
  <c r="F18" i="70"/>
  <c r="J18" i="70" s="1"/>
  <c r="F17" i="70"/>
  <c r="J17" i="70" s="1"/>
  <c r="F15" i="70"/>
  <c r="J15" i="70" s="1"/>
  <c r="F14" i="70"/>
  <c r="J14" i="70" s="1"/>
  <c r="F12" i="70"/>
  <c r="J12" i="70" s="1"/>
  <c r="F11" i="70"/>
  <c r="J11" i="70" s="1"/>
  <c r="F8" i="70"/>
  <c r="J8" i="70" s="1"/>
  <c r="K469" i="143"/>
  <c r="K35" i="143" s="1"/>
  <c r="I468" i="143"/>
  <c r="M397" i="143"/>
  <c r="M33" i="143" s="1"/>
  <c r="L397" i="143"/>
  <c r="L33" i="143" s="1"/>
  <c r="J393" i="143"/>
  <c r="I392" i="143"/>
  <c r="I391" i="143"/>
  <c r="I390" i="143"/>
  <c r="I389" i="143"/>
  <c r="I388" i="143"/>
  <c r="M204" i="143"/>
  <c r="L204" i="143"/>
  <c r="K204" i="143"/>
  <c r="M203" i="143"/>
  <c r="L203" i="143"/>
  <c r="M202" i="143"/>
  <c r="L202" i="143"/>
  <c r="M200" i="143"/>
  <c r="M30" i="143" s="1"/>
  <c r="L200" i="143"/>
  <c r="L30" i="143" s="1"/>
  <c r="K203" i="143"/>
  <c r="M125" i="143"/>
  <c r="L125" i="143"/>
  <c r="K125" i="143"/>
  <c r="M124" i="143"/>
  <c r="L124" i="143"/>
  <c r="K124" i="143"/>
  <c r="M123" i="143"/>
  <c r="L123" i="143"/>
  <c r="I125" i="143"/>
  <c r="I124" i="143"/>
  <c r="M35" i="143"/>
  <c r="L35" i="143"/>
  <c r="B67" i="128" l="1"/>
  <c r="J152" i="70"/>
  <c r="B58" i="128"/>
  <c r="J140" i="70"/>
  <c r="J155" i="70"/>
  <c r="B65" i="128"/>
  <c r="B59" i="128"/>
  <c r="J141" i="70"/>
  <c r="F320" i="70"/>
  <c r="J301" i="70"/>
  <c r="B62" i="128"/>
  <c r="J148" i="70"/>
  <c r="B60" i="128"/>
  <c r="J143" i="70"/>
  <c r="B72" i="128"/>
  <c r="J233" i="70"/>
  <c r="F321" i="70"/>
  <c r="G321" i="70" s="1"/>
  <c r="J160" i="70"/>
  <c r="J135" i="70"/>
  <c r="B57" i="128"/>
  <c r="B84" i="128"/>
  <c r="J311" i="70"/>
  <c r="B18" i="128"/>
  <c r="J94" i="70"/>
  <c r="F249" i="70"/>
  <c r="F67" i="70"/>
  <c r="B17" i="128" s="1"/>
  <c r="F156" i="70"/>
  <c r="J156" i="70" s="1"/>
  <c r="F244" i="70"/>
  <c r="F239" i="70"/>
  <c r="I393" i="143"/>
  <c r="K202" i="143"/>
  <c r="F285" i="70"/>
  <c r="J285" i="70" s="1"/>
  <c r="I204" i="143"/>
  <c r="C10" i="128"/>
  <c r="C17" i="128"/>
  <c r="C13" i="128"/>
  <c r="M29" i="143"/>
  <c r="K397" i="143"/>
  <c r="K33" i="143" s="1"/>
  <c r="I203" i="143"/>
  <c r="I35" i="143"/>
  <c r="I202" i="143"/>
  <c r="I469" i="143"/>
  <c r="K200" i="143"/>
  <c r="K30" i="143" s="1"/>
  <c r="I30" i="143" s="1"/>
  <c r="S2" i="143"/>
  <c r="L29" i="143"/>
  <c r="M393" i="143"/>
  <c r="M31" i="143" s="1"/>
  <c r="G46" i="70"/>
  <c r="M396" i="143"/>
  <c r="M32" i="143" s="1"/>
  <c r="G38" i="70"/>
  <c r="G63" i="70"/>
  <c r="G112" i="70"/>
  <c r="G269" i="70"/>
  <c r="G49" i="70"/>
  <c r="G58" i="70"/>
  <c r="G124" i="70"/>
  <c r="G152" i="70"/>
  <c r="G39" i="70"/>
  <c r="G148" i="70"/>
  <c r="G225" i="70"/>
  <c r="G59" i="70"/>
  <c r="G69" i="70"/>
  <c r="G134" i="70"/>
  <c r="G66" i="70"/>
  <c r="G125" i="70"/>
  <c r="G140" i="70"/>
  <c r="G226" i="70"/>
  <c r="G233" i="70"/>
  <c r="G106" i="70"/>
  <c r="G110" i="70"/>
  <c r="G121" i="70"/>
  <c r="G141" i="70"/>
  <c r="G8" i="70"/>
  <c r="G61" i="70"/>
  <c r="G126" i="70"/>
  <c r="G107" i="70"/>
  <c r="I397" i="143"/>
  <c r="I33" i="143" s="1"/>
  <c r="G94" i="70"/>
  <c r="G80" i="70"/>
  <c r="G76" i="70"/>
  <c r="G77" i="70"/>
  <c r="G72" i="70"/>
  <c r="G73" i="70"/>
  <c r="G74" i="70"/>
  <c r="G18" i="70"/>
  <c r="G286" i="70"/>
  <c r="G52" i="70"/>
  <c r="F293" i="70"/>
  <c r="G175" i="70"/>
  <c r="G186" i="70"/>
  <c r="F47" i="70"/>
  <c r="G62" i="70"/>
  <c r="G28" i="70"/>
  <c r="G60" i="70"/>
  <c r="G153" i="70"/>
  <c r="G167" i="70"/>
  <c r="F290" i="70"/>
  <c r="G96" i="70"/>
  <c r="F117" i="70"/>
  <c r="G189" i="70"/>
  <c r="G246" i="70"/>
  <c r="G217" i="70"/>
  <c r="G20" i="70"/>
  <c r="G208" i="70"/>
  <c r="G169" i="70"/>
  <c r="G284" i="70"/>
  <c r="G231" i="70"/>
  <c r="G227" i="70"/>
  <c r="G71" i="70"/>
  <c r="G21" i="70"/>
  <c r="G108" i="70"/>
  <c r="G111" i="70"/>
  <c r="G142" i="70"/>
  <c r="G215" i="70"/>
  <c r="G261" i="70"/>
  <c r="G84" i="70"/>
  <c r="G120" i="70"/>
  <c r="G251" i="70"/>
  <c r="G79" i="70"/>
  <c r="G159" i="70"/>
  <c r="G203" i="70"/>
  <c r="G275" i="70"/>
  <c r="G48" i="70"/>
  <c r="G100" i="70"/>
  <c r="F105" i="70"/>
  <c r="F207" i="70"/>
  <c r="F259" i="70"/>
  <c r="J259" i="70" s="1"/>
  <c r="G268" i="70"/>
  <c r="G280" i="70"/>
  <c r="G297" i="70"/>
  <c r="F16" i="70"/>
  <c r="G137" i="70"/>
  <c r="G200" i="70"/>
  <c r="G216" i="70"/>
  <c r="G241" i="70"/>
  <c r="G54" i="70"/>
  <c r="G85" i="70"/>
  <c r="G116" i="70"/>
  <c r="G168" i="70"/>
  <c r="G25" i="70"/>
  <c r="F27" i="70"/>
  <c r="G36" i="70"/>
  <c r="G44" i="70"/>
  <c r="G51" i="70"/>
  <c r="F149" i="70"/>
  <c r="G157" i="70"/>
  <c r="G287" i="70"/>
  <c r="G291" i="70"/>
  <c r="G294" i="70"/>
  <c r="G17" i="70"/>
  <c r="F95" i="70"/>
  <c r="G122" i="70"/>
  <c r="G201" i="70"/>
  <c r="G205" i="70"/>
  <c r="G230" i="70"/>
  <c r="G256" i="70"/>
  <c r="G11" i="70"/>
  <c r="G15" i="70"/>
  <c r="G161" i="70"/>
  <c r="G165" i="70"/>
  <c r="G264" i="70"/>
  <c r="G31" i="70"/>
  <c r="G138" i="70"/>
  <c r="G295" i="70"/>
  <c r="G83" i="70"/>
  <c r="G123" i="70"/>
  <c r="G236" i="70"/>
  <c r="G260" i="70"/>
  <c r="G277" i="70"/>
  <c r="G282" i="70"/>
  <c r="G12" i="70"/>
  <c r="G14" i="70"/>
  <c r="F19" i="70"/>
  <c r="G30" i="70"/>
  <c r="G33" i="70"/>
  <c r="G45" i="70"/>
  <c r="F50" i="70"/>
  <c r="J50" i="70" s="1"/>
  <c r="G57" i="70"/>
  <c r="G97" i="70"/>
  <c r="G101" i="70"/>
  <c r="G118" i="70"/>
  <c r="G139" i="70"/>
  <c r="G154" i="70"/>
  <c r="G162" i="70"/>
  <c r="G177" i="70"/>
  <c r="G202" i="70"/>
  <c r="G218" i="70"/>
  <c r="G221" i="70"/>
  <c r="F234" i="70"/>
  <c r="G240" i="70"/>
  <c r="G257" i="70"/>
  <c r="G266" i="70"/>
  <c r="G273" i="70"/>
  <c r="F7" i="70"/>
  <c r="C23" i="128"/>
  <c r="G302" i="70"/>
  <c r="G248" i="70"/>
  <c r="G255" i="70"/>
  <c r="G24" i="70"/>
  <c r="G55" i="70"/>
  <c r="G86" i="70"/>
  <c r="F109" i="70"/>
  <c r="G115" i="70"/>
  <c r="F133" i="70"/>
  <c r="G135" i="70"/>
  <c r="G146" i="70"/>
  <c r="G163" i="70"/>
  <c r="G187" i="70"/>
  <c r="G211" i="70"/>
  <c r="G214" i="70"/>
  <c r="G223" i="70"/>
  <c r="G262" i="70"/>
  <c r="G283" i="70"/>
  <c r="G311" i="70"/>
  <c r="C12" i="128"/>
  <c r="G228" i="70"/>
  <c r="G245" i="70"/>
  <c r="G274" i="70"/>
  <c r="G276" i="70"/>
  <c r="G278" i="70"/>
  <c r="G281" i="70"/>
  <c r="G35" i="70"/>
  <c r="G64" i="70"/>
  <c r="G78" i="70"/>
  <c r="G81" i="70"/>
  <c r="G119" i="70"/>
  <c r="G155" i="70"/>
  <c r="G185" i="70"/>
  <c r="F254" i="70"/>
  <c r="G296" i="70"/>
  <c r="G303" i="70"/>
  <c r="F10" i="70"/>
  <c r="J10" i="70" s="1"/>
  <c r="F99" i="70"/>
  <c r="J99" i="70" s="1"/>
  <c r="G166" i="70"/>
  <c r="G176" i="70"/>
  <c r="G183" i="70"/>
  <c r="G206" i="70"/>
  <c r="G209" i="70"/>
  <c r="G220" i="70"/>
  <c r="G238" i="70"/>
  <c r="G253" i="70"/>
  <c r="G265" i="70"/>
  <c r="G272" i="70"/>
  <c r="F37" i="70"/>
  <c r="C19" i="128"/>
  <c r="F13" i="70"/>
  <c r="G29" i="70"/>
  <c r="G32" i="70"/>
  <c r="G56" i="70"/>
  <c r="G75" i="70"/>
  <c r="G103" i="70"/>
  <c r="G136" i="70"/>
  <c r="F145" i="70"/>
  <c r="G147" i="70"/>
  <c r="G160" i="70"/>
  <c r="G164" i="70"/>
  <c r="G199" i="70"/>
  <c r="G204" i="70"/>
  <c r="F222" i="70"/>
  <c r="G224" i="70"/>
  <c r="G235" i="70"/>
  <c r="G250" i="70"/>
  <c r="G263" i="70"/>
  <c r="G301" i="70"/>
  <c r="F23" i="70"/>
  <c r="J23" i="70" s="1"/>
  <c r="G143" i="70"/>
  <c r="G150" i="70"/>
  <c r="F213" i="70"/>
  <c r="J213" i="70" s="1"/>
  <c r="F198" i="70"/>
  <c r="J198" i="70" s="1"/>
  <c r="G210" i="70"/>
  <c r="G229" i="70"/>
  <c r="G243" i="70"/>
  <c r="F271" i="70"/>
  <c r="J271" i="70" s="1"/>
  <c r="G26" i="70"/>
  <c r="F34" i="70"/>
  <c r="G40" i="70"/>
  <c r="F102" i="70"/>
  <c r="F114" i="70"/>
  <c r="G158" i="70"/>
  <c r="F182" i="70"/>
  <c r="G184" i="70"/>
  <c r="F219" i="70"/>
  <c r="G289" i="70"/>
  <c r="G292" i="70"/>
  <c r="C8" i="128"/>
  <c r="C76" i="128"/>
  <c r="G70" i="70"/>
  <c r="G68" i="70"/>
  <c r="G307" i="70"/>
  <c r="G298" i="70"/>
  <c r="G299" i="70"/>
  <c r="G300" i="70"/>
  <c r="C81" i="128"/>
  <c r="C80" i="128"/>
  <c r="C77" i="128"/>
  <c r="C75" i="128"/>
  <c r="C74" i="128"/>
  <c r="C73" i="128"/>
  <c r="C64" i="128"/>
  <c r="C68" i="128" s="1"/>
  <c r="C63" i="128"/>
  <c r="C61" i="128"/>
  <c r="C56" i="128"/>
  <c r="J304" i="70" l="1"/>
  <c r="B73" i="128"/>
  <c r="J234" i="70"/>
  <c r="B19" i="128"/>
  <c r="J95" i="70"/>
  <c r="B13" i="128"/>
  <c r="J37" i="70"/>
  <c r="B8" i="128"/>
  <c r="J7" i="70"/>
  <c r="F174" i="70"/>
  <c r="J174" i="70" s="1"/>
  <c r="B66" i="128"/>
  <c r="J182" i="70"/>
  <c r="G114" i="70"/>
  <c r="J114" i="70"/>
  <c r="G222" i="70"/>
  <c r="J222" i="70"/>
  <c r="B88" i="128"/>
  <c r="D88" i="128" s="1"/>
  <c r="B10" i="128"/>
  <c r="J19" i="70"/>
  <c r="B63" i="128"/>
  <c r="J149" i="70"/>
  <c r="B23" i="128"/>
  <c r="J102" i="70"/>
  <c r="B77" i="128"/>
  <c r="J254" i="70"/>
  <c r="B81" i="128"/>
  <c r="J293" i="70"/>
  <c r="B12" i="128"/>
  <c r="J34" i="70"/>
  <c r="B56" i="128"/>
  <c r="J133" i="70"/>
  <c r="G27" i="70"/>
  <c r="J27" i="70"/>
  <c r="G207" i="70"/>
  <c r="L207" i="70"/>
  <c r="J207" i="70"/>
  <c r="B74" i="128"/>
  <c r="J239" i="70"/>
  <c r="G109" i="70"/>
  <c r="J109" i="70"/>
  <c r="B22" i="128"/>
  <c r="J105" i="70"/>
  <c r="B76" i="128"/>
  <c r="J249" i="70"/>
  <c r="G117" i="70"/>
  <c r="J117" i="70"/>
  <c r="G16" i="70"/>
  <c r="J16" i="70"/>
  <c r="B75" i="128"/>
  <c r="J244" i="70"/>
  <c r="G13" i="70"/>
  <c r="J13" i="70"/>
  <c r="B61" i="128"/>
  <c r="D61" i="128" s="1"/>
  <c r="J145" i="70"/>
  <c r="G219" i="70"/>
  <c r="J219" i="70"/>
  <c r="G290" i="70"/>
  <c r="B80" i="128"/>
  <c r="J290" i="70"/>
  <c r="G67" i="70"/>
  <c r="J67" i="70"/>
  <c r="F258" i="70"/>
  <c r="G244" i="70"/>
  <c r="G239" i="70"/>
  <c r="S6" i="143"/>
  <c r="L3" i="143"/>
  <c r="M398" i="143"/>
  <c r="K396" i="143"/>
  <c r="K32" i="143" s="1"/>
  <c r="M34" i="143"/>
  <c r="G285" i="70"/>
  <c r="F270" i="70"/>
  <c r="D60" i="128"/>
  <c r="D58" i="128"/>
  <c r="C9" i="128"/>
  <c r="C16" i="128"/>
  <c r="C11" i="128"/>
  <c r="L14" i="143"/>
  <c r="K393" i="143"/>
  <c r="G47" i="70"/>
  <c r="G293" i="70"/>
  <c r="G198" i="70"/>
  <c r="G259" i="70"/>
  <c r="F197" i="70"/>
  <c r="G149" i="70"/>
  <c r="G95" i="70"/>
  <c r="G105" i="70"/>
  <c r="C22" i="128"/>
  <c r="G234" i="70"/>
  <c r="G50" i="70"/>
  <c r="F43" i="70"/>
  <c r="G102" i="70"/>
  <c r="F98" i="70"/>
  <c r="G99" i="70"/>
  <c r="G249" i="70"/>
  <c r="G37" i="70"/>
  <c r="G145" i="70"/>
  <c r="F144" i="70"/>
  <c r="F9" i="70"/>
  <c r="G10" i="70"/>
  <c r="F6" i="70"/>
  <c r="G7" i="70"/>
  <c r="G34" i="70"/>
  <c r="G19" i="70"/>
  <c r="C7" i="128"/>
  <c r="G133" i="70"/>
  <c r="G182" i="70"/>
  <c r="G271" i="70"/>
  <c r="G254" i="70"/>
  <c r="G213" i="70"/>
  <c r="F212" i="70"/>
  <c r="G156" i="70"/>
  <c r="G23" i="70"/>
  <c r="F22" i="70"/>
  <c r="B14" i="128"/>
  <c r="C79" i="128"/>
  <c r="C70" i="128"/>
  <c r="C69" i="128"/>
  <c r="G174" i="70"/>
  <c r="F151" i="70"/>
  <c r="B20" i="128" l="1"/>
  <c r="J98" i="70"/>
  <c r="J151" i="70"/>
  <c r="B64" i="128"/>
  <c r="B68" i="128" s="1"/>
  <c r="B11" i="128"/>
  <c r="J22" i="70"/>
  <c r="B9" i="128"/>
  <c r="J9" i="70"/>
  <c r="G144" i="70"/>
  <c r="J144" i="70"/>
  <c r="B70" i="128"/>
  <c r="J212" i="70"/>
  <c r="F232" i="70"/>
  <c r="F310" i="70" s="1"/>
  <c r="B79" i="128"/>
  <c r="J270" i="70"/>
  <c r="G197" i="70"/>
  <c r="B69" i="128"/>
  <c r="J197" i="70"/>
  <c r="B21" i="128"/>
  <c r="B7" i="128"/>
  <c r="J6" i="70"/>
  <c r="F42" i="70"/>
  <c r="J42" i="70" s="1"/>
  <c r="B16" i="128"/>
  <c r="J43" i="70"/>
  <c r="G258" i="70"/>
  <c r="B78" i="128"/>
  <c r="J258" i="70"/>
  <c r="D8" i="128"/>
  <c r="K31" i="143"/>
  <c r="L23" i="143" s="1"/>
  <c r="K398" i="143"/>
  <c r="L18" i="143"/>
  <c r="G270" i="70"/>
  <c r="D84" i="128"/>
  <c r="D17" i="128"/>
  <c r="D67" i="128"/>
  <c r="D65" i="128"/>
  <c r="D18" i="128"/>
  <c r="D22" i="128"/>
  <c r="D80" i="128"/>
  <c r="D82" i="128"/>
  <c r="D63" i="128"/>
  <c r="D72" i="128"/>
  <c r="D59" i="128"/>
  <c r="D62" i="128"/>
  <c r="D19" i="128"/>
  <c r="D57" i="128"/>
  <c r="D23" i="128"/>
  <c r="C15" i="128"/>
  <c r="D13" i="128"/>
  <c r="K4" i="143"/>
  <c r="G42" i="70"/>
  <c r="M198" i="70"/>
  <c r="C20" i="128"/>
  <c r="G98" i="70"/>
  <c r="G6" i="70"/>
  <c r="G212" i="70"/>
  <c r="G43" i="70"/>
  <c r="G22" i="70"/>
  <c r="G9" i="70"/>
  <c r="K3" i="143"/>
  <c r="G41" i="70"/>
  <c r="C78" i="128"/>
  <c r="G151" i="70"/>
  <c r="F113" i="70" l="1"/>
  <c r="J310" i="70"/>
  <c r="G320" i="70"/>
  <c r="B15" i="128"/>
  <c r="B6" i="128" s="1"/>
  <c r="B26" i="128" s="1"/>
  <c r="B71" i="128"/>
  <c r="J232" i="70"/>
  <c r="J113" i="70"/>
  <c r="B115" i="70"/>
  <c r="D74" i="128"/>
  <c r="M201" i="70"/>
  <c r="O158" i="70"/>
  <c r="D56" i="128"/>
  <c r="D12" i="128"/>
  <c r="D66" i="128"/>
  <c r="D75" i="128"/>
  <c r="D73" i="128"/>
  <c r="D77" i="128"/>
  <c r="D81" i="128"/>
  <c r="D10" i="128"/>
  <c r="D76" i="128"/>
  <c r="D9" i="128"/>
  <c r="D16" i="128"/>
  <c r="D11" i="128"/>
  <c r="D7" i="128"/>
  <c r="D69" i="128"/>
  <c r="K5" i="143"/>
  <c r="C21" i="128"/>
  <c r="C71" i="128"/>
  <c r="C6" i="128"/>
  <c r="G232" i="70"/>
  <c r="G113" i="70"/>
  <c r="F127" i="70"/>
  <c r="J127" i="70" s="1"/>
  <c r="G310" i="70"/>
  <c r="F312" i="70"/>
  <c r="J312" i="70" s="1"/>
  <c r="B83" i="128" l="1"/>
  <c r="B55" i="128"/>
  <c r="B86" i="128" s="1"/>
  <c r="D21" i="128"/>
  <c r="P158" i="70"/>
  <c r="D70" i="128"/>
  <c r="D79" i="128"/>
  <c r="D78" i="128"/>
  <c r="C26" i="128"/>
  <c r="O3" i="143"/>
  <c r="M3" i="143"/>
  <c r="G127" i="70"/>
  <c r="C55" i="128"/>
  <c r="C83" i="128"/>
  <c r="F313" i="70"/>
  <c r="G312" i="70"/>
  <c r="G313" i="70" l="1"/>
  <c r="J313" i="70"/>
  <c r="D20" i="128"/>
  <c r="D15" i="128"/>
  <c r="C86" i="128"/>
  <c r="D6" i="128" l="1"/>
  <c r="D71" i="128"/>
  <c r="D64" i="128"/>
  <c r="D55" i="128" l="1"/>
  <c r="D68" i="128"/>
  <c r="D83" i="128"/>
  <c r="L393" i="143" l="1"/>
  <c r="L396" i="143"/>
  <c r="L32" i="143" s="1"/>
  <c r="I396" i="143"/>
  <c r="I32" i="143" l="1"/>
  <c r="I398" i="143"/>
  <c r="L398" i="143"/>
  <c r="L31" i="143"/>
  <c r="L34" i="143" l="1"/>
  <c r="I31" i="143"/>
  <c r="K121" i="143" l="1"/>
  <c r="K29" i="143" s="1"/>
  <c r="K123" i="143"/>
  <c r="I58" i="143"/>
  <c r="I123" i="143" s="1"/>
  <c r="K34" i="143" l="1"/>
  <c r="I29" i="143"/>
  <c r="I34" i="143" s="1"/>
  <c r="L13" i="143"/>
  <c r="I121" i="143"/>
  <c r="L4" i="143" l="1"/>
  <c r="M15" i="143" l="1"/>
  <c r="L5" i="143"/>
  <c r="O4" i="143"/>
  <c r="M4" i="143"/>
  <c r="M5" i="143" s="1"/>
  <c r="L8" i="143" l="1"/>
  <c r="L11" i="143" s="1"/>
  <c r="L15" i="143" s="1"/>
  <c r="O5" i="143"/>
  <c r="L25" i="143" l="1"/>
  <c r="L19" i="1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L54" authorId="0" shapeId="0" xr:uid="{68781D76-5038-4F55-8592-E2FDBB983FD0}">
      <text>
        <r>
          <rPr>
            <b/>
            <sz val="9"/>
            <color indexed="81"/>
            <rFont val="Tahoma"/>
            <family val="2"/>
            <charset val="186"/>
          </rPr>
          <t>Sarmīte Mūze:</t>
        </r>
        <r>
          <rPr>
            <sz val="9"/>
            <color indexed="81"/>
            <rFont val="Tahoma"/>
            <family val="2"/>
            <charset val="186"/>
          </rPr>
          <t xml:space="preserve">
KA 76'125</t>
        </r>
      </text>
    </comment>
    <comment ref="L58" authorId="0" shapeId="0" xr:uid="{6DCDB5AE-A059-4D98-9A51-226AC5BD94D0}">
      <text>
        <r>
          <rPr>
            <b/>
            <sz val="9"/>
            <color indexed="81"/>
            <rFont val="Tahoma"/>
            <family val="2"/>
            <charset val="186"/>
          </rPr>
          <t>Sarmīte Mūze:</t>
        </r>
        <r>
          <rPr>
            <sz val="9"/>
            <color indexed="81"/>
            <rFont val="Tahoma"/>
            <family val="2"/>
            <charset val="186"/>
          </rPr>
          <t xml:space="preserve">
KA 172'193</t>
        </r>
      </text>
    </comment>
    <comment ref="K64" authorId="0" shapeId="0" xr:uid="{8D6F975D-3E08-458E-B893-8D5CE4ACE8EA}">
      <text>
        <r>
          <rPr>
            <b/>
            <sz val="9"/>
            <color indexed="81"/>
            <rFont val="Tahoma"/>
            <family val="2"/>
            <charset val="186"/>
          </rPr>
          <t>Sarmīte Mūze:</t>
        </r>
        <r>
          <rPr>
            <sz val="9"/>
            <color indexed="81"/>
            <rFont val="Tahoma"/>
            <family val="2"/>
            <charset val="186"/>
          </rPr>
          <t xml:space="preserve">
2026.gadā ietekme uz vidi un 20% avanss projektēšanai</t>
        </r>
      </text>
    </comment>
    <comment ref="M92" authorId="0" shapeId="0" xr:uid="{11A6A9B5-B14C-4E8A-AF0A-21F667EAA914}">
      <text>
        <r>
          <rPr>
            <b/>
            <sz val="9"/>
            <color indexed="81"/>
            <rFont val="Tahoma"/>
            <family val="2"/>
            <charset val="186"/>
          </rPr>
          <t>Sarmīte Mūze:</t>
        </r>
        <r>
          <rPr>
            <sz val="9"/>
            <color indexed="81"/>
            <rFont val="Tahoma"/>
            <family val="2"/>
            <charset val="186"/>
          </rPr>
          <t xml:space="preserve">
Jāpārceļ 2025.gadā neizņemtais aizņēmums</t>
        </r>
      </text>
    </comment>
    <comment ref="L97" authorId="0" shapeId="0" xr:uid="{85D2A10E-F7BB-45CE-94CB-BCA9C9A910DD}">
      <text>
        <r>
          <rPr>
            <b/>
            <sz val="9"/>
            <color indexed="81"/>
            <rFont val="Tahoma"/>
            <family val="2"/>
            <charset val="186"/>
          </rPr>
          <t>Sarmīte Mūze:</t>
        </r>
        <r>
          <rPr>
            <sz val="9"/>
            <color indexed="81"/>
            <rFont val="Tahoma"/>
            <family val="2"/>
            <charset val="186"/>
          </rPr>
          <t xml:space="preserve">
KF+DRN</t>
        </r>
      </text>
    </comment>
    <comment ref="L98" authorId="0" shapeId="0" xr:uid="{52169BEB-B082-4F0E-8A74-D24DA760A0F6}">
      <text>
        <r>
          <rPr>
            <b/>
            <sz val="9"/>
            <color indexed="81"/>
            <rFont val="Tahoma"/>
            <family val="2"/>
            <charset val="186"/>
          </rPr>
          <t>Sarmīte Mūze:</t>
        </r>
        <r>
          <rPr>
            <sz val="9"/>
            <color indexed="81"/>
            <rFont val="Tahoma"/>
            <family val="2"/>
            <charset val="186"/>
          </rPr>
          <t xml:space="preserve">
CFLA finansējums
</t>
        </r>
      </text>
    </comment>
    <comment ref="L99" authorId="1" shapeId="0" xr:uid="{14ED043B-97A9-4A7A-8884-C321D7D1B229}">
      <text>
        <r>
          <rPr>
            <b/>
            <sz val="9"/>
            <color indexed="81"/>
            <rFont val="Tahoma"/>
            <family val="2"/>
            <charset val="186"/>
          </rPr>
          <t>Baiba Kanča:</t>
        </r>
        <r>
          <rPr>
            <sz val="9"/>
            <color indexed="81"/>
            <rFont val="Tahoma"/>
            <family val="2"/>
            <charset val="186"/>
          </rPr>
          <t xml:space="preserve">
ELFLA +DRN</t>
        </r>
      </text>
    </comment>
    <comment ref="M100" authorId="0" shapeId="0" xr:uid="{E07AC665-F2CB-4C9D-A085-5BFF25DFFC27}">
      <text>
        <r>
          <rPr>
            <b/>
            <sz val="9"/>
            <color indexed="81"/>
            <rFont val="Tahoma"/>
            <family val="2"/>
            <charset val="186"/>
          </rPr>
          <t>Sarmīte Mūze:</t>
        </r>
        <r>
          <rPr>
            <sz val="9"/>
            <color indexed="81"/>
            <rFont val="Tahoma"/>
            <family val="2"/>
            <charset val="186"/>
          </rPr>
          <t xml:space="preserve">
Jāpārceļ 2025. neizņemtais aizņēmums</t>
        </r>
      </text>
    </comment>
    <comment ref="L113" authorId="0" shapeId="0" xr:uid="{4B040906-D8C7-4ED6-A361-CD1F5A1D82DC}">
      <text>
        <r>
          <rPr>
            <b/>
            <sz val="9"/>
            <color indexed="81"/>
            <rFont val="Tahoma"/>
            <family val="2"/>
            <charset val="186"/>
          </rPr>
          <t>Sarmīte Mūze:</t>
        </r>
        <r>
          <rPr>
            <sz val="9"/>
            <color indexed="81"/>
            <rFont val="Tahoma"/>
            <family val="2"/>
            <charset val="186"/>
          </rPr>
          <t xml:space="preserve">
KA 15'132</t>
        </r>
      </text>
    </comment>
    <comment ref="L114" authorId="0" shapeId="0" xr:uid="{09AE3071-5421-47AC-AA87-F71D9EF7B352}">
      <text>
        <r>
          <rPr>
            <b/>
            <sz val="9"/>
            <color indexed="81"/>
            <rFont val="Tahoma"/>
            <family val="2"/>
            <charset val="186"/>
          </rPr>
          <t>Sarmīte Mūze:</t>
        </r>
        <r>
          <rPr>
            <sz val="9"/>
            <color indexed="81"/>
            <rFont val="Tahoma"/>
            <family val="2"/>
            <charset val="186"/>
          </rPr>
          <t xml:space="preserve">
KA 8'432</t>
        </r>
      </text>
    </comment>
    <comment ref="L190" authorId="0" shapeId="0" xr:uid="{C59A40F8-0BD3-4071-8E3A-D2DD71C2C783}">
      <text>
        <r>
          <rPr>
            <b/>
            <sz val="9"/>
            <color indexed="81"/>
            <rFont val="Tahoma"/>
            <family val="2"/>
            <charset val="186"/>
          </rPr>
          <t>Sarmīte Mūze:</t>
        </r>
        <r>
          <rPr>
            <sz val="9"/>
            <color indexed="81"/>
            <rFont val="Tahoma"/>
            <family val="2"/>
            <charset val="186"/>
          </rPr>
          <t xml:space="preserve">
Ielikts ieņ un izdev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66" authorId="0" shapeId="0" xr:uid="{D677856D-7020-4575-A1D2-132129FF2C9A}">
      <text>
        <r>
          <rPr>
            <b/>
            <sz val="9"/>
            <color indexed="81"/>
            <rFont val="Tahoma"/>
            <family val="2"/>
            <charset val="186"/>
          </rPr>
          <t>Sarmīte Mūze:</t>
        </r>
        <r>
          <rPr>
            <sz val="9"/>
            <color indexed="81"/>
            <rFont val="Tahoma"/>
            <family val="2"/>
            <charset val="186"/>
          </rPr>
          <t xml:space="preserve">
1010 supervizijas EKK 18.6.3.</t>
        </r>
      </text>
    </comment>
    <comment ref="I185" authorId="0" shapeId="0" xr:uid="{C0143836-E46C-4F99-B8A5-69C0B83FDD69}">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300" authorId="0" shapeId="0" xr:uid="{F33940A2-2E62-4AAF-8657-1EBDE77A525C}">
      <text>
        <r>
          <rPr>
            <b/>
            <sz val="9"/>
            <color indexed="81"/>
            <rFont val="Tahoma"/>
            <family val="2"/>
            <charset val="186"/>
          </rPr>
          <t>Sarmīte Mūze:</t>
        </r>
        <r>
          <rPr>
            <sz val="9"/>
            <color indexed="81"/>
            <rFont val="Tahoma"/>
            <family val="2"/>
            <charset val="186"/>
          </rPr>
          <t xml:space="preserve">
Šis ir jāizņem no 0930 un jāliek 0982 algā.
</t>
        </r>
      </text>
    </comment>
    <comment ref="F300" authorId="0" shapeId="0" xr:uid="{00000000-0006-0000-0A00-00000F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I300" authorId="0" shapeId="0" xr:uid="{E851798F-1597-4D7B-A3B7-40BA5FED72B6}">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<sst xmlns="http://schemas.openxmlformats.org/spreadsheetml/2006/main" count="2493" uniqueCount="1444">
  <si>
    <t xml:space="preserve">Ieņēmumu daļa </t>
  </si>
  <si>
    <t xml:space="preserve">N.p.k. </t>
  </si>
  <si>
    <t>Sadaļa</t>
  </si>
  <si>
    <t>Komentāri</t>
  </si>
  <si>
    <t>Komentāri par izpildi</t>
  </si>
  <si>
    <t>1., 2., 3., 4., 5.</t>
  </si>
  <si>
    <t>Nodokļu ieņēmumi</t>
  </si>
  <si>
    <t>1.1.1.0.</t>
  </si>
  <si>
    <t>1.</t>
  </si>
  <si>
    <t>Iedzīvotāju ienākuma nodoklis</t>
  </si>
  <si>
    <t>PB</t>
  </si>
  <si>
    <t>1.1.</t>
  </si>
  <si>
    <t>01.1.1.2.</t>
  </si>
  <si>
    <t>1.2.</t>
  </si>
  <si>
    <t>pārskata gada</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</si>
  <si>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</si>
  <si>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</si>
  <si>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</si>
  <si>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</si>
  <si>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</si>
  <si>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</si>
  <si>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</si>
  <si>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</si>
  <si>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</si>
  <si>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</si>
  <si>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</si>
  <si>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</si>
  <si>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</si>
  <si>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</si>
  <si>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</si>
  <si>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</si>
  <si>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</si>
  <si>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</si>
  <si>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</si>
  <si>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</si>
  <si>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</si>
  <si>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</si>
  <si>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</si>
  <si>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</si>
  <si>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</si>
  <si>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</si>
  <si>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</si>
  <si>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</si>
  <si>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</si>
  <si>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</si>
  <si>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</si>
  <si>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</si>
  <si>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</si>
  <si>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</si>
  <si>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</si>
  <si>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</si>
  <si>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t>09.4.9.0.</t>
  </si>
  <si>
    <t>6.1.3.</t>
  </si>
  <si>
    <t>9.5.0.0.</t>
  </si>
  <si>
    <t>6.2.</t>
  </si>
  <si>
    <t>pašvaldību nodevas</t>
  </si>
  <si>
    <t>09.5.1.1.</t>
  </si>
  <si>
    <t>6.2.1.</t>
  </si>
  <si>
    <t>09.5.1.4.</t>
  </si>
  <si>
    <t>6.2.2.</t>
  </si>
  <si>
    <t>6.2.3.</t>
  </si>
  <si>
    <t>09.5.1.7.</t>
  </si>
  <si>
    <t>6.2.4.</t>
  </si>
  <si>
    <t>09.5.2.1.</t>
  </si>
  <si>
    <t>6.2.5.</t>
  </si>
  <si>
    <t>09.5.2.9.</t>
  </si>
  <si>
    <t>6.2.6.</t>
  </si>
  <si>
    <t>10.0.0.0.</t>
  </si>
  <si>
    <t>7.</t>
  </si>
  <si>
    <t>Naudas sodi un sankcijas</t>
  </si>
  <si>
    <t>10.1.4.0.</t>
  </si>
  <si>
    <t>7.1.</t>
  </si>
  <si>
    <t>10.1.5.0.</t>
  </si>
  <si>
    <t>7.2.</t>
  </si>
  <si>
    <t>Naudas sodi, ko uzliek par pārkāpumiem ceļu satiksmē</t>
  </si>
  <si>
    <t>12.0.0.0.</t>
  </si>
  <si>
    <t>8.</t>
  </si>
  <si>
    <t>Pārējie nenodokļu ieņēmumi</t>
  </si>
  <si>
    <t>8.1.</t>
  </si>
  <si>
    <t>citi nenodokļu ieņēmumi</t>
  </si>
  <si>
    <t>8.2.</t>
  </si>
  <si>
    <t>8.3.</t>
  </si>
  <si>
    <t>9.</t>
  </si>
  <si>
    <t>Ieņēmumi no pašvaldības īpašuma pārdošana</t>
  </si>
  <si>
    <t>9.1.</t>
  </si>
  <si>
    <t>9.2.</t>
  </si>
  <si>
    <t>10.</t>
  </si>
  <si>
    <t>Valsts budžeta transferti</t>
  </si>
  <si>
    <t>mērķdotācija</t>
  </si>
  <si>
    <t>18.6.2.3.</t>
  </si>
  <si>
    <t>10.1.</t>
  </si>
  <si>
    <t>dotācija mākslas skolas algām</t>
  </si>
  <si>
    <t>18.6.2.4.</t>
  </si>
  <si>
    <t>10.2.</t>
  </si>
  <si>
    <t>dotācija sporta skolai</t>
  </si>
  <si>
    <t>dotācija skolēnu ēdināšanai</t>
  </si>
  <si>
    <t>18.6.2.5.</t>
  </si>
  <si>
    <t>18.6.2.0.</t>
  </si>
  <si>
    <t>dotācijas pedagogu algām (vsk., PII)</t>
  </si>
  <si>
    <t>18.6.2.2.</t>
  </si>
  <si>
    <t>t.sk.: - piecgadīgo bērnu apmācība</t>
  </si>
  <si>
    <t>18.6.2.1.</t>
  </si>
  <si>
    <t>18.6.2.9.</t>
  </si>
  <si>
    <t>18.6.2.7.</t>
  </si>
  <si>
    <t>dotācija asistenta pakalpojumu nodrošināšanai</t>
  </si>
  <si>
    <t>pārējās dotācijas</t>
  </si>
  <si>
    <t>18.6.3.6.</t>
  </si>
  <si>
    <t>11.</t>
  </si>
  <si>
    <t>Pašvaldību budžeta transferti</t>
  </si>
  <si>
    <t>19.2.1.0.</t>
  </si>
  <si>
    <t>11.1.</t>
  </si>
  <si>
    <t>no citām pašvaldībām izglītības funkciju nodrošināšanai</t>
  </si>
  <si>
    <t>11.2.</t>
  </si>
  <si>
    <t>12.</t>
  </si>
  <si>
    <t>Budžeta iestāžu ieņēmumi</t>
  </si>
  <si>
    <t>21.3.5.0.</t>
  </si>
  <si>
    <t>12.1.</t>
  </si>
  <si>
    <t>12.1.1.</t>
  </si>
  <si>
    <t>21.3.5.2.</t>
  </si>
  <si>
    <t>12.1.2.</t>
  </si>
  <si>
    <t>21.3.5.9.</t>
  </si>
  <si>
    <t>21.3.8.0.</t>
  </si>
  <si>
    <t>12.2.</t>
  </si>
  <si>
    <t>ieņēmumi par nomu un īri</t>
  </si>
  <si>
    <t>21.3.8.1.</t>
  </si>
  <si>
    <t>12.2.1.</t>
  </si>
  <si>
    <t>21.3.8.4.</t>
  </si>
  <si>
    <t>12.2.2.</t>
  </si>
  <si>
    <t>21.3.9.0.</t>
  </si>
  <si>
    <t>12.3.</t>
  </si>
  <si>
    <t>budžeta iestāžu maksas pakalpojumi</t>
  </si>
  <si>
    <t>12.4.</t>
  </si>
  <si>
    <t>KOPĀ IEŅĒMUMI:</t>
  </si>
  <si>
    <t>13.</t>
  </si>
  <si>
    <t>Naudas līdzekļu atlikums gada sākumā</t>
  </si>
  <si>
    <t>13.1.</t>
  </si>
  <si>
    <t>Naudas atlikums iezīmētiem mērķiem</t>
  </si>
  <si>
    <t>13.2.</t>
  </si>
  <si>
    <t>Naudas atlikums pašvaldības līdzekļi</t>
  </si>
  <si>
    <t xml:space="preserve">14. </t>
  </si>
  <si>
    <t>Valsts Kases kredīti</t>
  </si>
  <si>
    <t>PAVISAM KOPĀ IEŅĒMUMI:</t>
  </si>
  <si>
    <t xml:space="preserve">Izdevumu daļa </t>
  </si>
  <si>
    <t>Vispārējie valdības dienesti</t>
  </si>
  <si>
    <t>pārvalde</t>
  </si>
  <si>
    <t>deputāti</t>
  </si>
  <si>
    <t>1.3.</t>
  </si>
  <si>
    <t>administratīvā komisija</t>
  </si>
  <si>
    <t>1.4.</t>
  </si>
  <si>
    <t>iepirkumu komisija</t>
  </si>
  <si>
    <t>1.5.</t>
  </si>
  <si>
    <t>vēlēšanu komisija</t>
  </si>
  <si>
    <t>1.6.</t>
  </si>
  <si>
    <t>1.7.</t>
  </si>
  <si>
    <t>1.8.</t>
  </si>
  <si>
    <t>aizņēmumu procentu maksājumi</t>
  </si>
  <si>
    <t>Iemaksas PFIF</t>
  </si>
  <si>
    <t>Izdevumi neparedzētiem gadījumiem</t>
  </si>
  <si>
    <t>Sabiedriskā kārtība un drošība</t>
  </si>
  <si>
    <t>Sabiedriskās attiecības, laikraksts</t>
  </si>
  <si>
    <t>Pašvaldības teritoriju un mājokļu apsaimniekošana</t>
  </si>
  <si>
    <t>5.1.</t>
  </si>
  <si>
    <t>Būvvalde</t>
  </si>
  <si>
    <t>5.2.</t>
  </si>
  <si>
    <t>nodaļa</t>
  </si>
  <si>
    <t>5.3.</t>
  </si>
  <si>
    <t>Objektu un teritorijas apsaimniekošana un uzturēšana</t>
  </si>
  <si>
    <t>5.4.</t>
  </si>
  <si>
    <t>Atpūta, kultūra un reliģija</t>
  </si>
  <si>
    <t>Kultūras centrs</t>
  </si>
  <si>
    <t>6.3.</t>
  </si>
  <si>
    <t>Sporta daļa</t>
  </si>
  <si>
    <t>6.4.</t>
  </si>
  <si>
    <t>Evaņģēliski luteriskās draudzes</t>
  </si>
  <si>
    <t>6.5.</t>
  </si>
  <si>
    <t>Sociālā aizsardzība</t>
  </si>
  <si>
    <t>Sociālais dienests</t>
  </si>
  <si>
    <t>Stipendiāti / bezdarbnieki</t>
  </si>
  <si>
    <t>7.3.</t>
  </si>
  <si>
    <t>Bāriņtiesa</t>
  </si>
  <si>
    <t>Izglītība</t>
  </si>
  <si>
    <t>Norēķini ar pašvaldību budžetiem par izglītības iestāžu pakalpojumiem</t>
  </si>
  <si>
    <t>Ādažu Pirmsskolas izglītības iestāde</t>
  </si>
  <si>
    <t>8.2.1.</t>
  </si>
  <si>
    <t>pedagogu algas (mērķdotācija)</t>
  </si>
  <si>
    <t>8.2.2.</t>
  </si>
  <si>
    <t>pārējās izmaksas</t>
  </si>
  <si>
    <t>Kadagas PII</t>
  </si>
  <si>
    <t>8.3.1.</t>
  </si>
  <si>
    <t>8.3.2.</t>
  </si>
  <si>
    <t>8.4.</t>
  </si>
  <si>
    <t>Privātās izglītības iestādes</t>
  </si>
  <si>
    <t>ĀBVS</t>
  </si>
  <si>
    <t>8.5.</t>
  </si>
  <si>
    <t>Ādažu vidusskola</t>
  </si>
  <si>
    <t>8.6.</t>
  </si>
  <si>
    <t>8.7.</t>
  </si>
  <si>
    <t>Sporta skola</t>
  </si>
  <si>
    <t>8.8.</t>
  </si>
  <si>
    <t>Ieguldījumi uzņēmumu pamatkapitālā</t>
  </si>
  <si>
    <t>SIA "Ādažu ūdens"</t>
  </si>
  <si>
    <t>SIA "Garkalnes ūdens"</t>
  </si>
  <si>
    <t>KOPĀ IZDEVUMI:</t>
  </si>
  <si>
    <t>Kredītu pamatsummas atmaksa</t>
  </si>
  <si>
    <t>PAVISAM KOPĀ IZDEVUMI:</t>
  </si>
  <si>
    <t>-</t>
  </si>
  <si>
    <t>Naudas līdzekļu atlikums uz gada beigām</t>
  </si>
  <si>
    <t>Pašvaldības policija</t>
  </si>
  <si>
    <t xml:space="preserve">Ādažu vidusskola </t>
  </si>
  <si>
    <t>0110</t>
  </si>
  <si>
    <t>0111</t>
  </si>
  <si>
    <t>0120</t>
  </si>
  <si>
    <t>0130</t>
  </si>
  <si>
    <t>0140</t>
  </si>
  <si>
    <t>0150</t>
  </si>
  <si>
    <t>0490</t>
  </si>
  <si>
    <t>0340</t>
  </si>
  <si>
    <t>0610</t>
  </si>
  <si>
    <t>0630</t>
  </si>
  <si>
    <t>0812</t>
  </si>
  <si>
    <t>0830</t>
  </si>
  <si>
    <t>0880</t>
  </si>
  <si>
    <t>0910</t>
  </si>
  <si>
    <t>0950</t>
  </si>
  <si>
    <t>0960</t>
  </si>
  <si>
    <t>0965</t>
  </si>
  <si>
    <t>0970</t>
  </si>
  <si>
    <t>P</t>
  </si>
  <si>
    <t>Mērķdotācija</t>
  </si>
  <si>
    <t>Pašvaldības finansējums</t>
  </si>
  <si>
    <t>Pabalsti</t>
  </si>
  <si>
    <t>7.1.1.</t>
  </si>
  <si>
    <t>Asistentu pakalpojumi</t>
  </si>
  <si>
    <t>7.1.2.</t>
  </si>
  <si>
    <t>Domes finansējums</t>
  </si>
  <si>
    <t>NVA finansējums</t>
  </si>
  <si>
    <t>0930</t>
  </si>
  <si>
    <t>Izglītības un jauniešu lietu pārvalde</t>
  </si>
  <si>
    <t>5.6.</t>
  </si>
  <si>
    <t>pārējās komisijas</t>
  </si>
  <si>
    <t>projekts Erasmus+</t>
  </si>
  <si>
    <t>pedagogu algas, grāmatas (mērķdotācija)</t>
  </si>
  <si>
    <t>6.6.</t>
  </si>
  <si>
    <t>13.1.0.0.</t>
  </si>
  <si>
    <t>SAM 9.2.4.2. projekts "Pasākumi vietējās sabiedrības veselības veicināšanai Ādažu novadā"</t>
  </si>
  <si>
    <t>Multihalle</t>
  </si>
  <si>
    <t>0981</t>
  </si>
  <si>
    <t>līgumsodi un procentu maksājumi par saistību neizpildi</t>
  </si>
  <si>
    <t>12.3.9.5.</t>
  </si>
  <si>
    <t>19.2.2.0.</t>
  </si>
  <si>
    <t>citi ieņēmumi no citām pašvaldībam</t>
  </si>
  <si>
    <t>ES struktūrfondu līdzekļi un aktivitāšu līdzfinansējumi</t>
  </si>
  <si>
    <t>Valsts budžeta transferti un projektu finansējums</t>
  </si>
  <si>
    <t>VISA projekts "Atbalsts izglītojamo individuālo kompetenču attīstībai"</t>
  </si>
  <si>
    <t>SAM 9311 Deinstitucionalizācija - Dienas centrs</t>
  </si>
  <si>
    <t xml:space="preserve">Zivju fonds  „Zivju resursu aizsardzības pasākumi Ādažu novada ūdenstipnēs”  </t>
  </si>
  <si>
    <t>0956</t>
  </si>
  <si>
    <t>7.4.</t>
  </si>
  <si>
    <t>dotācija sociālajiem darbiniekiem, kuri strādā ar ģimenēm un bērniem</t>
  </si>
  <si>
    <t>Atsauce uz plānošanas dokumentiem</t>
  </si>
  <si>
    <t>Id.Nr. Investīciju plānā</t>
  </si>
  <si>
    <t xml:space="preserve">18.6.3.13. </t>
  </si>
  <si>
    <t>Mežu dienu projekts</t>
  </si>
  <si>
    <t>Amatiermākslas kolektīvu organizētie pasākumi</t>
  </si>
  <si>
    <t>sākumskolas uzturēšanas izmaksas</t>
  </si>
  <si>
    <t xml:space="preserve">Komentāri </t>
  </si>
  <si>
    <t>projekts "Skolas soma"</t>
  </si>
  <si>
    <t>dotācija māksliniecisko kolektīvu vadītāju atalgojumam</t>
  </si>
  <si>
    <t>18.6.2.6.1.</t>
  </si>
  <si>
    <t xml:space="preserve"> </t>
  </si>
  <si>
    <t>Pārējās privātās vidējās izglītības iestādes</t>
  </si>
  <si>
    <t>ēdināšana (mērķdotācija)</t>
  </si>
  <si>
    <t>sākumskolas ēdināšana (mērķdotācija)</t>
  </si>
  <si>
    <t>18.6.2.10.; 18.6.2.11</t>
  </si>
  <si>
    <t>0911</t>
  </si>
  <si>
    <t>0921</t>
  </si>
  <si>
    <t>valsts dotācija ceļu uzturēšanai</t>
  </si>
  <si>
    <t>Izmaiņa</t>
  </si>
  <si>
    <t>0951</t>
  </si>
  <si>
    <t>0952</t>
  </si>
  <si>
    <t xml:space="preserve">PII </t>
  </si>
  <si>
    <t>-  uzturēšana</t>
  </si>
  <si>
    <t>t.sk.: - par civilstāvokļa aktu reģistrēšanu, grozīšanu un papildināšanu</t>
  </si>
  <si>
    <t>t.sk.: - pārējās valsts nodevas, kuras ieskaita pašvaldību budžetā</t>
  </si>
  <si>
    <t>t.sk.: - nodeva par domes izstrādāto oficiālo dokumentu saņemšanu</t>
  </si>
  <si>
    <t>t.sk.: - nodeva par tirdzniecību publiskās vietās</t>
  </si>
  <si>
    <t>t.sk.: - nodeva par reklāmas, afišu un sludinājumu izvietošanu publiskās vietās</t>
  </si>
  <si>
    <t>t.sk.: - nodeva par būvatļaujas saņemšanu</t>
  </si>
  <si>
    <t>t.sk.: - pārējās nodevas</t>
  </si>
  <si>
    <t>t.sk.: - skolotāju algām</t>
  </si>
  <si>
    <t>t.sk.: - interešu izglītība</t>
  </si>
  <si>
    <t>t.sk.: - nodeva par izklaidējoša rakstura pasākumu sarīkošanu publiskās vietās</t>
  </si>
  <si>
    <t>12.4.1.</t>
  </si>
  <si>
    <t>12.4.2.</t>
  </si>
  <si>
    <t>12.5.</t>
  </si>
  <si>
    <t>1.9.</t>
  </si>
  <si>
    <t>Autoceļu fonds</t>
  </si>
  <si>
    <t>CKS</t>
  </si>
  <si>
    <t>Projekts "Sabiedrība ar dvēseli"</t>
  </si>
  <si>
    <t>Pirmsskolas izglītības iestāde "Riekstiņš"</t>
  </si>
  <si>
    <t>Carnikava</t>
  </si>
  <si>
    <t>Nr.p.k.</t>
  </si>
  <si>
    <t>Kultūra</t>
  </si>
  <si>
    <t>Pirmsskolas izglītības iestādes "Piejūra"</t>
  </si>
  <si>
    <t>7.1.3.</t>
  </si>
  <si>
    <t>Aizņēmums</t>
  </si>
  <si>
    <t>PII Riekstiņš</t>
  </si>
  <si>
    <t>Projekts "Skolas soma" Ādaži</t>
  </si>
  <si>
    <t>ESF projekts Karjeras atbalsts vispārējās un profesionālās izglītības iestādēs ©</t>
  </si>
  <si>
    <t>12.3.1.</t>
  </si>
  <si>
    <t>12.3.2.</t>
  </si>
  <si>
    <t>ieņēmumi par telpu nomu</t>
  </si>
  <si>
    <t>ieņēmumi par zemes nomu</t>
  </si>
  <si>
    <t>12.3.3.</t>
  </si>
  <si>
    <t>pārējie ieņēmumi par nomu ©</t>
  </si>
  <si>
    <t>ieņēmumi no zvejas tiesību nomas</t>
  </si>
  <si>
    <t>Informācijas tehnoloģiju nodaļa, vispārējas nozīmes dienestu darbība un pakalpojumi - datortīkla uzturēšana ©</t>
  </si>
  <si>
    <t>Tautas nams "Ozolaine" ©</t>
  </si>
  <si>
    <t>SAM 5.5.1. Kultūras objektu būvniecība (maksājumi projekta partneriem) ©</t>
  </si>
  <si>
    <t>ES projekts Eiropa pilsoņiem (diskriminētām personām) ©</t>
  </si>
  <si>
    <t>Ādažu pašvaldības apvienotais budžets</t>
  </si>
  <si>
    <t>Ādaži</t>
  </si>
  <si>
    <t>ERASMUS + projekti</t>
  </si>
  <si>
    <t>V</t>
  </si>
  <si>
    <t>0952.1</t>
  </si>
  <si>
    <t>0954</t>
  </si>
  <si>
    <t>0957</t>
  </si>
  <si>
    <t>Izmaksas</t>
  </si>
  <si>
    <t>09824</t>
  </si>
  <si>
    <t>Investīcijas</t>
  </si>
  <si>
    <t>C</t>
  </si>
  <si>
    <t>09011</t>
  </si>
  <si>
    <t>0901; 650_0901</t>
  </si>
  <si>
    <t>0902; 650_0902</t>
  </si>
  <si>
    <t>09021</t>
  </si>
  <si>
    <t>0982</t>
  </si>
  <si>
    <t>09821</t>
  </si>
  <si>
    <t>09822</t>
  </si>
  <si>
    <t>0901</t>
  </si>
  <si>
    <t>0932</t>
  </si>
  <si>
    <t>0931</t>
  </si>
  <si>
    <t>Informācijas tehnoloģiju nodaļa</t>
  </si>
  <si>
    <t>5.5.</t>
  </si>
  <si>
    <t>7.5.</t>
  </si>
  <si>
    <t>Cits finansējums</t>
  </si>
  <si>
    <t>Kopsumma</t>
  </si>
  <si>
    <t>0831</t>
  </si>
  <si>
    <t>0170</t>
  </si>
  <si>
    <t>0670</t>
  </si>
  <si>
    <t>0902</t>
  </si>
  <si>
    <t>Projekts "Skolas soma" Carnikava</t>
  </si>
  <si>
    <t>Teritorijas plānošanas nodaļa</t>
  </si>
  <si>
    <t>Attīstības un projektu nodaļa</t>
  </si>
  <si>
    <t>P/A "Carnikavas komunālserviss" teritorijas un īpašumu apsaimniekošana</t>
  </si>
  <si>
    <t xml:space="preserve">Ādažu kultūras centrs </t>
  </si>
  <si>
    <t xml:space="preserve">Ādažu bibliotēka </t>
  </si>
  <si>
    <t xml:space="preserve">Carnikavas bibliotēka </t>
  </si>
  <si>
    <t xml:space="preserve">Sociālās funkcijas nodrošināšana </t>
  </si>
  <si>
    <t>”Mobilitātes punkta infrastruktūras izveidošana Rīgas metropoles areālā – “Carnikava””</t>
  </si>
  <si>
    <t>Maģistrālā  veloceļa izbūve Rīga-Carnikava</t>
  </si>
  <si>
    <t>Bāzes ieņēmumi</t>
  </si>
  <si>
    <t>Bāzes izdevumi</t>
  </si>
  <si>
    <t xml:space="preserve">Ā15.1.2.1. un C15.1.2.1. </t>
  </si>
  <si>
    <t xml:space="preserve">Ā15.1.2.4. </t>
  </si>
  <si>
    <t>Carnikavas Nēģu svētki</t>
  </si>
  <si>
    <t>mācību vides labiekārtošana</t>
  </si>
  <si>
    <t>Nodokļi un maksājumi par tiesībām lietot atsevišķas preces</t>
  </si>
  <si>
    <t>Ekonomiskā darbība</t>
  </si>
  <si>
    <t>Dabas resursu nodokļa izlietojums</t>
  </si>
  <si>
    <t>Vides aizsardzība</t>
  </si>
  <si>
    <t>7.6.</t>
  </si>
  <si>
    <t>7.7.</t>
  </si>
  <si>
    <t>8.3.3.</t>
  </si>
  <si>
    <t>Sabiedrisko attiecību nodaļa</t>
  </si>
  <si>
    <t>0841.3</t>
  </si>
  <si>
    <t>0841.2</t>
  </si>
  <si>
    <t>1014.1</t>
  </si>
  <si>
    <t>0510</t>
  </si>
  <si>
    <t>0420</t>
  </si>
  <si>
    <t>0633.1</t>
  </si>
  <si>
    <t>0633.2</t>
  </si>
  <si>
    <t>0841.1</t>
  </si>
  <si>
    <t>1013.1</t>
  </si>
  <si>
    <t>1., 2., 3., 4.</t>
  </si>
  <si>
    <t>Nekustamā īpašuma nodokļu ieņēmumi</t>
  </si>
  <si>
    <t>Dabas resursu nodoklis</t>
  </si>
  <si>
    <t>5.5.3.1.</t>
  </si>
  <si>
    <t>5.4.1.0.</t>
  </si>
  <si>
    <t>10.1.1.</t>
  </si>
  <si>
    <t>10.1.2.</t>
  </si>
  <si>
    <t>10.1.3.</t>
  </si>
  <si>
    <t>10.1.4.</t>
  </si>
  <si>
    <t>10.1.5.</t>
  </si>
  <si>
    <t xml:space="preserve">  10.1.5.1.</t>
  </si>
  <si>
    <t xml:space="preserve">  10.1.5.2.</t>
  </si>
  <si>
    <t xml:space="preserve">  10.1.5.3.</t>
  </si>
  <si>
    <t>10.1.6.</t>
  </si>
  <si>
    <t>10.1.7.</t>
  </si>
  <si>
    <t>10.1.8.</t>
  </si>
  <si>
    <t>10.1.9.</t>
  </si>
  <si>
    <t>10.1.10.</t>
  </si>
  <si>
    <t>10.1.11.</t>
  </si>
  <si>
    <t>10.2.1.</t>
  </si>
  <si>
    <t>10.2.2.</t>
  </si>
  <si>
    <t>10.2.3.</t>
  </si>
  <si>
    <t>10.2.5.</t>
  </si>
  <si>
    <t>10.2.6.</t>
  </si>
  <si>
    <t>10.2.8.</t>
  </si>
  <si>
    <t>10.2.10.</t>
  </si>
  <si>
    <t>10.2.11.</t>
  </si>
  <si>
    <t>18.6.4.0.</t>
  </si>
  <si>
    <t>IIN budžeta dotācija</t>
  </si>
  <si>
    <t>10.3.</t>
  </si>
  <si>
    <t>0620</t>
  </si>
  <si>
    <t>0633.4</t>
  </si>
  <si>
    <t>0634</t>
  </si>
  <si>
    <t>0844.1</t>
  </si>
  <si>
    <t>0844.2</t>
  </si>
  <si>
    <t>0420 (18.6.2.9.)</t>
  </si>
  <si>
    <t>0933</t>
  </si>
  <si>
    <t>09651</t>
  </si>
  <si>
    <t>0920</t>
  </si>
  <si>
    <t>09825</t>
  </si>
  <si>
    <t>0660</t>
  </si>
  <si>
    <t>Ādažu vēstis</t>
  </si>
  <si>
    <t>Iedzīvotāju iniciatīvas un konkursi.</t>
  </si>
  <si>
    <t>10.2.13.</t>
  </si>
  <si>
    <t>10.2.14.</t>
  </si>
  <si>
    <t>0630.2</t>
  </si>
  <si>
    <t>0630.1</t>
  </si>
  <si>
    <t>Dotācijas Ukrainas pilsoņu atbalstam</t>
  </si>
  <si>
    <t xml:space="preserve">  10.1.4.1.</t>
  </si>
  <si>
    <t xml:space="preserve">  10.1.4.2.</t>
  </si>
  <si>
    <t>t.sk.: - dotācija mācību grāmatām</t>
  </si>
  <si>
    <t>dotācija mācību līdzekļiem</t>
  </si>
  <si>
    <t>t.sk.: - dotācija digitālajiem mācību līdzekļiem</t>
  </si>
  <si>
    <t>10.2.16.</t>
  </si>
  <si>
    <t>21.3.8.9.</t>
  </si>
  <si>
    <t>Tradicionālo gadskārtu un valsts svētku pasākumu organizēšanas izdevumi (Lieldienas, Saulgrieži, 4.maijs, 18.novembris, Ziemassvētki)</t>
  </si>
  <si>
    <t>7.2.1.</t>
  </si>
  <si>
    <t>7.2.2.</t>
  </si>
  <si>
    <t>Rezerve skolēnu līdzfinansējumam dalībai konkursos, balstoties uz kritērijiem</t>
  </si>
  <si>
    <t>Pieejamie līdzekļi investīcijām</t>
  </si>
  <si>
    <t>Struktūrvienības nosaukums</t>
  </si>
  <si>
    <t>Izvērtējamā projekta nosaukums</t>
  </si>
  <si>
    <t>Sabiedrība ar dvēseli</t>
  </si>
  <si>
    <t>Ādažu novada domes nolikums “Iniciatīvas projektu finansēšanas kārtība Ādažu novada pašvaldībā” (katru gadu tiek izstrādāts no jauna).</t>
  </si>
  <si>
    <t xml:space="preserve">0633.1 </t>
  </si>
  <si>
    <t xml:space="preserve"> ”Mobilitātes punkta infrastruktūras izveidošana Rīgas metropoles areālā – “Carnikava””</t>
  </si>
  <si>
    <t xml:space="preserve"> Maģistrālā  veloceļa izbūve Rīga-Carnikava</t>
  </si>
  <si>
    <t>Finansējuma avots</t>
  </si>
  <si>
    <t xml:space="preserve">Latvijas vides aizsardzības fonda finansējums "Piekrastes apsaimniekošanas praktisko aktivitāšu realizēšanai" </t>
  </si>
  <si>
    <t xml:space="preserve"> Sporta daļa</t>
  </si>
  <si>
    <t>Autoratlīdzības līgumu apmaksa māksliniekiem</t>
  </si>
  <si>
    <t>Tradicionālo un novada svētku rīkošana</t>
  </si>
  <si>
    <t>Muzejs - Carnikavas novadpētniecības centrs</t>
  </si>
  <si>
    <t>Atbalsts Garkalnes un Baltezera baznīcām</t>
  </si>
  <si>
    <t>Ādažu vidusskola ERASMUS</t>
  </si>
  <si>
    <t>Pavisam kopā:</t>
  </si>
  <si>
    <t>Struktv. kods</t>
  </si>
  <si>
    <t>PII Strautiņš</t>
  </si>
  <si>
    <t>Ādažu novada mākslu skola</t>
  </si>
  <si>
    <t>Pieejamie līdzekļi</t>
  </si>
  <si>
    <t xml:space="preserve">Novada sporta pasākumi </t>
  </si>
  <si>
    <t>CKS Pārvalde</t>
  </si>
  <si>
    <t>Ceļu ielu infrastruktūras attīstības programma</t>
  </si>
  <si>
    <t>Dotācijas "Energoresursu atbalsts"</t>
  </si>
  <si>
    <t>Valsts finansējums projektu konkursā "Atbalsts jaunatnes politikas īstenošanai vietējā līmenī"  projekts "Mobilais darbs ar jaunatni Ādažu novadā"</t>
  </si>
  <si>
    <t>0912</t>
  </si>
  <si>
    <t>TEP “Atjaunojamo energoresursu izmantošana Ādažu novadā” (EUCF)</t>
  </si>
  <si>
    <t>Pārējās investīcijas:</t>
  </si>
  <si>
    <t>SAM 5.1.1. Pretplūdu pasākumi Ādažu centra polderī, Ādažu novadā</t>
  </si>
  <si>
    <t>0632.5</t>
  </si>
  <si>
    <t>14.1.</t>
  </si>
  <si>
    <t>14.2.</t>
  </si>
  <si>
    <t>14.4.</t>
  </si>
  <si>
    <t>14.5.</t>
  </si>
  <si>
    <t>14.6.</t>
  </si>
  <si>
    <t>Plūdu risku projekts</t>
  </si>
  <si>
    <t>Dotācija nodarbinātības pasākumiem</t>
  </si>
  <si>
    <t>10.2.9.</t>
  </si>
  <si>
    <t>10.2.12.</t>
  </si>
  <si>
    <t>10.2.17.</t>
  </si>
  <si>
    <t>10.2.18.</t>
  </si>
  <si>
    <t>DI centra uzturēšanas izdevumi</t>
  </si>
  <si>
    <t>DI centra pakalpojumi (projekts)</t>
  </si>
  <si>
    <t>Ādažu novada  Mākslu skola</t>
  </si>
  <si>
    <t>DI projekts- specializētās darbnīcas</t>
  </si>
  <si>
    <t>Uzsāktie un atbalstītie projekti</t>
  </si>
  <si>
    <t>Obligātās/gadskārtējās investīcijas</t>
  </si>
  <si>
    <t>Uzsāktie un atbalstītie projekti pavisam kopā:</t>
  </si>
  <si>
    <t>Obligātās/gadskārtējās investīcijas kopā:</t>
  </si>
  <si>
    <t>ieņēmumi no vecāku maksām (PII)</t>
  </si>
  <si>
    <t>ieņēmumi no vecāku maksām (ĀMMS; BJSS)</t>
  </si>
  <si>
    <t>21.3.9.3.</t>
  </si>
  <si>
    <t>ieņēmumi no biļešu realizācijas</t>
  </si>
  <si>
    <t>maksa par izglītības pakalpojumiem</t>
  </si>
  <si>
    <t>pārējie ieņēmumi/stāvvietu ieņēmumi</t>
  </si>
  <si>
    <t>09.5.1.2.</t>
  </si>
  <si>
    <t>KA</t>
  </si>
  <si>
    <t>PII Piejūra</t>
  </si>
  <si>
    <t>uzturēšanas izmaksas (CKS)</t>
  </si>
  <si>
    <t>Muzejs un Carnikavas novadpētniecības centrs</t>
  </si>
  <si>
    <t>0843</t>
  </si>
  <si>
    <t>1014.3</t>
  </si>
  <si>
    <t xml:space="preserve">Pabalsts EUR 50,00 mēnesī ēdināšanai par trešo* bērnu (1,5-7 gadiem). </t>
  </si>
  <si>
    <t>10.2.20.</t>
  </si>
  <si>
    <t>14.10.</t>
  </si>
  <si>
    <t>EKII projekts</t>
  </si>
  <si>
    <t>Draudzības iela posmā no Saules ielai līdz Podnieku ielai ar ietvi 0.35km</t>
  </si>
  <si>
    <t>Dotācija CKS teritorijas uzturēšanai</t>
  </si>
  <si>
    <t>Dotācija CKS ceļu uzturēšanai</t>
  </si>
  <si>
    <t>Teritorijas uzturēšana (Dome)</t>
  </si>
  <si>
    <t>GAUJAS SVĒTKI (Atsevišķa tāme). Prioritāte. Rīcības plānā 11.1.1.2.</t>
  </si>
  <si>
    <t>10.1.12.</t>
  </si>
  <si>
    <t>10.1.13.</t>
  </si>
  <si>
    <t>10.1.14.</t>
  </si>
  <si>
    <t>Precizēta summa pēc līguma noslēgšanas</t>
  </si>
  <si>
    <t>Tiek ieskaitīts reizi ceturksnī.</t>
  </si>
  <si>
    <t>Realizē CKS</t>
  </si>
  <si>
    <t>Par projekta gaitu ziņo izpilddirektors.</t>
  </si>
  <si>
    <t>Par projekta gaitu ziņo CKS.</t>
  </si>
  <si>
    <t>Lielākās izmaksas maijā - Gaujas svētki, pasākumi siltajā sezonā.</t>
  </si>
  <si>
    <t>Lielākās izmaksas - Nēģu svētki, pasākumi siltajā sezonā.</t>
  </si>
  <si>
    <t>Pedagogiem atvaļinājumi vasarā.</t>
  </si>
  <si>
    <t>08412</t>
  </si>
  <si>
    <t>Periods:</t>
  </si>
  <si>
    <t>IEŅĒMUMI</t>
  </si>
  <si>
    <t>IEŅĒMUMI kopā</t>
  </si>
  <si>
    <t>1. Nodokļu ieņēmumi</t>
  </si>
  <si>
    <t>1.1. Iedzīvotāju ienākuma nodoklis</t>
  </si>
  <si>
    <t>1.2. Nekustamā īpašuma nodokļu ieņēmumi</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</si>
  <si>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</si>
  <si>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</si>
  <si>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</si>
  <si>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</si>
  <si>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</si>
  <si>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</si>
  <si>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7. Pašvaldību budžeta transferti</t>
  </si>
  <si>
    <t>8. Budžeta iestāžu ieņēmumi</t>
  </si>
  <si>
    <t>IZDEVUMI</t>
  </si>
  <si>
    <t>IZDEVUMI kopā</t>
  </si>
  <si>
    <t>1. Vispārējie valdības dienesti</t>
  </si>
  <si>
    <t>2. Sabiedriskā kārtība un drošība (bāze)</t>
  </si>
  <si>
    <t>3. Sabiedriskās attiecības, laikraksts</t>
  </si>
  <si>
    <t>4. Autoceļu fonds</t>
  </si>
  <si>
    <t>5. Vides aizsardzība (DRN izlietojums)</t>
  </si>
  <si>
    <t>6. Pašv. teritoriju un mājokļu apsaimniekošana</t>
  </si>
  <si>
    <t>7. Atpūta, kultūra un reliģija</t>
  </si>
  <si>
    <t>8. Sociālā aizsardzība</t>
  </si>
  <si>
    <t>9. Izglītība</t>
  </si>
  <si>
    <t>10. Kredītu pamatsummas atmaksa</t>
  </si>
  <si>
    <t>Rēķins par visu gadu gada sākumā, var nomaksāt 4os maksājumos.</t>
  </si>
  <si>
    <t>Pēc faktiskās izpildes.</t>
  </si>
  <si>
    <t>Par projektiem ziņo IDR</t>
  </si>
  <si>
    <t>Lielākās plāna pozīcijas bērnu radošās nometnes vasarā.</t>
  </si>
  <si>
    <t>1.1. Pārvalde, deputāti, komisijas</t>
  </si>
  <si>
    <t>1.2. Aizņēmumu procentu maksājumi</t>
  </si>
  <si>
    <t>1.3. Iemaksas PFIF</t>
  </si>
  <si>
    <t>6.4. Projekti</t>
  </si>
  <si>
    <t>6.2. ES struktūrfondu līdzekļi un aktivitāšu līdzfin.</t>
  </si>
  <si>
    <t>8.2. Ieņēmumi par nomu un īri</t>
  </si>
  <si>
    <t>6.1. APN, NĪN, TPN, Būvvalde</t>
  </si>
  <si>
    <t>9.6. Privātās izglītības iestādes</t>
  </si>
  <si>
    <t>9.8. Ādažu vidusskola</t>
  </si>
  <si>
    <t>9.9. Ādažu novada  Mākslu skola</t>
  </si>
  <si>
    <t>9.10. Sporta skola</t>
  </si>
  <si>
    <t xml:space="preserve">9.11. Izglītības un jauniešu lietu pārvalde </t>
  </si>
  <si>
    <t>9.12. Projekti</t>
  </si>
  <si>
    <t>9.2. Ādažu PII "Strautiņš"</t>
  </si>
  <si>
    <t>9.3. Kadagas PII "Mežavēji"</t>
  </si>
  <si>
    <t>9.4. Carnikavas PII "Riekstiņš"</t>
  </si>
  <si>
    <t>9.5. Siguļu PII "Piejūra"</t>
  </si>
  <si>
    <t>9.1. Norēķini ar pašvaldībām par izglītības iestāžu pakalp.</t>
  </si>
  <si>
    <t>Līdzfinansējums skolēnu dalībai konkursos</t>
  </si>
  <si>
    <t>Izglītības un jaunatnes nodaļa</t>
  </si>
  <si>
    <t>0633.6</t>
  </si>
  <si>
    <t>Saskaņā ar pielikumu</t>
  </si>
  <si>
    <t>Mazās infrastruktūras atjaunošana visā novadā</t>
  </si>
  <si>
    <t>Tūrisms</t>
  </si>
  <si>
    <t>VPDK Arnika -Tautas deju festivāls "Jādejo, lai būtu prieks"</t>
  </si>
  <si>
    <t>Kora Undīne - Koru kari</t>
  </si>
  <si>
    <t>ANM pasākuma "Atbalsta pasākumi cilvēkiem ar invaliditāti mājokļu vides pieejamības nodrošināšanai" projekts</t>
  </si>
  <si>
    <t>09826</t>
  </si>
  <si>
    <t>Ādažu vidusskolas ēkas A korpusa, savienojuma daļas starp korpusiem (A un B), kā arī, vidusskolas centrālās daļas, tai skaitā torņa fasādes atjaunošana.</t>
  </si>
  <si>
    <t xml:space="preserve">SN Zupas virtuve </t>
  </si>
  <si>
    <t xml:space="preserve">Daudzbērnu ģimenes pabalsts EUR 50,00 apmērā bērniem no 7-24 g.v.  </t>
  </si>
  <si>
    <t>no tiem, iezīmētiem mērķiem:</t>
  </si>
  <si>
    <t>KA uz 31.12.2024.</t>
  </si>
  <si>
    <t>APN</t>
  </si>
  <si>
    <t>0632.6</t>
  </si>
  <si>
    <t>LIFE NewBauhaus projekts</t>
  </si>
  <si>
    <t>ĀNP 28.12.2022. lēmums Nr. 598</t>
  </si>
  <si>
    <t>Krastupes ielas projekts</t>
  </si>
  <si>
    <t>0930.2</t>
  </si>
  <si>
    <t>Jaunatnes nodaļa</t>
  </si>
  <si>
    <t>TN "Ozolaine"</t>
  </si>
  <si>
    <t xml:space="preserve">ĀVS sākumskola                                                                                                                                                      </t>
  </si>
  <si>
    <t>3. VĒRTĒJAMĀS investīcijas</t>
  </si>
  <si>
    <t>2. OBLIGĀTĀS. GADSKĀRTĒJĀS investīcijas:</t>
  </si>
  <si>
    <t>1. UZSĀKTIE projekti:</t>
  </si>
  <si>
    <t>3. VĒRTĒJAMĀS investīcijas:</t>
  </si>
  <si>
    <t>4. Zemsvītras ATBALSTĪTĀS investīcijas:</t>
  </si>
  <si>
    <t>4. Zemsvītras ATBALSTĪTĀS investīcijas prioritārā secībā</t>
  </si>
  <si>
    <t>Kalngales ietves seguma atjaunošana ietvei pie P1</t>
  </si>
  <si>
    <t>Dzirnupes ielas tilta projekts, Carnikava</t>
  </si>
  <si>
    <t xml:space="preserve">Pārējās privātās PII </t>
  </si>
  <si>
    <t>N</t>
  </si>
  <si>
    <t>Ā</t>
  </si>
  <si>
    <t>Prioritāte:</t>
  </si>
  <si>
    <r>
      <t>Kredītu pamatsummas atmaksa</t>
    </r>
    <r>
      <rPr>
        <b/>
        <i/>
        <sz val="9"/>
        <color theme="1"/>
        <rFont val="Arial"/>
        <family val="2"/>
        <charset val="186"/>
      </rPr>
      <t xml:space="preserve"> (Investīciju finansēšanai)</t>
    </r>
  </si>
  <si>
    <t>Prioritāte 1</t>
  </si>
  <si>
    <t>INVESTĪCIJAS kopā:</t>
  </si>
  <si>
    <t>KA realizējot "Priotitāte 1" investīcijas:</t>
  </si>
  <si>
    <t>1. Pašvaldības finansējums UZSĀKTAJIEM projektiem:</t>
  </si>
  <si>
    <t>Publiskās ārtelpas izveide Gaujas ielā 31 Ādažos</t>
  </si>
  <si>
    <t>0648</t>
  </si>
  <si>
    <t>Attekas ielas turpinājums 0,5 km - projektēšana</t>
  </si>
  <si>
    <t>Valsts finansējums projektu konkursā "Atbalsts jaunatnes politikas īstenošanai vietējā līmenī" Projekts "Mobilais darbs ar jaunatni Ādažu novadā"</t>
  </si>
  <si>
    <t>Projekts par energokopienām. Magliano Alpi pašvaldības Itālijā CERV Town Twinning programmas projektsa ietvaros</t>
  </si>
  <si>
    <t>Projekts jauniešu asociāciju federācija Eiropas mobilitātei. CERV programmas projekts "YOUTth and democracy: empowering Europe's next generation"</t>
  </si>
  <si>
    <t>21.3.9.9.; CKS</t>
  </si>
  <si>
    <t>Pensionāru balle</t>
  </si>
  <si>
    <t>AM līdzfinansējums Vecštāles ceļa rekonstrukcijai</t>
  </si>
  <si>
    <t>7.1.4.</t>
  </si>
  <si>
    <t xml:space="preserve">ESF projekts Atbalsts priekšlaicīgas mācību pārtraukšanas samazināšanai © </t>
  </si>
  <si>
    <t>10.1.15.</t>
  </si>
  <si>
    <t>projekti Erasmus+; NordPlus</t>
  </si>
  <si>
    <t xml:space="preserve">Apgaismes stabi Attekas ielas savienojumā no Ķiršu līdz Draudzības ielai. </t>
  </si>
  <si>
    <t>CKS atlikums 02.01.2024.</t>
  </si>
  <si>
    <t>10.2.7.</t>
  </si>
  <si>
    <t>- uzturēšanas izmaksas (CKS)</t>
  </si>
  <si>
    <t>sākumskolas uzturēšanas izmaksas (CKS)</t>
  </si>
  <si>
    <t>-  sporta funkcijas nodrošināšana</t>
  </si>
  <si>
    <t>AND trūkstošais finansējums uz, ko jāatmaksā citām pašv.</t>
  </si>
  <si>
    <t>Jaunas pirmsskolas izglītības iestādes Podniekos būvniecība</t>
  </si>
  <si>
    <t>0903</t>
  </si>
  <si>
    <t>12.2.3.0.</t>
  </si>
  <si>
    <t>18.6.2.14.</t>
  </si>
  <si>
    <t>18.6.2.20.</t>
  </si>
  <si>
    <t>MD pedagogiem</t>
  </si>
  <si>
    <t>MD interešu izglītība</t>
  </si>
  <si>
    <t>MD mācību līdzekļiem</t>
  </si>
  <si>
    <t>0954.1</t>
  </si>
  <si>
    <t>09821.1</t>
  </si>
  <si>
    <t>- pedagogu algas, māc. līdzekļi (mērķdotācija)</t>
  </si>
  <si>
    <t>Pārvalde</t>
  </si>
  <si>
    <t>Pašvaldības DRN maksājums</t>
  </si>
  <si>
    <t>Projekts noslēdzies, konta atlikums.</t>
  </si>
  <si>
    <t>0632.7</t>
  </si>
  <si>
    <t>Atņemts EKK 7230, jo tā izpilde nāk no CKS</t>
  </si>
  <si>
    <t>1.3. Atbilstoši plānam.</t>
  </si>
  <si>
    <t>Kļavu ielā divkārtas virsmas apstrāde 0.35km</t>
  </si>
  <si>
    <t>Mežmalas ielas seguma vienkāršotā atjaunošana, 0.22km, Alderi</t>
  </si>
  <si>
    <t>0649 Ielu un ceļu uzturēšana</t>
  </si>
  <si>
    <t>DI centra uzturēšanas izdevumi (CKS)</t>
  </si>
  <si>
    <t>Uzturēšanas izdevumi (CKS)</t>
  </si>
  <si>
    <t>8.9.</t>
  </si>
  <si>
    <t>0631.2</t>
  </si>
  <si>
    <t>0634.1</t>
  </si>
  <si>
    <t>Jaunais plūdu projekts - 2.1.3.2. "Nacionālas nozīmes plūdu un krasta erozijas pasākumi" 1.daļa</t>
  </si>
  <si>
    <t xml:space="preserve">Par projekta gaitu ziņo izpilddirektors. </t>
  </si>
  <si>
    <t>8.1. Maksa par izglītības pakalpojumiem u.c. ieņēmumi</t>
  </si>
  <si>
    <t>2. Izpilde atbilstoši plānotajam.</t>
  </si>
  <si>
    <t>Līdzdalības budžets</t>
  </si>
  <si>
    <t>0940.2</t>
  </si>
  <si>
    <t>0940.3</t>
  </si>
  <si>
    <t>Carnikavas vidusskola</t>
  </si>
  <si>
    <t>Norēķini notiek 3x gadā.</t>
  </si>
  <si>
    <t>DELL PowerEdge 760 ar 12.gab.cietajiem diskiem -30000eur ar PVN (Jāmaina vecie serveri: 2x DELL PowerVault MD3400; 2x DELL PowerEdge 520 (13.09.2012 un 04.04.2013); IBM System x3400 M3 (29.08.2012); Serveris Lenovo System x3550 M5, Windows Svr 2016 (26.05.2017))</t>
  </si>
  <si>
    <t>Dalības maksa Elvi Florbola Virslīgā + spēlētāju licenzes</t>
  </si>
  <si>
    <t>Tiks papildināts pēc amatiermākslas kolektīvu pieteikumu saņemšanas</t>
  </si>
  <si>
    <t>Domes lēmums</t>
  </si>
  <si>
    <t>Senioru balle</t>
  </si>
  <si>
    <t>SDK Tacis tautas deju  lielkoncerts ar viesu kolektīviem</t>
  </si>
  <si>
    <t>Skolēnu apbalvošana par augstiem mācību sasniegumiem (balvu fonds), tāme Nr. 19</t>
  </si>
  <si>
    <t>Bērnu un jauniešu nometnes, Tāme Nr. 21</t>
  </si>
  <si>
    <t xml:space="preserve">Skolēnu apbalvošana par augstiem mācību sasniegumiem (apbalvošanas pasākums), Tāme Nr.19 </t>
  </si>
  <si>
    <t>ĀNP 28.03.2024. domes lēmums Nr. 115 (2026. gadā tiks saņemta atmaksa)</t>
  </si>
  <si>
    <t>Komentārs</t>
  </si>
  <si>
    <t>Jauniešu iniciatīvu projekti, tāme Nr. 7 (8x500EUR=4000EUR)</t>
  </si>
  <si>
    <t>Žalūzijas + plēves. 47 klases</t>
  </si>
  <si>
    <t>DVS Namejs Arhīva modulis (EUR 8'168) + apmācības</t>
  </si>
  <si>
    <t>Caurteku pārbūve Ādažu novadā</t>
  </si>
  <si>
    <t>iespējams AM finansējums</t>
  </si>
  <si>
    <t>Ādažu vidusskolas D korpusa siltināšana</t>
  </si>
  <si>
    <t>Flīžu demontāža/sienu remonts - kāpņutelpa pie D korp. 0 - 3st.</t>
  </si>
  <si>
    <t xml:space="preserve">Daudzstāvu ēku siltināšanas līdzfinansējums </t>
  </si>
  <si>
    <t>"Upesceļi II/Ūdenstūrisma pieejamības veicināšana (RiverwaysII/Facilitating access to watertourism activities)".</t>
  </si>
  <si>
    <t>0631.3</t>
  </si>
  <si>
    <t>ĀNP KA uz 31.12.2024</t>
  </si>
  <si>
    <t>1) ĀNP KA uz 31.12.2024</t>
  </si>
  <si>
    <t>2) CKS KA uz 31.12.2024</t>
  </si>
  <si>
    <t>Brīvais KA uz 31.12.2024</t>
  </si>
  <si>
    <t>ĀNP 26.10.2023. lēmums Nr. 412.</t>
  </si>
  <si>
    <t xml:space="preserve">ĀNP 25.04.2024. lēmums Nr. 164. </t>
  </si>
  <si>
    <t>LIFE BauhausingEurope pieejas piemērošana sabiedrisko ēku pārveidošanai</t>
  </si>
  <si>
    <t>Jauna PII izbūve Podniekos</t>
  </si>
  <si>
    <t>1018</t>
  </si>
  <si>
    <t>Projekts "Atbalsta pasākumi cilvēkiem ar invaliditāti mājokļu vides pieejamības nodrošināšanai"</t>
  </si>
  <si>
    <t xml:space="preserve">0170 </t>
  </si>
  <si>
    <t xml:space="preserve">Dāvanu kartes 3 kategorijās konkursā "Sakopta vide Ādažu novadā" (3 kategorijas x (1.vieta EUR 140 + 2.vieta 100 EUR + 3.vieta EIR 50) = EUR 870). AP pasākums Ā15.1.1.3. </t>
  </si>
  <si>
    <t xml:space="preserve">Dāvanu kartes 3 kategorijās konkursā "Ziemassvētku noformējums" (3 kategorijas x (1.vieta EUR 100 + 2.vieta 50 EUR + 3.vieta EIR 30) = EUR 540). AP pasākums Ā15.1.1.4. </t>
  </si>
  <si>
    <t xml:space="preserve">Dāvanu kartes konkursā "Sabiedrība ar dvēseli" (3 kategorijas x EUR 50 = EUR 150). AP pasākums Ā15.1.2.1. </t>
  </si>
  <si>
    <t>0904</t>
  </si>
  <si>
    <t>Saimniecības un infrastruktūras daļa</t>
  </si>
  <si>
    <t>0812 (CKS)</t>
  </si>
  <si>
    <t>I.cet. 22%, II.cet.23%. III.cet.27%, IV.cet. 28%</t>
  </si>
  <si>
    <t>O.Vācieša literārā prēmija dzejā: prēmiju fonds (EUR 1500) + apbalvošanas pasākums (EUR 4000)</t>
  </si>
  <si>
    <t>0910 (CKS)</t>
  </si>
  <si>
    <t xml:space="preserve">0920 </t>
  </si>
  <si>
    <t>Kadagas PII "Mežavēji"</t>
  </si>
  <si>
    <t>0920 (CKS)</t>
  </si>
  <si>
    <t>0950 (CKS)</t>
  </si>
  <si>
    <t>0981 (CKS)</t>
  </si>
  <si>
    <t>Ikgadējs projekts, ko realizē CKS</t>
  </si>
  <si>
    <t xml:space="preserve">Iepriekšēju pasākumu atdzimšana - Ugunskuru nakts piekrastē - 1000 EUR, Kopienas plostnieku pasākums Ādažos - 500 EUR, Vasarsvētku danču vakars NC - 1500 EUR, amatnieku pasākums CN pagalmā asarā vai rudenī - 1000 EUR </t>
  </si>
  <si>
    <t>ZIEMAS SADANCIS ĀKC deju kolektīvu koncerts</t>
  </si>
  <si>
    <t>Tradīciju kopa ĀBOLS pasākums</t>
  </si>
  <si>
    <t>CKS Labiekārtošana_Ādaži</t>
  </si>
  <si>
    <t>CKS Energosaimniecība</t>
  </si>
  <si>
    <t>CKS Īpašumu apsaimniekošana</t>
  </si>
  <si>
    <t>Precizēta summa pēc iepirkuma</t>
  </si>
  <si>
    <t>Ziemassvētku paciņa bērniem natūrā 6 EUR ,200 personas  (Bērni - soc. neaizsargātās grupas)</t>
  </si>
  <si>
    <t>Carnikavas skeitparka projektēšana</t>
  </si>
  <si>
    <t>2. OBLIGĀTĀS, GADSKĀRTĒJĀS investīcijas:</t>
  </si>
  <si>
    <t>1. UZSĀKTIE projekti</t>
  </si>
  <si>
    <t>Plūdu projektam izņemtais aizņēmums</t>
  </si>
  <si>
    <t>Ielu apgaismojuma pārbūves projekts Liepu un Tulpju iela Carnikava (no Tulpju 5 pa Liepu līdz Ziedlejām)</t>
  </si>
  <si>
    <t>Jauno uzņēmēju konkurss</t>
  </si>
  <si>
    <t>21.1.9.1.</t>
  </si>
  <si>
    <t>8.3.9.0.; 8.6.1.2.; 8.6.4.0.; 12.3.9.9.</t>
  </si>
  <si>
    <t>pārrobežu projektu ieņēmumi</t>
  </si>
  <si>
    <t>0690</t>
  </si>
  <si>
    <t>3.1.1.</t>
  </si>
  <si>
    <t>3.1.2.</t>
  </si>
  <si>
    <t>5.5.1.</t>
  </si>
  <si>
    <t>5.5.2.</t>
  </si>
  <si>
    <t>5.5.3.</t>
  </si>
  <si>
    <t>5.5.4.</t>
  </si>
  <si>
    <t>5.5.5.</t>
  </si>
  <si>
    <t>5.5.6.</t>
  </si>
  <si>
    <t>5.5.7.</t>
  </si>
  <si>
    <t>5.5.8.</t>
  </si>
  <si>
    <t>5.5.9.</t>
  </si>
  <si>
    <t>5.5.10.</t>
  </si>
  <si>
    <t>5.5.11.</t>
  </si>
  <si>
    <t>5.5.12.</t>
  </si>
  <si>
    <t>5.5.13.</t>
  </si>
  <si>
    <t>5.6.1.</t>
  </si>
  <si>
    <t>5.6.2.</t>
  </si>
  <si>
    <t>5.6.3.</t>
  </si>
  <si>
    <t>5.6.4.</t>
  </si>
  <si>
    <t>5.6.6.</t>
  </si>
  <si>
    <t>5.6.7.</t>
  </si>
  <si>
    <t>5.6.10.</t>
  </si>
  <si>
    <t>5.6.11.</t>
  </si>
  <si>
    <t>5.6.12.</t>
  </si>
  <si>
    <t>5.6.13.</t>
  </si>
  <si>
    <t>5.6.14.</t>
  </si>
  <si>
    <t>5.6.15.</t>
  </si>
  <si>
    <t>5.6.16.</t>
  </si>
  <si>
    <t>6.1.4.</t>
  </si>
  <si>
    <t>7.1.5.</t>
  </si>
  <si>
    <t>7.3.1.</t>
  </si>
  <si>
    <t>7.3.2.</t>
  </si>
  <si>
    <t>7.3.3.</t>
  </si>
  <si>
    <t>7.3.4.</t>
  </si>
  <si>
    <t>8.2.3.</t>
  </si>
  <si>
    <t>8.4.1.</t>
  </si>
  <si>
    <t>8.4.2.</t>
  </si>
  <si>
    <t>8.4.3.</t>
  </si>
  <si>
    <t>8.5.1.</t>
  </si>
  <si>
    <t>8.5.2.</t>
  </si>
  <si>
    <t>8.5.3.</t>
  </si>
  <si>
    <t>8.6.1.</t>
  </si>
  <si>
    <t>8.6.2.</t>
  </si>
  <si>
    <t>8.6.3.</t>
  </si>
  <si>
    <t>8.7.1.</t>
  </si>
  <si>
    <t>8.7.1.1.</t>
  </si>
  <si>
    <t>8.7.1.2.</t>
  </si>
  <si>
    <t>8.7.1.3.</t>
  </si>
  <si>
    <t>8.7.2.</t>
  </si>
  <si>
    <t>8.7.3.</t>
  </si>
  <si>
    <t>8.7.4.</t>
  </si>
  <si>
    <t>8.7.5.</t>
  </si>
  <si>
    <t>8.7.6.</t>
  </si>
  <si>
    <t>8.7.7.</t>
  </si>
  <si>
    <t>8.8.1.</t>
  </si>
  <si>
    <t>8.8.1.1.</t>
  </si>
  <si>
    <t>8.8.1.2.</t>
  </si>
  <si>
    <t>8.8.1.3.</t>
  </si>
  <si>
    <t>8.8.2.</t>
  </si>
  <si>
    <t>8.8.3.</t>
  </si>
  <si>
    <t>8.8.4.</t>
  </si>
  <si>
    <t>8.8.5.</t>
  </si>
  <si>
    <t>8.8.6.</t>
  </si>
  <si>
    <t>8.8.7.</t>
  </si>
  <si>
    <t>8.8.8.</t>
  </si>
  <si>
    <t>8.8.9.</t>
  </si>
  <si>
    <t>8.8.10.</t>
  </si>
  <si>
    <t>8.8.11.</t>
  </si>
  <si>
    <t>8.9.1.</t>
  </si>
  <si>
    <t>8.10.</t>
  </si>
  <si>
    <t>8.10.2.</t>
  </si>
  <si>
    <t>8.10.1.</t>
  </si>
  <si>
    <t>8.11</t>
  </si>
  <si>
    <t>8.12.</t>
  </si>
  <si>
    <t>8.13.</t>
  </si>
  <si>
    <t>8.14.</t>
  </si>
  <si>
    <t>8.15.</t>
  </si>
  <si>
    <t>citi pārrobežu projektu ieņēmumi</t>
  </si>
  <si>
    <t xml:space="preserve">0631.4 </t>
  </si>
  <si>
    <t>Projekts “Infrastruktūras uzlabošana uzņēmējdarbības attīstībai Ādažos”</t>
  </si>
  <si>
    <t>8.18.</t>
  </si>
  <si>
    <t>8.18.1.</t>
  </si>
  <si>
    <t>8.18.2</t>
  </si>
  <si>
    <t>Teritorijas novērtēšana pirms būvprojekta izstrādes un būvprojekts jaunas pamatskolas izveidei Ādažu pilsētā</t>
  </si>
  <si>
    <t>"Blusu" kroga pārbūves tehniskā projekta izstrāde.</t>
  </si>
  <si>
    <t>"Blusu" kroga pārbūves tehniskā projekta izstrāde</t>
  </si>
  <si>
    <t xml:space="preserve">Pagalmu labiekārtošanu līdzfinansējums </t>
  </si>
  <si>
    <t>Prioritāte 2 (Var tikt izskatīts budžeta ekonomijas rezultātā)</t>
  </si>
  <si>
    <t>Mežaparka ceļs I kārta no A1 līdz Mežaparka ceļam 1,1km (ir būvprojekts)</t>
  </si>
  <si>
    <t>Investīcijas energosaimniecības uzlabošanā</t>
  </si>
  <si>
    <t>5.6.4.1.</t>
  </si>
  <si>
    <t>5.6.4.2.</t>
  </si>
  <si>
    <t>5.6.4.3.</t>
  </si>
  <si>
    <t>5.6.5.</t>
  </si>
  <si>
    <t>Investīcijas vides pārvaldībā un uzlabošanā</t>
  </si>
  <si>
    <t>Investīcijas ceļu, ielu infrastruktūras attīstībā un uzlabošanā</t>
  </si>
  <si>
    <t xml:space="preserve">Dzirnupes ielas tilta pārbūve I kārta </t>
  </si>
  <si>
    <t>18.6.2.9.; 18.6.2.6.1.</t>
  </si>
  <si>
    <t xml:space="preserve">Nekustamā īpašuma nodaļa </t>
  </si>
  <si>
    <t>LR kompleksie sporta pasākumi - Florbola komandas dalība Elvi Virslīgā. Dalības maksa + spēlētāju licenzes</t>
  </si>
  <si>
    <t>EKII</t>
  </si>
  <si>
    <t>Carnikavas vidusskola ERASMUS+</t>
  </si>
  <si>
    <t>Carnikava vidusskola Projekts "Nordplus Junior"</t>
  </si>
  <si>
    <t>0990</t>
  </si>
  <si>
    <t>VĒRTĪBAS</t>
  </si>
  <si>
    <t>0631.5</t>
  </si>
  <si>
    <t>1010; 1010.1; 1010.2</t>
  </si>
  <si>
    <t>Projekts “Digitālā darba ar jaunatni sistēmas attīstība pašvaldībās”</t>
  </si>
  <si>
    <t>1010; 1010.3</t>
  </si>
  <si>
    <t>7210 (0940.1)</t>
  </si>
  <si>
    <t>1.3. Dabas resursu nodoklis un azartspēļu nodoklis</t>
  </si>
  <si>
    <t>8.3. Pārrobežu projektu ieņēmumi</t>
  </si>
  <si>
    <t>6.2. Teritorijas uzturēšana</t>
  </si>
  <si>
    <t>6.3. Izdevumi neparedzētiem gadījumiem, līdzdalības budžets</t>
  </si>
  <si>
    <t>1. Nodokļu ieņēmumu izpilde atbilstoši plānotajam.</t>
  </si>
  <si>
    <t>1.1. IIN atbilstoši plānotajam. (I.cet. 22%, II.cet.23%. III.cet.27%, IV.cet. 28%)</t>
  </si>
  <si>
    <t>Par projektu izpildes gaitu ziņo izpilddirektors</t>
  </si>
  <si>
    <t>7. Maksājumi tiek veikti 3 reizes gadā, maksājums par Ādažos deklarēto bērnu skaitu, kas apmeklē citu pašvaldību izglītības iestādes. Pirmais maksājums aprīlī.</t>
  </si>
  <si>
    <t xml:space="preserve">4. Realizē un par izpildi ziņo CKS. </t>
  </si>
  <si>
    <t xml:space="preserve">6.2. Realizē un par izpildi ziņo CKS. </t>
  </si>
  <si>
    <t>6.4.  Par projektu gaitu sīkāk ziņo izpilddirektors.</t>
  </si>
  <si>
    <t>Aizņēmums Skolas ielas rekonstrukcijai</t>
  </si>
  <si>
    <t>6.4.1.</t>
  </si>
  <si>
    <t>6.4.2.</t>
  </si>
  <si>
    <t>14.7.</t>
  </si>
  <si>
    <t>14.8.</t>
  </si>
  <si>
    <t>14.9.</t>
  </si>
  <si>
    <t>0934</t>
  </si>
  <si>
    <t>0935</t>
  </si>
  <si>
    <t>0936</t>
  </si>
  <si>
    <t>Maksājumi tiek veikti 3x gadā</t>
  </si>
  <si>
    <t>1.2. NĪN rēķins par visu gadu gada sākumā, var nomaksāt gan visu uzreiz, gan 4 maksājumos.</t>
  </si>
  <si>
    <t>Laveru sūkņu stacijas pārbūve), kam šo finansējumu uzkrājam.</t>
  </si>
  <si>
    <t>6.3. IIN budžeta dotācija</t>
  </si>
  <si>
    <t>8. Izpilde atbilst plānotajam, jo šeit parādās zemes nomu ieņēmumi vasaras brīvdabas svētkos un ERASMUS+ projektu ieņēmumi.</t>
  </si>
  <si>
    <t>0844.3</t>
  </si>
  <si>
    <t>10.2.21.</t>
  </si>
  <si>
    <t>LEADER projektu realizācija</t>
  </si>
  <si>
    <t>0631.7</t>
  </si>
  <si>
    <t>0631.8</t>
  </si>
  <si>
    <t>0937</t>
  </si>
  <si>
    <t>0631.9</t>
  </si>
  <si>
    <t>10.1.16.</t>
  </si>
  <si>
    <t>ES Kohēzijas fonda projekts "STEM un pilsoniskās līdzdalības norises plašākai izglītības pieredzei un karjeras izvēlei"</t>
  </si>
  <si>
    <t>0953</t>
  </si>
  <si>
    <t>8.8.12.</t>
  </si>
  <si>
    <t>8.8.12.1</t>
  </si>
  <si>
    <t>8.8.12.2.</t>
  </si>
  <si>
    <t>8.8.12.3.</t>
  </si>
  <si>
    <t>09522</t>
  </si>
  <si>
    <t>8.8.12.4.</t>
  </si>
  <si>
    <t>- ES Kohēzijas fonda projekts "STEM un pilsoniskās līdzdalības norises plašākai izglītības pieredzei un karjeras izvēlei"</t>
  </si>
  <si>
    <t>8.7.8.</t>
  </si>
  <si>
    <t>09827</t>
  </si>
  <si>
    <t>09012</t>
  </si>
  <si>
    <t>8.4.4.</t>
  </si>
  <si>
    <t>8.2.4.</t>
  </si>
  <si>
    <t>0922</t>
  </si>
  <si>
    <t>8.3.4.</t>
  </si>
  <si>
    <t>09022</t>
  </si>
  <si>
    <t xml:space="preserve">Strāvas ģenerators </t>
  </si>
  <si>
    <t>Žalūzijas 2 logiem, sensorās istabas telpiskā pārplānošana</t>
  </si>
  <si>
    <t>ārējās žalūzijas 2 logiem. Saules aizsardzībai RIPO provizoriskā tāme</t>
  </si>
  <si>
    <t>Mežgarciema reklāmas kampaņa ārpakalpojumā.</t>
  </si>
  <si>
    <t>Mobilā aplikācija "Mana pilsēta" ar saimniecības darbu atzīmes iespējām  un autorizēto aptauju veikšanu. Abonēšanas maksa mēnesī ir  900 eiro bez PVNx12, ieviešanas maksa 3000 eiro bez PVN, PVN =2898, kopā 16 698, neierobežotas iespējas veidot deklarēto iedzīvotāju aptaujas.</t>
  </si>
  <si>
    <t>Braucieni uz Igauniju un Somiju, uz Interreg projekta "Upesceļi II" sanāksmēm, 2 cilvēkiem, 3 dienām, EUR 40 dienā Igaunijā, EUR 55 dienā Somijā (Igaunija: EUR 40 x 2 cilvēki x 1 brauciens x 3 dienas = EUR 240; Somija: EUR 55 x 2 cilvēki x 1 brauciens x 3 dienas = EUR 330). ĀNP 17.01.2024. lēmums Nr. 2, AP pasākums Ā14.1.9.3.</t>
  </si>
  <si>
    <t>Braucieni uz Igauniju un Somiju, uz RPR organizēto projektu ietvaros, 1 cilvēkam, 3 dienām, EUR 40 dienā Igaunijā, EUR 55 dienā Somijā (Igaunija: EUR 40 x 1 cilvēks x 1 brauciens x 3 dienas = EUR 120; Somija: EUR 55 x 1 cilvēks x 1 brauciens x 3 dienas = EUR 165). ĀNP 26.10.2023. lēmums Nr. 412, AP pasākums Ā7.1.2.3.</t>
  </si>
  <si>
    <t>IIA izstrāde jaunā uzņēmējdarbības projekta pieteikumam</t>
  </si>
  <si>
    <t>Obligāts pielikums projekta pieteikumam</t>
  </si>
  <si>
    <t>Uzņēmējdarbības jomas aktivitzēšanas aktivitāšu īstenošana (pasākumi)</t>
  </si>
  <si>
    <t>SEB bankas grantu konkurss "Iedvesma"</t>
  </si>
  <si>
    <t>Ādažu novada domes nolikums “Iniciatīvas projektu finansēšanas kārtība Ādažu novada pašvaldībā”. 2025.gadā piešķirtais, kas pārceļas uz 2026.gadu. AP pasākums Ā15.1.2.4.</t>
  </si>
  <si>
    <t xml:space="preserve"> 2026 gadā no 18.06-20.06 Valmierā. Saņemts pasākuma projekts. Dalībnieku formu nodrošināšana, ēdināšana , naktsmītnes.</t>
  </si>
  <si>
    <t>Pārvietojamo tribīņu papildināšana Carnikavas stadionam</t>
  </si>
  <si>
    <t>Lieldienu sarīkojumi</t>
  </si>
  <si>
    <t xml:space="preserve">Latvijas Neatkarības atjaunošanas diena "Baltā galdauta svētki" </t>
  </si>
  <si>
    <t xml:space="preserve">LĪGO svētki Ādažos </t>
  </si>
  <si>
    <t>Gaujas parka koncerts - brīvdabas pasākums (jūlijā vai augustā)</t>
  </si>
  <si>
    <t xml:space="preserve">Latvijas Valsts svētku sarīkojumi (programmas, svinīgais sarīkojums Kultūras centrā ) </t>
  </si>
  <si>
    <t xml:space="preserve">Ādažu Ziemassvētku egles iedegšana </t>
  </si>
  <si>
    <t>ĀKC deju kolektīvu  un vieskolektīvu tradicionālie koncerti (2 pasākumix EUR 200)</t>
  </si>
  <si>
    <t>ĀKC senioru vokālo ansambļu sadziedāšanās " Dziesmu putenis"</t>
  </si>
  <si>
    <t>ĀKC kora MUNDUS populārās mūzikas koncerts</t>
  </si>
  <si>
    <t>ĀKC kora SAKNES 10 gadu jubilejas koncerts. Režisors, dziesmu aranžijas, pavadošā mūziķu grupa(5), dekorācijas, tērpu noma</t>
  </si>
  <si>
    <t xml:space="preserve">ĀKC kora JUMIS 40 gadu jubilejas koncerts. Pavadošā mūziķu grupa (5) un viesmākslinieki (3) </t>
  </si>
  <si>
    <t>Tiek tirgotas ĀKC biļetes</t>
  </si>
  <si>
    <t>Amatierteātris KONTAKTS iestudējums</t>
  </si>
  <si>
    <t xml:space="preserve">Trīs 20 gadu jubilejas pasākumi </t>
  </si>
  <si>
    <t>Iedzīvotāju kultūras iniciatīvu projektu atbalstam, nolikumā paredzētā summa</t>
  </si>
  <si>
    <t>Kora SAKNES koncerttērpu izgatavošana (35 sieviešu kleitas)</t>
  </si>
  <si>
    <t>Korim pastāvēšanas laikā sieviešu tērpi nav izgatavoti. Izmanto privāti šūtos tērpus.</t>
  </si>
  <si>
    <t>Šāda jauna tērpu komplekta izgatavošana izmaksātu ap EUR 8000</t>
  </si>
  <si>
    <t xml:space="preserve">Muzikālie pikniki un maksas koncerti </t>
  </si>
  <si>
    <t>3-4 muzikālie pikniki atkarībā no mūziķu honorāra un maksas iekštelpu koncerts</t>
  </si>
  <si>
    <t xml:space="preserve"> Zaļumballe Zvejnieksvētku ieskaņā</t>
  </si>
  <si>
    <t>Saskaņā ar 2025.gada tāmi izmaksu palielinājums</t>
  </si>
  <si>
    <t>Finansējums tāpat kā Gaujas svētkiem saistībā ar cenu kāpumu</t>
  </si>
  <si>
    <t>SDK Tacis 15.gadu jubilejas koncerts</t>
  </si>
  <si>
    <t>15 gadu jubileja Pasākuma vadītājs, ziedi, piemiņas balvas, muzikālais noformējums</t>
  </si>
  <si>
    <t>Jauktā kora "Vēja balss" 15 gadu Jubilejas koncerts - finansējums jaundarbu pasūtīšanai</t>
  </si>
  <si>
    <t>15 gadu jubileja - jauni skaņdarbi korim speciāli 15 gadu jubilejai</t>
  </si>
  <si>
    <t>JDK "Abi divi"  dalība Liepājas jauniešu deju svētkos - ēdināšanas izmaksas</t>
  </si>
  <si>
    <t>JDK "Abi divi"  25 gadu Jubilejas koncerts</t>
  </si>
  <si>
    <t>25 gadu jubileja Pasākuma vadītājs, ziedi, piemiņas balvas, muzikālais noformējums</t>
  </si>
  <si>
    <t xml:space="preserve">Vokāli instrumentālā ansambļa "Piloti" koncerti </t>
  </si>
  <si>
    <t>Amatierteātra Nagla divas pirmizrādes</t>
  </si>
  <si>
    <t>Tēlotājmākslas studijas SIDRABOTA 20 gadu Jubileja</t>
  </si>
  <si>
    <t>20 gadu jubileja Pasākuma vadītājs, ziedi, piemiņas balvas, muzikālais noformējums</t>
  </si>
  <si>
    <t>Tēlotājmākslas studijas SIDRABOTA kvalifikācijas celšanas meistarklase ar gleznotāju Kasparu Zariņu</t>
  </si>
  <si>
    <t>Jauktā kora "Vēja balss" 15 gadu Jubilejas koncerts -koncerttērpu izgatavošanu</t>
  </si>
  <si>
    <t>Koncerttērpi korim nekad nav izgatavoti, ir tautastērpi.
37 gab Kleitas dāmām x 208 EUR                 15 gab Uzvalks vīriem x 229 EUR             15 gab Kaklasaite/tauriņš vīriem x 9 EUR</t>
  </si>
  <si>
    <t>Novada reprezentācijas telts nodrošināšana un pārvietojamie baneri Gaujas, Nēģu svētku un citu novada pasākumu laikā</t>
  </si>
  <si>
    <t>Āra sporta laukuma līdzsvara baļķis SIA Jūrmalas "Mežaparki" EUR 127</t>
  </si>
  <si>
    <t>Āra sporta laukuma kāpšanas tīkli WRK69 SIA Jūrmalas "Mežaparki" EUR 1494</t>
  </si>
  <si>
    <t>Āra sporta laukuma vingrošanas aprīkojums WRK40-1 SIA Jūrmalas "Mežaparki" EUR 897</t>
  </si>
  <si>
    <t>Āra sporta laukuma virvju siena WRK39-I SIA Jūrmalas "Mežaparki" EUR 898</t>
  </si>
  <si>
    <t>Āra sporta laukuma WRK41 Tilts ar pretslīdes plāksni SIA Jūrmalas "Mežaparki" EUR 1139</t>
  </si>
  <si>
    <t>Āra sporta laukuma Līdzsvara taka LT6-S SIA Jūrmalas "Mežaparki" EUR 1771</t>
  </si>
  <si>
    <t>Āra koka namiņi 1.6.-3 gadīgo bērnu rotaļlaukuma labiekārtošanai. 2*EUR1850=EUR 3700</t>
  </si>
  <si>
    <t>Aprikojums āra (šupoles+kalniņš) 1.grupai</t>
  </si>
  <si>
    <t>Baseina ūdens vingrošnas vajadzībām televizora un programmas noma (EUR 300/ mēn) EUR 2'700</t>
  </si>
  <si>
    <t>Iespēja uzlikt programmu un vingrot līdzi.</t>
  </si>
  <si>
    <t>Rūtas 30 gadu jubileja</t>
  </si>
  <si>
    <t>Skolas 40 gadu salidojums</t>
  </si>
  <si>
    <t>Skolēnu galdi (A-103) 19 gab</t>
  </si>
  <si>
    <t>Skolēnu krēsli (A103) 38 gab</t>
  </si>
  <si>
    <t>Krēsli skolēniem 216.kab 32 gab</t>
  </si>
  <si>
    <t>Krēsli skolēniem 223.kab 32 gab</t>
  </si>
  <si>
    <t>Krēsli skolēniem 219. kab 16 gab</t>
  </si>
  <si>
    <t>Skolēnu galdi (B-106) 19 gab</t>
  </si>
  <si>
    <t>Skolēnu krēsli (B-106) 38 gab</t>
  </si>
  <si>
    <t>Dokstacijas ar displaylink atbalstu mācību klasēs IZM portatīvo datoru izmantošanai 80 gab. x 200 (ĀVS abās ēkās)</t>
  </si>
  <si>
    <t>Datoru uzlādes skapji, ja IZM nepiešķir!</t>
  </si>
  <si>
    <t>Koncerttērpi koklētājiem (6 gb * 280 Eur)</t>
  </si>
  <si>
    <t>Koncerttērpi dejotājiem (B.Miķelsonei) (20 gb * 30 Eur)</t>
  </si>
  <si>
    <t>Koncerttērpi dejotājiem (L.Jasmane) (20*28,5Eur)</t>
  </si>
  <si>
    <t>Koncerttērpi dejotājiem (L.Jasmane) (38*56,5 Eur)</t>
  </si>
  <si>
    <t>Apple MacBook Pro 16</t>
  </si>
  <si>
    <t>ĀNMS regulāri veido digitālo saturu — foto, video un audio materiālus  gan mācību procesam, gan sabiedriskajām aktivitātēm (koncertiem, konkursiem un mārketingam). Ņemot vērā lielo failu un darba apjomu, esošais Windows OS dators vairs nespēj kvalitatīvi nodrošināt šos procesus. Tā jauda ir nepietiekama, programmas strādā lēni un apstrāde aizņem nesamērīgi daudz laika. Šī jaunā datora iegāde būtiski uzlabos darba efektivitāti, samazinās tehniskos traucējumus un nodrošinās augstas kvalitātes mācību un publicitātes materiālu sagatavošanu. Tas ir ilgtermiņa ieguldījums skolas digitālās vides un vizuālās identitātes attīstībā.</t>
  </si>
  <si>
    <t>Jau 2 gadus invenstīcijās netika atbalstīts. Šobrīd tērējam skaņošanai un remontdarbiem "mirušā" instrumentā.</t>
  </si>
  <si>
    <t>Sporta skola papildus prasīs 2 vakances - metodiķis un fizioterapeits. Ja šīs vakances tiek apstiprinātas, nepieciešams:
1) EUR 250 Biroja galds;
2) EUR 3'200 datori 2gb;
3) EUR 1'500 medicīnas kušete;
4) ~ EUR 3'000 plaukti inventāram.</t>
  </si>
  <si>
    <t>Ziemassvētku pabalsts 25 EUR ,400 personas *25=10000 (Soc. neaizsargātās grupas)</t>
  </si>
  <si>
    <t>Pabalsts par ēdināšanu 5.-9. klase 1000 bērni 9 mēneši gadā</t>
  </si>
  <si>
    <t>Skolēnu galdi un krēsli (divvietīgs galds un divi krēsli 420,00) vienam stāvam (2026.) (5 kabineti)</t>
  </si>
  <si>
    <t xml:space="preserve">Triju sēdvietu krēsli </t>
  </si>
  <si>
    <t>Noliktavu plaukti</t>
  </si>
  <si>
    <t>Motorizētas žalūzijas aulas logiem</t>
  </si>
  <si>
    <t>Transporta kompensācija pedagogiem</t>
  </si>
  <si>
    <t>Vienvietīgs krēsls ar polipropilēna sēdvietu un 5-staru zvaigzni ar riteņiem, 120 skolēniem</t>
  </si>
  <si>
    <t>Vienvietīgs skolas galds ar regulējamugalda augstumu, 30 skolēniem</t>
  </si>
  <si>
    <t>Nolokāms divvietīgs galds uz riteņiem, 56 skolēniem</t>
  </si>
  <si>
    <t>Interaktīvie ekrāni speciālajām klasēm</t>
  </si>
  <si>
    <t>0982_tames (Tāme Nr.2)</t>
  </si>
  <si>
    <t>1.-3.klašu kolektīvā ir 68 dejotāji (18 zēni un 50 meitenes)</t>
  </si>
  <si>
    <t>Divu speciālo klašu un sensorās telpas izveide</t>
  </si>
  <si>
    <t>Laboratorijas pārveide par klasi</t>
  </si>
  <si>
    <t>Bibliotēkas pārveide par klasi</t>
  </si>
  <si>
    <t>Bibliotēkas izveide multizālē</t>
  </si>
  <si>
    <t>Papildus ventilācijas nosūces kapes kabinetos (250, 346.)</t>
  </si>
  <si>
    <t>Mangaļu SS pārbūve (būvprojekts) jāpārceļ no 2025. gada.</t>
  </si>
  <si>
    <t>Attekas ielas turpinājums 0,5km (projekts)</t>
  </si>
  <si>
    <t>Skolas iela 0.77km, Ādaži, Ādaži Gājēju ietve, bruģis, satiksmes organizācija</t>
  </si>
  <si>
    <t>Ķiršu ielas pārbūve 0.17km (ir būvprojekts)</t>
  </si>
  <si>
    <t xml:space="preserve">0490 </t>
  </si>
  <si>
    <t>RPR un VARAM konkurss "Remigrācijas atbalsta pasākums – uzņēmējdarbības atbalsts" -  pasākums Ā7.1.2.3. ĀNP 26.10.2023. lēmums Nr. 412.</t>
  </si>
  <si>
    <t>2 tribīnes. Nepieciešamas vismaz 4 tribīnes. Futbola, vieglatlētikas sacensību laikā, skatītājiem nav sēdvietu. Var izmantot arī citos pasākumos skatītāju vietu nodrošināšanai.</t>
  </si>
  <si>
    <t>ĀSC sporta zāles sienu remonts (finiera paneļu uzstādīšana)</t>
  </si>
  <si>
    <t>Ādažu sporta centra ēkas energoefiktivitātes paaugstināšana būvdarbi</t>
  </si>
  <si>
    <t>Ādažu sporta centra ēkas energoefiktivitātes paaugstināšana būvuzraudzība</t>
  </si>
  <si>
    <t>Ādažu sporta centra ēkas energoefiktivitātes paaugstināšana autoruzraudzība</t>
  </si>
  <si>
    <t xml:space="preserve">0902 </t>
  </si>
  <si>
    <t>Siguļu PII "Piejūra"</t>
  </si>
  <si>
    <t>Rotaļu iekārtas</t>
  </si>
  <si>
    <t>Būvprojekta izstrāde inženierkomunikāciju pārbūvei PII "Strautiņš" Pirmā iela 26A, Ādaži</t>
  </si>
  <si>
    <t xml:space="preserve">Centrālās bērnudārza ēkas apmetuma fasādes  krāsošana. </t>
  </si>
  <si>
    <t xml:space="preserve">Āra laukumu seguma nomaiņa (pie 6 smilšu kastēm) Koka seguma demontāža, pamatnes sagatavošana, ģeotekstila ieklāšana un smilšu piebēršana. </t>
  </si>
  <si>
    <t xml:space="preserve">Skolēnu vasaras nodarbinātība - darba samaksa, (15-20 gadi) Tāme 0930.2 Nr.1 </t>
  </si>
  <si>
    <t xml:space="preserve">Skolēnu vasaras nodarbinātība - darba samaksa, (13-15 gadi) Tāme 0930.2 Nr.1 </t>
  </si>
  <si>
    <t xml:space="preserve"> Video novērošanas kameras iekštelpās un ārā. Tāme 0930.2 Nr.10., 11.</t>
  </si>
  <si>
    <t>Mīkstais inventārs Deju kolektīvam "Rūta"</t>
  </si>
  <si>
    <t>Būvprojekta izstrāde inženierkomunikāciju pārbūvei Ādažu vidusskolā Gaujas ielā 30, Ādaži</t>
  </si>
  <si>
    <t>Āra teritorija. Trotuāra seguma atjaunošana. (asfalts) Trotuārs gar Lauku ielu, un no Lauku ielas līdz Sporta centram.</t>
  </si>
  <si>
    <t>Āra teritorija. Atbalsta sienu demontāža/izbūve. (Atbalsta sienas kritiskā stāvoklī)</t>
  </si>
  <si>
    <t>Video novērošana pa skolas perimetru ar uzstādīšanu</t>
  </si>
  <si>
    <t>Traktortehnikas iegāde (Raideris - pļaušana, sniega tīrīšana)</t>
  </si>
  <si>
    <t>Iekārtas 12000,-. Projekts un uzstādīšana 18000,-. Pašlaik skolai perimetra uzraudzībai ir 1! kamera.</t>
  </si>
  <si>
    <t>Esošais Raideris stipri nolietots (Patstāvīgi tiek lietots, kopš 2017.gada - gan ziemā, gan vasarā)</t>
  </si>
  <si>
    <t>Deju tērpi Rūta</t>
  </si>
  <si>
    <t>Soliņu virsmu nomaiņa pie galvenās skolas ieejas</t>
  </si>
  <si>
    <t>Žoga uzstādīšana skolas priekšpusē</t>
  </si>
  <si>
    <t xml:space="preserve">Deju tērpi </t>
  </si>
  <si>
    <t>Ādažu tirgus laukuma nojumes 10 gb. x 5000 eur</t>
  </si>
  <si>
    <t>CKS Labiekārtošana_Carnikava</t>
  </si>
  <si>
    <t>Ielas apgaismojuma izbūve un projektēšana Baltezera iela  (2.6 km)</t>
  </si>
  <si>
    <t>Ielas apgaismojuma izbūve un projektēšana  Pureņu iela, Garupe (1,2 km)</t>
  </si>
  <si>
    <t>Ielas apgaismojuma izbūve un projektēšana Alderu iela Baltezers (1.9 km)</t>
  </si>
  <si>
    <t>Ielas apgaismojuma izbūve un projektēšana Zušu, Baltkrastu, Kalndores un Veckūlu iela Alderi (1.6 km)</t>
  </si>
  <si>
    <t>Ielas apgaismojuma izbūve un projektēšana Vētru iela, P1 , Garupe  (1 km)</t>
  </si>
  <si>
    <t>Ielas apgaismojuma izbūve un projektēšana Lapmežu iela, Garkalne  (0.4 km)</t>
  </si>
  <si>
    <t>Ielas apgaismojuma izbūve un projektēšana  Torņa iela, Garciems (no P1 līdz Langas ielai 0.26 km)</t>
  </si>
  <si>
    <t>Buss, operatīvais līzings (pirmā iemaksa 5000 eur + 6 mēn noma)</t>
  </si>
  <si>
    <t>CKS/ DRN</t>
  </si>
  <si>
    <t>Ēkas nojaukšana Pirmā iela 44b (garāžas nojaukšana ielu savienojuma izbūvei starp Pirmo un Attekas ielu)</t>
  </si>
  <si>
    <t>Jauna siltummezgla un siltumtrases izbūve, Gaujas iela 16, Ādaži</t>
  </si>
  <si>
    <t>Carnikavas kapsētas paplašināšana - būvprojekta izstrāde</t>
  </si>
  <si>
    <t>Pārbūves projekts, Mežciema ielā 26</t>
  </si>
  <si>
    <t>Ēku nojaukšana Dzirnupes ielā 3</t>
  </si>
  <si>
    <t>Sabiedriskās tualetes remonts, Jūras iela 3A, Carnikava (t.sk. santehnisko iekārtu uzstādīšana)</t>
  </si>
  <si>
    <t>Sabiedriskās tualetes remonts, Stacijas iela 2, Carnikava (t.sk. santehnisko iekārtu uzstādīšana)</t>
  </si>
  <si>
    <t>Rotaļu iekārtas uzstādīšana Kalngalē un Carnikavas parkā</t>
  </si>
  <si>
    <t>Rotaļu iekārta Līgo laukums</t>
  </si>
  <si>
    <t>Koka galdi ar soliem un jumtu 5gb., Novadpētniecības centrs</t>
  </si>
  <si>
    <t>Metāla konteiners ar dēļu apšuvumu, Novadpētniecības centrs</t>
  </si>
  <si>
    <t>Nojume - koka zvejas kutera novietošanai, Novadpētniecības centrs</t>
  </si>
  <si>
    <t>Būvprojekta izstrāde, Gaujas iela 16</t>
  </si>
  <si>
    <t>Rotaļu iekārtas uzstādīšana Upmalās (šķēršļu trase, namiņš ar slidkalniņu, šūpoles)</t>
  </si>
  <si>
    <t>CKS Hidromeliorācija</t>
  </si>
  <si>
    <t>Laveru sūkņu stacijas pārbūve (dalīts finansējums 111 646 eur no DRN, 63 854 eur no dotācijas) Domes lēmums nr.354, 11.09.2024, t.sk. 270 000 eur ELFLA līdzfinansējums (2024./2025. gadā plānota būvprojekta izstrāde 60 500 eur), (304 750 eur pašvaldības finansējums no dabas resursu nodokļa atlikuma un 2025. un 2026. gada ieņēmumiem), kopējās plānotās izmaksas 635 250 eur. 2025. gada izmaksas 175 500 eur, 2026. gada izmaksas 459 750 eur, tsk. LAD finansējums. Izmaksas precizēsies pēc iepirkumu rezultātiem. Domes lēmums 30.01.2025, būvprojekta izstrāde 72 721 eur, būvniecība 292 529 eur 25. un 26. gada DRN</t>
  </si>
  <si>
    <t xml:space="preserve">Būvprojekta izstrādes termiņš ir līdz 30.10.2025 (līgums noslēgts ar SIA "Profecto"). 2025.gada novembra mēnesī tiks veikts iepirkums uz būvniecību. Būvniecība notiks sākot no 2026.gada. 2025.gadā tiks samaksāts 72721 eur ar PVN par būvprojekta izstrādi. Būvniecības un būvuzraudzības cenas konkrēti būs redzamas pēc iepirkuma rezultātiem. LAD piešķirtais finansējums ir 270 000 eur. 2025.gadā tika paredzēts 175 500 eur, bet tiks izmantoti tikai 72 721 eur par būvprojekta izstrādi. Norādīju summu kopējo 562 529 eur ar PVN t.sk. LAD finansējums 270 000 eur. Bet ja rēķinam bez LAD finansējuma, tad pašvaldības nauda sanāk 292 529 eur ar PVN. Šī summa varētu mainīties pēc būvniecības un būvuzraudzības iepirkuma veikšanas un sūkņu stacijas būvdarbi varētu turpināties arī 2027.gadā. </t>
  </si>
  <si>
    <t>Stapriņu grāvja pārbūves būvprojekta izstrāde (garums 5,822km)</t>
  </si>
  <si>
    <t>Kalngalē (2 gab.) uz Ērgļu ielas, Āpšu un Mežciema ielas krustojumā, Garciems (1.gab.). Šajā gadā bija nepieciešams pārbūvēt jau trīs caurtekas.</t>
  </si>
  <si>
    <t xml:space="preserve">Eksistējoš līgums ar VSIA Meliorprojekts. Būvprojekta izstrādes termiņš ir 03.03.2026. gads.  08.07.2025 gadā tika samaksāts avansa rēķins 11821.70 eur ar PVN. Atlikušo summu nepieciešams pārcelt uz 2026.gadu, kas ir 47822 eur ar PVN. 2025.gada augustā ZM apstiprināja, ka varam pieteikties Valsts kasē aizdevumam sūkņu stacijas pārbūvei. Līdz ar to jautājums vai mēs paredzam kādu naudu būvniecībai 2026.gadā?  Un protams paralēli meklējam vai ir iespēja pieteikties ES fonda atbalstam. Ja tomēr tiek plānots ņemt aizņēmumu, tad pašvaldības finansējums būtu- 155 609,10 euro ar PVN. </t>
  </si>
  <si>
    <t xml:space="preserve">Būvprojekts būs derīgs 5 gadus līdz tam pēc manam domām būtu jābūt kādai ES fonda atbalstam. Šis grāvis ar caurtekām ir sliktā stāvoklī. Grāvim ir pasvaldības nozīmes statuss.  </t>
  </si>
  <si>
    <t>2026 / 2025, EUR</t>
  </si>
  <si>
    <t>2026 / 2025, %</t>
  </si>
  <si>
    <t>LEADER Projekts "Blusu" kroga atjaunošana 1.kārta</t>
  </si>
  <si>
    <t>Publiskās ārtelpas izveide Gaujas ielā 31 Ādažos (ĀNP 23.11.2023. lēmums Nr. 451 un ĀNP 29.08.2024. lēmums Nr. 349. AP pasākums Ā5.1.1.5. )</t>
  </si>
  <si>
    <t>LEADER Projekts "Sporta laukuma ierīkošana Garciemā"</t>
  </si>
  <si>
    <t>LEADER Projekts "Veloapkopes stenda ierīkošana Kadagā un Garkalnē"</t>
  </si>
  <si>
    <t>LEADER Projekts "Garezeru apkārtnes biotopu saudzēšana veicinot koncentrētu gājēju plūsmas vadīšanu ar mērķi mazināt augsnes degradāciju"</t>
  </si>
  <si>
    <t>LEADER Projekts "Carnikavas novadpētniecības centra Saimes mājas ekspozīcijas pamatnes atjaunošana"</t>
  </si>
  <si>
    <t>LEADER Projekts "Bērnu un jauniešu centra izveide Ādažos"</t>
  </si>
  <si>
    <t>Projekts “Infrastruktūras uzlabošana uzņēmējdarbības attīstībai Ādažos 1. kārta” ĀNP 25.04.2024. lēmums Nr. 164. AP pasākums Ā7.1.1.1.2. RPR 30.05.2024. lēmums Nr.7</t>
  </si>
  <si>
    <t xml:space="preserve">Projekts “Infrastruktūras uzlabošana uzņēmējdarbības attīstībai Ādažos 2. un 3. kārta” </t>
  </si>
  <si>
    <t>Krastupes ielas projekts - ERAF Projekts "Pielāgošanās klimata pārmaiņām Ādažu novada Podniekos "</t>
  </si>
  <si>
    <t>Netiek plānots aizņēmums šai daļai</t>
  </si>
  <si>
    <t>0631.2.1</t>
  </si>
  <si>
    <t>Krastupes ielas projekts - ārpusprojekta aktivitātes</t>
  </si>
  <si>
    <t>0632.6.1</t>
  </si>
  <si>
    <t>LIFE BauhausingEurope pieejas piemērošana sabiedrisko ēku pārveidošanai (Valsts dotācija)</t>
  </si>
  <si>
    <t>EKII projekts - Ādažu policijas ēkas atjaunošana</t>
  </si>
  <si>
    <t>Projekts “Bioloģiskās daudzveidības saglabāšana un antropogēnās slodzes mazināšana Natura2000 teritorijās Ādažu novadā”</t>
  </si>
  <si>
    <t>Izglītības iestāžu nodrošinājums pilnveidotā vispārējās izglītības satura kvalitatīvai ieviešanai Ādažu novadā</t>
  </si>
  <si>
    <t>Multimodāls sabiedriskā transporta tīkls, 2. kārta” attīstot staciju “Gauja"</t>
  </si>
  <si>
    <t>Multimodāls sabiedriskā transporta tīkls, 2. kārta” attīstot staciju “Carnikava"</t>
  </si>
  <si>
    <t>Multimodāls sabiedriskā transporta tīkls, 2. kārta” attīstot staciju “Kalngale"</t>
  </si>
  <si>
    <t>Multimodāls sabiedriskā transporta tīkls, 2. kārta” attīstot staciju “Garupe"</t>
  </si>
  <si>
    <t>Multimodāls sabiedriskā transporta tīkls, 2. kārta” attīstot staciju “Lilaste"</t>
  </si>
  <si>
    <t>Multimodāls sabiedriskā transporta tīkls, 2. kārta” attīstot staciju “Garciems"</t>
  </si>
  <si>
    <t>Ādažu vidusskolas ēkas D korpusa fasādes atjaunošana.</t>
  </si>
  <si>
    <t>STEM un pilsoniskās līdzdalības norises plašākai izglītības pieredzei un karjeras izvēlei (Ādažu vidusskola)</t>
  </si>
  <si>
    <t>STEM un pilsoniskās līdzdalības norises plašākai izglītības pieredzei un karjeras izvēlei (Ādažu vidusskolas PII)</t>
  </si>
  <si>
    <t>STEM un pilsoniskās līdzdalības norises plašākai izglītības pieredzei un karjeras izvēlei (Carnikavas vidusskola)</t>
  </si>
  <si>
    <t>STEM un pilsoniskās līdzdalības norises plašākai izglītības pieredzei un karjeras izvēlei (PII Riekstiņš)</t>
  </si>
  <si>
    <t>STEM un pilsoniskās līdzdalības norises plašākai izglītības pieredzei un karjeras izvēlei (PII Strautiņš)</t>
  </si>
  <si>
    <t>ĀVS PII</t>
  </si>
  <si>
    <t>STEM un pilsoniskās līdzdalības norises plašākai izglītības pieredzei un karjeras izvēlei (PII Mežavēji)</t>
  </si>
  <si>
    <t>PII Mežavēji</t>
  </si>
  <si>
    <t>STEM un pilsoniskās līdzdalības norises plašākai izglītības pieredzei un karjeras izvēlei (PII Piejūra)</t>
  </si>
  <si>
    <t>Priekšfinansējums EUR 88 884, tiks atskaitīts 2027.g.</t>
  </si>
  <si>
    <t>Dubultā virsma - Ceriņu iela 0.3km, Garkalne</t>
  </si>
  <si>
    <t>Dubultā virsma - Stūrīšu iela 0.56km, Ādaži</t>
  </si>
  <si>
    <t>Dubultā virsma - Nostūrīšu iela 0.3km, Ādaži</t>
  </si>
  <si>
    <t>Dubultā virsma - Liepavotu iela 0.285km, Ādaži</t>
  </si>
  <si>
    <t>Dubultā virsma - Rožu iela 0.35 km  posmā no Zušu ielas līdz Zušu ielai, Carnikava</t>
  </si>
  <si>
    <t>Dubultā virsma - Ežu ielas 0.15km divkāršā virsmas apstrāde, Garciems</t>
  </si>
  <si>
    <t>Dzirnupes ielas tilta pārbūve I kārta, MRG būve, Nr.02-20.1/25/167</t>
  </si>
  <si>
    <t>Dzirnupes ielas tilta pārbūve autoruzraudzība</t>
  </si>
  <si>
    <t>Pirmās ielas  II kārta ietve (0,2km) + stāvvietas +brauktuve 0,05km (ir būvprojekts)</t>
  </si>
  <si>
    <t>Pirmās ielas III kārta ietve 0.12km + brauktuve 0.13km, līdz Ziedu ielai (ir būvprojekts)</t>
  </si>
  <si>
    <t>Gaujas dambja virskārtas uzlabošana (turpināt no Smilgas ielas uz centra pusi)</t>
  </si>
  <si>
    <t>Elīzes ielas posma pārbūve ar asfalta segumu posmā no Kadagas ceļa līdz plānotajai Lindas ielai (būvprojekts + izbūve)</t>
  </si>
  <si>
    <t>Gājēju pāreja pie Podnieku ielas, Dailas ciemats (Gredzenu iela) + ietves izbūve no Jēkaba ielas Līdz Rudzupuķu ielai</t>
  </si>
  <si>
    <t>Vēju iela 0,55km, Ādaži, braucamās daļas pārbūve (iedzīvotāju līdzfinansējums)</t>
  </si>
  <si>
    <t>Projektēšana - Draudzības iela posmā no Podnieku ielas līdz Dzirnavu ielai</t>
  </si>
  <si>
    <t>Atbilstoši Ceļu programma 2025</t>
  </si>
  <si>
    <t>Noslēgts būvdarbu līgums (būvdarbi uzsākti) precīzs termiņš atkarīgs no laika apstākļiem, kad beigsies tehnoloģiskais pārtraukums</t>
  </si>
  <si>
    <t>Noslēgts līgums par būvprojekta izstrādi. Vērtējums ir sliktā tehniskā stāvokli.  Tiltam uzstādītas masas ierobežojuma ceļa zīmes 20 T.</t>
  </si>
  <si>
    <t>Nepieciešams pabeigt Pirmās ielas labiekārtošanu pie PII Strautiņš.</t>
  </si>
  <si>
    <t>Domes lēmums 23.11.2023</t>
  </si>
  <si>
    <t>Slikts tehniskais stāvoklis, kas apgrūtina gājēju pārvietošanos</t>
  </si>
  <si>
    <t>Ja tiek realizēts zemas īres dzīvokļu projekts</t>
  </si>
  <si>
    <t>Iedzīvotāju iesniegums ar 88 parakstiem. Bīstami gājējiem šķērsot Podnieka ielu.</t>
  </si>
  <si>
    <t>Domē ir saņemts iesniegums par līdzfinansējuma piekrišanu no iedzīvotājiem. Sākotnēji Vēju ielai tiks izstrādāts ZIP.</t>
  </si>
  <si>
    <t xml:space="preserve">pārcelts no 2025. gada inv.plāna </t>
  </si>
  <si>
    <t>Mežaparka ceļs II kārta no Iļķenes ceļa līdz Smilšu ielai 2,1km (ir būvprojekts)</t>
  </si>
  <si>
    <t>2x serveri (IBM System x3400 M3 (29.08.2012); Serveris Lenovo System x3550 M5, Windows Svr 2016 (26.05.2017)) neatbilst Ministru kabineta 2025. gada 25. jūnija noteikumiem Nr. 397 “Minimālās kiberdrošības prasības” un tos vairs nevar izmantot Būtisko pakalpojumu sniedzēji! Nepieciešams nomainīt pret vienu jaunu DELL PowerEdge R760 ar 12.gab. cietajiem diskiem</t>
  </si>
  <si>
    <t>Nepieciešams izpilddirektora komentārs!</t>
  </si>
  <si>
    <t xml:space="preserve">Ādažu novada domes 2023. gada 24. maija ,,Iniciatīvas projektu finansēšanas kārtība Ādažu novada pašvaldībā'' </t>
  </si>
  <si>
    <t>Ādažu Bērnu un jaunatnes sporta skola</t>
  </si>
  <si>
    <t xml:space="preserve">1014.3 </t>
  </si>
  <si>
    <t>Deinstitucionalizācija SAM 9.3.1.1./Dienas aprūpes un rehabilitācijas centrs "Ādažu Ūdensroze"</t>
  </si>
  <si>
    <t>TET optikas pieslēguma ierīkošanai jauniešu centrā Gaujas ielā 25B.</t>
  </si>
  <si>
    <t>Stipendijas studentiem, kas pēc augstskolas beigšanas strādās Ādažu izgl. Iestādēs.</t>
  </si>
  <si>
    <t>Metāla pandusa izbūve (L=12 m)</t>
  </si>
  <si>
    <t>Apkures sistēmas uzlabošana</t>
  </si>
  <si>
    <t>pārcelts no 2025. gada neapgūtajām investīcijām</t>
  </si>
  <si>
    <t>0901 (CKS)</t>
  </si>
  <si>
    <t>Smilšu ielas pārbūve projekts</t>
  </si>
  <si>
    <t xml:space="preserve">0110 </t>
  </si>
  <si>
    <t>Uzsākts 2025., maksājums būs 2026.gadā.</t>
  </si>
  <si>
    <t>Nēģu svētki</t>
  </si>
  <si>
    <t>Šķiroto atkritumu savākšanas laukums Laivu ielā 12, Carnikavā būvuzraudzība un autoruzraudzība (pašvaldības finansējums)</t>
  </si>
  <si>
    <t>Brīvais konta atlikums uz 31.12.2025</t>
  </si>
  <si>
    <t>Projekta “Pedagogu profesionālā atbalsta sistēmas izveide" priekšfinansējums</t>
  </si>
  <si>
    <t>Skolotāju godināšanas pasākums Tāme nr.2.</t>
  </si>
  <si>
    <t>Mūžizglītības rīcības plāna aktivitātes Tāme nr.23</t>
  </si>
  <si>
    <r>
      <rPr>
        <i/>
        <sz val="8"/>
        <color rgb="FFFF0000"/>
        <rFont val="Arial"/>
        <family val="2"/>
        <charset val="186"/>
      </rPr>
      <t xml:space="preserve">Jāprecizē summa tāmē </t>
    </r>
    <r>
      <rPr>
        <i/>
        <sz val="8"/>
        <rFont val="Arial"/>
        <family val="2"/>
        <charset val="186"/>
      </rPr>
      <t>Saskaņā ar 26.09.2024 lēmumu Nr. 360</t>
    </r>
  </si>
  <si>
    <t>Projekta “Skola- kopienā" finansējums</t>
  </si>
  <si>
    <t>Sensoras telpas celtniecības darbi</t>
  </si>
  <si>
    <t>Sensoras telpas aprikojums</t>
  </si>
  <si>
    <t>Lai īstenotu šo projektu-  sensorās telpas izveide Kadagas PII “Mežavēji” mums nepieciešams saņemt saskaņošanu no Aizsardzības ministrijas, jo pagaidām ēka viņiem pieder. Jāizstrādā projekts par to arī jāmaksā.  </t>
  </si>
  <si>
    <t>SDK DĒKA un vieskolektīvu deju koncerts</t>
  </si>
  <si>
    <t xml:space="preserve">SDK DĒKA sievu jakas 12gab.x EUR 120, lakati 12gab.x EUR 15, vīru vestes 10gab.x EUR 140  </t>
  </si>
  <si>
    <t>Miera telpa</t>
  </si>
  <si>
    <t>Interaktīvais displejs 75 collas  mūzikas kabinetos 3 gab.</t>
  </si>
  <si>
    <r>
      <t xml:space="preserve">Viena no APN funkcijām ir uzņēmējdarbības jomas uzraudzība / koordinēšana / aktivizēšana, tomēr iepriekšējos gados tai nav bijis paredzēts nekāds budžets. Tikšanos organizēšana ar uzņēmējiem, uzņēmējiem saistošu pasākumu dalībnieku uzaicināšana prasa finansējumu. </t>
    </r>
    <r>
      <rPr>
        <i/>
        <sz val="8"/>
        <color rgb="FFFF0000"/>
        <rFont val="Arial"/>
        <family val="2"/>
        <charset val="186"/>
      </rPr>
      <t>Izmksas notiektas, ņemot vērā iepriekšējo pieredzi, līdzīgu pasākumu organizēšanā pašvaldībā (apmaksa moderatora pakalpojumam, lektoriem, ēdināšanai). Pieredzes apmaiņas noorganizēšanai (uzņemt citus uzņēmējus Ādažos un doties ar uzņēmējiem uz citām pašvaldībām). Nominācijas "Ādažu uzņēmējs" izsrāde.</t>
    </r>
  </si>
  <si>
    <r>
      <t xml:space="preserve">Jauno biznesa ideju īstenošanas iniciatīva un uzņēmējdarbības attīstībai. </t>
    </r>
    <r>
      <rPr>
        <i/>
        <sz val="8"/>
        <color rgb="FFFF0000"/>
        <rFont val="Arial"/>
        <family val="2"/>
        <charset val="186"/>
      </rPr>
      <t>Organizatori un darbības teritorijas līdz šim: Jūrmalas pilsēta, Ķekavas nov., Mārupes nov., Olaines nov., Ropažu nov., Siguldas nov., Jelgavas nov. Kopējā finansiālā atbalsta summa 2024.gadā bija 96 000 euro (vienam max 12000 euro, bet budžetā jāparedz  12000 euro + 1500 euro). Nosacījumi granta pretendentiem: 1) uzņēmums ar &lt;5 gadu vecumu, 2024. gada apgrozījumu &lt;2 milj. euro, darbinieku skaits &lt;10, nav nodokļu parādu, 2) privātpersonai - no 18 gadu vecuma. Laika grafiks: 01.09.-26.09. pieteikumu pieņemšana, 07.10.-04.11. vērtēšana, 13.11. rezultātu paziņošana. Granata izmaksas: 80% pēc līguma noslēgšanas un rēķina saņemšanas, 20% - pēc atskaišu iesniegšanas.</t>
    </r>
  </si>
  <si>
    <t>Vecais plūdu projekts - garantijas maksājuma atmaksa</t>
  </si>
  <si>
    <t>Projektu nauda iet būvniecībai</t>
  </si>
  <si>
    <t xml:space="preserve">Būvprojekts jaunas pamatskolas izveidei Ādažu pilsētā. ĀNP 23.11.2023. lēmums Nr. 425, ĀNP 29.02.2024. lēmums Nr. 68. AP pasākumi Ā3.2.2.2. un Ā5.1.2.12. </t>
  </si>
  <si>
    <r>
      <t>Ielas apgaismojuma izbūve Tulpju, Liepu iela, Carnikava (600m)</t>
    </r>
    <r>
      <rPr>
        <b/>
        <sz val="9"/>
        <rFont val="Arial"/>
        <family val="2"/>
        <charset val="186"/>
      </rPr>
      <t xml:space="preserve"> ir būvprojekts</t>
    </r>
  </si>
  <si>
    <t>Projektēšana ~ EUR 19'000</t>
  </si>
  <si>
    <t>Carnikavas skeitparka būvniecība</t>
  </si>
  <si>
    <t>0841.4</t>
  </si>
  <si>
    <t>* vēlamais konta atlikums vismaz 0.5% no bāzes izdevumiem</t>
  </si>
  <si>
    <t>PWC jaunās skolas FEA pētījuma maksājums</t>
  </si>
  <si>
    <t>Pašvaldības priekšfinansējums tiks atgūts  2026.g. beigās.</t>
  </si>
  <si>
    <t>Patvertņu pielāgošana un aprīkošana civiliem aizsardzības mērķiem</t>
  </si>
  <si>
    <t>ĀNP 23.10.2025. lēmums Nr. 427 (2026.-2027.gads)</t>
  </si>
  <si>
    <t>2. OBLIGĀTĀS/ GADSKĀRTĒJĀS iniciatīvas</t>
  </si>
  <si>
    <t>Civilās aizsardzibas plāna izstrāde</t>
  </si>
  <si>
    <t>Stāvlaukuma ierīkošana pie Ādažu sporta centra.</t>
  </si>
  <si>
    <t>NAV DISKUTĒTS!</t>
  </si>
  <si>
    <t>TĀME NO SEPTEMBRA</t>
  </si>
  <si>
    <t xml:space="preserve">Invalīdu pacēlāju uzstādīšana Gaujas ielā 16, Ādažos </t>
  </si>
  <si>
    <t>Invalīdu pacēlāju uzstādīšana Carnikavas TN Ozolaine</t>
  </si>
  <si>
    <t xml:space="preserve">Projekta “Digitālā darba ar jaunatni sistēmas attīstība pašvaldībā" </t>
  </si>
  <si>
    <t>Darba stacija (dators+monitors+programmatūra) (komplekts 1200 EUR) datorklase 17</t>
  </si>
  <si>
    <t>Projekta kopējās izmaksas</t>
  </si>
  <si>
    <t>Projekts beidzies, EUR 40 772.02 ienāks 2026.g.(priekšfinansējuma dzēšana)</t>
  </si>
  <si>
    <t>Pārvietojama gājēju/velobraucēju plūsmas skaitīšanas sistēmas iegāde (pārcelts no 2025.gada, līgums noslēgts)</t>
  </si>
  <si>
    <t>0340.1</t>
  </si>
  <si>
    <t>Jauno uzņēmēju konkurss (summa, kas piešķirta 2025.gadā, bet tiks izmaksāta 2026.gadā)</t>
  </si>
  <si>
    <t>Plānots prioritārais aizņēmums šīm visām ārprusprojekta aktivitātēm (15% pašv.fin./85% VK aizņēmums)</t>
  </si>
  <si>
    <t>Pašvaldību budžeta dotācija biedrībām un nodibinājumiem  [EKK 3263]</t>
  </si>
  <si>
    <t>Vecštāles ceļa asfaltēšana (AM finansējums)</t>
  </si>
  <si>
    <t>AM finansējums</t>
  </si>
  <si>
    <t>ZZ dats rindu uzskaite un deklarāciju pārbaude-Tāme nr 22</t>
  </si>
  <si>
    <t>Vecie kritiskā stāvoklī</t>
  </si>
  <si>
    <t>Projekts "FIBA EuroBasket2025 - Latvijas basketbola nākotnei"</t>
  </si>
  <si>
    <t>L. Azarovas tilta pārbūve uz caurteku (ir projekts)</t>
  </si>
  <si>
    <t>Ēkas "Ligzda" telpu pielāgošana grupiņām</t>
  </si>
  <si>
    <t>IIN pārpilde, kas novirzāma kredītu pamatsummas segšanai</t>
  </si>
  <si>
    <t>kopējās līzinga izmaksas 87 000 eur (līgums uz 5 gadiem)</t>
  </si>
  <si>
    <t>kopējās līzinga izmaksas 25 000 eur (līgums uz 5 gadiem)</t>
  </si>
  <si>
    <t>Ielas apgaismojuma izbūve un projektēšana Kanāla iela Ādažos (no Podniekiem līdz Alderiem) (5 km)</t>
  </si>
  <si>
    <t xml:space="preserve">Ielu apgaismojuma projekta izstrāde un būvniecība posmā no dzelzceļa stacijas Gauja līdz ciemam Kāpas (Skautu iela) </t>
  </si>
  <si>
    <t>pārceļas no 2025. gada</t>
  </si>
  <si>
    <t xml:space="preserve">pārceļas no 2025. gada </t>
  </si>
  <si>
    <t>DRN EUR 127'925</t>
  </si>
  <si>
    <t>Baltezera kapsētas paplašināšana - būvprojekta izstrāde</t>
  </si>
  <si>
    <t>Ģeoekoloģiskā izpēte Baltezera kapsētas paplašināšanai</t>
  </si>
  <si>
    <t>garantija pārceļas uz 2026. gadu</t>
  </si>
  <si>
    <t>Projektēšana - Dadzīšu ielas pārbūve (būvniecības izmaksas 600 000 eur)</t>
  </si>
  <si>
    <t>Projektēšana - Gaujas iela 2,1 km posmā no Attekas ielas līdz Dadzīšu ielai (būvniecības izmaksas 1 750 000 eur)</t>
  </si>
  <si>
    <t xml:space="preserve">Āra lifta izbūve pie A korpusa (projektēšana) </t>
  </si>
  <si>
    <t>Āra lifta būvprojekta ekspertīze</t>
  </si>
  <si>
    <t>Ādažu vidusskolas investīciju projekts. Projektēšana un autoruzradzība EUR 4'066</t>
  </si>
  <si>
    <t>Ādažu vidusskolas investīciju projekts. Būvniecība būvuzraudzība EUR 380'000</t>
  </si>
  <si>
    <t>Ādažu vidusskolas investīciju projekts. dabaszinātņu (dabaszinību (1.-6. klasei), ķīmijas, bioloģijas, fizikas, dizaina un tehnoloģiju, inženierzinību, ģeogrāfijas) un matemātikas kabinetu (tai skaitā praktisko darbu telpu) pārbūve, atjaunošana, izveide vai pilnveide EUR 119'111</t>
  </si>
  <si>
    <t>Ādažu vidusskolas investīciju projekts (Carnikavas vidusskola). Mācību vides uzlabošana un mācību procesa nodrošināšanai paredzētā aprīkojuma iegāde EUR 90'001</t>
  </si>
  <si>
    <t>Ādažu vidusskolas investīciju projekts. Teritorijas labiekārtošana EUR 28'692 + 650</t>
  </si>
  <si>
    <t>Infrastruktūras uzlabošana uzņēmējdarbības attīstībai Ādažu novadā (Laveru ceļš + Smilgu iela)</t>
  </si>
  <si>
    <t>2026.g. būvprojekta izstrāde</t>
  </si>
  <si>
    <t xml:space="preserve"> (būvniecība beidzas 2026.g. augustā).</t>
  </si>
  <si>
    <t>Priekšlikums</t>
  </si>
  <si>
    <t>koku stādīšanu Carnikavā, Vizbuļu ielā 20, 20A un 22 (P1 trase)</t>
  </si>
  <si>
    <t>Nav iekļauts budžetā. Ņemts vērā par koku stādīšanas vietām.</t>
  </si>
  <si>
    <t>Gājēju ceļš starp daudzīvojamām mājām Pasta ielas rajonā</t>
  </si>
  <si>
    <t>Tiks labots 2026.gadā uzturēšanas kārtībā.</t>
  </si>
  <si>
    <t xml:space="preserve">Gājēju drošības barjeru uzstādīšana no Gaujas tilta līdz Kadagai </t>
  </si>
  <si>
    <t>Netiek plānots.</t>
  </si>
  <si>
    <t>Digitālā ātruma tablo (radara) uzstādīšanu Kadagā, pie krustojuma ar Austrumu ielu</t>
  </si>
  <si>
    <t>Nav iekļauts budžetā. Ņemts vērā par iespējamo tablo vietu. Pie līdzekļu ekonomijas apsveram izvietot tablo.</t>
  </si>
  <si>
    <t>Kadagas ezera pludmales labiekārtošana un piekļuves ceļa izbūve</t>
  </si>
  <si>
    <t>Nav iekļauts budžetā. Tiks veikta biežāka apsekošana, lai uzlabotu vides sakoptību.</t>
  </si>
  <si>
    <t>Jaunas tirdzniecības vietas (paviljona) izbūve</t>
  </si>
  <si>
    <t>Iekļauts 2026.g.budžetā.</t>
  </si>
  <si>
    <t>Īstenot Carnikavas vidusskolas piebūves un jaunās Mākslu skolas/bibliotēkas ēkas projektēšanu.</t>
  </si>
  <si>
    <t>Nav attiecināms uz CKS.</t>
  </si>
  <si>
    <t>Pacelt izglītības iestāžu pedagogu algu līdz konkurētspējīgam Pierīgas līmenim, salāgojot ar pašvaldības budžetu.</t>
  </si>
  <si>
    <t>Izvērtēt apkures tarifu pamatotību Ādažu novadā, auditējot “Ādažu namsaimnieka” ieguldījumus siltumtrašu uzturēšanā.</t>
  </si>
  <si>
    <t>Izvērtēt atteikšanos no komersanta SIA “Balteneco” siltuma ražošanas pakalpojumiem, sniedzot šo pakalpojumu pašvaldības iestādei.</t>
  </si>
  <si>
    <t>Izpētīt saimnieciski izdevīgākos un tālredzīgākos variantus un ieviest “Novadnieku karti”.</t>
  </si>
  <si>
    <t>Palielināt līdzdalības budžetu par 50%.</t>
  </si>
  <si>
    <t>Palielināt novada senioru biedrībām iniciatīvu finansējumu par 5000 EUR, sadalot to proporcionāli biedrību biedru skaitam.</t>
  </si>
  <si>
    <t>Veikt polderu teritoriju visaptverošu izpēti, ietverot visas meliorācijas sistēmas izvērtējumu, kā arī risku analīzi kontekstā ar jaunas apbūves iecerēm šajās teritorijās, īpaši Garciema/Kalngales apkārtnē.</t>
  </si>
  <si>
    <t>Finansiāli motivējošas sistēmas ieviešana skolotājiem, kuri sagatavo skolēnus mācību olimpiādēm, lai atalgotu tos par sekmēm.</t>
  </si>
  <si>
    <t>Ieviest konkursus “Māmiņa - uzņēmēja”, “Gada uzņēmējs” un zīmolu “Radīts Ādažos”.</t>
  </si>
  <si>
    <t>Iekļaut budžetā finansējumu gadā divām “tīrmājas” utml. atkritumu apsaimniekošanas akcijām.</t>
  </si>
  <si>
    <t>Sakārtot Garupes taku uz jūru Garupes ielas galā. Aizstāt vecos betona plākšņu fragmentus ar koka celiņu, savienojot ar jau izbūvēto koka celiņu.</t>
  </si>
  <si>
    <t>Nav iekļauts 2026.gada budžetā</t>
  </si>
  <si>
    <t>Uzstādīt Brūkleņu ielā, Carnikavā apgaismes stabus, jo šo ielu intensīvi izmanto “Jūras krastu” un Garupes iedzīvotāji, lai nokļūtu ar velosipēdiem Carnikavā.</t>
  </si>
  <si>
    <t>Nav 2026.gada budžetā. Izvērtēsim saimnieciskā kārtā izbūvēt dažus apgaismes stabus no ietaupītajiem līdzekļiem.</t>
  </si>
  <si>
    <t>Veikt Ūbeļu ielas, Kalngalē apstrādi ar divkāršo virsmas segumu.</t>
  </si>
  <si>
    <t>Iekļauts 2026.g.budžetā būvprojekta izstrādi.</t>
  </si>
  <si>
    <t>Rekonstruēt Smilšu ielu, Carnikavā.</t>
  </si>
  <si>
    <t>Iekļauts 2026.gada budžetā.</t>
  </si>
  <si>
    <t>Izstrādāt projektu Jūras ielas, Carnikavā labiekārtošanai un pārveidošanai par gājēju ielu ar atpūtas elementiem (soliņi, utml.).</t>
  </si>
  <si>
    <t>Nodrošināt bērnu bezmaksas peldētapmācību pašvaldības pirmskolas izglītības iestādēs.</t>
  </si>
  <si>
    <t>Palielināt līdzfinansējumu daudzdzīvokļu māju siltināšanai un iekšpagalmu sakārtošanai par 50%.</t>
  </si>
  <si>
    <t>Izbūvēt skeitparku Carnikavā.</t>
  </si>
  <si>
    <t>Nodrošināt nepieciešamo finansējumu ciemu svētku norisei.</t>
  </si>
  <si>
    <t>Ieviest programmu, kas veicinātu skolēnu nodarbinātību vasarā - pašvaldība sedz algas izmaksas, uzņēmēji nodokļus.</t>
  </si>
  <si>
    <t>Panākt, sadarbībā ar “Latvijas valsts ceļi”, ātruma kontroles radara uzstādīšanu Garupē.</t>
  </si>
  <si>
    <t>Daļēji attiecināms uz CKS. Ir nosūtīts lūgums izvērtēt priekšlikumu.</t>
  </si>
  <si>
    <t>Rotaļiekārtu  un seguma maiņa (Skolas pusē) Zaķēnu, Ezīšu, Pelēnu, Gliemežu grupu laukumiņā</t>
  </si>
  <si>
    <t>Jauns traktors-140ZS,operatīvais līzings (pirma iemaksa 17 400 eiro +  nomas maksa 14 000 eur 10 mēnešos) uz 5 gadiem</t>
  </si>
  <si>
    <t>A/m ar kravas kasti - operatīvā noma, pirmā iemaksa 5'500 eur, noma 350 eur x 8 mēn. 5 gadi</t>
  </si>
  <si>
    <t>Projektēšana - Ūbeļu ielas pārbūve līdz Langaskrastu ielai Kalngalē 0.95 km (būvniecības izmaksas 1 000 000 eur)</t>
  </si>
  <si>
    <t>Smilšu iela 0.45 km pārbūve (notiek projektēšana) + 650'000 2027.gadā</t>
  </si>
  <si>
    <t>Latvijas Skolu jaunatnes dziesmu un deju svētki (no 01.01.2025.)</t>
  </si>
  <si>
    <t>Transporta, ēdināšanas pakalpojumi, reprezentācijas preces kolektīvu dalībai Svētkos Mežaparkā</t>
  </si>
  <si>
    <t>Būs tikai ieņēmumi EUR 3'598 no EJZAF, kas paliek pašvaldībai (priekšfinansējuma atgriezšana)</t>
  </si>
  <si>
    <t>Būs tikai ieņēmumi EUR 7'200 no EJZAF, kas paliek pašvaldībai (priekšfinansējuma atgriezšana)</t>
  </si>
  <si>
    <t>DEPUTĀTU IEROSINĀJUMI</t>
  </si>
  <si>
    <t>Sabiedrības informēšana un izglītošana projekta "Šķiroto atkritumu savākšanas laukums Laivu ielā 12" ietvaros</t>
  </si>
  <si>
    <t>2026. gada budžets</t>
  </si>
  <si>
    <t>0841.3; 0844.3</t>
  </si>
  <si>
    <t>8.5.4.</t>
  </si>
  <si>
    <t>10.2.22.</t>
  </si>
  <si>
    <t>5.5.14.</t>
  </si>
  <si>
    <t>5.5.15.</t>
  </si>
  <si>
    <t>5.5.16.</t>
  </si>
  <si>
    <t xml:space="preserve">Multimodāls sabiedriskā transporta tīkls, 2. kārta” </t>
  </si>
  <si>
    <t>0905</t>
  </si>
  <si>
    <t>Projekts “Izglītības iestāžu nodrošinājums pilnveidotā vispārējās izglītības satura kvalitatīvai ieviešanai Ādažu novadā”</t>
  </si>
  <si>
    <t>5.6.8.</t>
  </si>
  <si>
    <t>Šķiroto atkritumu savākšanas laukums Laivu ielā 12, Carnikavā</t>
  </si>
  <si>
    <t>Laveru sūkņu stacijas pārbūve</t>
  </si>
  <si>
    <t xml:space="preserve">Atbilstoši CAK lūgumam </t>
  </si>
  <si>
    <t>Koncertflīģelis - Dalība projektā</t>
  </si>
  <si>
    <r>
      <t xml:space="preserve">Pārceļas no 2025.gada. </t>
    </r>
    <r>
      <rPr>
        <b/>
        <sz val="8"/>
        <color rgb="FFFF0000"/>
        <rFont val="Arial"/>
        <family val="2"/>
        <charset val="186"/>
      </rPr>
      <t>Palielināta, pierēķinot PVN</t>
    </r>
  </si>
  <si>
    <t>Viss ir ārfinansējums</t>
  </si>
  <si>
    <t>0902 (CKS)</t>
  </si>
  <si>
    <t>0930; 0990</t>
  </si>
  <si>
    <t>“QR koda  pay ticket” izmantošana skolēnu pārvadājumiem</t>
  </si>
  <si>
    <r>
      <t xml:space="preserve">Deputātu sēžu zāles tehniskais nodrošinājums </t>
    </r>
    <r>
      <rPr>
        <b/>
        <sz val="9"/>
        <rFont val="Arial"/>
        <family val="2"/>
        <charset val="186"/>
      </rPr>
      <t>Carnikavā</t>
    </r>
  </si>
  <si>
    <r>
      <rPr>
        <i/>
        <sz val="8"/>
        <color rgb="FFFF0000"/>
        <rFont val="Arial"/>
        <family val="2"/>
        <charset val="186"/>
      </rPr>
      <t xml:space="preserve">Nevar paspēt realizēt!!  </t>
    </r>
    <r>
      <rPr>
        <i/>
        <sz val="8"/>
        <rFont val="Arial"/>
        <family val="2"/>
        <charset val="186"/>
      </rPr>
      <t>Projektēšana no pašv.fin., kamēr nav līgums par projektu.</t>
    </r>
  </si>
  <si>
    <t>"Novadnieka kartes" izstrāde</t>
  </si>
  <si>
    <t>Jauns!</t>
  </si>
  <si>
    <t>Izņemts!</t>
  </si>
  <si>
    <t>Izņemts</t>
  </si>
  <si>
    <t>SPN</t>
  </si>
  <si>
    <r>
      <t xml:space="preserve">Ziedu ielas pārbūve (Ķiršu ielas V kārta) (ir būvprojekts) 560m. </t>
    </r>
    <r>
      <rPr>
        <i/>
        <sz val="8"/>
        <color rgb="FFFF0000"/>
        <rFont val="Arial"/>
        <family val="2"/>
        <charset val="186"/>
      </rPr>
      <t>Nevis pēc būvprojekta, bet dubultā virsmas apstrāde</t>
    </r>
  </si>
  <si>
    <t>Būvprojekts derīgs līdz 2027. gadam</t>
  </si>
  <si>
    <t>Palielināts par 10'000</t>
  </si>
  <si>
    <t>Svētku dekorāciju iegāde</t>
  </si>
  <si>
    <t>+2'000</t>
  </si>
  <si>
    <t xml:space="preserve">Sporta zāles projektēšana “Ūdensblusās” </t>
  </si>
  <si>
    <t xml:space="preserve">O.Vācieša skvēra projektēšana (papildu pilnveide) </t>
  </si>
  <si>
    <t xml:space="preserve">Latvijas karoga masta ierīkošana Ādažos (Gaujas ielas 2. lielajā aplī pie Gaujas 16) </t>
  </si>
  <si>
    <t xml:space="preserve">Suņu pastaigu laukuma ierīkošana </t>
  </si>
  <si>
    <t xml:space="preserve">Satiksmes drošības pilnveide (guļošie policisti) </t>
  </si>
  <si>
    <t xml:space="preserve">Gājēju celiņa seguma atjaunošana Ādažos (no tirgus laukuma līdz Pirmā iela 31) </t>
  </si>
  <si>
    <t xml:space="preserve">Apgaismojuma ierīkošana Gundegu ielā (Garupe) </t>
  </si>
  <si>
    <t xml:space="preserve">Kapitālsabiedrību audits </t>
  </si>
  <si>
    <t>Ķiršu ielas pārbūve 0.17km (ir būvprojekts) autoruzraudzība</t>
  </si>
  <si>
    <t>autoruzraudzība līgums ar Domi</t>
  </si>
  <si>
    <t>garantijas maksa</t>
  </si>
  <si>
    <t>Iepriekšējā budžeta versijā</t>
  </si>
  <si>
    <t>Domes sēžu zāles  IT aprīkojuma uzlabošana Carnikavā</t>
  </si>
  <si>
    <t xml:space="preserve">ITN un ADN </t>
  </si>
  <si>
    <t xml:space="preserve">Laveru/Smilgu uzņēmējdarbības projekts </t>
  </si>
  <si>
    <t>Piekrītam, jo līdz maijam (kad varētu noslēgties projektu pieteikumu pieņemšana augstas gatavības projektu konkursā) nepaspētu sagatavot būvprojektu ne Laveru ceļam, ne Smilgu ielai. Santa uz janvāra FK sēdi gatavo lēmumprojektu par 22.12.2025. lēmuma Nr. 552 atcelšanu. Ja būs iespēja vēlāk pieteikties citam konkursam, šīs ielas būs tās, kuras virzīsim.</t>
  </si>
  <si>
    <t>ĀNKC</t>
  </si>
  <si>
    <t>KC Ozolaine</t>
  </si>
  <si>
    <t>Gaujas svētkie</t>
  </si>
  <si>
    <t xml:space="preserve">SAN un CKS </t>
  </si>
  <si>
    <t xml:space="preserve">Novada mobilā aplikācija </t>
  </si>
  <si>
    <t xml:space="preserve">SAN un GRN </t>
  </si>
  <si>
    <t xml:space="preserve">“Novadnieka kartes” izstrāde </t>
  </si>
  <si>
    <t>SPII</t>
  </si>
  <si>
    <t xml:space="preserve">“Ligzdas” remonts “silītes” grupas uzņemšanai </t>
  </si>
  <si>
    <t xml:space="preserve">ĀPII inženierkomunikāciju pārbūves projektēšana </t>
  </si>
  <si>
    <t xml:space="preserve">CKS un APN </t>
  </si>
  <si>
    <t>Siltumtrases izbūve uz Gaujas 16 – mainīt uz 2. prioritāti, izskatīt fondu finansējumu</t>
  </si>
  <si>
    <t>APN nav zināma programma, kura šobrīd vai pārskatāmā nākotnē piedāvātu pašvaldībai iespēju pieteikties ES līdzfinansētu projektu īstenošanai pašvaldības ēku pieslēgšanai pie CSS. Programmā, kuras ietvaros bija plānots pieteikt un īstenot projektu ĀVS un Gaujas ielas 33A pieslēgšanai CSS (un ko deputāti noraidīja!), atbalsta saņēmējs var būt komersants, centralizētās siltumapgādes vai aukstumapgādes pakalpojuma sniedzējs, kurš sniedz siltumenerģijas vai aukstumenerģijas pārvades un sadales pakalpojumu vai ir centralizētās siltumenerģijas ražotājs, kas uz atbalsta pieteikuma iesniegšanas dienu ir reģistrēts Sabiedrisko pakalpojumu regulēšanas komisijas attiecīgās enerģijas ražotāju vai tirgotāju reģistros, vai ir licencēts siltumenerģijas vai aukstumenerģijas pārvades un sadales komersants. CKS nevar iesniegt projektu CSS izbūvei līdz Gaujas ielai 16, turklāt sistēmas ierīkošana šīs programmas ietvaros tik un tā nebūtu attiecināma.</t>
  </si>
  <si>
    <t xml:space="preserve">Ziedu ielas pārbūve – aizstāt ar dubultās virsmas apstrādi un apgaismojuma ierīkošanu </t>
  </si>
  <si>
    <t>Subsīdijas sporta atbalstam palielināt vēl par 10 000</t>
  </si>
  <si>
    <t xml:space="preserve">Svētku dekorāciju iegādei palielināt vēl par 20 000 </t>
  </si>
  <si>
    <t>APN labprāt saņemtu papildus līdzekļus svētku dekorāciju ierīkošanai Ādažu novadā. Tikai gribētu zināt, vai idejas iesniedzējiem ir paredzētas arī kādas konkrētas vietas / adrese / svētki, kur viņi vēlas šos līdzekļus novirzīt? Tas būtu jāzina pirms iepirkuma tehniskās specifikācijas izstrādes. Šie līdzekļi tiktu paredzēti ārpakalpojumam, nodrošinot dekorus pilsētā un ciemos, kur ir pašvaldības teritorija un ir, ko dekorēt</t>
  </si>
  <si>
    <t xml:space="preserve">GRN un JIN </t>
  </si>
  <si>
    <t>Baznīcām subsīdiju palielināt vēl par 2000</t>
  </si>
  <si>
    <t xml:space="preserve">SPN un CKS </t>
  </si>
  <si>
    <t xml:space="preserve">Sporta zāles projektēšana “Ūdensblusās” 50 000 </t>
  </si>
  <si>
    <t xml:space="preserve">Ūdensapgādes tīklu rekonstrukcija pie “Ūdensblusām” </t>
  </si>
  <si>
    <t xml:space="preserve">APN un CKS </t>
  </si>
  <si>
    <t xml:space="preserve">APN rīcībā nav pieejama sīkāka informācija par to, ko tieši ir iecerēts īstenot O.Vācieša skvēra teritorijā, bet, ņemot vērā pieredzi citu publisko ārtelpu teritoriju projektēšanai, iesakām projektēšanai paredzēt 70 000 euro. Vēršam uzmanību, ka šāds pasākums nav ietverts Attīstības programmā un APN ieskatā nebūtu īstenojams kā viens no prioritārākajiem projektiem. </t>
  </si>
  <si>
    <t>APN: Nav skaidrs, cik lielu karogu plānots ierīkot. Karoga masta ierīkošana būtu tikai kā būvniecība ar būvniecības ieceres dokumentācijas izstrādi (ja masts augstāks par 10 m, tad dokumentācija atbilstoši 2. vai 3. grupas izbūvei). Ideja par šāda karoga izveidi tika diskutēta pirms vairākiem gadiem. Ja nemaldāmies, tad Gaujas ielā 16 tā izbūvei bija ierobežojumi saistībā ar tajā teritorijā esošajām komunikācijām (tas būtu jāpārbauda). Iveta atrada iepirkumu izmaksas par karoga masta un apkārtējās teritorijas labiekārtošanas dokumentācijas izstrādi – 36 920-77 270 euro bez PVN (nevar konkretizēt – kas veido šīs izmaksas, jo detalizētāka informācija nebija pieejama). Vēršam uzmanību, ka šāds pasākums nav ietverts Attīstības programmā</t>
  </si>
  <si>
    <t xml:space="preserve">CKS un NĪN </t>
  </si>
  <si>
    <t>Attīstības programmā ir paredzēts, ka Ādažu novadā tiks izveidots suņu apmācību laukums, nekonkretizējot vietu. Vai ir zināms – kurā tieši adresē tas būtu jāierīko? Vēršam uzmanību, ka 20'000 euro varētu pietikt tikai nožogojuma ierīkošanai. Iekārtas būtu jāparedz līdzvērtīgi kā tas tiek plānots nelielam bērnu rotaļu laukumam (vismaz 2'500-30'000 euro), kas būtu jāskaita klāt 20'000 euro.</t>
  </si>
  <si>
    <t>Publiska sporta laukuma izveide Podniekos</t>
  </si>
  <si>
    <t>APN: Šis gan uz APN neattiecas, bet mums nav skaidrs – kurā tieši vietā to plānots attīstīt?</t>
  </si>
  <si>
    <t>Gājēju celiņa seguma atjaunošana Ādažos (no tirgus laukuma līdz Pirmā iela 31)</t>
  </si>
  <si>
    <t xml:space="preserve">Vides objekta ierīkošana Ādažos (piemineklis Cielēnam?) </t>
  </si>
  <si>
    <t>CNC un AP</t>
  </si>
  <si>
    <t>APN: Ar 25 000 euro nepietiek, lai īstenotu vides objektu oriģināldarbu kāda mākslinieka izpildījumā. Būtu ieteikums piešķirt finansējumu biedrībai, kas vēlas attīstīt šī pieminekļa ideju, lai tai ir nauda, par ko veikt pārrunas ar pretendentiem un sagatavot sākotnējo dokumentāciju. Jo būs nepieciešams sākotnējais projekts. Sarunu ceļā iespējams tiktu atrasts pretendents, kas par šādu summu radītu ideju un izstrādātu dokumentāciju, ko saskaņot Būvvaldē.</t>
  </si>
  <si>
    <t>APN: Šis gan uz APN neattiecas, bet vēršu uzmanību, ka šāda iela nav paredzēta Attīstības programmā. Paskatoties kartē, kur tā ir, mums nav skaidrs – kāpēc tā tiek virzīta kā prioritāte?</t>
  </si>
  <si>
    <t>25)	IJN (ĀPII, KPII, SPII, CPII)</t>
  </si>
  <si>
    <t xml:space="preserve">Bezmaksas peldēšanas nodarbības pirmsskolās </t>
  </si>
  <si>
    <t>Ieņēmumu samazinājums</t>
  </si>
  <si>
    <t>Piekrastes KA novirzāms uz brīvo</t>
  </si>
  <si>
    <t>Atņemts pie bāzes soc dienestam to daļu, kas atnāks kā MD</t>
  </si>
  <si>
    <t>APN: Vēršu uzmanību, ka šāds pasākums nav iekļauts Attīstības programmā.
CKS: Būvprojekta izstrādes aplēse svārstās no 60 000 - 80 000 EUR. Mainās atkārībā no elektroapgādes projekta, stāvlaukuma projektēšanas nosacījumiem.</t>
  </si>
  <si>
    <t>CKS: Precizētā summa par ūdensapgādes un kanalizācijas tīklu izbūvi - Ūdensapgāde 90 000 EUR, Kanalizācija 100 000 EUR. Summā ietvertas izmaksas par būvprojektu, autoruzraudzību, būvuzraudzību un būvdarbiem.</t>
  </si>
  <si>
    <t>CKS: Izmaksas ieviešanai un 1 gada uzturēšanai veido aptuveni 75 000 EUR. Šie ir provizoriskie aprēķini. Glābēji un to aprīkojums ir viena no dārgākajām pozīcijām</t>
  </si>
  <si>
    <t>CKS: Gājēju ietves izbūve no tirgus laukuma līdz Pirmā iela 31, pie reizes nepieciešams no asfaltbetona izbūvēt laukumu, kur attrodas atkituma konteineri 30 000 EUR.</t>
  </si>
  <si>
    <t xml:space="preserve">Satiksmes drošības pilnveide </t>
  </si>
  <si>
    <t>Elektrības aizsargčaula veloceliņam</t>
  </si>
  <si>
    <t xml:space="preserve">Oficiālās pludmales iekārtošana Lilastē </t>
  </si>
  <si>
    <t xml:space="preserve">Izmaiņas veloceliņa projektā, “Dārznieku autobusa pieturas kabatas izveidei” </t>
  </si>
  <si>
    <t>Jauns! Samazināts</t>
  </si>
  <si>
    <t>Samazinājums atceļot peldbaseinu pakalpojumu apmaksu PPII</t>
  </si>
  <si>
    <t>Precizēta invest. summa oficiālās peldvietas ierīkošanai no EUR 65'000 uz 10'000</t>
  </si>
  <si>
    <t>Sākotnēji</t>
  </si>
  <si>
    <t>Precizēts</t>
  </si>
  <si>
    <t>Pedagogu profesionālā atbalsta sistēmas izveide</t>
  </si>
  <si>
    <t>Basketbola komandas dalības maksa sacensībās LBL</t>
  </si>
  <si>
    <t xml:space="preserve">Publiska sporta laukuma izveide Podniekos </t>
  </si>
  <si>
    <t>“Ūdensblusas” tehniskā apsekošana</t>
  </si>
  <si>
    <t>TEP sociāli tehniski ekonomiskā pamatojuma izstrāde</t>
  </si>
  <si>
    <t>+305, lai pilnībā atmaksātu 1u aizņēmumu (pieskaitīts "Bāzes" lapā)</t>
  </si>
  <si>
    <t>9.7. Carnikavas vidusskola</t>
  </si>
  <si>
    <r>
      <t xml:space="preserve">1) PII Riekstiņš precizēts atalgojums logopēdam no 0,5 slodze uz 1
2) Jaunatnes nodaļa, ielikta TET apmaksa EUR 583
3) Līdzdal. budž. 2025.g. atlikums EUR 8'279 novirzīts 2026.g. rezervei
4) ĀBJSS precizēta MD +17'891 =&gt; pašvald. finans. Samazinājums
5) ĀVS sākumskolā nepieciešams veikt avārijas remontu apsardzes sistēmai - nedarbojas balss izziņošanas sistēma. EUR 5'085 - bāzes palielinājums.
6) EUR 200 jauna darba galda virsma Carnikavas bibliotēkā
</t>
    </r>
    <r>
      <rPr>
        <sz val="8"/>
        <color rgb="FFFF0000"/>
        <rFont val="Arial"/>
        <family val="2"/>
        <charset val="186"/>
      </rPr>
      <t>7) EUR 264 2025.gada PVN - Sabiedrisko attiecību nodaļa</t>
    </r>
    <r>
      <rPr>
        <sz val="8"/>
        <color theme="1"/>
        <rFont val="Arial"/>
        <family val="2"/>
        <charset val="186"/>
      </rPr>
      <t xml:space="preserve">
</t>
    </r>
    <r>
      <rPr>
        <sz val="8"/>
        <color rgb="FFFF0000"/>
        <rFont val="Arial"/>
        <family val="2"/>
        <charset val="186"/>
      </rPr>
      <t>8) EUR 8'000 Attīst. nodaļas tāmē nebija sasummēts 1 algu cipars + 798 EUR 2025.gada PVN</t>
    </r>
  </si>
  <si>
    <t>"Novadnieka kartes" aplikācijas izstrāde</t>
  </si>
  <si>
    <t>Mākslīgā intelekta rīka ieviešana</t>
  </si>
  <si>
    <t>Papildus reisu risinājumi</t>
  </si>
  <si>
    <t>Izņemts! - Ielikta daļa</t>
  </si>
  <si>
    <t>0630, 0631.7</t>
  </si>
  <si>
    <t>0649</t>
  </si>
  <si>
    <t>CKS (5.6.4.1. Dotācija CKS teritorijas uzturēšanai)</t>
  </si>
  <si>
    <t>0648; 0643</t>
  </si>
  <si>
    <t>CKS (5.6.5. Investīcijas energosaimniecības uzlabošanā</t>
  </si>
  <si>
    <t>CKS (5.6.7. Investīcijas ceļu, ielu infrastruktūras attīstībā un uzlabošanā)</t>
  </si>
  <si>
    <t>CKS (5.6.8. Investīcijas hidromeliorācijas uzturēšanā un attīstībā)</t>
  </si>
  <si>
    <t>Investīcijas vides un hidromeliorācijas uzturēšanā un attīstībā</t>
  </si>
  <si>
    <t>05201</t>
  </si>
  <si>
    <t>05301</t>
  </si>
  <si>
    <t>26.03.2026. grozījumi</t>
  </si>
  <si>
    <t>Izmaiņa 26.03.2026. - 29.01.2026.</t>
  </si>
  <si>
    <t>Precizēts konta atlikums</t>
  </si>
  <si>
    <t>0631.10</t>
  </si>
  <si>
    <t>2026.gadā noteiktais Ropažu domes līdzmaksājums par Baltezera kapsētas uzturēšanu (0648/21.3.9.9.4.)</t>
  </si>
  <si>
    <t>1) 2025.gadā noteiktais Ropažu domes līdzmaksājuma daļa (EUR 29'826) par Baltezera kapsētas uzturēšanu, kas netika izlietots 2025.gada laikā un jāatmaksā atpakaļ.
2) EUR 9'936 līdzfinansējums daudzdzīvokļu mājām no domes sadaļas uz CKS.</t>
  </si>
  <si>
    <t>EUR 9'936 līdzfinansējums daudzdzīvokļu mājām no domes sadaļas uz CKS.</t>
  </si>
  <si>
    <t>EUR 3'000 + EUR 3'000 no nesadalītā konta atlikuma zemes ierīcības projekta izstrādeiu, lai sadalītu zemi Zvejnieku iela 23 un Tulpju iela 5, lai daļu nodotu SIA "Ādažu namsaimnieks</t>
  </si>
  <si>
    <t>EUR 300 no ĀPII budžeta uz Ādažu vidusskolas budžetu par apmācību vadīšanu Bērnu tiesību aizsardzībā.</t>
  </si>
  <si>
    <t>2026. gads</t>
  </si>
  <si>
    <t>Precizēta projekta "Pedagogu profesionālā atbalsta sistēmas izveide" naudas plūsma (realizē Izglītības nodaļa)</t>
  </si>
  <si>
    <t>EUR 18'150 no nesadalītā KA hokeja bortu iegādei Carnikavā</t>
  </si>
  <si>
    <t>10.2.4.</t>
  </si>
  <si>
    <t>10.2.15.</t>
  </si>
  <si>
    <t>10.2.19.</t>
  </si>
  <si>
    <t>31.03.2026. fakts</t>
  </si>
  <si>
    <t>31.03.2026. fakts (%) pret 2026. plānu</t>
  </si>
  <si>
    <t>0631.6</t>
  </si>
  <si>
    <t>0630; 0936</t>
  </si>
  <si>
    <t>Soc. pabalsti pēc faktiskājām izmaksām EUR 38'388;
DI pakalpojumu finansējums pēc faktiskajām izmaksām EUR 5'528;
Projekts Skola-kopienā EUR 11'812</t>
  </si>
  <si>
    <t>2026.g. 1. ceturksnis</t>
  </si>
  <si>
    <t>26.03.206. grozījumi</t>
  </si>
  <si>
    <t xml:space="preserve">1.3. DRN plāns bija sastādīts balstoties uz 205.gada izpildi. Ja būs pārpilde, šie līdzekļi ir novirzāmi konkrētiem mērķiem. Ir plānoti divi projekti (Atkritumu dalītās vākšanas laukums, </t>
  </si>
  <si>
    <t xml:space="preserve">3. Pirmajā ceturkšņa izpilde 33%, taču plāna pārsniegums uz 1.ceturkšņa beigām negarantē, ka tāds pats apjoms būs arī nākamajos mēnešos. </t>
  </si>
  <si>
    <t>4. Uz pirmā ceturkšņa beigām plāna izpilde 53%. Ieņēmumi no zvejas tiesību nomas, visa summa samaksāta gada sākumā un plāna (EUR 10'000) pārpilde par EUR 1'881.</t>
  </si>
  <si>
    <t>5. Ieņēmumi no pašvaldības īpašuma pārdošanas EUR 71'995, plānā netika likti.</t>
  </si>
  <si>
    <t>6. Valsts budžeta transferti un projektu finansējums ieņēmumu izpilde 33%.</t>
  </si>
  <si>
    <t>6.1. Pedagogu algām 25% izpilde, kas ir lielākā pozīcija šajā sadaļā. Dotācija mākslas skolas algām izpilde 67% no gadā plānotā (saskaņā ar līgumu).</t>
  </si>
  <si>
    <t>6.2.Izpilde 39%. Par projektu gaitu sīkāk ziņos izpilddirektors.</t>
  </si>
  <si>
    <t>6.3.IIN budžeta dotācijas izpilde 25%. Atbilstoši plānotajam.</t>
  </si>
  <si>
    <t>Maksas par izglītības pakalpojumiem u.c. ieņēmumiem izpilde 27%.</t>
  </si>
  <si>
    <t>1. Kopumā izpilde 15%, jeb EUR 13 80'535. Izpilde salīdzinoši maza, jo liela daļa investīciju projektu vēl nav realizēti. Lielākās investīcijas (projekti) sastāda 31% no kopējām plānotajām izmaksām (EUR 25'646'874), kuru kopējā finansiālā izpilde uz 1.ceturkšņa beigām ir 10% (EUR 2'472'736).</t>
  </si>
  <si>
    <t>1.1. Izpilde 21% no gada plāna, kas ir atbilstoši plānotajam.</t>
  </si>
  <si>
    <t>1.2. Izpilde 23%. Šajā pozīcijā iespējamsbūs ekonomija, taču vairākiem aizņēmumiem likmes mainās gada otrajā pusē.</t>
  </si>
  <si>
    <t xml:space="preserve">2. Izpilde 14%. Šajā pozīcija ir plānots EKII projekts - Ādažu policijas ēkas atjaunošana EUR 41'250 apmērā šajā gadā, kam maksājumi vēl nav veikti. Vēl nav veikta formastērpu iegāde EUR 10'960. </t>
  </si>
  <si>
    <t>3. Plāna izpilde 14%. Vairākas aktivitātes un kalendāru izgatavošanu visam novadam paredzēta gada vidū vai gada beigās.</t>
  </si>
  <si>
    <t>5. Pašvaldības DRN maksājums, atbilstoši plānam.</t>
  </si>
  <si>
    <t>Investīcijas 0600</t>
  </si>
  <si>
    <t>6. Kopējā izpilde 9%. Maza izpilde, jo šajā sadaļā ir plānotie projekti EUR 16'666'896 apmērā, kur izpilde uz 31.03. ir 5% (EUR 977'182).</t>
  </si>
  <si>
    <t xml:space="preserve">     6.1. Izpilde 15%. Gada otrajā pusē paredzētas lielākas izmaksas gadskārtējo svētku noformējumam novadā (Valsts svētki, Ziemassvētki utt.). </t>
  </si>
  <si>
    <t>6.3. Izdevumi neparedzētiem gadījumiem, līdzdalības budžets - šī gada pirmā ceturkšņa izpilde "0".</t>
  </si>
  <si>
    <t>7.  Kopējā izpilde 15%. Ādažu kultūras centram, TN Ozolaine un muzejam - kopējā izpilde 8%, jo lielākās izmaksas maijā - Gaujas svētki, augustā - Nēģu svētki, pasākumi siltajā sezonā.
Sporta daļai izpilde 21%, jo gada pirmajā ceturksnī tiek izmaksātas dotācija biedrībām un nodibinājumiem, kas sastāda 11% no kopējā sporta daļas gada plāna.</t>
  </si>
  <si>
    <t>8. Kopējā izpilde 19%. Iniciatīvu projektu finansēšanai paredzētā summa EUR 19'000 izmaksāta pilnā apmērā.</t>
  </si>
  <si>
    <t>9. Kopējā izpilde 16%. Izglītības iestāžu atalgojuma sadaļā lielākā izpilde vasaras mēnešos, kad lielākā daļa darbinieku dodas atvaļinājumā. Izglītības sektora projektiem paredzēti plānā EUR 6'724'875 no kuriem ir veiktas izmaksas EUR 413'914 apmērā.</t>
  </si>
  <si>
    <t xml:space="preserve">     9.1. Norēķini ar pašvaldībām par izglītības iestāžu pakalp. - izpilde 3%, jo norēķini notiek 3x gadā un pirmais maksājums plānots aprīlī.</t>
  </si>
  <si>
    <t>9.2. - 9.5. Ādažu PII izpilde izpilde vidēji 15%. Darbinieku atvaļinājumi vasarā un mācību līdzekļu iegāde notiek pirms jaunā mācību gada.</t>
  </si>
  <si>
    <t>9.7. Carnikavas pamatskola - izpilde 17 %, pedagogu atvaļinājumi vasarā.</t>
  </si>
  <si>
    <t>9.9. Mākslu skola - izpilde 16% - vasarā plānotas nometnes, par instrumentu iegādi vēl nav bijuši norēķini.</t>
  </si>
  <si>
    <t>9.6. Privātās izglītības iestādes. Izpilde 24%, atbilstoši plānotajam.</t>
  </si>
  <si>
    <t>9.8. Ādažu vidusskola 16%, pedagogu atvaļinājumi vasarā.</t>
  </si>
  <si>
    <t>9.10. Sporta skola 17% - vasarā plānotas nometnes.</t>
  </si>
  <si>
    <t>9.11. Izglītības un jauniešu lietu pārvalde 11% - lielākās plāna pozīcijas - bērnu radošās nometnes vasarā un skolēnu apbalvošana par augstiem mācību sasniegumiem pēc mācību gada noslēgšanās.</t>
  </si>
  <si>
    <t xml:space="preserve">     9.12. projekti - 15% izpilde, atbilstoši projektu realizācijai. Par projektu gaitu ziņo izpilddirektors.</t>
  </si>
  <si>
    <t>10. Atbilstoši plānotajam. Pārsniedz 25%, jo daļai veikta pirmstermiņa atmaksa par 2025.gada IIN pārpildes apjomu.</t>
  </si>
  <si>
    <t>EUR 5'788 - % ieņēmumi no nakts depozīta; 
EUR 5'317 AM kompensāciju par Vecštāles ceļa bojājumiem mācību laikā.</t>
  </si>
  <si>
    <t>1) EUR 28'474 kopienu speciālista izmaksas. Saskaņā ar Domes 26.02.2026. lēmumu Nr.83, kur tiek pārcelta pozīcija kopienu speciālists no Attīstības daļas uz pārvaldi.
2) Ekonomija 2 mēnešu priekšsēdētāja atalgojums EUR 10'296 uz nesadalīto konta atlikumu.</t>
  </si>
  <si>
    <t>1) - EUR 28'474 kopienu speciālista izmaksas. Saskaņā ar Domes 26.02.2026. lēmumu Nr.83, kur tiek pārcelta pozīcija kopienu speciālists no Attīstības daļas uz pārvaldi.
2) Sakaņā ar Domes 26.02.2026. lēmumu Nr.76 EUR 10'000 no nesadalītā konta atlikuma Pirmā iela 42A metāla konstrukciju un pamatu detalizētai izpētei. Pēc iepirkuma summa EUR 10'890, papildus EUR 890 no 0630/EKK 2239 (IIA izstrāde jaunā uzņēmējdarbības projekta pieteikumam - nav tomēr jāveic) uz 0632.6/EKK 5240</t>
  </si>
  <si>
    <t>Sakaņā ar Domes 26.02.2026. lēmumu Nr.76 EUR 10'000 no nesadalītā konta atlikuma Pirmā iela 42A metāla konstrukciju un pamatu detalizētai izpētei. Pēc iepirkuma summa EUR 10'890, papildus EUR 890 no 0630/EKK 2239 (IIA izstrāde jaunā uzņēmējdarbības projekta pieteikumam - nav tomēr jāveic) uz 0632.6/EKK 5240</t>
  </si>
  <si>
    <t>1) Saskaņā ar Domes 26.02.2026. lēmumu Nr. 74 EUR 8'000 izglītojamo pārvadājumiem uz speciālās izglītības iestādēm
2) Precizēta projekta "Pedagogu profesionālā atbalsta sistēmas izveide" naudas plūsma (realizē Izglītības nodaļa) papildus EUR 45'534</t>
  </si>
  <si>
    <t>Kopējā ieņēmumu izpilde pret plānoto ir 28%, jeb EUR 18’630'541.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</si>
</sst>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_-* #,##0.00\ _€_-;\-* #,##0.00\ _€_-;_-* &quot;-&quot;??\ _€_-;_-@_-"/>
    <numFmt numFmtId="165" formatCode="_-&quot;€&quot;\ * #,##0.00_-;\-&quot;€&quot;\ * #,##0.00_-;_-&quot;€&quot;\ * &quot;-&quot;??_-;_-@_-"/>
    <numFmt numFmtId="166" formatCode="_-&quot;Ls&quot;\ * #,##0.00_-;\-&quot;Ls&quot;\ * #,##0.00_-;_-&quot;Ls&quot;\ * &quot;-&quot;??_-;_-@_-"/>
    <numFmt numFmtId="167" formatCode="_-* #,##0_-;\-* #,##0_-;_-* &quot;-&quot;??_-;_-@_-"/>
    <numFmt numFmtId="168" formatCode="0.0%"/>
    <numFmt numFmtId="169" formatCode="[$-426]General"/>
    <numFmt numFmtId="170" formatCode="[$-426]0%"/>
    <numFmt numFmtId="171" formatCode="&quot; &quot;#,##0.00&quot; &quot;;&quot;-&quot;#,##0.00&quot; &quot;;&quot; -&quot;#&quot; &quot;;&quot; &quot;@&quot; &quot;"/>
    <numFmt numFmtId="172" formatCode="#,##0_ ;\-#,##0\ "/>
    <numFmt numFmtId="173" formatCode="[&lt;=9999999]###\-####;\(###\)\ ###\-####"/>
    <numFmt numFmtId="174" formatCode="_-* #,##0.00\ [$EUR]_-;\-* #,##0.00\ [$EUR]_-;_-* &quot;-&quot;??\ [$EUR]_-;_-@_-"/>
    <numFmt numFmtId="175" formatCode="#,##0_ ;[Red]\-#,##0\ "/>
    <numFmt numFmtId="176" formatCode="_-&quot;€&quot;* #,##0.00_-;\-&quot;€&quot;* #,##0.00_-;_-&quot;€&quot;* &quot;-&quot;??_-;_-@_-"/>
    <numFmt numFmtId="177" formatCode="&quot; &quot;#,##0.00&quot; &quot;;&quot;-&quot;#,##0.00&quot; &quot;;&quot; -&quot;00&quot; &quot;;&quot; &quot;@&quot; &quot;"/>
    <numFmt numFmtId="178" formatCode="&quot; &quot;#,##0&quot; &quot;;&quot;-&quot;#,##0&quot; &quot;;&quot; -&quot;00&quot; &quot;;&quot; &quot;@&quot; &quot;"/>
    <numFmt numFmtId="179" formatCode="_(* #,##0.00_);_(* \(#,##0.00\);_(* &quot;-&quot;??_);_(@_)"/>
  </numFmts>
  <fonts count="187"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indexed="10"/>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1"/>
      <color indexed="8"/>
      <name val="Times New Roman"/>
      <family val="1"/>
      <charset val="186"/>
    </font>
    <font>
      <sz val="10"/>
      <name val="Times New Roman"/>
      <family val="1"/>
      <charset val="186"/>
    </font>
    <font>
      <i/>
      <sz val="11"/>
      <name val="Times New Roman"/>
      <family val="1"/>
      <charset val="186"/>
    </font>
    <font>
      <sz val="11"/>
      <color theme="1"/>
      <name val="Times New Roman"/>
      <family val="1"/>
      <charset val="186"/>
    </font>
    <font>
      <b/>
      <sz val="9"/>
      <color theme="1"/>
      <name val="Arial"/>
      <family val="2"/>
      <charset val="186"/>
    </font>
    <font>
      <b/>
      <sz val="8"/>
      <name val="Arial"/>
      <family val="2"/>
      <charset val="186"/>
    </font>
    <font>
      <sz val="8"/>
      <name val="Arial"/>
      <family val="2"/>
      <charset val="186"/>
    </font>
    <font>
      <b/>
      <sz val="8"/>
      <color rgb="FFFF0000"/>
      <name val="Arial"/>
      <family val="2"/>
      <charset val="186"/>
    </font>
    <font>
      <sz val="8"/>
      <color rgb="FFFF0000"/>
      <name val="Arial"/>
      <family val="2"/>
      <charset val="186"/>
    </font>
    <font>
      <sz val="8"/>
      <color indexed="10"/>
      <name val="Tahoma"/>
      <family val="2"/>
      <charset val="186"/>
    </font>
    <font>
      <sz val="8"/>
      <color theme="1"/>
      <name val="Arial"/>
      <family val="2"/>
      <charset val="186"/>
    </font>
    <font>
      <i/>
      <sz val="8"/>
      <name val="Arial"/>
      <family val="2"/>
      <charset val="186"/>
    </font>
    <font>
      <i/>
      <sz val="8"/>
      <color theme="1"/>
      <name val="Arial"/>
      <family val="2"/>
      <charset val="186"/>
    </font>
    <font>
      <i/>
      <sz val="8"/>
      <color rgb="FFFF0000"/>
      <name val="Arial"/>
      <family val="2"/>
      <charset val="186"/>
    </font>
    <font>
      <b/>
      <i/>
      <sz val="8"/>
      <color rgb="FFFF0000"/>
      <name val="Arial"/>
      <family val="2"/>
      <charset val="186"/>
    </font>
    <font>
      <b/>
      <i/>
      <sz val="8"/>
      <name val="Arial"/>
      <family val="2"/>
      <charset val="186"/>
    </font>
    <font>
      <sz val="9"/>
      <color indexed="8"/>
      <name val="Arial"/>
      <family val="2"/>
      <charset val="186"/>
    </font>
    <font>
      <b/>
      <i/>
      <sz val="8"/>
      <color theme="1"/>
      <name val="Arial"/>
      <family val="2"/>
      <charset val="186"/>
    </font>
    <font>
      <sz val="9"/>
      <color theme="3"/>
      <name val="Arial"/>
      <family val="2"/>
      <charset val="186"/>
    </font>
    <font>
      <sz val="9"/>
      <color rgb="FFFF0000"/>
      <name val="Arial"/>
      <family val="2"/>
      <charset val="186"/>
    </font>
    <font>
      <sz val="9"/>
      <color rgb="FF006100"/>
      <name val="Arial"/>
      <family val="2"/>
      <charset val="186"/>
    </font>
    <font>
      <sz val="12"/>
      <name val="Times New Roman"/>
      <family val="1"/>
      <charset val="186"/>
    </font>
    <font>
      <sz val="9"/>
      <name val="Arial"/>
      <family val="2"/>
      <charset val="186"/>
    </font>
    <font>
      <sz val="11"/>
      <name val="Times New Roman"/>
      <family val="1"/>
    </font>
    <font>
      <b/>
      <sz val="11"/>
      <color theme="1"/>
      <name val="Calibri"/>
      <family val="2"/>
      <charset val="186"/>
      <scheme val="minor"/>
    </font>
    <font>
      <u/>
      <sz val="11"/>
      <color theme="10"/>
      <name val="Calibri"/>
      <family val="2"/>
      <charset val="186"/>
      <scheme val="minor"/>
    </font>
    <font>
      <sz val="9"/>
      <color rgb="FFC00000"/>
      <name val="Arial"/>
      <family val="2"/>
      <charset val="186"/>
    </font>
    <font>
      <sz val="11"/>
      <color rgb="FF000000"/>
      <name val="Calibri"/>
      <family val="2"/>
    </font>
    <font>
      <b/>
      <sz val="10"/>
      <name val="Arial"/>
      <family val="2"/>
      <charset val="186"/>
    </font>
    <font>
      <sz val="10"/>
      <color rgb="FFFF0000"/>
      <name val="Arial"/>
      <family val="2"/>
      <charset val="186"/>
    </font>
    <font>
      <b/>
      <sz val="9"/>
      <name val="Arial"/>
      <family val="2"/>
      <charset val="186"/>
    </font>
    <font>
      <sz val="10"/>
      <color theme="1"/>
      <name val="Arial"/>
      <family val="2"/>
      <charset val="186"/>
    </font>
    <font>
      <i/>
      <sz val="9"/>
      <color theme="1"/>
      <name val="Arial"/>
      <family val="2"/>
      <charset val="186"/>
    </font>
    <font>
      <sz val="10"/>
      <name val="Arial"/>
      <family val="2"/>
    </font>
    <font>
      <b/>
      <sz val="11"/>
      <name val="Times New Roman"/>
      <family val="1"/>
    </font>
    <font>
      <i/>
      <sz val="9"/>
      <color theme="3"/>
      <name val="Arial"/>
      <family val="2"/>
      <charset val="186"/>
    </font>
    <font>
      <i/>
      <sz val="8"/>
      <color rgb="FF7030A0"/>
      <name val="Arial"/>
      <family val="2"/>
      <charset val="186"/>
    </font>
    <font>
      <sz val="9"/>
      <color indexed="81"/>
      <name val="Tahoma"/>
      <family val="2"/>
      <charset val="186"/>
    </font>
    <font>
      <b/>
      <sz val="9"/>
      <color indexed="81"/>
      <name val="Tahoma"/>
      <family val="2"/>
      <charset val="186"/>
    </font>
    <font>
      <sz val="10"/>
      <name val="Arial"/>
      <family val="2"/>
      <charset val="186"/>
    </font>
    <font>
      <i/>
      <sz val="9"/>
      <color rgb="FFFF0000"/>
      <name val="Arial"/>
      <family val="2"/>
      <charset val="186"/>
    </font>
    <font>
      <sz val="9"/>
      <color theme="1"/>
      <name val="Calibri"/>
      <family val="2"/>
      <charset val="186"/>
      <scheme val="minor"/>
    </font>
    <font>
      <sz val="11"/>
      <color theme="1"/>
      <name val="Arial"/>
      <family val="2"/>
      <charset val="186"/>
    </font>
    <font>
      <b/>
      <sz val="20"/>
      <color indexed="8"/>
      <name val="Times New Roman"/>
      <family val="1"/>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i/>
      <sz val="9"/>
      <color rgb="FFC00000"/>
      <name val="Arial"/>
      <family val="2"/>
      <charset val="186"/>
    </font>
    <font>
      <sz val="10"/>
      <name val="Helv"/>
    </font>
    <font>
      <sz val="11"/>
      <color rgb="FF000000"/>
      <name val="Calibri"/>
      <family val="2"/>
      <charset val="186"/>
    </font>
    <font>
      <sz val="9"/>
      <color rgb="FF7030A0"/>
      <name val="Arial"/>
      <family val="2"/>
      <charset val="186"/>
    </font>
    <font>
      <u/>
      <sz val="9"/>
      <color theme="10"/>
      <name val="Arial"/>
      <family val="2"/>
      <charset val="186"/>
    </font>
    <font>
      <b/>
      <sz val="11"/>
      <name val="Calibri"/>
      <family val="2"/>
      <scheme val="minor"/>
    </font>
    <font>
      <b/>
      <i/>
      <sz val="9"/>
      <color rgb="FF7030A0"/>
      <name val="Arial"/>
      <family val="2"/>
      <charset val="186"/>
    </font>
    <font>
      <sz val="11"/>
      <color rgb="FF9C5700"/>
      <name val="Calibri"/>
      <family val="2"/>
      <charset val="186"/>
      <scheme val="minor"/>
    </font>
    <font>
      <b/>
      <sz val="9"/>
      <color rgb="FFFF0000"/>
      <name val="Arial"/>
      <family val="2"/>
      <charset val="186"/>
    </font>
    <font>
      <u/>
      <sz val="11"/>
      <color theme="10"/>
      <name val="Calibri"/>
      <family val="2"/>
      <charset val="186"/>
    </font>
    <font>
      <b/>
      <sz val="18"/>
      <name val="Calibri"/>
      <family val="2"/>
      <scheme val="minor"/>
    </font>
    <font>
      <sz val="9"/>
      <color theme="4" tint="-0.499984740745262"/>
      <name val="Arial"/>
      <family val="2"/>
      <charset val="186"/>
    </font>
    <font>
      <sz val="9"/>
      <color theme="0"/>
      <name val="Arial"/>
      <family val="2"/>
      <charset val="186"/>
    </font>
    <font>
      <sz val="28"/>
      <color theme="0" tint="-0.499984740745262"/>
      <name val="Calibri Light"/>
      <family val="2"/>
      <scheme val="major"/>
    </font>
    <font>
      <b/>
      <i/>
      <sz val="11"/>
      <name val="Calibri"/>
      <family val="2"/>
      <scheme val="minor"/>
    </font>
    <font>
      <i/>
      <sz val="11"/>
      <name val="Calibri"/>
      <family val="2"/>
      <scheme val="minor"/>
    </font>
    <font>
      <b/>
      <i/>
      <sz val="9"/>
      <name val="Arial"/>
      <family val="2"/>
      <charset val="186"/>
    </font>
    <font>
      <b/>
      <sz val="9"/>
      <color theme="0"/>
      <name val="Arial"/>
      <family val="2"/>
      <charset val="186"/>
    </font>
    <font>
      <i/>
      <sz val="9"/>
      <color theme="8"/>
      <name val="Arial"/>
      <family val="2"/>
      <charset val="186"/>
    </font>
    <font>
      <sz val="9"/>
      <color theme="8"/>
      <name val="Arial"/>
      <family val="2"/>
      <charset val="186"/>
    </font>
    <font>
      <i/>
      <sz val="9"/>
      <color theme="4"/>
      <name val="Arial"/>
      <family val="2"/>
      <charset val="186"/>
    </font>
    <font>
      <b/>
      <sz val="10"/>
      <color theme="1"/>
      <name val="Arial"/>
      <family val="2"/>
      <charset val="186"/>
    </font>
    <font>
      <b/>
      <i/>
      <sz val="9"/>
      <color theme="1"/>
      <name val="Arial"/>
      <family val="2"/>
      <charset val="186"/>
    </font>
    <font>
      <sz val="8"/>
      <color theme="8"/>
      <name val="Arial"/>
      <family val="2"/>
      <charset val="186"/>
    </font>
    <font>
      <b/>
      <i/>
      <sz val="9"/>
      <color rgb="FFFF0000"/>
      <name val="Arial"/>
      <family val="2"/>
      <charset val="186"/>
    </font>
    <font>
      <i/>
      <sz val="9"/>
      <name val="Arial"/>
      <family val="2"/>
      <charset val="186"/>
    </font>
    <font>
      <i/>
      <sz val="8"/>
      <color theme="8" tint="-0.249977111117893"/>
      <name val="Arial"/>
      <family val="2"/>
      <charset val="186"/>
    </font>
    <font>
      <sz val="11"/>
      <color rgb="FF000000"/>
      <name val="Calibri"/>
      <family val="2"/>
      <charset val="1"/>
    </font>
    <font>
      <sz val="9"/>
      <color theme="4"/>
      <name val="Arial"/>
      <family val="2"/>
      <charset val="186"/>
    </font>
    <font>
      <i/>
      <sz val="11"/>
      <color indexed="8"/>
      <name val="Times New Roman"/>
      <family val="1"/>
      <charset val="186"/>
    </font>
    <font>
      <u/>
      <sz val="10"/>
      <name val="Arial"/>
      <family val="2"/>
      <charset val="186"/>
    </font>
    <font>
      <b/>
      <sz val="20"/>
      <name val="Times New Roman"/>
      <family val="1"/>
      <charset val="186"/>
    </font>
    <font>
      <sz val="11"/>
      <color rgb="FF000000"/>
      <name val="Arial"/>
      <family val="2"/>
      <charset val="186"/>
    </font>
    <font>
      <i/>
      <sz val="10"/>
      <color theme="1"/>
      <name val="Arial"/>
      <family val="2"/>
      <charset val="186"/>
    </font>
    <font>
      <sz val="9"/>
      <color theme="5"/>
      <name val="Arial"/>
      <family val="2"/>
      <charset val="186"/>
    </font>
    <font>
      <sz val="10"/>
      <color rgb="FFEE0000"/>
      <name val="Arial"/>
      <family val="2"/>
      <charset val="186"/>
    </font>
    <font>
      <b/>
      <sz val="9"/>
      <color theme="1"/>
      <name val="Calibri"/>
      <family val="2"/>
      <charset val="186"/>
      <scheme val="minor"/>
    </font>
    <font>
      <u/>
      <sz val="11"/>
      <color theme="10"/>
      <name val="Calibri"/>
      <family val="2"/>
      <scheme val="minor"/>
    </font>
    <font>
      <sz val="10"/>
      <name val="Arial"/>
      <family val="2"/>
      <charset val="204"/>
    </font>
    <font>
      <i/>
      <sz val="9"/>
      <color theme="8" tint="-0.249977111117893"/>
      <name val="Arial"/>
      <family val="2"/>
      <charset val="186"/>
    </font>
    <font>
      <b/>
      <sz val="9"/>
      <color theme="4"/>
      <name val="Arial"/>
      <family val="2"/>
      <charset val="186"/>
    </font>
    <font>
      <sz val="9"/>
      <color rgb="FF00B0F0"/>
      <name val="Arial"/>
      <family val="2"/>
      <charset val="186"/>
    </font>
    <font>
      <sz val="9"/>
      <color rgb="FF0FA8C1"/>
      <name val="Arial"/>
      <family val="2"/>
      <charset val="186"/>
    </font>
    <font>
      <b/>
      <i/>
      <sz val="9"/>
      <color rgb="FF00B0F0"/>
      <name val="Arial"/>
      <family val="2"/>
      <charset val="186"/>
    </font>
    <font>
      <sz val="9"/>
      <color rgb="FF6CA644"/>
      <name val="Arial"/>
      <family val="2"/>
      <charset val="186"/>
    </font>
    <font>
      <i/>
      <sz val="9"/>
      <color rgb="FF00B0F0"/>
      <name val="Arial"/>
      <family val="2"/>
      <charset val="186"/>
    </font>
    <font>
      <sz val="9"/>
      <color rgb="FF0070C0"/>
      <name val="Arial"/>
      <family val="2"/>
      <charset val="186"/>
    </font>
  </fonts>
  <fills count="68">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bgColor indexed="64"/>
      </patternFill>
    </fill>
    <fill>
      <patternFill patternType="solid">
        <fgColor rgb="FF00B0F0"/>
        <bgColor indexed="64"/>
      </patternFill>
    </fill>
    <fill>
      <patternFill patternType="solid">
        <fgColor theme="5" tint="0.39997558519241921"/>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249977111117893"/>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bgColor indexed="64"/>
      </patternFill>
    </fill>
    <fill>
      <patternFill patternType="solid">
        <fgColor rgb="FFFF8B8B"/>
        <bgColor indexed="64"/>
      </patternFill>
    </fill>
    <fill>
      <patternFill patternType="solid">
        <fgColor rgb="FFFFF7E1"/>
        <bgColor indexed="64"/>
      </patternFill>
    </fill>
    <fill>
      <patternFill patternType="solid">
        <fgColor rgb="FF99FFCC"/>
        <bgColor indexed="64"/>
      </patternFill>
    </fill>
    <fill>
      <patternFill patternType="solid">
        <fgColor rgb="FFFFC1C1"/>
        <bgColor indexed="64"/>
      </patternFill>
    </fill>
    <fill>
      <patternFill patternType="solid">
        <fgColor rgb="FFFFCCCC"/>
        <bgColor indexed="64"/>
      </patternFill>
    </fill>
    <fill>
      <patternFill patternType="solid">
        <fgColor rgb="FF6CA644"/>
        <bgColor indexed="64"/>
      </patternFill>
    </fill>
    <fill>
      <patternFill patternType="solid">
        <fgColor rgb="FF00FFFF"/>
        <bgColor indexed="64"/>
      </patternFill>
    </fill>
  </fills>
  <borders count="16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medium">
        <color indexed="64"/>
      </top>
      <bottom style="thin">
        <color auto="1"/>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style="thin">
        <color theme="0" tint="-0.499984740745262"/>
      </top>
      <bottom/>
      <diagonal/>
    </border>
    <border>
      <left/>
      <right/>
      <top/>
      <bottom style="double">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double">
        <color indexed="64"/>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double">
        <color indexed="64"/>
      </bottom>
      <diagonal/>
    </border>
    <border>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right style="thin">
        <color rgb="FF000000"/>
      </right>
      <top style="thin">
        <color rgb="FF000000"/>
      </top>
      <bottom/>
      <diagonal/>
    </border>
    <border>
      <left style="thin">
        <color theme="0" tint="-0.499984740745262"/>
      </left>
      <right style="thin">
        <color theme="0" tint="-0.499984740745262"/>
      </right>
      <top style="thin">
        <color indexed="64"/>
      </top>
      <bottom style="double">
        <color indexed="64"/>
      </bottom>
      <diagonal/>
    </border>
    <border>
      <left/>
      <right/>
      <top style="thin">
        <color indexed="64"/>
      </top>
      <bottom style="double">
        <color indexed="64"/>
      </bottom>
      <diagonal/>
    </border>
    <border>
      <left/>
      <right/>
      <top style="thin">
        <color theme="0" tint="-0.499984740745262"/>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medium">
        <color indexed="64"/>
      </bottom>
      <diagonal/>
    </border>
    <border>
      <left/>
      <right/>
      <top style="thin">
        <color theme="0" tint="-0.499984740745262"/>
      </top>
      <bottom style="medium">
        <color indexed="64"/>
      </bottom>
      <diagonal/>
    </border>
    <border>
      <left style="thin">
        <color theme="0" tint="-0.499984740745262"/>
      </left>
      <right style="thin">
        <color theme="0" tint="-0.499984740745262"/>
      </right>
      <top style="double">
        <color indexed="64"/>
      </top>
      <bottom style="thin">
        <color indexed="64"/>
      </bottom>
      <diagonal/>
    </border>
    <border>
      <left/>
      <right/>
      <top style="double">
        <color indexed="64"/>
      </top>
      <bottom style="thin">
        <color indexed="64"/>
      </bottom>
      <diagonal/>
    </border>
    <border>
      <left style="thin">
        <color theme="0" tint="-0.499984740745262"/>
      </left>
      <right style="thin">
        <color theme="0" tint="-0.499984740745262"/>
      </right>
      <top/>
      <bottom style="thin">
        <color indexed="64"/>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indexed="64"/>
      </top>
      <bottom style="thin">
        <color indexed="64"/>
      </bottom>
      <diagonal/>
    </border>
    <border>
      <left/>
      <right/>
      <top style="medium">
        <color indexed="64"/>
      </top>
      <bottom style="thin">
        <color theme="0" tint="-0.499984740745262"/>
      </bottom>
      <diagonal/>
    </border>
    <border>
      <left style="thin">
        <color theme="0" tint="-0.499984740745262"/>
      </left>
      <right/>
      <top style="thin">
        <color indexed="64"/>
      </top>
      <bottom style="double">
        <color indexed="64"/>
      </bottom>
      <diagonal/>
    </border>
    <border>
      <left style="thin">
        <color theme="0" tint="-0.499984740745262"/>
      </left>
      <right/>
      <top/>
      <bottom style="double">
        <color indexed="64"/>
      </bottom>
      <diagonal/>
    </border>
    <border>
      <left style="thin">
        <color auto="1"/>
      </left>
      <right style="thin">
        <color theme="0" tint="-0.499984740745262"/>
      </right>
      <top/>
      <bottom style="thin">
        <color indexed="64"/>
      </bottom>
      <diagonal/>
    </border>
    <border>
      <left style="thin">
        <color auto="1"/>
      </left>
      <right style="thin">
        <color theme="0" tint="-0.499984740745262"/>
      </right>
      <top style="thin">
        <color auto="1"/>
      </top>
      <bottom style="thin">
        <color indexed="64"/>
      </bottom>
      <diagonal/>
    </border>
    <border>
      <left style="medium">
        <color indexed="64"/>
      </left>
      <right style="thin">
        <color theme="0" tint="-0.499984740745262"/>
      </right>
      <top style="medium">
        <color indexed="64"/>
      </top>
      <bottom/>
      <diagonal/>
    </border>
    <border>
      <left style="medium">
        <color indexed="64"/>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style="thin">
        <color theme="0" tint="-0.499984740745262"/>
      </bottom>
      <diagonal/>
    </border>
    <border>
      <left/>
      <right style="thin">
        <color theme="0" tint="-0.499984740745262"/>
      </right>
      <top style="medium">
        <color indexed="64"/>
      </top>
      <bottom style="thin">
        <color indexed="64"/>
      </bottom>
      <diagonal/>
    </border>
    <border>
      <left style="thin">
        <color theme="0" tint="-0.499984740745262"/>
      </left>
      <right style="thin">
        <color theme="0" tint="-0.499984740745262"/>
      </right>
      <top style="medium">
        <color indexed="64"/>
      </top>
      <bottom style="thin">
        <color indexed="64"/>
      </bottom>
      <diagonal/>
    </border>
    <border>
      <left style="thin">
        <color theme="0" tint="-0.499984740745262"/>
      </left>
      <right/>
      <top style="medium">
        <color indexed="64"/>
      </top>
      <bottom style="thin">
        <color indexed="64"/>
      </bottom>
      <diagonal/>
    </border>
    <border>
      <left style="medium">
        <color indexed="64"/>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top style="thin">
        <color theme="0" tint="-0.499984740745262"/>
      </top>
      <bottom style="thin">
        <color indexed="64"/>
      </bottom>
      <diagonal/>
    </border>
    <border>
      <left style="thin">
        <color theme="0" tint="-0.499984740745262"/>
      </left>
      <right style="medium">
        <color indexed="64"/>
      </right>
      <top style="medium">
        <color indexed="64"/>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indexed="64"/>
      </bottom>
      <diagonal/>
    </border>
    <border>
      <left style="medium">
        <color indexed="64"/>
      </left>
      <right style="medium">
        <color indexed="64"/>
      </right>
      <top style="thin">
        <color indexed="64"/>
      </top>
      <bottom/>
      <diagonal/>
    </border>
  </borders>
  <cellStyleXfs count="357">
    <xf numFmtId="0" fontId="0" fillId="0" borderId="0"/>
    <xf numFmtId="43" fontId="73" fillId="0" borderId="0" applyFont="0" applyFill="0" applyBorder="0" applyAlignment="0" applyProtection="0"/>
    <xf numFmtId="9" fontId="73" fillId="0" borderId="0" applyFont="0" applyFill="0" applyBorder="0" applyAlignment="0" applyProtection="0"/>
    <xf numFmtId="0" fontId="65" fillId="0" borderId="0"/>
    <xf numFmtId="9" fontId="71" fillId="0" borderId="0" applyFont="0" applyFill="0" applyBorder="0" applyAlignment="0" applyProtection="0"/>
    <xf numFmtId="43" fontId="71" fillId="0" borderId="0" applyFont="0" applyFill="0" applyBorder="0" applyAlignment="0" applyProtection="0"/>
    <xf numFmtId="9" fontId="71" fillId="0" borderId="0" applyFont="0" applyFill="0" applyBorder="0" applyAlignment="0" applyProtection="0"/>
    <xf numFmtId="0" fontId="74" fillId="0" borderId="0"/>
    <xf numFmtId="43" fontId="71" fillId="0" borderId="0" applyFont="0" applyFill="0" applyBorder="0" applyAlignment="0" applyProtection="0"/>
    <xf numFmtId="9" fontId="71" fillId="0" borderId="0" applyFont="0" applyFill="0" applyBorder="0" applyAlignment="0" applyProtection="0"/>
    <xf numFmtId="0" fontId="74" fillId="0" borderId="0"/>
    <xf numFmtId="43" fontId="74" fillId="0" borderId="0" applyFont="0" applyFill="0" applyBorder="0" applyAlignment="0" applyProtection="0"/>
    <xf numFmtId="43" fontId="71" fillId="0" borderId="0" applyFont="0" applyFill="0" applyBorder="0" applyAlignment="0" applyProtection="0"/>
    <xf numFmtId="0" fontId="64" fillId="0" borderId="0"/>
    <xf numFmtId="9" fontId="74" fillId="0" borderId="0" applyFont="0" applyFill="0" applyBorder="0" applyAlignment="0" applyProtection="0"/>
    <xf numFmtId="43" fontId="71" fillId="0" borderId="0" applyFont="0" applyFill="0" applyBorder="0" applyAlignment="0" applyProtection="0"/>
    <xf numFmtId="0" fontId="71" fillId="0" borderId="0"/>
    <xf numFmtId="43" fontId="71" fillId="0" borderId="0" applyFont="0" applyFill="0" applyBorder="0" applyAlignment="0" applyProtection="0"/>
    <xf numFmtId="0" fontId="78" fillId="0" borderId="0"/>
    <xf numFmtId="43" fontId="73" fillId="0" borderId="0" applyFont="0" applyFill="0" applyBorder="0" applyAlignment="0" applyProtection="0"/>
    <xf numFmtId="43" fontId="71" fillId="0" borderId="0" applyFont="0" applyFill="0" applyBorder="0" applyAlignment="0" applyProtection="0"/>
    <xf numFmtId="166" fontId="73" fillId="0" borderId="0" applyFont="0" applyFill="0" applyBorder="0" applyAlignment="0" applyProtection="0"/>
    <xf numFmtId="43" fontId="71" fillId="0" borderId="0" applyFont="0" applyFill="0" applyBorder="0" applyAlignment="0" applyProtection="0"/>
    <xf numFmtId="43" fontId="93" fillId="0" borderId="0" applyFont="0" applyFill="0" applyBorder="0" applyAlignment="0" applyProtection="0"/>
    <xf numFmtId="43" fontId="64" fillId="0" borderId="0" applyFont="0" applyFill="0" applyBorder="0" applyAlignment="0" applyProtection="0"/>
    <xf numFmtId="43" fontId="71" fillId="0" borderId="0" applyFont="0" applyFill="0" applyBorder="0" applyAlignment="0" applyProtection="0"/>
    <xf numFmtId="0" fontId="64" fillId="0" borderId="0"/>
    <xf numFmtId="0" fontId="97" fillId="2" borderId="0" applyNumberFormat="0" applyBorder="0" applyAlignment="0" applyProtection="0"/>
    <xf numFmtId="0" fontId="74" fillId="0" borderId="0"/>
    <xf numFmtId="43" fontId="74" fillId="0" borderId="0" applyFont="0" applyFill="0" applyBorder="0" applyAlignment="0" applyProtection="0"/>
    <xf numFmtId="43" fontId="74" fillId="0" borderId="0" applyFont="0" applyFill="0" applyBorder="0" applyAlignment="0" applyProtection="0"/>
    <xf numFmtId="9" fontId="74" fillId="0" borderId="0" applyFont="0" applyFill="0" applyBorder="0" applyAlignment="0" applyProtection="0"/>
    <xf numFmtId="0" fontId="63" fillId="0" borderId="0"/>
    <xf numFmtId="0" fontId="62" fillId="0" borderId="0"/>
    <xf numFmtId="9" fontId="62" fillId="0" borderId="0" applyFont="0" applyFill="0" applyBorder="0" applyAlignment="0" applyProtection="0"/>
    <xf numFmtId="0" fontId="62" fillId="0" borderId="0"/>
    <xf numFmtId="43" fontId="71" fillId="0" borderId="0" applyFont="0" applyFill="0" applyBorder="0" applyAlignment="0" applyProtection="0"/>
    <xf numFmtId="0" fontId="71" fillId="0" borderId="0"/>
    <xf numFmtId="0" fontId="71" fillId="0" borderId="0"/>
    <xf numFmtId="43" fontId="62" fillId="0" borderId="0" applyFont="0" applyFill="0" applyBorder="0" applyAlignment="0" applyProtection="0"/>
    <xf numFmtId="0" fontId="98" fillId="0" borderId="0"/>
    <xf numFmtId="0" fontId="102" fillId="0" borderId="0" applyNumberFormat="0" applyFill="0" applyBorder="0" applyAlignment="0" applyProtection="0"/>
    <xf numFmtId="0" fontId="74" fillId="0" borderId="0" applyNumberFormat="0" applyFill="0" applyBorder="0" applyAlignment="0" applyProtection="0"/>
    <xf numFmtId="0" fontId="61" fillId="0" borderId="0"/>
    <xf numFmtId="0" fontId="61" fillId="0" borderId="0"/>
    <xf numFmtId="0" fontId="71" fillId="0" borderId="0"/>
    <xf numFmtId="0" fontId="71" fillId="0" borderId="0"/>
    <xf numFmtId="0" fontId="74" fillId="0" borderId="0"/>
    <xf numFmtId="0" fontId="60" fillId="0" borderId="0"/>
    <xf numFmtId="43" fontId="60" fillId="0" borderId="0" applyFont="0" applyFill="0" applyBorder="0" applyAlignment="0" applyProtection="0"/>
    <xf numFmtId="43" fontId="73" fillId="0" borderId="0" applyFont="0" applyFill="0" applyBorder="0" applyAlignment="0" applyProtection="0"/>
    <xf numFmtId="0" fontId="74" fillId="0" borderId="0"/>
    <xf numFmtId="0" fontId="60" fillId="0" borderId="0"/>
    <xf numFmtId="0" fontId="110" fillId="0" borderId="0"/>
    <xf numFmtId="169" fontId="104" fillId="0" borderId="0"/>
    <xf numFmtId="0" fontId="59" fillId="0" borderId="0"/>
    <xf numFmtId="9" fontId="59" fillId="0" borderId="0" applyFont="0" applyFill="0" applyBorder="0" applyAlignment="0" applyProtection="0"/>
    <xf numFmtId="43" fontId="73" fillId="0" borderId="0" applyFont="0" applyFill="0" applyBorder="0" applyAlignment="0" applyProtection="0"/>
    <xf numFmtId="43" fontId="93" fillId="0" borderId="0" applyFont="0" applyFill="0" applyBorder="0" applyAlignment="0" applyProtection="0"/>
    <xf numFmtId="43" fontId="59" fillId="0" borderId="0" applyFont="0" applyFill="0" applyBorder="0" applyAlignment="0" applyProtection="0"/>
    <xf numFmtId="43" fontId="74" fillId="0" borderId="0" applyFont="0" applyFill="0" applyBorder="0" applyAlignment="0" applyProtection="0"/>
    <xf numFmtId="43" fontId="71" fillId="0" borderId="0" applyFont="0" applyFill="0" applyBorder="0" applyAlignment="0" applyProtection="0"/>
    <xf numFmtId="0" fontId="59" fillId="0" borderId="0"/>
    <xf numFmtId="43" fontId="59" fillId="0" borderId="0" applyFont="0" applyFill="0" applyBorder="0" applyAlignment="0" applyProtection="0"/>
    <xf numFmtId="0" fontId="58" fillId="0" borderId="0"/>
    <xf numFmtId="0" fontId="57" fillId="0" borderId="0"/>
    <xf numFmtId="0" fontId="56" fillId="0" borderId="0"/>
    <xf numFmtId="43" fontId="56" fillId="0" borderId="0" applyFont="0" applyFill="0" applyBorder="0" applyAlignment="0" applyProtection="0"/>
    <xf numFmtId="170" fontId="104" fillId="0" borderId="0" applyBorder="0" applyProtection="0"/>
    <xf numFmtId="171" fontId="104" fillId="0" borderId="0" applyBorder="0" applyProtection="0"/>
    <xf numFmtId="0" fontId="74" fillId="0" borderId="0"/>
    <xf numFmtId="0" fontId="55" fillId="0" borderId="0"/>
    <xf numFmtId="43" fontId="55" fillId="0" borderId="0" applyFont="0" applyFill="0" applyBorder="0" applyAlignment="0" applyProtection="0"/>
    <xf numFmtId="9" fontId="55" fillId="0" borderId="0" applyFont="0" applyFill="0" applyBorder="0" applyAlignment="0" applyProtection="0"/>
    <xf numFmtId="0" fontId="54" fillId="0" borderId="0"/>
    <xf numFmtId="43" fontId="54" fillId="0" borderId="0" applyFont="0" applyFill="0" applyBorder="0" applyAlignment="0" applyProtection="0"/>
    <xf numFmtId="0" fontId="116" fillId="0" borderId="0"/>
    <xf numFmtId="0" fontId="53" fillId="0" borderId="0"/>
    <xf numFmtId="43" fontId="53" fillId="0" borderId="0" applyFont="0" applyFill="0" applyBorder="0" applyAlignment="0" applyProtection="0"/>
    <xf numFmtId="165" fontId="53" fillId="0" borderId="0" applyFont="0" applyFill="0" applyBorder="0" applyAlignment="0" applyProtection="0"/>
    <xf numFmtId="9" fontId="53" fillId="0" borderId="0" applyFont="0" applyFill="0" applyBorder="0" applyAlignment="0" applyProtection="0"/>
    <xf numFmtId="43" fontId="73" fillId="0" borderId="0" applyFont="0" applyFill="0" applyBorder="0" applyAlignment="0" applyProtection="0"/>
    <xf numFmtId="0" fontId="52" fillId="0" borderId="0"/>
    <xf numFmtId="0" fontId="51" fillId="0" borderId="0"/>
    <xf numFmtId="0" fontId="50" fillId="0" borderId="0"/>
    <xf numFmtId="0" fontId="122" fillId="0" borderId="0" applyNumberFormat="0" applyProtection="0">
      <alignment vertical="top"/>
    </xf>
    <xf numFmtId="0" fontId="110" fillId="0" borderId="0"/>
    <xf numFmtId="43" fontId="50" fillId="0" borderId="0" applyFont="0" applyFill="0" applyBorder="0" applyAlignment="0" applyProtection="0"/>
    <xf numFmtId="0" fontId="50" fillId="0" borderId="0"/>
    <xf numFmtId="0" fontId="49" fillId="0" borderId="0"/>
    <xf numFmtId="0" fontId="48" fillId="0" borderId="0"/>
    <xf numFmtId="0" fontId="123" fillId="0" borderId="0" applyNumberFormat="0" applyFill="0" applyBorder="0" applyAlignment="0" applyProtection="0"/>
    <xf numFmtId="0" fontId="124" fillId="0" borderId="0"/>
    <xf numFmtId="0" fontId="46" fillId="0" borderId="0"/>
    <xf numFmtId="0" fontId="46" fillId="0" borderId="0"/>
    <xf numFmtId="9" fontId="74" fillId="0" borderId="0" applyFont="0" applyFill="0" applyBorder="0" applyAlignment="0" applyProtection="0"/>
    <xf numFmtId="0" fontId="45" fillId="0" borderId="0"/>
    <xf numFmtId="0" fontId="74" fillId="0" borderId="0"/>
    <xf numFmtId="43" fontId="74" fillId="0" borderId="0" applyFont="0" applyFill="0" applyBorder="0" applyAlignment="0" applyProtection="0"/>
    <xf numFmtId="43" fontId="45" fillId="0" borderId="0" applyFont="0" applyFill="0" applyBorder="0" applyAlignment="0" applyProtection="0"/>
    <xf numFmtId="0" fontId="73" fillId="0" borderId="0"/>
    <xf numFmtId="0" fontId="126" fillId="0" borderId="0" applyNumberFormat="0" applyFill="0" applyBorder="0" applyAlignment="0" applyProtection="0"/>
    <xf numFmtId="0" fontId="127" fillId="0" borderId="32" applyNumberFormat="0" applyFill="0" applyAlignment="0" applyProtection="0"/>
    <xf numFmtId="0" fontId="128" fillId="0" borderId="33" applyNumberFormat="0" applyFill="0" applyAlignment="0" applyProtection="0"/>
    <xf numFmtId="0" fontId="129" fillId="0" borderId="34" applyNumberFormat="0" applyFill="0" applyAlignment="0" applyProtection="0"/>
    <xf numFmtId="0" fontId="129" fillId="0" borderId="0" applyNumberFormat="0" applyFill="0" applyBorder="0" applyAlignment="0" applyProtection="0"/>
    <xf numFmtId="0" fontId="130" fillId="2" borderId="0" applyNumberFormat="0" applyBorder="0" applyAlignment="0" applyProtection="0"/>
    <xf numFmtId="0" fontId="131" fillId="26" borderId="0" applyNumberFormat="0" applyBorder="0" applyAlignment="0" applyProtection="0"/>
    <xf numFmtId="0" fontId="132" fillId="27" borderId="0" applyNumberFormat="0" applyBorder="0" applyAlignment="0" applyProtection="0"/>
    <xf numFmtId="0" fontId="133" fillId="28" borderId="35" applyNumberFormat="0" applyAlignment="0" applyProtection="0"/>
    <xf numFmtId="0" fontId="134" fillId="29" borderId="36" applyNumberFormat="0" applyAlignment="0" applyProtection="0"/>
    <xf numFmtId="0" fontId="135" fillId="29" borderId="35" applyNumberFormat="0" applyAlignment="0" applyProtection="0"/>
    <xf numFmtId="0" fontId="136" fillId="0" borderId="37" applyNumberFormat="0" applyFill="0" applyAlignment="0" applyProtection="0"/>
    <xf numFmtId="0" fontId="137" fillId="30" borderId="38" applyNumberFormat="0" applyAlignment="0" applyProtection="0"/>
    <xf numFmtId="0" fontId="66" fillId="0" borderId="0" applyNumberFormat="0" applyFill="0" applyBorder="0" applyAlignment="0" applyProtection="0"/>
    <xf numFmtId="0" fontId="138" fillId="0" borderId="0" applyNumberFormat="0" applyFill="0" applyBorder="0" applyAlignment="0" applyProtection="0"/>
    <xf numFmtId="0" fontId="101" fillId="0" borderId="40" applyNumberFormat="0" applyFill="0" applyAlignment="0" applyProtection="0"/>
    <xf numFmtId="0" fontId="139" fillId="32"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139" fillId="35" borderId="0" applyNumberFormat="0" applyBorder="0" applyAlignment="0" applyProtection="0"/>
    <xf numFmtId="0" fontId="139" fillId="36"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139" fillId="39" borderId="0" applyNumberFormat="0" applyBorder="0" applyAlignment="0" applyProtection="0"/>
    <xf numFmtId="0" fontId="139"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139" fillId="43" borderId="0" applyNumberFormat="0" applyBorder="0" applyAlignment="0" applyProtection="0"/>
    <xf numFmtId="0" fontId="139"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139" fillId="47" borderId="0" applyNumberFormat="0" applyBorder="0" applyAlignment="0" applyProtection="0"/>
    <xf numFmtId="0" fontId="139" fillId="48"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139" fillId="51" borderId="0" applyNumberFormat="0" applyBorder="0" applyAlignment="0" applyProtection="0"/>
    <xf numFmtId="0" fontId="139"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139" fillId="55" borderId="0" applyNumberFormat="0" applyBorder="0" applyAlignment="0" applyProtection="0"/>
    <xf numFmtId="0" fontId="43" fillId="0" borderId="0"/>
    <xf numFmtId="0" fontId="43" fillId="31" borderId="39" applyNumberFormat="0" applyFont="0" applyAlignment="0" applyProtection="0"/>
    <xf numFmtId="0" fontId="42" fillId="0" borderId="0"/>
    <xf numFmtId="43" fontId="42" fillId="0" borderId="0" applyFont="0" applyFill="0" applyBorder="0" applyAlignment="0" applyProtection="0"/>
    <xf numFmtId="43" fontId="124" fillId="0" borderId="0" applyFont="0" applyFill="0" applyBorder="0" applyAlignment="0" applyProtection="0"/>
    <xf numFmtId="0" fontId="41" fillId="0" borderId="0"/>
    <xf numFmtId="0" fontId="41" fillId="31" borderId="39" applyNumberFormat="0" applyFont="0" applyAlignment="0" applyProtection="0"/>
    <xf numFmtId="0" fontId="41" fillId="33" borderId="0" applyNumberFormat="0" applyBorder="0" applyAlignment="0" applyProtection="0"/>
    <xf numFmtId="0" fontId="41" fillId="34"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3" borderId="0" applyNumberFormat="0" applyBorder="0" applyAlignment="0" applyProtection="0"/>
    <xf numFmtId="0" fontId="41" fillId="54" borderId="0" applyNumberFormat="0" applyBorder="0" applyAlignment="0" applyProtection="0"/>
    <xf numFmtId="0" fontId="86" fillId="0" borderId="0" pivotButton="1"/>
    <xf numFmtId="43" fontId="86" fillId="0" borderId="0" applyFont="0" applyFill="0" applyBorder="0" applyAlignment="0" applyProtection="0"/>
    <xf numFmtId="0" fontId="124" fillId="0" borderId="0"/>
    <xf numFmtId="0" fontId="119" fillId="0" borderId="0"/>
    <xf numFmtId="0" fontId="74" fillId="0" borderId="0"/>
    <xf numFmtId="43" fontId="74" fillId="0" borderId="0" applyFont="0" applyFill="0" applyBorder="0" applyAlignment="0" applyProtection="0"/>
    <xf numFmtId="0" fontId="40" fillId="0" borderId="0"/>
    <xf numFmtId="0" fontId="74" fillId="0" borderId="0" applyBorder="0"/>
    <xf numFmtId="0" fontId="40" fillId="0" borderId="0"/>
    <xf numFmtId="0" fontId="141" fillId="0" borderId="0"/>
    <xf numFmtId="0" fontId="73" fillId="0" borderId="0"/>
    <xf numFmtId="9" fontId="73" fillId="0" borderId="0" applyFont="0" applyFill="0" applyBorder="0" applyAlignment="0" applyProtection="0"/>
    <xf numFmtId="0" fontId="39" fillId="0" borderId="0"/>
    <xf numFmtId="0" fontId="144" fillId="0" borderId="0" applyNumberFormat="0" applyFill="0" applyBorder="0" applyAlignment="0" applyProtection="0"/>
    <xf numFmtId="0" fontId="38" fillId="0" borderId="0"/>
    <xf numFmtId="0" fontId="37" fillId="0" borderId="0"/>
    <xf numFmtId="0" fontId="147" fillId="27" borderId="0" applyNumberFormat="0" applyBorder="0" applyAlignment="0" applyProtection="0"/>
    <xf numFmtId="0" fontId="37" fillId="31" borderId="39" applyNumberFormat="0" applyFont="0" applyAlignment="0" applyProtection="0"/>
    <xf numFmtId="0" fontId="37" fillId="33"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3" borderId="0" applyNumberFormat="0" applyBorder="0" applyAlignment="0" applyProtection="0"/>
    <xf numFmtId="0" fontId="37" fillId="54" borderId="0" applyNumberFormat="0" applyBorder="0" applyAlignment="0" applyProtection="0"/>
    <xf numFmtId="0" fontId="37" fillId="55" borderId="0" applyNumberFormat="0" applyBorder="0" applyAlignment="0" applyProtection="0"/>
    <xf numFmtId="0" fontId="36" fillId="0" borderId="0"/>
    <xf numFmtId="0" fontId="149" fillId="0" borderId="0" applyNumberFormat="0" applyFill="0" applyBorder="0" applyAlignment="0" applyProtection="0">
      <alignment vertical="top"/>
      <protection locked="0"/>
    </xf>
    <xf numFmtId="0" fontId="35" fillId="0" borderId="0"/>
    <xf numFmtId="0" fontId="35" fillId="0" borderId="0"/>
    <xf numFmtId="0" fontId="34" fillId="0" borderId="0"/>
    <xf numFmtId="43" fontId="34" fillId="0" borderId="0" applyFont="0" applyFill="0" applyBorder="0" applyAlignment="0" applyProtection="0"/>
    <xf numFmtId="0" fontId="33" fillId="0" borderId="0"/>
    <xf numFmtId="0" fontId="33" fillId="0" borderId="0"/>
    <xf numFmtId="0" fontId="150" fillId="0" borderId="0">
      <alignment horizontal="left" wrapText="1"/>
    </xf>
    <xf numFmtId="0" fontId="153" fillId="0" borderId="0">
      <alignment horizontal="right"/>
    </xf>
    <xf numFmtId="0" fontId="125" fillId="0" borderId="0">
      <alignment horizontal="left" wrapText="1"/>
    </xf>
    <xf numFmtId="0" fontId="154" fillId="0" borderId="0">
      <alignment vertical="top" wrapText="1"/>
    </xf>
    <xf numFmtId="0" fontId="145" fillId="0" borderId="0">
      <alignment horizontal="right" indent="1"/>
    </xf>
    <xf numFmtId="14" fontId="125" fillId="0" borderId="0" applyFont="0" applyFill="0" applyBorder="0" applyAlignment="0" applyProtection="0">
      <alignment horizontal="left"/>
    </xf>
    <xf numFmtId="173" fontId="125" fillId="0" borderId="0" applyFont="0" applyFill="0" applyBorder="0" applyProtection="0">
      <alignment horizontal="left" vertical="top" wrapText="1"/>
    </xf>
    <xf numFmtId="0" fontId="145" fillId="0" borderId="0">
      <alignment horizontal="left" vertical="top"/>
    </xf>
    <xf numFmtId="0" fontId="155" fillId="0" borderId="0">
      <alignment horizontal="right" indent="1"/>
    </xf>
    <xf numFmtId="0" fontId="125" fillId="0" borderId="0">
      <alignment horizontal="left" vertical="top" wrapText="1"/>
    </xf>
    <xf numFmtId="174" fontId="125" fillId="0" borderId="0" applyFont="0" applyFill="0" applyBorder="0" applyProtection="0">
      <alignment horizontal="right"/>
    </xf>
    <xf numFmtId="0" fontId="145" fillId="0" borderId="0">
      <alignment horizontal="center" wrapText="1"/>
    </xf>
    <xf numFmtId="0" fontId="32" fillId="0" borderId="0"/>
    <xf numFmtId="43" fontId="32" fillId="0" borderId="0" applyFont="0" applyFill="0" applyBorder="0" applyAlignment="0" applyProtection="0"/>
    <xf numFmtId="0" fontId="31" fillId="0" borderId="0"/>
    <xf numFmtId="0" fontId="147" fillId="27" borderId="0" applyNumberFormat="0" applyBorder="0" applyAlignment="0" applyProtection="0"/>
    <xf numFmtId="0" fontId="31" fillId="31" borderId="39" applyNumberFormat="0" applyFont="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1" fillId="55" borderId="0" applyNumberFormat="0" applyBorder="0" applyAlignment="0" applyProtection="0"/>
    <xf numFmtId="0" fontId="30" fillId="0" borderId="0"/>
    <xf numFmtId="0" fontId="30" fillId="0" borderId="0"/>
    <xf numFmtId="0" fontId="30" fillId="0" borderId="0"/>
    <xf numFmtId="176" fontId="73" fillId="0" borderId="0" applyFont="0" applyFill="0" applyBorder="0" applyAlignment="0" applyProtection="0"/>
    <xf numFmtId="0" fontId="29" fillId="0" borderId="0"/>
    <xf numFmtId="0" fontId="28" fillId="0" borderId="0"/>
    <xf numFmtId="0" fontId="27" fillId="0" borderId="0"/>
    <xf numFmtId="0" fontId="26" fillId="0" borderId="0"/>
    <xf numFmtId="0" fontId="25" fillId="0" borderId="0"/>
    <xf numFmtId="0" fontId="24" fillId="0" borderId="0"/>
    <xf numFmtId="43" fontId="24" fillId="0" borderId="0" applyFont="0" applyFill="0" applyBorder="0" applyAlignment="0" applyProtection="0"/>
    <xf numFmtId="0" fontId="23" fillId="0" borderId="0"/>
    <xf numFmtId="43" fontId="23" fillId="0" borderId="0" applyFont="0" applyFill="0" applyBorder="0" applyAlignment="0" applyProtection="0"/>
    <xf numFmtId="0" fontId="22" fillId="0" borderId="0"/>
    <xf numFmtId="0" fontId="22" fillId="31" borderId="39" applyNumberFormat="0" applyFont="0" applyAlignment="0" applyProtection="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2" fillId="53" borderId="0" applyNumberFormat="0" applyBorder="0" applyAlignment="0" applyProtection="0"/>
    <xf numFmtId="0" fontId="22" fillId="54" borderId="0" applyNumberFormat="0" applyBorder="0" applyAlignment="0" applyProtection="0"/>
    <xf numFmtId="0" fontId="22" fillId="55" borderId="0" applyNumberFormat="0" applyBorder="0" applyAlignment="0" applyProtection="0"/>
    <xf numFmtId="0" fontId="167" fillId="0" borderId="0"/>
    <xf numFmtId="43" fontId="124" fillId="0" borderId="0" applyFont="0" applyFill="0" applyBorder="0" applyAlignment="0" applyProtection="0"/>
    <xf numFmtId="0" fontId="73" fillId="0" borderId="0"/>
    <xf numFmtId="43" fontId="73" fillId="0" borderId="0" applyFont="0" applyFill="0" applyBorder="0" applyAlignment="0" applyProtection="0"/>
    <xf numFmtId="0" fontId="21" fillId="0" borderId="0"/>
    <xf numFmtId="0" fontId="20" fillId="0" borderId="0"/>
    <xf numFmtId="0" fontId="19"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43" fontId="73" fillId="0" borderId="0" applyFont="0" applyFill="0" applyBorder="0" applyAlignment="0" applyProtection="0"/>
    <xf numFmtId="177" fontId="142" fillId="0" borderId="0" applyFont="0" applyFill="0" applyBorder="0" applyAlignment="0" applyProtection="0"/>
    <xf numFmtId="0" fontId="18" fillId="0" borderId="0"/>
    <xf numFmtId="0" fontId="167" fillId="0" borderId="0"/>
    <xf numFmtId="0" fontId="119" fillId="0" borderId="0"/>
    <xf numFmtId="43" fontId="119" fillId="0" borderId="0" applyFont="0" applyFill="0" applyBorder="0" applyAlignment="0" applyProtection="0"/>
    <xf numFmtId="0" fontId="14" fillId="0" borderId="0"/>
    <xf numFmtId="0" fontId="13" fillId="0" borderId="0"/>
    <xf numFmtId="0" fontId="13" fillId="31" borderId="39" applyNumberFormat="0" applyFont="0" applyAlignment="0" applyProtection="0"/>
    <xf numFmtId="0" fontId="13"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3" fillId="55" borderId="0" applyNumberFormat="0" applyBorder="0" applyAlignment="0" applyProtection="0"/>
    <xf numFmtId="0" fontId="12" fillId="0" borderId="0"/>
    <xf numFmtId="0" fontId="12" fillId="31" borderId="39" applyNumberFormat="0" applyFont="0" applyAlignment="0" applyProtection="0"/>
    <xf numFmtId="0" fontId="12"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1"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2" fillId="55" borderId="0" applyNumberFormat="0" applyBorder="0" applyAlignment="0" applyProtection="0"/>
    <xf numFmtId="0" fontId="11" fillId="0" borderId="0"/>
    <xf numFmtId="43" fontId="11" fillId="0" borderId="0" applyFont="0" applyFill="0" applyBorder="0" applyAlignment="0" applyProtection="0"/>
    <xf numFmtId="0" fontId="10" fillId="0" borderId="0"/>
    <xf numFmtId="0" fontId="10" fillId="0" borderId="0"/>
    <xf numFmtId="0" fontId="10" fillId="0" borderId="0"/>
    <xf numFmtId="0" fontId="102" fillId="0" borderId="0" applyNumberFormat="0" applyFill="0" applyBorder="0" applyAlignment="0" applyProtection="0"/>
    <xf numFmtId="0" fontId="177" fillId="0" borderId="0" applyNumberFormat="0" applyFill="0" applyBorder="0" applyAlignment="0" applyProtection="0"/>
    <xf numFmtId="179" fontId="73" fillId="0" borderId="0" applyFont="0" applyFill="0" applyBorder="0" applyAlignment="0" applyProtection="0"/>
    <xf numFmtId="0" fontId="178" fillId="0" borderId="0"/>
    <xf numFmtId="0" fontId="9" fillId="0" borderId="0"/>
    <xf numFmtId="0" fontId="172" fillId="0" borderId="0"/>
    <xf numFmtId="169" fontId="142" fillId="0" borderId="0" applyBorder="0" applyProtection="0"/>
    <xf numFmtId="0" fontId="8" fillId="0" borderId="0"/>
    <xf numFmtId="0" fontId="7" fillId="0" borderId="0"/>
    <xf numFmtId="0" fontId="7" fillId="0" borderId="0"/>
    <xf numFmtId="0" fontId="6" fillId="0" borderId="0"/>
    <xf numFmtId="0" fontId="6" fillId="0" borderId="0"/>
    <xf numFmtId="43" fontId="6" fillId="0" borderId="0" applyFont="0" applyFill="0" applyBorder="0" applyAlignment="0" applyProtection="0"/>
    <xf numFmtId="179" fontId="73" fillId="0" borderId="0" applyFont="0" applyFill="0" applyBorder="0" applyAlignment="0" applyProtection="0"/>
    <xf numFmtId="179" fontId="93" fillId="0" borderId="0" applyFont="0" applyFill="0" applyBorder="0" applyAlignment="0" applyProtection="0"/>
    <xf numFmtId="43" fontId="74" fillId="0" borderId="0" quotePrefix="1" applyFont="0" applyFill="0" applyBorder="0" applyAlignment="0">
      <protection locked="0"/>
    </xf>
    <xf numFmtId="0" fontId="5" fillId="0" borderId="0"/>
    <xf numFmtId="0" fontId="5" fillId="0" borderId="0"/>
    <xf numFmtId="43" fontId="4"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49" fillId="0" borderId="0" applyNumberFormat="0" applyFill="0" applyBorder="0" applyAlignment="0" applyProtection="0">
      <alignment vertical="top"/>
      <protection locked="0"/>
    </xf>
  </cellStyleXfs>
  <cellXfs count="1125">
    <xf numFmtId="0" fontId="0" fillId="0" borderId="0" xfId="0"/>
    <xf numFmtId="9" fontId="67" fillId="0" borderId="0" xfId="4" applyFont="1"/>
    <xf numFmtId="0" fontId="83" fillId="0" borderId="0" xfId="0" applyFont="1"/>
    <xf numFmtId="0" fontId="88" fillId="0" borderId="0" xfId="0" applyFont="1"/>
    <xf numFmtId="0" fontId="0" fillId="5" borderId="0" xfId="0" applyFill="1"/>
    <xf numFmtId="0" fontId="81" fillId="0" borderId="0" xfId="0" applyFont="1"/>
    <xf numFmtId="0" fontId="0" fillId="0" borderId="0" xfId="0" applyAlignment="1">
      <alignment wrapText="1"/>
    </xf>
    <xf numFmtId="167" fontId="0" fillId="0" borderId="0" xfId="1" applyNumberFormat="1" applyFont="1"/>
    <xf numFmtId="0" fontId="96" fillId="0" borderId="0" xfId="0" applyFont="1"/>
    <xf numFmtId="0" fontId="99" fillId="0" borderId="0" xfId="0" applyFont="1"/>
    <xf numFmtId="0" fontId="85" fillId="0" borderId="0" xfId="0" applyFont="1"/>
    <xf numFmtId="167" fontId="0" fillId="0" borderId="0" xfId="0" applyNumberFormat="1"/>
    <xf numFmtId="0" fontId="67" fillId="0" borderId="0" xfId="43" applyFont="1"/>
    <xf numFmtId="0" fontId="67" fillId="0" borderId="0" xfId="43" applyFont="1" applyAlignment="1">
      <alignment wrapText="1"/>
    </xf>
    <xf numFmtId="0" fontId="72" fillId="0" borderId="0" xfId="43" applyFont="1"/>
    <xf numFmtId="0" fontId="70" fillId="0" borderId="0" xfId="43" applyFont="1"/>
    <xf numFmtId="0" fontId="72" fillId="0" borderId="1" xfId="43" applyFont="1" applyBorder="1" applyAlignment="1">
      <alignment horizontal="center" vertical="center"/>
    </xf>
    <xf numFmtId="0" fontId="72" fillId="0" borderId="2" xfId="43" applyFont="1" applyBorder="1" applyAlignment="1">
      <alignment horizontal="center" vertical="center" wrapText="1"/>
    </xf>
    <xf numFmtId="3" fontId="72" fillId="3" borderId="4" xfId="43" applyNumberFormat="1" applyFont="1" applyFill="1" applyBorder="1"/>
    <xf numFmtId="3" fontId="72" fillId="4" borderId="4" xfId="43" applyNumberFormat="1" applyFont="1" applyFill="1" applyBorder="1"/>
    <xf numFmtId="0" fontId="77" fillId="0" borderId="0" xfId="43" applyFont="1"/>
    <xf numFmtId="3" fontId="67" fillId="0" borderId="7" xfId="43" applyNumberFormat="1" applyFont="1" applyBorder="1"/>
    <xf numFmtId="3" fontId="72" fillId="4" borderId="7" xfId="43" applyNumberFormat="1" applyFont="1" applyFill="1" applyBorder="1"/>
    <xf numFmtId="3" fontId="67" fillId="6" borderId="7" xfId="43" applyNumberFormat="1" applyFont="1" applyFill="1" applyBorder="1"/>
    <xf numFmtId="3" fontId="78" fillId="8" borderId="7" xfId="43" applyNumberFormat="1" applyFont="1" applyFill="1" applyBorder="1"/>
    <xf numFmtId="0" fontId="78" fillId="0" borderId="0" xfId="43" applyFont="1"/>
    <xf numFmtId="0" fontId="69" fillId="0" borderId="0" xfId="43" applyFont="1"/>
    <xf numFmtId="3" fontId="67" fillId="3" borderId="7" xfId="43" applyNumberFormat="1" applyFont="1" applyFill="1" applyBorder="1"/>
    <xf numFmtId="0" fontId="68" fillId="0" borderId="0" xfId="43" applyFont="1"/>
    <xf numFmtId="0" fontId="72" fillId="0" borderId="9" xfId="43" applyFont="1" applyBorder="1"/>
    <xf numFmtId="0" fontId="72" fillId="0" borderId="10" xfId="43" applyFont="1" applyBorder="1" applyAlignment="1">
      <alignment horizontal="right" wrapText="1"/>
    </xf>
    <xf numFmtId="49" fontId="67" fillId="0" borderId="6" xfId="43" applyNumberFormat="1" applyFont="1" applyBorder="1" applyAlignment="1">
      <alignment horizontal="left" wrapText="1" indent="4"/>
    </xf>
    <xf numFmtId="3" fontId="72" fillId="4" borderId="12" xfId="43" applyNumberFormat="1" applyFont="1" applyFill="1" applyBorder="1"/>
    <xf numFmtId="3" fontId="72" fillId="3" borderId="7" xfId="43" applyNumberFormat="1" applyFont="1" applyFill="1" applyBorder="1"/>
    <xf numFmtId="49" fontId="67" fillId="0" borderId="5" xfId="43" applyNumberFormat="1" applyFont="1" applyBorder="1" applyAlignment="1">
      <alignment horizontal="left" indent="2"/>
    </xf>
    <xf numFmtId="0" fontId="67" fillId="0" borderId="0" xfId="43" applyFont="1" applyAlignment="1">
      <alignment horizontal="right"/>
    </xf>
    <xf numFmtId="0" fontId="67" fillId="6" borderId="0" xfId="43" applyFont="1" applyFill="1"/>
    <xf numFmtId="49" fontId="72" fillId="0" borderId="9" xfId="43" applyNumberFormat="1" applyFont="1" applyBorder="1"/>
    <xf numFmtId="3" fontId="72" fillId="0" borderId="13" xfId="43" applyNumberFormat="1" applyFont="1" applyBorder="1"/>
    <xf numFmtId="3" fontId="72" fillId="0" borderId="14" xfId="43" applyNumberFormat="1" applyFont="1" applyBorder="1"/>
    <xf numFmtId="49" fontId="72" fillId="4" borderId="15" xfId="43" applyNumberFormat="1" applyFont="1" applyFill="1" applyBorder="1" applyAlignment="1">
      <alignment horizontal="center"/>
    </xf>
    <xf numFmtId="3" fontId="72" fillId="4" borderId="17" xfId="43" applyNumberFormat="1" applyFont="1" applyFill="1" applyBorder="1"/>
    <xf numFmtId="3" fontId="72" fillId="0" borderId="0" xfId="43" applyNumberFormat="1" applyFont="1"/>
    <xf numFmtId="0" fontId="77" fillId="5" borderId="0" xfId="43" applyFont="1" applyFill="1"/>
    <xf numFmtId="3" fontId="67" fillId="5" borderId="7" xfId="43" applyNumberFormat="1" applyFont="1" applyFill="1" applyBorder="1"/>
    <xf numFmtId="0" fontId="87" fillId="0" borderId="0" xfId="0" applyFont="1"/>
    <xf numFmtId="9" fontId="0" fillId="0" borderId="0" xfId="2" applyFont="1"/>
    <xf numFmtId="0" fontId="0" fillId="0" borderId="0" xfId="0" applyAlignment="1">
      <alignment horizontal="right"/>
    </xf>
    <xf numFmtId="167" fontId="67" fillId="3" borderId="7" xfId="1" applyNumberFormat="1" applyFont="1" applyFill="1" applyBorder="1"/>
    <xf numFmtId="167" fontId="67" fillId="5" borderId="7" xfId="1" applyNumberFormat="1" applyFont="1" applyFill="1" applyBorder="1"/>
    <xf numFmtId="0" fontId="112" fillId="0" borderId="0" xfId="0" applyFont="1"/>
    <xf numFmtId="3" fontId="0" fillId="0" borderId="0" xfId="0" applyNumberFormat="1"/>
    <xf numFmtId="3" fontId="67" fillId="0" borderId="0" xfId="43" applyNumberFormat="1" applyFont="1"/>
    <xf numFmtId="3" fontId="72" fillId="0" borderId="3" xfId="43" applyNumberFormat="1" applyFont="1" applyBorder="1"/>
    <xf numFmtId="3" fontId="72" fillId="0" borderId="11" xfId="43" applyNumberFormat="1" applyFont="1" applyBorder="1"/>
    <xf numFmtId="3" fontId="67" fillId="0" borderId="29" xfId="43" applyNumberFormat="1" applyFont="1" applyBorder="1"/>
    <xf numFmtId="0" fontId="0" fillId="0" borderId="0" xfId="0" applyAlignment="1">
      <alignment horizontal="left"/>
    </xf>
    <xf numFmtId="167" fontId="72" fillId="0" borderId="0" xfId="5" applyNumberFormat="1" applyFont="1"/>
    <xf numFmtId="0" fontId="72" fillId="0" borderId="3" xfId="7" applyFont="1" applyBorder="1" applyAlignment="1">
      <alignment horizontal="center" vertical="center" wrapText="1"/>
    </xf>
    <xf numFmtId="3" fontId="67" fillId="7" borderId="7" xfId="43" applyNumberFormat="1" applyFont="1" applyFill="1" applyBorder="1"/>
    <xf numFmtId="10" fontId="67" fillId="0" borderId="0" xfId="9" applyNumberFormat="1" applyFont="1"/>
    <xf numFmtId="0" fontId="47" fillId="0" borderId="0" xfId="43" applyFont="1"/>
    <xf numFmtId="0" fontId="87" fillId="0" borderId="0" xfId="0" applyFont="1" applyAlignment="1">
      <alignment wrapText="1"/>
    </xf>
    <xf numFmtId="0" fontId="44" fillId="0" borderId="0" xfId="43" applyFont="1"/>
    <xf numFmtId="3" fontId="67" fillId="11" borderId="7" xfId="43" applyNumberFormat="1" applyFont="1" applyFill="1" applyBorder="1"/>
    <xf numFmtId="0" fontId="109" fillId="0" borderId="0" xfId="0" applyFont="1"/>
    <xf numFmtId="3" fontId="67" fillId="0" borderId="44" xfId="43" applyNumberFormat="1" applyFont="1" applyBorder="1"/>
    <xf numFmtId="167" fontId="72" fillId="3" borderId="4" xfId="1" applyNumberFormat="1" applyFont="1" applyFill="1" applyBorder="1"/>
    <xf numFmtId="0" fontId="61" fillId="0" borderId="0" xfId="43"/>
    <xf numFmtId="0" fontId="72" fillId="0" borderId="18" xfId="43" applyFont="1" applyBorder="1"/>
    <xf numFmtId="0" fontId="120" fillId="0" borderId="0" xfId="83" applyFont="1"/>
    <xf numFmtId="0" fontId="67" fillId="0" borderId="0" xfId="43" quotePrefix="1" applyFont="1"/>
    <xf numFmtId="0" fontId="70" fillId="0" borderId="0" xfId="43" quotePrefix="1" applyFont="1"/>
    <xf numFmtId="0" fontId="77" fillId="0" borderId="0" xfId="43" quotePrefix="1" applyFont="1"/>
    <xf numFmtId="0" fontId="67" fillId="6" borderId="0" xfId="43" quotePrefix="1" applyFont="1" applyFill="1"/>
    <xf numFmtId="0" fontId="90" fillId="0" borderId="0" xfId="0" applyFont="1"/>
    <xf numFmtId="167" fontId="88" fillId="0" borderId="0" xfId="0" applyNumberFormat="1" applyFont="1"/>
    <xf numFmtId="0" fontId="117" fillId="0" borderId="0" xfId="0" applyFont="1"/>
    <xf numFmtId="0" fontId="72" fillId="3" borderId="46" xfId="43" applyFont="1" applyFill="1" applyBorder="1"/>
    <xf numFmtId="0" fontId="72" fillId="3" borderId="50" xfId="43" applyFont="1" applyFill="1" applyBorder="1" applyAlignment="1">
      <alignment wrapText="1"/>
    </xf>
    <xf numFmtId="0" fontId="72" fillId="4" borderId="46" xfId="43" quotePrefix="1" applyFont="1" applyFill="1" applyBorder="1"/>
    <xf numFmtId="0" fontId="72" fillId="4" borderId="50" xfId="43" applyFont="1" applyFill="1" applyBorder="1" applyAlignment="1">
      <alignment wrapText="1"/>
    </xf>
    <xf numFmtId="0" fontId="67" fillId="0" borderId="54" xfId="43" applyFont="1" applyBorder="1" applyAlignment="1">
      <alignment horizontal="left" indent="1"/>
    </xf>
    <xf numFmtId="0" fontId="67" fillId="0" borderId="48" xfId="43" applyFont="1" applyBorder="1" applyAlignment="1">
      <alignment horizontal="left" wrapText="1" indent="2"/>
    </xf>
    <xf numFmtId="0" fontId="72" fillId="4" borderId="54" xfId="43" applyFont="1" applyFill="1" applyBorder="1"/>
    <xf numFmtId="0" fontId="72" fillId="4" borderId="48" xfId="43" applyFont="1" applyFill="1" applyBorder="1" applyAlignment="1">
      <alignment wrapText="1"/>
    </xf>
    <xf numFmtId="0" fontId="78" fillId="0" borderId="54" xfId="43" applyFont="1" applyBorder="1" applyAlignment="1">
      <alignment horizontal="left" indent="2"/>
    </xf>
    <xf numFmtId="0" fontId="78" fillId="0" borderId="48" xfId="43" applyFont="1" applyBorder="1" applyAlignment="1">
      <alignment horizontal="left" wrapText="1" indent="3"/>
    </xf>
    <xf numFmtId="0" fontId="72" fillId="4" borderId="54" xfId="43" quotePrefix="1" applyFont="1" applyFill="1" applyBorder="1"/>
    <xf numFmtId="0" fontId="67" fillId="3" borderId="54" xfId="43" applyFont="1" applyFill="1" applyBorder="1" applyAlignment="1">
      <alignment horizontal="left" indent="1"/>
    </xf>
    <xf numFmtId="0" fontId="67" fillId="6" borderId="54" xfId="43" applyFont="1" applyFill="1" applyBorder="1" applyAlignment="1">
      <alignment horizontal="left" indent="2"/>
    </xf>
    <xf numFmtId="0" fontId="67" fillId="6" borderId="48" xfId="43" applyFont="1" applyFill="1" applyBorder="1" applyAlignment="1">
      <alignment horizontal="left" wrapText="1" indent="3"/>
    </xf>
    <xf numFmtId="0" fontId="72" fillId="0" borderId="45" xfId="43" quotePrefix="1" applyFont="1" applyBorder="1"/>
    <xf numFmtId="49" fontId="72" fillId="4" borderId="41" xfId="43" applyNumberFormat="1" applyFont="1" applyFill="1" applyBorder="1" applyAlignment="1">
      <alignment horizontal="left" indent="2"/>
    </xf>
    <xf numFmtId="49" fontId="67" fillId="3" borderId="54" xfId="43" applyNumberFormat="1" applyFont="1" applyFill="1" applyBorder="1" applyAlignment="1">
      <alignment horizontal="left" indent="1"/>
    </xf>
    <xf numFmtId="49" fontId="72" fillId="4" borderId="54" xfId="43" applyNumberFormat="1" applyFont="1" applyFill="1" applyBorder="1"/>
    <xf numFmtId="49" fontId="67" fillId="0" borderId="54" xfId="43" applyNumberFormat="1" applyFont="1" applyBorder="1" applyAlignment="1">
      <alignment horizontal="left" indent="2"/>
    </xf>
    <xf numFmtId="0" fontId="77" fillId="5" borderId="48" xfId="43" applyFont="1" applyFill="1" applyBorder="1" applyAlignment="1">
      <alignment horizontal="left" indent="2"/>
    </xf>
    <xf numFmtId="0" fontId="77" fillId="0" borderId="48" xfId="43" applyFont="1" applyBorder="1" applyAlignment="1">
      <alignment horizontal="left" indent="2"/>
    </xf>
    <xf numFmtId="49" fontId="72" fillId="3" borderId="54" xfId="43" applyNumberFormat="1" applyFont="1" applyFill="1" applyBorder="1" applyAlignment="1">
      <alignment horizontal="left" indent="1"/>
    </xf>
    <xf numFmtId="49" fontId="67" fillId="6" borderId="54" xfId="43" applyNumberFormat="1" applyFont="1" applyFill="1" applyBorder="1" applyAlignment="1">
      <alignment horizontal="left" indent="2"/>
    </xf>
    <xf numFmtId="49" fontId="67" fillId="0" borderId="54" xfId="43" applyNumberFormat="1" applyFont="1" applyBorder="1" applyAlignment="1">
      <alignment horizontal="left" indent="3"/>
    </xf>
    <xf numFmtId="49" fontId="111" fillId="3" borderId="54" xfId="43" applyNumberFormat="1" applyFont="1" applyFill="1" applyBorder="1" applyAlignment="1">
      <alignment horizontal="left" indent="1"/>
    </xf>
    <xf numFmtId="0" fontId="76" fillId="0" borderId="0" xfId="43" applyFont="1"/>
    <xf numFmtId="49" fontId="72" fillId="0" borderId="54" xfId="43" applyNumberFormat="1" applyFont="1" applyBorder="1" applyAlignment="1">
      <alignment horizontal="left" indent="2"/>
    </xf>
    <xf numFmtId="167" fontId="99" fillId="0" borderId="0" xfId="1" applyNumberFormat="1" applyFont="1"/>
    <xf numFmtId="3" fontId="67" fillId="5" borderId="58" xfId="43" applyNumberFormat="1" applyFont="1" applyFill="1" applyBorder="1"/>
    <xf numFmtId="3" fontId="67" fillId="0" borderId="58" xfId="43" applyNumberFormat="1" applyFont="1" applyBorder="1"/>
    <xf numFmtId="3" fontId="67" fillId="3" borderId="58" xfId="43" applyNumberFormat="1" applyFont="1" applyFill="1" applyBorder="1"/>
    <xf numFmtId="0" fontId="144" fillId="0" borderId="0" xfId="173"/>
    <xf numFmtId="167" fontId="67" fillId="0" borderId="0" xfId="1" applyNumberFormat="1" applyFont="1"/>
    <xf numFmtId="0" fontId="78" fillId="0" borderId="59" xfId="43" applyFont="1" applyBorder="1" applyAlignment="1">
      <alignment horizontal="left" indent="2"/>
    </xf>
    <xf numFmtId="0" fontId="90" fillId="0" borderId="0" xfId="0" applyFont="1" applyAlignment="1">
      <alignment wrapText="1"/>
    </xf>
    <xf numFmtId="0" fontId="89" fillId="0" borderId="0" xfId="0" applyFont="1"/>
    <xf numFmtId="167" fontId="83" fillId="0" borderId="0" xfId="0" applyNumberFormat="1" applyFont="1"/>
    <xf numFmtId="0" fontId="103" fillId="0" borderId="0" xfId="0" applyFont="1"/>
    <xf numFmtId="0" fontId="0" fillId="14" borderId="0" xfId="0" applyFill="1"/>
    <xf numFmtId="0" fontId="0" fillId="16" borderId="0" xfId="0" applyFill="1" applyAlignment="1">
      <alignment horizontal="right"/>
    </xf>
    <xf numFmtId="0" fontId="0" fillId="0" borderId="69" xfId="0" applyBorder="1"/>
    <xf numFmtId="0" fontId="0" fillId="0" borderId="69" xfId="0" applyBorder="1" applyAlignment="1">
      <alignment wrapText="1"/>
    </xf>
    <xf numFmtId="0" fontId="99" fillId="0" borderId="0" xfId="0" applyFont="1" applyAlignment="1">
      <alignment wrapText="1"/>
    </xf>
    <xf numFmtId="49" fontId="0" fillId="0" borderId="0" xfId="0" applyNumberFormat="1" applyAlignment="1">
      <alignment horizontal="left"/>
    </xf>
    <xf numFmtId="167" fontId="0" fillId="0" borderId="0" xfId="1" applyNumberFormat="1" applyFont="1" applyBorder="1"/>
    <xf numFmtId="0" fontId="0" fillId="20" borderId="69" xfId="0" applyFill="1" applyBorder="1"/>
    <xf numFmtId="0" fontId="156" fillId="20" borderId="69" xfId="0" applyFont="1" applyFill="1" applyBorder="1" applyAlignment="1">
      <alignment wrapText="1"/>
    </xf>
    <xf numFmtId="167" fontId="96" fillId="0" borderId="69" xfId="1" applyNumberFormat="1" applyFont="1" applyBorder="1"/>
    <xf numFmtId="0" fontId="81" fillId="0" borderId="71" xfId="0" applyFont="1" applyBorder="1" applyAlignment="1">
      <alignment horizontal="right"/>
    </xf>
    <xf numFmtId="0" fontId="81" fillId="11" borderId="69" xfId="0" applyFont="1" applyFill="1" applyBorder="1" applyAlignment="1">
      <alignment horizontal="center" wrapText="1"/>
    </xf>
    <xf numFmtId="0" fontId="81" fillId="0" borderId="0" xfId="0" applyFont="1" applyAlignment="1">
      <alignment horizontal="center" wrapText="1"/>
    </xf>
    <xf numFmtId="0" fontId="78" fillId="0" borderId="69" xfId="28" applyFont="1" applyBorder="1"/>
    <xf numFmtId="0" fontId="81" fillId="0" borderId="70" xfId="0" applyFont="1" applyBorder="1" applyAlignment="1">
      <alignment horizontal="right" wrapText="1"/>
    </xf>
    <xf numFmtId="0" fontId="0" fillId="0" borderId="69" xfId="0" applyBorder="1" applyAlignment="1">
      <alignment horizontal="center" wrapText="1"/>
    </xf>
    <xf numFmtId="167" fontId="99" fillId="0" borderId="69" xfId="1" applyNumberFormat="1" applyFont="1" applyBorder="1"/>
    <xf numFmtId="0" fontId="99" fillId="0" borderId="69" xfId="0" applyFont="1" applyBorder="1" applyAlignment="1">
      <alignment wrapText="1"/>
    </xf>
    <xf numFmtId="167" fontId="0" fillId="0" borderId="0" xfId="0" applyNumberFormat="1" applyAlignment="1">
      <alignment wrapText="1"/>
    </xf>
    <xf numFmtId="167" fontId="0" fillId="0" borderId="0" xfId="1" applyNumberFormat="1" applyFont="1" applyFill="1"/>
    <xf numFmtId="167" fontId="99" fillId="0" borderId="69" xfId="1" applyNumberFormat="1" applyFont="1" applyFill="1" applyBorder="1"/>
    <xf numFmtId="0" fontId="99" fillId="0" borderId="69" xfId="0" applyFont="1" applyBorder="1"/>
    <xf numFmtId="0" fontId="99" fillId="0" borderId="69" xfId="0" applyFont="1" applyBorder="1" applyAlignment="1">
      <alignment horizontal="left"/>
    </xf>
    <xf numFmtId="167" fontId="99" fillId="0" borderId="0" xfId="1" applyNumberFormat="1" applyFont="1" applyFill="1" applyBorder="1"/>
    <xf numFmtId="0" fontId="99" fillId="0" borderId="69" xfId="0" applyFont="1" applyBorder="1" applyAlignment="1">
      <alignment horizontal="left" wrapText="1"/>
    </xf>
    <xf numFmtId="0" fontId="67" fillId="0" borderId="67" xfId="43" applyFont="1" applyBorder="1" applyAlignment="1">
      <alignment horizontal="left" wrapText="1" indent="2"/>
    </xf>
    <xf numFmtId="49" fontId="67" fillId="3" borderId="59" xfId="43" applyNumberFormat="1" applyFont="1" applyFill="1" applyBorder="1" applyAlignment="1">
      <alignment horizontal="left" indent="1"/>
    </xf>
    <xf numFmtId="167" fontId="96" fillId="0" borderId="0" xfId="0" applyNumberFormat="1" applyFont="1"/>
    <xf numFmtId="3" fontId="72" fillId="3" borderId="55" xfId="43" applyNumberFormat="1" applyFont="1" applyFill="1" applyBorder="1"/>
    <xf numFmtId="3" fontId="72" fillId="0" borderId="7" xfId="43" applyNumberFormat="1" applyFont="1" applyBorder="1"/>
    <xf numFmtId="167" fontId="99" fillId="0" borderId="0" xfId="1" applyNumberFormat="1" applyFont="1" applyFill="1"/>
    <xf numFmtId="49" fontId="67" fillId="22" borderId="54" xfId="43" applyNumberFormat="1" applyFont="1" applyFill="1" applyBorder="1" applyAlignment="1">
      <alignment horizontal="left" indent="2"/>
    </xf>
    <xf numFmtId="49" fontId="67" fillId="22" borderId="54" xfId="43" applyNumberFormat="1" applyFont="1" applyFill="1" applyBorder="1" applyAlignment="1">
      <alignment horizontal="left" indent="1"/>
    </xf>
    <xf numFmtId="0" fontId="77" fillId="22" borderId="48" xfId="43" applyFont="1" applyFill="1" applyBorder="1" applyAlignment="1">
      <alignment horizontal="left" indent="2"/>
    </xf>
    <xf numFmtId="0" fontId="67" fillId="6" borderId="59" xfId="43" applyFont="1" applyFill="1" applyBorder="1" applyAlignment="1">
      <alignment horizontal="left" indent="2"/>
    </xf>
    <xf numFmtId="3" fontId="67" fillId="0" borderId="55" xfId="43" applyNumberFormat="1" applyFont="1" applyBorder="1"/>
    <xf numFmtId="0" fontId="107" fillId="11" borderId="69" xfId="0" applyFont="1" applyFill="1" applyBorder="1" applyAlignment="1">
      <alignment horizontal="center" wrapText="1"/>
    </xf>
    <xf numFmtId="0" fontId="152" fillId="56" borderId="0" xfId="0" applyFont="1" applyFill="1"/>
    <xf numFmtId="0" fontId="67" fillId="6" borderId="67" xfId="43" applyFont="1" applyFill="1" applyBorder="1" applyAlignment="1">
      <alignment horizontal="left" wrapText="1" indent="3"/>
    </xf>
    <xf numFmtId="167" fontId="109" fillId="0" borderId="0" xfId="1" applyNumberFormat="1" applyFont="1"/>
    <xf numFmtId="167" fontId="112" fillId="0" borderId="0" xfId="1" applyNumberFormat="1" applyFont="1"/>
    <xf numFmtId="167" fontId="158" fillId="0" borderId="0" xfId="1" applyNumberFormat="1" applyFont="1" applyFill="1"/>
    <xf numFmtId="0" fontId="159" fillId="0" borderId="0" xfId="0" applyFont="1"/>
    <xf numFmtId="167" fontId="160" fillId="0" borderId="0" xfId="1" applyNumberFormat="1" applyFont="1" applyBorder="1"/>
    <xf numFmtId="167" fontId="160" fillId="0" borderId="0" xfId="1" applyNumberFormat="1" applyFont="1" applyFill="1" applyBorder="1" applyAlignment="1">
      <alignment horizontal="left"/>
    </xf>
    <xf numFmtId="49" fontId="67" fillId="0" borderId="59" xfId="43" applyNumberFormat="1" applyFont="1" applyBorder="1" applyAlignment="1">
      <alignment horizontal="left" indent="2"/>
    </xf>
    <xf numFmtId="167" fontId="99" fillId="0" borderId="69" xfId="0" applyNumberFormat="1" applyFont="1" applyBorder="1" applyAlignment="1">
      <alignment horizontal="center" wrapText="1"/>
    </xf>
    <xf numFmtId="167" fontId="107" fillId="11" borderId="69" xfId="1" applyNumberFormat="1" applyFont="1" applyFill="1" applyBorder="1"/>
    <xf numFmtId="167" fontId="107" fillId="0" borderId="0" xfId="1" applyNumberFormat="1" applyFont="1" applyFill="1" applyBorder="1"/>
    <xf numFmtId="0" fontId="107" fillId="0" borderId="0" xfId="0" applyFont="1" applyAlignment="1">
      <alignment horizontal="center" wrapText="1"/>
    </xf>
    <xf numFmtId="167" fontId="107" fillId="11" borderId="69" xfId="1" applyNumberFormat="1" applyFont="1" applyFill="1" applyBorder="1" applyAlignment="1">
      <alignment horizontal="center" wrapText="1"/>
    </xf>
    <xf numFmtId="167" fontId="99" fillId="0" borderId="0" xfId="1" applyNumberFormat="1" applyFont="1" applyFill="1" applyBorder="1" applyAlignment="1">
      <alignment horizontal="center" wrapText="1"/>
    </xf>
    <xf numFmtId="167" fontId="107" fillId="11" borderId="69" xfId="0" applyNumberFormat="1" applyFont="1" applyFill="1" applyBorder="1"/>
    <xf numFmtId="167" fontId="72" fillId="0" borderId="0" xfId="1" applyNumberFormat="1" applyFont="1"/>
    <xf numFmtId="167" fontId="81" fillId="0" borderId="0" xfId="1" applyNumberFormat="1" applyFont="1" applyAlignment="1">
      <alignment vertical="center" wrapText="1"/>
    </xf>
    <xf numFmtId="167" fontId="81" fillId="11" borderId="69" xfId="1" applyNumberFormat="1" applyFont="1" applyFill="1" applyBorder="1" applyAlignment="1">
      <alignment horizontal="center" wrapText="1"/>
    </xf>
    <xf numFmtId="0" fontId="81" fillId="0" borderId="0" xfId="0" applyFont="1" applyAlignment="1">
      <alignment horizontal="right"/>
    </xf>
    <xf numFmtId="0" fontId="107" fillId="25" borderId="69" xfId="0" applyFont="1" applyFill="1" applyBorder="1" applyAlignment="1">
      <alignment horizontal="center" wrapText="1"/>
    </xf>
    <xf numFmtId="167" fontId="107" fillId="25" borderId="69" xfId="1" applyNumberFormat="1" applyFont="1" applyFill="1" applyBorder="1" applyAlignment="1">
      <alignment horizontal="center" wrapText="1"/>
    </xf>
    <xf numFmtId="0" fontId="107" fillId="0" borderId="0" xfId="0" applyFont="1"/>
    <xf numFmtId="0" fontId="0" fillId="9" borderId="0" xfId="0" applyFill="1"/>
    <xf numFmtId="167" fontId="0" fillId="9" borderId="0" xfId="1" applyNumberFormat="1" applyFont="1" applyFill="1"/>
    <xf numFmtId="0" fontId="96" fillId="0" borderId="69" xfId="0" applyFont="1" applyBorder="1" applyAlignment="1">
      <alignment wrapText="1"/>
    </xf>
    <xf numFmtId="0" fontId="67" fillId="6" borderId="76" xfId="43" applyFont="1" applyFill="1" applyBorder="1" applyAlignment="1">
      <alignment horizontal="left" indent="2"/>
    </xf>
    <xf numFmtId="0" fontId="96" fillId="20" borderId="69" xfId="0" applyFont="1" applyFill="1" applyBorder="1"/>
    <xf numFmtId="49" fontId="79" fillId="0" borderId="59" xfId="43" applyNumberFormat="1" applyFont="1" applyBorder="1" applyAlignment="1">
      <alignment horizontal="left" indent="3"/>
    </xf>
    <xf numFmtId="0" fontId="78" fillId="0" borderId="77" xfId="43" applyFont="1" applyBorder="1" applyAlignment="1">
      <alignment horizontal="left" indent="2"/>
    </xf>
    <xf numFmtId="3" fontId="67" fillId="0" borderId="78" xfId="43" applyNumberFormat="1" applyFont="1" applyBorder="1"/>
    <xf numFmtId="167" fontId="81" fillId="0" borderId="0" xfId="0" applyNumberFormat="1" applyFont="1" applyAlignment="1">
      <alignment horizontal="right"/>
    </xf>
    <xf numFmtId="0" fontId="67" fillId="6" borderId="77" xfId="43" applyFont="1" applyFill="1" applyBorder="1" applyAlignment="1">
      <alignment horizontal="left" indent="2"/>
    </xf>
    <xf numFmtId="167" fontId="67" fillId="0" borderId="0" xfId="1" applyNumberFormat="1" applyFont="1" applyAlignment="1">
      <alignment wrapText="1"/>
    </xf>
    <xf numFmtId="0" fontId="161" fillId="5" borderId="0" xfId="0" applyFont="1" applyFill="1"/>
    <xf numFmtId="0" fontId="108" fillId="5" borderId="0" xfId="0" applyFont="1" applyFill="1"/>
    <xf numFmtId="0" fontId="108" fillId="59" borderId="0" xfId="0" applyFont="1" applyFill="1"/>
    <xf numFmtId="0" fontId="161" fillId="59" borderId="19" xfId="0" applyFont="1" applyFill="1" applyBorder="1"/>
    <xf numFmtId="0" fontId="161" fillId="60" borderId="19" xfId="0" applyFont="1" applyFill="1" applyBorder="1"/>
    <xf numFmtId="0" fontId="161" fillId="5" borderId="68" xfId="0" applyFont="1" applyFill="1" applyBorder="1"/>
    <xf numFmtId="0" fontId="161" fillId="5" borderId="68" xfId="0" applyFont="1" applyFill="1" applyBorder="1" applyAlignment="1">
      <alignment horizontal="center" wrapText="1"/>
    </xf>
    <xf numFmtId="3" fontId="161" fillId="5" borderId="0" xfId="0" applyNumberFormat="1" applyFont="1" applyFill="1"/>
    <xf numFmtId="9" fontId="161" fillId="5" borderId="0" xfId="2" applyFont="1" applyFill="1"/>
    <xf numFmtId="3" fontId="108" fillId="5" borderId="0" xfId="0" applyNumberFormat="1" applyFont="1" applyFill="1"/>
    <xf numFmtId="9" fontId="108" fillId="5" borderId="0" xfId="2" applyFont="1" applyFill="1"/>
    <xf numFmtId="0" fontId="108" fillId="23" borderId="0" xfId="0" applyFont="1" applyFill="1" applyAlignment="1">
      <alignment horizontal="left" indent="2"/>
    </xf>
    <xf numFmtId="3" fontId="108" fillId="23" borderId="0" xfId="0" applyNumberFormat="1" applyFont="1" applyFill="1"/>
    <xf numFmtId="9" fontId="108" fillId="23" borderId="0" xfId="2" applyFont="1" applyFill="1"/>
    <xf numFmtId="0" fontId="74" fillId="5" borderId="0" xfId="0" applyFont="1" applyFill="1"/>
    <xf numFmtId="0" fontId="74" fillId="23" borderId="0" xfId="0" applyFont="1" applyFill="1" applyAlignment="1">
      <alignment horizontal="left" indent="2"/>
    </xf>
    <xf numFmtId="0" fontId="108" fillId="5" borderId="0" xfId="0" applyFont="1" applyFill="1" applyAlignment="1">
      <alignment horizontal="left" indent="1"/>
    </xf>
    <xf numFmtId="0" fontId="106" fillId="5" borderId="0" xfId="0" applyFont="1" applyFill="1"/>
    <xf numFmtId="3" fontId="161" fillId="5" borderId="0" xfId="0" applyNumberFormat="1" applyFont="1" applyFill="1" applyAlignment="1">
      <alignment wrapText="1"/>
    </xf>
    <xf numFmtId="168" fontId="108" fillId="5" borderId="0" xfId="2" applyNumberFormat="1" applyFont="1" applyFill="1"/>
    <xf numFmtId="9" fontId="108" fillId="5" borderId="0" xfId="2" applyFont="1" applyFill="1" applyBorder="1"/>
    <xf numFmtId="0" fontId="108" fillId="23" borderId="0" xfId="0" applyFont="1" applyFill="1"/>
    <xf numFmtId="3" fontId="108" fillId="23" borderId="0" xfId="0" applyNumberFormat="1" applyFont="1" applyFill="1" applyAlignment="1">
      <alignment horizontal="left" indent="2"/>
    </xf>
    <xf numFmtId="9" fontId="108" fillId="23" borderId="0" xfId="2" applyFont="1" applyFill="1" applyAlignment="1">
      <alignment horizontal="left" indent="2"/>
    </xf>
    <xf numFmtId="167" fontId="108" fillId="5" borderId="0" xfId="1" applyNumberFormat="1" applyFont="1" applyFill="1"/>
    <xf numFmtId="167" fontId="85" fillId="0" borderId="0" xfId="0" applyNumberFormat="1" applyFont="1"/>
    <xf numFmtId="167" fontId="0" fillId="0" borderId="0" xfId="1" applyNumberFormat="1" applyFont="1" applyFill="1" applyBorder="1"/>
    <xf numFmtId="0" fontId="88" fillId="0" borderId="0" xfId="0" applyFont="1" applyAlignment="1">
      <alignment wrapText="1"/>
    </xf>
    <xf numFmtId="167" fontId="95" fillId="0" borderId="0" xfId="1" applyNumberFormat="1" applyFont="1" applyFill="1" applyBorder="1"/>
    <xf numFmtId="0" fontId="157" fillId="0" borderId="0" xfId="0" applyFont="1"/>
    <xf numFmtId="167" fontId="90" fillId="0" borderId="0" xfId="0" applyNumberFormat="1" applyFont="1"/>
    <xf numFmtId="167" fontId="88" fillId="0" borderId="0" xfId="0" applyNumberFormat="1" applyFont="1" applyAlignment="1">
      <alignment wrapText="1"/>
    </xf>
    <xf numFmtId="167" fontId="107" fillId="0" borderId="0" xfId="1" applyNumberFormat="1" applyFont="1" applyFill="1"/>
    <xf numFmtId="172" fontId="96" fillId="0" borderId="0" xfId="1" applyNumberFormat="1" applyFont="1" applyBorder="1"/>
    <xf numFmtId="0" fontId="163" fillId="0" borderId="0" xfId="0" applyFont="1"/>
    <xf numFmtId="167" fontId="107" fillId="0" borderId="0" xfId="0" applyNumberFormat="1" applyFont="1"/>
    <xf numFmtId="0" fontId="81" fillId="58" borderId="0" xfId="0" applyFont="1" applyFill="1" applyAlignment="1">
      <alignment horizontal="right"/>
    </xf>
    <xf numFmtId="0" fontId="81" fillId="14" borderId="0" xfId="0" applyFont="1" applyFill="1"/>
    <xf numFmtId="172" fontId="0" fillId="14" borderId="0" xfId="1" applyNumberFormat="1" applyFont="1" applyFill="1" applyBorder="1"/>
    <xf numFmtId="167" fontId="117" fillId="0" borderId="68" xfId="1" applyNumberFormat="1" applyFont="1" applyBorder="1"/>
    <xf numFmtId="0" fontId="81" fillId="16" borderId="0" xfId="0" applyFont="1" applyFill="1" applyAlignment="1">
      <alignment horizontal="right"/>
    </xf>
    <xf numFmtId="0" fontId="157" fillId="56" borderId="0" xfId="0" applyFont="1" applyFill="1" applyAlignment="1">
      <alignment horizontal="right"/>
    </xf>
    <xf numFmtId="167" fontId="96" fillId="0" borderId="0" xfId="1" applyNumberFormat="1" applyFont="1" applyFill="1" applyBorder="1"/>
    <xf numFmtId="0" fontId="0" fillId="0" borderId="84" xfId="0" applyBorder="1"/>
    <xf numFmtId="0" fontId="0" fillId="0" borderId="74" xfId="0" applyBorder="1"/>
    <xf numFmtId="0" fontId="99" fillId="0" borderId="74" xfId="0" applyFont="1" applyBorder="1" applyAlignment="1">
      <alignment wrapText="1"/>
    </xf>
    <xf numFmtId="167" fontId="99" fillId="0" borderId="74" xfId="1" applyNumberFormat="1" applyFont="1" applyBorder="1"/>
    <xf numFmtId="167" fontId="87" fillId="0" borderId="0" xfId="0" applyNumberFormat="1" applyFont="1"/>
    <xf numFmtId="167" fontId="89" fillId="0" borderId="0" xfId="0" applyNumberFormat="1" applyFont="1"/>
    <xf numFmtId="167" fontId="89" fillId="0" borderId="0" xfId="0" applyNumberFormat="1" applyFont="1" applyAlignment="1">
      <alignment vertical="center"/>
    </xf>
    <xf numFmtId="0" fontId="88" fillId="0" borderId="0" xfId="0" applyFont="1" applyAlignment="1">
      <alignment vertical="center"/>
    </xf>
    <xf numFmtId="0" fontId="0" fillId="0" borderId="85" xfId="0" applyBorder="1"/>
    <xf numFmtId="0" fontId="0" fillId="0" borderId="86" xfId="0" applyBorder="1"/>
    <xf numFmtId="0" fontId="0" fillId="20" borderId="86" xfId="0" applyFill="1" applyBorder="1"/>
    <xf numFmtId="167" fontId="96" fillId="20" borderId="69" xfId="1" applyNumberFormat="1" applyFont="1" applyFill="1" applyBorder="1"/>
    <xf numFmtId="0" fontId="99" fillId="0" borderId="69" xfId="0" applyFont="1" applyBorder="1" applyAlignment="1">
      <alignment horizontal="left" wrapText="1" indent="2"/>
    </xf>
    <xf numFmtId="0" fontId="0" fillId="20" borderId="74" xfId="0" applyFill="1" applyBorder="1"/>
    <xf numFmtId="0" fontId="0" fillId="0" borderId="87" xfId="0" applyBorder="1"/>
    <xf numFmtId="0" fontId="81" fillId="0" borderId="88" xfId="0" applyFont="1" applyBorder="1" applyAlignment="1">
      <alignment horizontal="right"/>
    </xf>
    <xf numFmtId="167" fontId="107" fillId="11" borderId="74" xfId="1" applyNumberFormat="1" applyFont="1" applyFill="1" applyBorder="1" applyAlignment="1">
      <alignment horizontal="center" wrapText="1"/>
    </xf>
    <xf numFmtId="167" fontId="164" fillId="0" borderId="0" xfId="1" applyNumberFormat="1" applyFont="1" applyFill="1" applyBorder="1"/>
    <xf numFmtId="0" fontId="99" fillId="0" borderId="84" xfId="0" applyFont="1" applyBorder="1"/>
    <xf numFmtId="0" fontId="0" fillId="0" borderId="73" xfId="0" applyBorder="1"/>
    <xf numFmtId="3" fontId="99" fillId="0" borderId="0" xfId="0" applyNumberFormat="1" applyFont="1"/>
    <xf numFmtId="172" fontId="99" fillId="0" borderId="0" xfId="1" applyNumberFormat="1" applyFont="1" applyBorder="1"/>
    <xf numFmtId="3" fontId="99" fillId="0" borderId="0" xfId="0" applyNumberFormat="1" applyFont="1" applyAlignment="1">
      <alignment horizontal="right"/>
    </xf>
    <xf numFmtId="172" fontId="107" fillId="58" borderId="0" xfId="1" applyNumberFormat="1" applyFont="1" applyFill="1" applyBorder="1"/>
    <xf numFmtId="172" fontId="107" fillId="14" borderId="0" xfId="1" applyNumberFormat="1" applyFont="1" applyFill="1" applyBorder="1"/>
    <xf numFmtId="0" fontId="108" fillId="0" borderId="0" xfId="0" applyFont="1"/>
    <xf numFmtId="167" fontId="103" fillId="0" borderId="69" xfId="0" applyNumberFormat="1" applyFont="1" applyBorder="1" applyAlignment="1">
      <alignment horizontal="center" wrapText="1"/>
    </xf>
    <xf numFmtId="167" fontId="99" fillId="0" borderId="89" xfId="1" applyNumberFormat="1" applyFont="1" applyBorder="1"/>
    <xf numFmtId="167" fontId="103" fillId="0" borderId="89" xfId="1" applyNumberFormat="1" applyFont="1" applyBorder="1"/>
    <xf numFmtId="0" fontId="0" fillId="5" borderId="85" xfId="0" applyFill="1" applyBorder="1"/>
    <xf numFmtId="0" fontId="0" fillId="5" borderId="90" xfId="0" applyFill="1" applyBorder="1"/>
    <xf numFmtId="0" fontId="140" fillId="5" borderId="91" xfId="0" applyFont="1" applyFill="1" applyBorder="1" applyAlignment="1">
      <alignment horizontal="right"/>
    </xf>
    <xf numFmtId="0" fontId="0" fillId="5" borderId="88" xfId="0" applyFill="1" applyBorder="1" applyAlignment="1">
      <alignment horizontal="right"/>
    </xf>
    <xf numFmtId="167" fontId="107" fillId="23" borderId="89" xfId="1" applyNumberFormat="1" applyFont="1" applyFill="1" applyBorder="1"/>
    <xf numFmtId="167" fontId="107" fillId="23" borderId="69" xfId="0" applyNumberFormat="1" applyFont="1" applyFill="1" applyBorder="1" applyAlignment="1">
      <alignment horizontal="center" wrapText="1"/>
    </xf>
    <xf numFmtId="0" fontId="83" fillId="0" borderId="0" xfId="0" applyFont="1" applyAlignment="1">
      <alignment wrapText="1"/>
    </xf>
    <xf numFmtId="0" fontId="165" fillId="0" borderId="0" xfId="0" applyFont="1" applyAlignment="1">
      <alignment horizontal="right"/>
    </xf>
    <xf numFmtId="167" fontId="143" fillId="0" borderId="69" xfId="1" applyNumberFormat="1" applyFont="1" applyBorder="1"/>
    <xf numFmtId="0" fontId="99" fillId="0" borderId="73" xfId="0" applyFont="1" applyBorder="1" applyAlignment="1">
      <alignment wrapText="1"/>
    </xf>
    <xf numFmtId="0" fontId="0" fillId="0" borderId="92" xfId="0" applyBorder="1"/>
    <xf numFmtId="0" fontId="99" fillId="0" borderId="74" xfId="0" applyFont="1" applyBorder="1"/>
    <xf numFmtId="167" fontId="107" fillId="11" borderId="0" xfId="1" applyNumberFormat="1" applyFont="1" applyFill="1" applyBorder="1"/>
    <xf numFmtId="0" fontId="81" fillId="0" borderId="0" xfId="0" applyFont="1" applyAlignment="1">
      <alignment horizontal="right" wrapText="1"/>
    </xf>
    <xf numFmtId="9" fontId="89" fillId="0" borderId="0" xfId="2" applyFont="1" applyAlignment="1">
      <alignment horizontal="left"/>
    </xf>
    <xf numFmtId="172" fontId="109" fillId="0" borderId="0" xfId="1" applyNumberFormat="1" applyFont="1"/>
    <xf numFmtId="167" fontId="99" fillId="0" borderId="74" xfId="1" applyNumberFormat="1" applyFont="1" applyFill="1" applyBorder="1"/>
    <xf numFmtId="167" fontId="99" fillId="0" borderId="73" xfId="1" applyNumberFormat="1" applyFont="1" applyBorder="1"/>
    <xf numFmtId="167" fontId="99" fillId="0" borderId="73" xfId="1" applyNumberFormat="1" applyFont="1" applyFill="1" applyBorder="1"/>
    <xf numFmtId="167" fontId="99" fillId="0" borderId="74" xfId="1" applyNumberFormat="1" applyFont="1" applyFill="1" applyBorder="1" applyAlignment="1">
      <alignment wrapText="1"/>
    </xf>
    <xf numFmtId="167" fontId="99" fillId="0" borderId="69" xfId="1" applyNumberFormat="1" applyFont="1" applyFill="1" applyBorder="1" applyAlignment="1">
      <alignment wrapText="1"/>
    </xf>
    <xf numFmtId="0" fontId="99" fillId="0" borderId="73" xfId="0" applyFont="1" applyBorder="1"/>
    <xf numFmtId="167" fontId="107" fillId="10" borderId="0" xfId="0" applyNumberFormat="1" applyFont="1" applyFill="1"/>
    <xf numFmtId="0" fontId="0" fillId="5" borderId="95" xfId="0" applyFill="1" applyBorder="1"/>
    <xf numFmtId="0" fontId="0" fillId="5" borderId="96" xfId="0" applyFill="1" applyBorder="1"/>
    <xf numFmtId="0" fontId="0" fillId="5" borderId="83" xfId="0" applyFill="1" applyBorder="1"/>
    <xf numFmtId="0" fontId="166" fillId="5" borderId="88" xfId="0" applyFont="1" applyFill="1" applyBorder="1" applyAlignment="1">
      <alignment horizontal="right"/>
    </xf>
    <xf numFmtId="167" fontId="166" fillId="0" borderId="89" xfId="1" applyNumberFormat="1" applyFont="1" applyBorder="1"/>
    <xf numFmtId="0" fontId="166" fillId="0" borderId="0" xfId="0" applyFont="1"/>
    <xf numFmtId="167" fontId="166" fillId="0" borderId="69" xfId="1" applyNumberFormat="1" applyFont="1" applyBorder="1"/>
    <xf numFmtId="0" fontId="140" fillId="0" borderId="0" xfId="0" applyFont="1" applyAlignment="1">
      <alignment horizontal="right"/>
    </xf>
    <xf numFmtId="167" fontId="103" fillId="0" borderId="0" xfId="1" applyNumberFormat="1" applyFont="1" applyFill="1" applyBorder="1"/>
    <xf numFmtId="167" fontId="103" fillId="0" borderId="0" xfId="0" applyNumberFormat="1" applyFont="1" applyAlignment="1">
      <alignment horizontal="center" wrapText="1"/>
    </xf>
    <xf numFmtId="172" fontId="165" fillId="0" borderId="0" xfId="1" applyNumberFormat="1" applyFont="1" applyBorder="1"/>
    <xf numFmtId="0" fontId="158" fillId="0" borderId="0" xfId="0" applyFont="1" applyAlignment="1">
      <alignment horizontal="right"/>
    </xf>
    <xf numFmtId="0" fontId="87" fillId="0" borderId="0" xfId="0" applyFont="1" applyAlignment="1">
      <alignment horizontal="right"/>
    </xf>
    <xf numFmtId="0" fontId="89" fillId="0" borderId="68" xfId="0" applyFont="1" applyBorder="1" applyAlignment="1">
      <alignment horizontal="right"/>
    </xf>
    <xf numFmtId="0" fontId="81" fillId="14" borderId="0" xfId="0" applyFont="1" applyFill="1" applyAlignment="1">
      <alignment horizontal="right"/>
    </xf>
    <xf numFmtId="167" fontId="81" fillId="0" borderId="0" xfId="1" applyNumberFormat="1" applyFont="1" applyBorder="1"/>
    <xf numFmtId="175" fontId="107" fillId="56" borderId="0" xfId="1" applyNumberFormat="1" applyFont="1" applyFill="1" applyBorder="1"/>
    <xf numFmtId="167" fontId="99" fillId="0" borderId="92" xfId="1" applyNumberFormat="1" applyFont="1" applyFill="1" applyBorder="1"/>
    <xf numFmtId="0" fontId="152" fillId="0" borderId="0" xfId="0" applyFont="1"/>
    <xf numFmtId="0" fontId="152" fillId="9" borderId="0" xfId="0" applyFont="1" applyFill="1"/>
    <xf numFmtId="0" fontId="67" fillId="6" borderId="48" xfId="43" applyFont="1" applyFill="1" applyBorder="1" applyAlignment="1">
      <alignment horizontal="left" wrapText="1" indent="2"/>
    </xf>
    <xf numFmtId="49" fontId="67" fillId="0" borderId="48" xfId="43" applyNumberFormat="1" applyFont="1" applyBorder="1" applyAlignment="1">
      <alignment horizontal="left" wrapText="1" indent="4"/>
    </xf>
    <xf numFmtId="0" fontId="67" fillId="3" borderId="48" xfId="43" applyFont="1" applyFill="1" applyBorder="1" applyAlignment="1">
      <alignment horizontal="left" wrapText="1" indent="2"/>
    </xf>
    <xf numFmtId="49" fontId="67" fillId="0" borderId="48" xfId="43" applyNumberFormat="1" applyFont="1" applyBorder="1" applyAlignment="1">
      <alignment horizontal="left" wrapText="1" indent="2"/>
    </xf>
    <xf numFmtId="0" fontId="67" fillId="5" borderId="49" xfId="43" applyFont="1" applyFill="1" applyBorder="1" applyAlignment="1">
      <alignment horizontal="left" indent="3"/>
    </xf>
    <xf numFmtId="49" fontId="67" fillId="3" borderId="48" xfId="43" applyNumberFormat="1" applyFont="1" applyFill="1" applyBorder="1" applyAlignment="1">
      <alignment horizontal="left" wrapText="1" indent="2"/>
    </xf>
    <xf numFmtId="0" fontId="91" fillId="0" borderId="0" xfId="0" applyFont="1"/>
    <xf numFmtId="0" fontId="67" fillId="57" borderId="48" xfId="43" applyFont="1" applyFill="1" applyBorder="1" applyAlignment="1">
      <alignment horizontal="left" wrapText="1" indent="2"/>
    </xf>
    <xf numFmtId="49" fontId="67" fillId="3" borderId="57" xfId="43" applyNumberFormat="1" applyFont="1" applyFill="1" applyBorder="1" applyAlignment="1">
      <alignment horizontal="left" wrapText="1" indent="2"/>
    </xf>
    <xf numFmtId="0" fontId="67" fillId="0" borderId="62" xfId="43" applyFont="1" applyBorder="1" applyAlignment="1">
      <alignment horizontal="left" wrapText="1" indent="2"/>
    </xf>
    <xf numFmtId="49" fontId="67" fillId="3" borderId="67" xfId="43" applyNumberFormat="1" applyFont="1" applyFill="1" applyBorder="1" applyAlignment="1">
      <alignment horizontal="left" wrapText="1" indent="2"/>
    </xf>
    <xf numFmtId="49" fontId="67" fillId="3" borderId="62" xfId="43" applyNumberFormat="1" applyFont="1" applyFill="1" applyBorder="1" applyAlignment="1">
      <alignment horizontal="left" wrapText="1" indent="2"/>
    </xf>
    <xf numFmtId="0" fontId="67" fillId="5" borderId="51" xfId="43" applyFont="1" applyFill="1" applyBorder="1" applyAlignment="1">
      <alignment horizontal="left" indent="3"/>
    </xf>
    <xf numFmtId="0" fontId="67" fillId="0" borderId="49" xfId="43" applyFont="1" applyBorder="1" applyAlignment="1">
      <alignment horizontal="left" indent="3"/>
    </xf>
    <xf numFmtId="49" fontId="72" fillId="4" borderId="48" xfId="43" applyNumberFormat="1" applyFont="1" applyFill="1" applyBorder="1" applyAlignment="1">
      <alignment wrapText="1"/>
    </xf>
    <xf numFmtId="0" fontId="67" fillId="5" borderId="48" xfId="43" applyFont="1" applyFill="1" applyBorder="1" applyAlignment="1">
      <alignment horizontal="left" wrapText="1" indent="3"/>
    </xf>
    <xf numFmtId="0" fontId="67" fillId="0" borderId="48" xfId="43" applyFont="1" applyBorder="1" applyAlignment="1">
      <alignment horizontal="left" wrapText="1" indent="3"/>
    </xf>
    <xf numFmtId="0" fontId="67" fillId="0" borderId="97" xfId="43" applyFont="1" applyBorder="1" applyAlignment="1">
      <alignment horizontal="left" wrapText="1" indent="3"/>
    </xf>
    <xf numFmtId="49" fontId="72" fillId="3" borderId="48" xfId="43" applyNumberFormat="1" applyFont="1" applyFill="1" applyBorder="1" applyAlignment="1">
      <alignment horizontal="left" wrapText="1" indent="2"/>
    </xf>
    <xf numFmtId="49" fontId="67" fillId="0" borderId="66" xfId="43" applyNumberFormat="1" applyFont="1" applyBorder="1" applyAlignment="1">
      <alignment horizontal="left" wrapText="1" indent="4"/>
    </xf>
    <xf numFmtId="49" fontId="67" fillId="0" borderId="67" xfId="43" applyNumberFormat="1" applyFont="1" applyBorder="1" applyAlignment="1">
      <alignment horizontal="left" wrapText="1" indent="4"/>
    </xf>
    <xf numFmtId="0" fontId="67" fillId="5" borderId="67" xfId="43" applyFont="1" applyFill="1" applyBorder="1" applyAlignment="1">
      <alignment horizontal="left" wrapText="1" indent="3"/>
    </xf>
    <xf numFmtId="49" fontId="67" fillId="0" borderId="97" xfId="43" applyNumberFormat="1" applyFont="1" applyBorder="1" applyAlignment="1">
      <alignment horizontal="left" wrapText="1" indent="4"/>
    </xf>
    <xf numFmtId="0" fontId="67" fillId="0" borderId="57" xfId="43" applyFont="1" applyBorder="1" applyAlignment="1">
      <alignment horizontal="left" wrapText="1" indent="2"/>
    </xf>
    <xf numFmtId="49" fontId="67" fillId="0" borderId="62" xfId="43" applyNumberFormat="1" applyFont="1" applyBorder="1" applyAlignment="1">
      <alignment horizontal="left" wrapText="1" indent="4"/>
    </xf>
    <xf numFmtId="167" fontId="146" fillId="20" borderId="0" xfId="1" applyNumberFormat="1" applyFont="1" applyFill="1" applyBorder="1"/>
    <xf numFmtId="0" fontId="67" fillId="5" borderId="48" xfId="43" applyFont="1" applyFill="1" applyBorder="1" applyAlignment="1">
      <alignment horizontal="left" indent="2"/>
    </xf>
    <xf numFmtId="0" fontId="79" fillId="5" borderId="67" xfId="43" applyFont="1" applyFill="1" applyBorder="1" applyAlignment="1">
      <alignment horizontal="left" wrapText="1" indent="6"/>
    </xf>
    <xf numFmtId="0" fontId="79" fillId="0" borderId="0" xfId="43" applyFont="1"/>
    <xf numFmtId="49" fontId="72" fillId="4" borderId="42" xfId="43" applyNumberFormat="1" applyFont="1" applyFill="1" applyBorder="1" applyAlignment="1">
      <alignment wrapText="1"/>
    </xf>
    <xf numFmtId="49" fontId="67" fillId="0" borderId="62" xfId="43" applyNumberFormat="1" applyFont="1" applyBorder="1" applyAlignment="1">
      <alignment horizontal="left" wrapText="1" indent="2"/>
    </xf>
    <xf numFmtId="0" fontId="72" fillId="4" borderId="52" xfId="43" applyFont="1" applyFill="1" applyBorder="1" applyAlignment="1">
      <alignment wrapText="1"/>
    </xf>
    <xf numFmtId="49" fontId="67" fillId="6" borderId="48" xfId="43" applyNumberFormat="1" applyFont="1" applyFill="1" applyBorder="1" applyAlignment="1">
      <alignment horizontal="left" wrapText="1" indent="4"/>
    </xf>
    <xf numFmtId="49" fontId="72" fillId="0" borderId="48" xfId="43" applyNumberFormat="1" applyFont="1" applyBorder="1" applyAlignment="1">
      <alignment horizontal="left" wrapText="1" indent="4"/>
    </xf>
    <xf numFmtId="49" fontId="67" fillId="0" borderId="57" xfId="43" applyNumberFormat="1" applyFont="1" applyBorder="1" applyAlignment="1">
      <alignment horizontal="left" wrapText="1" indent="4"/>
    </xf>
    <xf numFmtId="49" fontId="72" fillId="0" borderId="10" xfId="43" applyNumberFormat="1" applyFont="1" applyBorder="1" applyAlignment="1">
      <alignment horizontal="right" wrapText="1"/>
    </xf>
    <xf numFmtId="49" fontId="72" fillId="4" borderId="16" xfId="43" applyNumberFormat="1" applyFont="1" applyFill="1" applyBorder="1" applyAlignment="1">
      <alignment wrapText="1"/>
    </xf>
    <xf numFmtId="172" fontId="0" fillId="0" borderId="0" xfId="0" applyNumberFormat="1"/>
    <xf numFmtId="0" fontId="72" fillId="0" borderId="20" xfId="43" applyFont="1" applyBorder="1" applyAlignment="1">
      <alignment horizontal="right" wrapText="1"/>
    </xf>
    <xf numFmtId="167" fontId="67" fillId="0" borderId="7" xfId="1" applyNumberFormat="1" applyFont="1" applyBorder="1"/>
    <xf numFmtId="0" fontId="72" fillId="0" borderId="53" xfId="43" applyFont="1" applyBorder="1" applyAlignment="1">
      <alignment wrapText="1"/>
    </xf>
    <xf numFmtId="0" fontId="79" fillId="0" borderId="0" xfId="43" quotePrefix="1" applyFont="1"/>
    <xf numFmtId="49" fontId="67" fillId="0" borderId="97" xfId="43" applyNumberFormat="1" applyFont="1" applyBorder="1" applyAlignment="1">
      <alignment horizontal="left" wrapText="1" indent="2"/>
    </xf>
    <xf numFmtId="0" fontId="169" fillId="0" borderId="0" xfId="43" applyFont="1"/>
    <xf numFmtId="0" fontId="169" fillId="0" borderId="0" xfId="43" quotePrefix="1" applyFont="1"/>
    <xf numFmtId="3" fontId="79" fillId="0" borderId="99" xfId="43" applyNumberFormat="1" applyFont="1" applyBorder="1"/>
    <xf numFmtId="3" fontId="67" fillId="5" borderId="99" xfId="43" applyNumberFormat="1" applyFont="1" applyFill="1" applyBorder="1"/>
    <xf numFmtId="3" fontId="67" fillId="0" borderId="99" xfId="43" applyNumberFormat="1" applyFont="1" applyBorder="1"/>
    <xf numFmtId="0" fontId="106" fillId="23" borderId="0" xfId="0" applyFont="1" applyFill="1"/>
    <xf numFmtId="0" fontId="170" fillId="23" borderId="0" xfId="0" applyFont="1" applyFill="1"/>
    <xf numFmtId="0" fontId="99" fillId="0" borderId="92" xfId="0" applyFont="1" applyBorder="1" applyAlignment="1">
      <alignment wrapText="1"/>
    </xf>
    <xf numFmtId="167" fontId="99" fillId="0" borderId="92" xfId="1" applyNumberFormat="1" applyFont="1" applyBorder="1"/>
    <xf numFmtId="0" fontId="67" fillId="5" borderId="94" xfId="43" applyFont="1" applyFill="1" applyBorder="1" applyAlignment="1">
      <alignment horizontal="left" indent="3"/>
    </xf>
    <xf numFmtId="3" fontId="67" fillId="3" borderId="99" xfId="43" applyNumberFormat="1" applyFont="1" applyFill="1" applyBorder="1"/>
    <xf numFmtId="3" fontId="72" fillId="4" borderId="99" xfId="43" applyNumberFormat="1" applyFont="1" applyFill="1" applyBorder="1"/>
    <xf numFmtId="3" fontId="67" fillId="19" borderId="99" xfId="43" applyNumberFormat="1" applyFont="1" applyFill="1" applyBorder="1"/>
    <xf numFmtId="0" fontId="171" fillId="0" borderId="0" xfId="83" applyFont="1"/>
    <xf numFmtId="49" fontId="67" fillId="0" borderId="80" xfId="43" applyNumberFormat="1" applyFont="1" applyBorder="1" applyAlignment="1">
      <alignment horizontal="left" wrapText="1" indent="4"/>
    </xf>
    <xf numFmtId="3" fontId="67" fillId="11" borderId="99" xfId="43" applyNumberFormat="1" applyFont="1" applyFill="1" applyBorder="1"/>
    <xf numFmtId="167" fontId="96" fillId="0" borderId="0" xfId="1" applyNumberFormat="1" applyFont="1"/>
    <xf numFmtId="0" fontId="99" fillId="0" borderId="64" xfId="0" applyFont="1" applyBorder="1"/>
    <xf numFmtId="0" fontId="107" fillId="0" borderId="0" xfId="0" applyFont="1" applyAlignment="1">
      <alignment horizontal="right"/>
    </xf>
    <xf numFmtId="0" fontId="148" fillId="0" borderId="0" xfId="0" applyFont="1" applyAlignment="1">
      <alignment horizontal="right"/>
    </xf>
    <xf numFmtId="172" fontId="148" fillId="16" borderId="0" xfId="1" applyNumberFormat="1" applyFont="1" applyFill="1" applyBorder="1"/>
    <xf numFmtId="172" fontId="117" fillId="0" borderId="0" xfId="1" applyNumberFormat="1" applyFont="1" applyBorder="1"/>
    <xf numFmtId="175" fontId="164" fillId="17" borderId="0" xfId="1" applyNumberFormat="1" applyFont="1" applyFill="1" applyBorder="1"/>
    <xf numFmtId="0" fontId="96" fillId="5" borderId="71" xfId="0" applyFont="1" applyFill="1" applyBorder="1"/>
    <xf numFmtId="0" fontId="88" fillId="0" borderId="0" xfId="0" applyFont="1" applyAlignment="1">
      <alignment horizontal="left" vertical="top" wrapText="1"/>
    </xf>
    <xf numFmtId="1" fontId="0" fillId="0" borderId="69" xfId="0" applyNumberFormat="1" applyBorder="1"/>
    <xf numFmtId="49" fontId="96" fillId="0" borderId="0" xfId="0" applyNumberFormat="1" applyFont="1" applyAlignment="1">
      <alignment horizontal="left"/>
    </xf>
    <xf numFmtId="0" fontId="107" fillId="11" borderId="73" xfId="0" applyFont="1" applyFill="1" applyBorder="1" applyAlignment="1">
      <alignment horizontal="center" wrapText="1"/>
    </xf>
    <xf numFmtId="167" fontId="107" fillId="11" borderId="73" xfId="1" applyNumberFormat="1" applyFont="1" applyFill="1" applyBorder="1" applyAlignment="1">
      <alignment horizontal="center" wrapText="1"/>
    </xf>
    <xf numFmtId="167" fontId="164" fillId="0" borderId="93" xfId="1" applyNumberFormat="1" applyFont="1" applyFill="1" applyBorder="1"/>
    <xf numFmtId="167" fontId="87" fillId="0" borderId="0" xfId="0" applyNumberFormat="1" applyFont="1" applyAlignment="1">
      <alignment wrapText="1"/>
    </xf>
    <xf numFmtId="167" fontId="143" fillId="0" borderId="90" xfId="1" applyNumberFormat="1" applyFont="1" applyFill="1" applyBorder="1"/>
    <xf numFmtId="167" fontId="99" fillId="0" borderId="73" xfId="1" applyNumberFormat="1" applyFont="1" applyBorder="1" applyAlignment="1">
      <alignment horizontal="center"/>
    </xf>
    <xf numFmtId="167" fontId="159" fillId="0" borderId="0" xfId="1" applyNumberFormat="1" applyFont="1" applyFill="1" applyAlignment="1">
      <alignment horizontal="left"/>
    </xf>
    <xf numFmtId="167" fontId="159" fillId="0" borderId="0" xfId="1" applyNumberFormat="1" applyFont="1" applyFill="1"/>
    <xf numFmtId="167" fontId="0" fillId="0" borderId="0" xfId="1" applyNumberFormat="1" applyFont="1" applyFill="1" applyAlignment="1">
      <alignment wrapText="1"/>
    </xf>
    <xf numFmtId="167" fontId="99" fillId="0" borderId="0" xfId="1" applyNumberFormat="1" applyFont="1" applyFill="1" applyAlignment="1">
      <alignment wrapText="1"/>
    </xf>
    <xf numFmtId="167" fontId="96" fillId="0" borderId="0" xfId="1" applyNumberFormat="1" applyFont="1" applyFill="1"/>
    <xf numFmtId="1" fontId="99" fillId="0" borderId="69" xfId="0" applyNumberFormat="1" applyFont="1" applyBorder="1"/>
    <xf numFmtId="0" fontId="99" fillId="0" borderId="104" xfId="0" applyFont="1" applyBorder="1"/>
    <xf numFmtId="167" fontId="99" fillId="0" borderId="0" xfId="0" applyNumberFormat="1" applyFont="1"/>
    <xf numFmtId="0" fontId="99" fillId="0" borderId="87" xfId="0" applyFont="1" applyBorder="1"/>
    <xf numFmtId="0" fontId="99" fillId="0" borderId="86" xfId="0" applyFont="1" applyBorder="1"/>
    <xf numFmtId="167" fontId="107" fillId="16" borderId="0" xfId="0" applyNumberFormat="1" applyFont="1" applyFill="1"/>
    <xf numFmtId="0" fontId="107" fillId="11" borderId="89" xfId="0" applyFont="1" applyFill="1" applyBorder="1" applyAlignment="1">
      <alignment horizontal="center" wrapText="1"/>
    </xf>
    <xf numFmtId="0" fontId="99" fillId="0" borderId="0" xfId="0" applyFont="1" applyAlignment="1">
      <alignment horizontal="center"/>
    </xf>
    <xf numFmtId="172" fontId="99" fillId="12" borderId="0" xfId="1" applyNumberFormat="1" applyFont="1" applyFill="1" applyBorder="1"/>
    <xf numFmtId="0" fontId="83" fillId="0" borderId="68" xfId="0" applyFont="1" applyBorder="1" applyAlignment="1">
      <alignment horizontal="right"/>
    </xf>
    <xf numFmtId="167" fontId="99" fillId="0" borderId="68" xfId="0" applyNumberFormat="1" applyFont="1" applyBorder="1"/>
    <xf numFmtId="172" fontId="82" fillId="0" borderId="68" xfId="1" applyNumberFormat="1" applyFont="1" applyFill="1" applyBorder="1" applyAlignment="1">
      <alignment horizontal="right"/>
    </xf>
    <xf numFmtId="167" fontId="107" fillId="0" borderId="68" xfId="1" applyNumberFormat="1" applyFont="1" applyFill="1" applyBorder="1"/>
    <xf numFmtId="0" fontId="17" fillId="0" borderId="0" xfId="43" quotePrefix="1" applyFont="1"/>
    <xf numFmtId="49" fontId="72" fillId="3" borderId="107" xfId="43" applyNumberFormat="1" applyFont="1" applyFill="1" applyBorder="1" applyAlignment="1">
      <alignment horizontal="left" wrapText="1" indent="2"/>
    </xf>
    <xf numFmtId="0" fontId="69" fillId="0" borderId="0" xfId="43" quotePrefix="1" applyFont="1"/>
    <xf numFmtId="167" fontId="103" fillId="0" borderId="69" xfId="1" applyNumberFormat="1" applyFont="1" applyBorder="1"/>
    <xf numFmtId="167" fontId="103" fillId="0" borderId="74" xfId="1" applyNumberFormat="1" applyFont="1" applyBorder="1"/>
    <xf numFmtId="167" fontId="103" fillId="0" borderId="74" xfId="1" applyNumberFormat="1" applyFont="1" applyFill="1" applyBorder="1"/>
    <xf numFmtId="167" fontId="103" fillId="20" borderId="69" xfId="1" applyNumberFormat="1" applyFont="1" applyFill="1" applyBorder="1"/>
    <xf numFmtId="167" fontId="103" fillId="20" borderId="0" xfId="1" applyNumberFormat="1" applyFont="1" applyFill="1" applyBorder="1"/>
    <xf numFmtId="167" fontId="95" fillId="0" borderId="69" xfId="1" applyNumberFormat="1" applyFont="1" applyBorder="1"/>
    <xf numFmtId="167" fontId="95" fillId="0" borderId="73" xfId="1" applyNumberFormat="1" applyFont="1" applyBorder="1"/>
    <xf numFmtId="167" fontId="95" fillId="0" borderId="93" xfId="1" applyNumberFormat="1" applyFont="1" applyFill="1" applyBorder="1"/>
    <xf numFmtId="167" fontId="95" fillId="0" borderId="69" xfId="1" applyNumberFormat="1" applyFont="1" applyFill="1" applyBorder="1"/>
    <xf numFmtId="0" fontId="88" fillId="0" borderId="100" xfId="283" applyNumberFormat="1" applyFont="1" applyFill="1" applyBorder="1" applyAlignment="1">
      <alignment wrapText="1"/>
    </xf>
    <xf numFmtId="167" fontId="103" fillId="0" borderId="93" xfId="1" applyNumberFormat="1" applyFont="1" applyFill="1" applyBorder="1"/>
    <xf numFmtId="49" fontId="69" fillId="3" borderId="48" xfId="43" applyNumberFormat="1" applyFont="1" applyFill="1" applyBorder="1" applyAlignment="1">
      <alignment horizontal="left" wrapText="1" indent="2"/>
    </xf>
    <xf numFmtId="49" fontId="69" fillId="3" borderId="62" xfId="43" applyNumberFormat="1" applyFont="1" applyFill="1" applyBorder="1" applyAlignment="1">
      <alignment horizontal="left" wrapText="1" indent="2"/>
    </xf>
    <xf numFmtId="49" fontId="75" fillId="3" borderId="48" xfId="43" applyNumberFormat="1" applyFont="1" applyFill="1" applyBorder="1" applyAlignment="1">
      <alignment horizontal="left" wrapText="1" indent="2"/>
    </xf>
    <xf numFmtId="49" fontId="75" fillId="3" borderId="57" xfId="43" applyNumberFormat="1" applyFont="1" applyFill="1" applyBorder="1" applyAlignment="1">
      <alignment horizontal="left" wrapText="1" indent="2"/>
    </xf>
    <xf numFmtId="49" fontId="67" fillId="0" borderId="52" xfId="43" applyNumberFormat="1" applyFont="1" applyBorder="1" applyAlignment="1">
      <alignment horizontal="left" wrapText="1" indent="4"/>
    </xf>
    <xf numFmtId="167" fontId="143" fillId="0" borderId="87" xfId="1" applyNumberFormat="1" applyFont="1" applyBorder="1"/>
    <xf numFmtId="167" fontId="143" fillId="0" borderId="104" xfId="1" applyNumberFormat="1" applyFont="1" applyBorder="1"/>
    <xf numFmtId="167" fontId="143" fillId="0" borderId="74" xfId="1" applyNumberFormat="1" applyFont="1" applyBorder="1"/>
    <xf numFmtId="167" fontId="143" fillId="0" borderId="93" xfId="1" applyNumberFormat="1" applyFont="1" applyFill="1" applyBorder="1"/>
    <xf numFmtId="167" fontId="143" fillId="0" borderId="73" xfId="1" applyNumberFormat="1" applyFont="1" applyBorder="1"/>
    <xf numFmtId="167" fontId="143" fillId="0" borderId="96" xfId="1" applyNumberFormat="1" applyFont="1" applyFill="1" applyBorder="1"/>
    <xf numFmtId="167" fontId="143" fillId="0" borderId="84" xfId="1" applyNumberFormat="1" applyFont="1" applyFill="1" applyBorder="1"/>
    <xf numFmtId="167" fontId="143" fillId="0" borderId="106" xfId="1" applyNumberFormat="1" applyFont="1" applyFill="1" applyBorder="1"/>
    <xf numFmtId="0" fontId="16" fillId="0" borderId="0" xfId="43" applyFont="1"/>
    <xf numFmtId="0" fontId="99" fillId="0" borderId="0" xfId="0" applyFont="1" applyAlignment="1">
      <alignment horizontal="center" wrapText="1"/>
    </xf>
    <xf numFmtId="167" fontId="99" fillId="0" borderId="69" xfId="1" applyNumberFormat="1" applyFont="1" applyBorder="1" applyAlignment="1">
      <alignment wrapText="1"/>
    </xf>
    <xf numFmtId="167" fontId="99" fillId="0" borderId="74" xfId="1" applyNumberFormat="1" applyFont="1" applyBorder="1" applyAlignment="1">
      <alignment wrapText="1"/>
    </xf>
    <xf numFmtId="167" fontId="99" fillId="0" borderId="84" xfId="1" applyNumberFormat="1" applyFont="1" applyBorder="1"/>
    <xf numFmtId="167" fontId="99" fillId="0" borderId="72" xfId="1" applyNumberFormat="1" applyFont="1" applyFill="1" applyBorder="1"/>
    <xf numFmtId="167" fontId="99" fillId="0" borderId="84" xfId="1" applyNumberFormat="1" applyFont="1" applyFill="1" applyBorder="1"/>
    <xf numFmtId="167" fontId="99" fillId="0" borderId="90" xfId="1" applyNumberFormat="1" applyFont="1" applyFill="1" applyBorder="1"/>
    <xf numFmtId="167" fontId="99" fillId="0" borderId="87" xfId="1" applyNumberFormat="1" applyFont="1" applyBorder="1"/>
    <xf numFmtId="167" fontId="99" fillId="0" borderId="93" xfId="1" applyNumberFormat="1" applyFont="1" applyFill="1" applyBorder="1" applyAlignment="1">
      <alignment wrapText="1"/>
    </xf>
    <xf numFmtId="167" fontId="99" fillId="0" borderId="0" xfId="1" applyNumberFormat="1" applyFont="1" applyFill="1" applyBorder="1" applyAlignment="1">
      <alignment horizontal="center"/>
    </xf>
    <xf numFmtId="167" fontId="99" fillId="0" borderId="93" xfId="1" applyNumberFormat="1" applyFont="1" applyFill="1" applyBorder="1"/>
    <xf numFmtId="0" fontId="96" fillId="0" borderId="96" xfId="0" applyFont="1" applyBorder="1"/>
    <xf numFmtId="0" fontId="96" fillId="0" borderId="90" xfId="0" applyFont="1" applyBorder="1"/>
    <xf numFmtId="0" fontId="105" fillId="0" borderId="0" xfId="0" applyFont="1"/>
    <xf numFmtId="0" fontId="99" fillId="0" borderId="69" xfId="0" quotePrefix="1" applyFont="1" applyBorder="1" applyAlignment="1">
      <alignment horizontal="left"/>
    </xf>
    <xf numFmtId="49" fontId="99" fillId="0" borderId="69" xfId="0" applyNumberFormat="1" applyFont="1" applyBorder="1" applyAlignment="1">
      <alignment horizontal="left"/>
    </xf>
    <xf numFmtId="49" fontId="99" fillId="0" borderId="74" xfId="0" applyNumberFormat="1" applyFont="1" applyBorder="1" applyAlignment="1">
      <alignment horizontal="left"/>
    </xf>
    <xf numFmtId="49" fontId="99" fillId="0" borderId="84" xfId="0" applyNumberFormat="1" applyFont="1" applyBorder="1" applyAlignment="1">
      <alignment horizontal="left"/>
    </xf>
    <xf numFmtId="49" fontId="99" fillId="0" borderId="69" xfId="0" applyNumberFormat="1" applyFont="1" applyBorder="1"/>
    <xf numFmtId="49" fontId="99" fillId="0" borderId="69" xfId="0" applyNumberFormat="1" applyFont="1" applyBorder="1" applyAlignment="1">
      <alignment wrapText="1"/>
    </xf>
    <xf numFmtId="49" fontId="99" fillId="0" borderId="73" xfId="0" applyNumberFormat="1" applyFont="1" applyBorder="1" applyAlignment="1">
      <alignment horizontal="left"/>
    </xf>
    <xf numFmtId="0" fontId="96" fillId="0" borderId="69" xfId="0" applyFont="1" applyBorder="1"/>
    <xf numFmtId="49" fontId="99" fillId="0" borderId="92" xfId="0" applyNumberFormat="1" applyFont="1" applyBorder="1" applyAlignment="1">
      <alignment horizontal="left"/>
    </xf>
    <xf numFmtId="167" fontId="72" fillId="4" borderId="7" xfId="1" applyNumberFormat="1" applyFont="1" applyFill="1" applyBorder="1"/>
    <xf numFmtId="167" fontId="67" fillId="0" borderId="58" xfId="1" applyNumberFormat="1" applyFont="1" applyBorder="1"/>
    <xf numFmtId="167" fontId="67" fillId="0" borderId="29" xfId="1" applyNumberFormat="1" applyFont="1" applyBorder="1"/>
    <xf numFmtId="167" fontId="67" fillId="0" borderId="44" xfId="1" applyNumberFormat="1" applyFont="1" applyBorder="1"/>
    <xf numFmtId="167" fontId="72" fillId="3" borderId="7" xfId="1" applyNumberFormat="1" applyFont="1" applyFill="1" applyBorder="1"/>
    <xf numFmtId="167" fontId="67" fillId="3" borderId="29" xfId="1" applyNumberFormat="1" applyFont="1" applyFill="1" applyBorder="1"/>
    <xf numFmtId="167" fontId="67" fillId="0" borderId="78" xfId="1" applyNumberFormat="1" applyFont="1" applyBorder="1"/>
    <xf numFmtId="167" fontId="67" fillId="6" borderId="7" xfId="1" applyNumberFormat="1" applyFont="1" applyFill="1" applyBorder="1"/>
    <xf numFmtId="167" fontId="72" fillId="0" borderId="13" xfId="1" applyNumberFormat="1" applyFont="1" applyBorder="1"/>
    <xf numFmtId="0" fontId="77" fillId="5" borderId="0" xfId="43" applyFont="1" applyFill="1" applyAlignment="1">
      <alignment wrapText="1"/>
    </xf>
    <xf numFmtId="9" fontId="67" fillId="0" borderId="7" xfId="4" applyFont="1" applyBorder="1" applyAlignment="1">
      <alignment wrapText="1"/>
    </xf>
    <xf numFmtId="9" fontId="67" fillId="0" borderId="78" xfId="4" applyFont="1" applyFill="1" applyBorder="1" applyAlignment="1">
      <alignment wrapText="1"/>
    </xf>
    <xf numFmtId="9" fontId="67" fillId="3" borderId="7" xfId="4" applyFont="1" applyFill="1" applyBorder="1"/>
    <xf numFmtId="9" fontId="67" fillId="0" borderId="7" xfId="4" applyFont="1" applyFill="1" applyBorder="1" applyAlignment="1">
      <alignment wrapText="1"/>
    </xf>
    <xf numFmtId="9" fontId="67" fillId="0" borderId="25" xfId="4" applyFont="1" applyFill="1" applyBorder="1"/>
    <xf numFmtId="9" fontId="67" fillId="0" borderId="7" xfId="4" applyFont="1" applyFill="1" applyBorder="1"/>
    <xf numFmtId="9" fontId="72" fillId="3" borderId="7" xfId="4" applyFont="1" applyFill="1" applyBorder="1"/>
    <xf numFmtId="9" fontId="79" fillId="0" borderId="99" xfId="4" applyFont="1" applyFill="1" applyBorder="1" applyAlignment="1">
      <alignment wrapText="1"/>
    </xf>
    <xf numFmtId="9" fontId="67" fillId="0" borderId="58" xfId="4" applyFont="1" applyFill="1" applyBorder="1" applyAlignment="1">
      <alignment wrapText="1"/>
    </xf>
    <xf numFmtId="9" fontId="67" fillId="0" borderId="55" xfId="4" applyFont="1" applyFill="1" applyBorder="1"/>
    <xf numFmtId="9" fontId="67" fillId="0" borderId="58" xfId="4" applyFont="1" applyFill="1" applyBorder="1"/>
    <xf numFmtId="9" fontId="67" fillId="0" borderId="0" xfId="4" applyFont="1" applyAlignment="1">
      <alignment wrapText="1"/>
    </xf>
    <xf numFmtId="1" fontId="67" fillId="0" borderId="0" xfId="4" applyNumberFormat="1" applyFont="1" applyFill="1"/>
    <xf numFmtId="9" fontId="72" fillId="0" borderId="3" xfId="4" applyFont="1" applyBorder="1" applyAlignment="1">
      <alignment horizontal="center" vertical="center" wrapText="1"/>
    </xf>
    <xf numFmtId="9" fontId="67" fillId="3" borderId="4" xfId="4" applyFont="1" applyFill="1" applyBorder="1" applyAlignment="1">
      <alignment wrapText="1"/>
    </xf>
    <xf numFmtId="9" fontId="72" fillId="4" borderId="4" xfId="4" applyFont="1" applyFill="1" applyBorder="1"/>
    <xf numFmtId="9" fontId="72" fillId="4" borderId="7" xfId="4" applyFont="1" applyFill="1" applyBorder="1"/>
    <xf numFmtId="9" fontId="67" fillId="0" borderId="7" xfId="4" applyFont="1" applyBorder="1"/>
    <xf numFmtId="9" fontId="67" fillId="0" borderId="8" xfId="4" applyFont="1" applyFill="1" applyBorder="1"/>
    <xf numFmtId="9" fontId="67" fillId="0" borderId="8" xfId="4" applyFont="1" applyFill="1" applyBorder="1" applyAlignment="1">
      <alignment wrapText="1"/>
    </xf>
    <xf numFmtId="9" fontId="67" fillId="0" borderId="44" xfId="4" applyFont="1" applyBorder="1"/>
    <xf numFmtId="9" fontId="67" fillId="4" borderId="7" xfId="4" applyFont="1" applyFill="1" applyBorder="1" applyAlignment="1">
      <alignment wrapText="1"/>
    </xf>
    <xf numFmtId="9" fontId="67" fillId="0" borderId="44" xfId="4" applyFont="1" applyFill="1" applyBorder="1"/>
    <xf numFmtId="3" fontId="67" fillId="7" borderId="7" xfId="43" applyNumberFormat="1" applyFont="1" applyFill="1" applyBorder="1" applyAlignment="1">
      <alignment wrapText="1"/>
    </xf>
    <xf numFmtId="9" fontId="78" fillId="8" borderId="7" xfId="4" applyFont="1" applyFill="1" applyBorder="1" applyAlignment="1">
      <alignment wrapText="1"/>
    </xf>
    <xf numFmtId="9" fontId="67" fillId="0" borderId="29" xfId="4" applyFont="1" applyFill="1" applyBorder="1"/>
    <xf numFmtId="9" fontId="67" fillId="0" borderId="78" xfId="4" applyFont="1" applyFill="1" applyBorder="1"/>
    <xf numFmtId="9" fontId="67" fillId="0" borderId="29" xfId="4" applyFont="1" applyFill="1" applyBorder="1" applyAlignment="1">
      <alignment wrapText="1"/>
    </xf>
    <xf numFmtId="9" fontId="67" fillId="5" borderId="7" xfId="4" applyFont="1" applyFill="1" applyBorder="1" applyAlignment="1">
      <alignment wrapText="1"/>
    </xf>
    <xf numFmtId="9" fontId="67" fillId="3" borderId="7" xfId="4" applyFont="1" applyFill="1" applyBorder="1" applyAlignment="1">
      <alignment wrapText="1"/>
    </xf>
    <xf numFmtId="9" fontId="67" fillId="0" borderId="31" xfId="4" applyFont="1" applyFill="1" applyBorder="1"/>
    <xf numFmtId="9" fontId="67" fillId="0" borderId="81" xfId="4" applyFont="1" applyFill="1" applyBorder="1"/>
    <xf numFmtId="9" fontId="67" fillId="0" borderId="26" xfId="4" applyFont="1" applyFill="1" applyBorder="1" applyAlignment="1">
      <alignment wrapText="1"/>
    </xf>
    <xf numFmtId="9" fontId="67" fillId="0" borderId="28" xfId="4" applyFont="1" applyFill="1" applyBorder="1"/>
    <xf numFmtId="9" fontId="67" fillId="0" borderId="30" xfId="4" applyFont="1" applyFill="1" applyBorder="1"/>
    <xf numFmtId="9" fontId="67" fillId="0" borderId="43" xfId="4" applyFont="1" applyFill="1" applyBorder="1"/>
    <xf numFmtId="9" fontId="67" fillId="0" borderId="60" xfId="4" applyFont="1" applyFill="1" applyBorder="1"/>
    <xf numFmtId="9" fontId="67" fillId="0" borderId="75" xfId="4" applyFont="1" applyFill="1" applyBorder="1"/>
    <xf numFmtId="1" fontId="67" fillId="0" borderId="7" xfId="4" applyNumberFormat="1" applyFont="1" applyFill="1" applyBorder="1"/>
    <xf numFmtId="9" fontId="67" fillId="0" borderId="44" xfId="4" applyFont="1" applyFill="1" applyBorder="1" applyAlignment="1">
      <alignment wrapText="1"/>
    </xf>
    <xf numFmtId="9" fontId="72" fillId="0" borderId="3" xfId="4" applyFont="1" applyBorder="1"/>
    <xf numFmtId="9" fontId="72" fillId="0" borderId="11" xfId="4" applyFont="1" applyFill="1" applyBorder="1"/>
    <xf numFmtId="9" fontId="67" fillId="0" borderId="61" xfId="4" applyFont="1" applyFill="1" applyBorder="1" applyAlignment="1">
      <alignment wrapText="1"/>
    </xf>
    <xf numFmtId="9" fontId="67" fillId="0" borderId="61" xfId="4" applyFont="1" applyFill="1" applyBorder="1"/>
    <xf numFmtId="9" fontId="67" fillId="0" borderId="65" xfId="4" applyFont="1" applyFill="1" applyBorder="1"/>
    <xf numFmtId="9" fontId="72" fillId="0" borderId="11" xfId="4" applyFont="1" applyBorder="1"/>
    <xf numFmtId="9" fontId="72" fillId="4" borderId="12" xfId="4" applyFont="1" applyFill="1" applyBorder="1"/>
    <xf numFmtId="9" fontId="67" fillId="3" borderId="29" xfId="4" applyFont="1" applyFill="1" applyBorder="1" applyAlignment="1">
      <alignment wrapText="1"/>
    </xf>
    <xf numFmtId="9" fontId="67" fillId="3" borderId="44" xfId="4" applyFont="1" applyFill="1" applyBorder="1" applyAlignment="1">
      <alignment wrapText="1"/>
    </xf>
    <xf numFmtId="9" fontId="67" fillId="3" borderId="58" xfId="4" applyFont="1" applyFill="1" applyBorder="1" applyAlignment="1">
      <alignment wrapText="1"/>
    </xf>
    <xf numFmtId="9" fontId="67" fillId="3" borderId="99" xfId="4" applyFont="1" applyFill="1" applyBorder="1"/>
    <xf numFmtId="9" fontId="67" fillId="3" borderId="55" xfId="4" applyFont="1" applyFill="1" applyBorder="1" applyAlignment="1">
      <alignment wrapText="1"/>
    </xf>
    <xf numFmtId="9" fontId="67" fillId="0" borderId="44" xfId="4" applyFont="1" applyBorder="1" applyAlignment="1">
      <alignment wrapText="1"/>
    </xf>
    <xf numFmtId="9" fontId="67" fillId="0" borderId="58" xfId="4" applyFont="1" applyBorder="1" applyAlignment="1">
      <alignment wrapText="1"/>
    </xf>
    <xf numFmtId="9" fontId="67" fillId="0" borderId="22" xfId="4" applyFont="1" applyBorder="1" applyAlignment="1">
      <alignment wrapText="1"/>
    </xf>
    <xf numFmtId="9" fontId="67" fillId="0" borderId="27" xfId="4" applyFont="1" applyBorder="1" applyAlignment="1">
      <alignment wrapText="1"/>
    </xf>
    <xf numFmtId="9" fontId="67" fillId="0" borderId="99" xfId="4" applyFont="1" applyBorder="1" applyAlignment="1">
      <alignment wrapText="1"/>
    </xf>
    <xf numFmtId="9" fontId="79" fillId="0" borderId="58" xfId="4" applyFont="1" applyBorder="1" applyAlignment="1">
      <alignment wrapText="1"/>
    </xf>
    <xf numFmtId="9" fontId="79" fillId="0" borderId="7" xfId="4" applyFont="1" applyFill="1" applyBorder="1" applyAlignment="1">
      <alignment wrapText="1"/>
    </xf>
    <xf numFmtId="9" fontId="79" fillId="10" borderId="7" xfId="4" applyFont="1" applyFill="1" applyBorder="1" applyAlignment="1">
      <alignment wrapText="1"/>
    </xf>
    <xf numFmtId="9" fontId="79" fillId="3" borderId="7" xfId="4" applyFont="1" applyFill="1" applyBorder="1" applyAlignment="1">
      <alignment wrapText="1"/>
    </xf>
    <xf numFmtId="9" fontId="79" fillId="3" borderId="29" xfId="4" applyFont="1" applyFill="1" applyBorder="1" applyAlignment="1">
      <alignment wrapText="1"/>
    </xf>
    <xf numFmtId="9" fontId="67" fillId="5" borderId="7" xfId="4" applyFont="1" applyFill="1" applyBorder="1"/>
    <xf numFmtId="9" fontId="67" fillId="5" borderId="58" xfId="4" applyFont="1" applyFill="1" applyBorder="1" applyAlignment="1">
      <alignment wrapText="1"/>
    </xf>
    <xf numFmtId="9" fontId="67" fillId="5" borderId="99" xfId="4" applyFont="1" applyFill="1" applyBorder="1"/>
    <xf numFmtId="9" fontId="67" fillId="0" borderId="99" xfId="4" applyFont="1" applyFill="1" applyBorder="1"/>
    <xf numFmtId="9" fontId="67" fillId="3" borderId="58" xfId="4" applyFont="1" applyFill="1" applyBorder="1"/>
    <xf numFmtId="9" fontId="67" fillId="0" borderId="79" xfId="4" applyFont="1" applyFill="1" applyBorder="1" applyAlignment="1">
      <alignment wrapText="1"/>
    </xf>
    <xf numFmtId="9" fontId="67" fillId="0" borderId="22" xfId="4" applyFont="1" applyFill="1" applyBorder="1" applyAlignment="1">
      <alignment wrapText="1"/>
    </xf>
    <xf numFmtId="9" fontId="78" fillId="0" borderId="7" xfId="4" applyFont="1" applyFill="1" applyBorder="1" applyAlignment="1">
      <alignment wrapText="1"/>
    </xf>
    <xf numFmtId="9" fontId="67" fillId="3" borderId="78" xfId="4" applyFont="1" applyFill="1" applyBorder="1" applyAlignment="1">
      <alignment wrapText="1"/>
    </xf>
    <xf numFmtId="9" fontId="67" fillId="3" borderId="99" xfId="4" applyFont="1" applyFill="1" applyBorder="1" applyAlignment="1">
      <alignment wrapText="1"/>
    </xf>
    <xf numFmtId="9" fontId="67" fillId="3" borderId="25" xfId="4" applyFont="1" applyFill="1" applyBorder="1" applyAlignment="1">
      <alignment wrapText="1"/>
    </xf>
    <xf numFmtId="9" fontId="67" fillId="0" borderId="14" xfId="4" applyFont="1" applyBorder="1"/>
    <xf numFmtId="9" fontId="72" fillId="4" borderId="17" xfId="4" applyFont="1" applyFill="1" applyBorder="1"/>
    <xf numFmtId="9" fontId="67" fillId="0" borderId="43" xfId="4" applyFont="1" applyFill="1" applyBorder="1" applyAlignment="1">
      <alignment wrapText="1"/>
    </xf>
    <xf numFmtId="0" fontId="15" fillId="0" borderId="0" xfId="43" quotePrefix="1" applyFont="1"/>
    <xf numFmtId="9" fontId="72" fillId="0" borderId="3" xfId="2" applyFont="1" applyBorder="1" applyAlignment="1">
      <alignment horizontal="center" vertical="center" wrapText="1"/>
    </xf>
    <xf numFmtId="167" fontId="72" fillId="3" borderId="65" xfId="1" applyNumberFormat="1" applyFont="1" applyFill="1" applyBorder="1"/>
    <xf numFmtId="3" fontId="78" fillId="8" borderId="99" xfId="43" applyNumberFormat="1" applyFont="1" applyFill="1" applyBorder="1"/>
    <xf numFmtId="3" fontId="67" fillId="0" borderId="99" xfId="43" applyNumberFormat="1" applyFont="1" applyBorder="1" applyAlignment="1">
      <alignment wrapText="1"/>
    </xf>
    <xf numFmtId="3" fontId="67" fillId="7" borderId="99" xfId="43" applyNumberFormat="1" applyFont="1" applyFill="1" applyBorder="1"/>
    <xf numFmtId="9" fontId="67" fillId="0" borderId="7" xfId="2" applyFont="1" applyFill="1" applyBorder="1"/>
    <xf numFmtId="167" fontId="72" fillId="4" borderId="7" xfId="4" applyNumberFormat="1" applyFont="1" applyFill="1" applyBorder="1"/>
    <xf numFmtId="9" fontId="67" fillId="0" borderId="44" xfId="2" applyFont="1" applyFill="1" applyBorder="1"/>
    <xf numFmtId="3" fontId="72" fillId="4" borderId="65" xfId="43" applyNumberFormat="1" applyFont="1" applyFill="1" applyBorder="1"/>
    <xf numFmtId="9" fontId="72" fillId="0" borderId="11" xfId="2" applyFont="1" applyFill="1" applyBorder="1"/>
    <xf numFmtId="3" fontId="72" fillId="4" borderId="75" xfId="43" applyNumberFormat="1" applyFont="1" applyFill="1" applyBorder="1"/>
    <xf numFmtId="9" fontId="72" fillId="4" borderId="43" xfId="2" applyFont="1" applyFill="1" applyBorder="1"/>
    <xf numFmtId="9" fontId="67" fillId="0" borderId="60" xfId="2" applyFont="1" applyFill="1" applyBorder="1"/>
    <xf numFmtId="9" fontId="67" fillId="0" borderId="43" xfId="2" applyFont="1" applyFill="1" applyBorder="1"/>
    <xf numFmtId="9" fontId="72" fillId="0" borderId="11" xfId="2" applyFont="1" applyBorder="1"/>
    <xf numFmtId="3" fontId="72" fillId="3" borderId="99" xfId="43" applyNumberFormat="1" applyFont="1" applyFill="1" applyBorder="1"/>
    <xf numFmtId="9" fontId="67" fillId="24" borderId="44" xfId="2" applyFont="1" applyFill="1" applyBorder="1"/>
    <xf numFmtId="9" fontId="67" fillId="3" borderId="7" xfId="2" applyFont="1" applyFill="1" applyBorder="1"/>
    <xf numFmtId="9" fontId="79" fillId="24" borderId="58" xfId="2" applyFont="1" applyFill="1" applyBorder="1"/>
    <xf numFmtId="9" fontId="67" fillId="0" borderId="58" xfId="2" applyFont="1" applyFill="1" applyBorder="1"/>
    <xf numFmtId="9" fontId="67" fillId="0" borderId="99" xfId="2" applyFont="1" applyFill="1" applyBorder="1"/>
    <xf numFmtId="3" fontId="67" fillId="6" borderId="99" xfId="43" applyNumberFormat="1" applyFont="1" applyFill="1" applyBorder="1"/>
    <xf numFmtId="3" fontId="72" fillId="0" borderId="99" xfId="43" applyNumberFormat="1" applyFont="1" applyBorder="1"/>
    <xf numFmtId="167" fontId="67" fillId="0" borderId="0" xfId="43" applyNumberFormat="1" applyFont="1"/>
    <xf numFmtId="9" fontId="67" fillId="0" borderId="0" xfId="4" applyFont="1" applyAlignment="1">
      <alignment horizontal="right"/>
    </xf>
    <xf numFmtId="0" fontId="108" fillId="23" borderId="0" xfId="0" applyFont="1" applyFill="1" applyAlignment="1">
      <alignment horizontal="left" wrapText="1" indent="2"/>
    </xf>
    <xf numFmtId="0" fontId="74" fillId="23" borderId="0" xfId="0" applyFont="1" applyFill="1"/>
    <xf numFmtId="9" fontId="72" fillId="3" borderId="4" xfId="2" applyFont="1" applyFill="1" applyBorder="1"/>
    <xf numFmtId="167" fontId="67" fillId="3" borderId="65" xfId="1" applyNumberFormat="1" applyFont="1" applyFill="1" applyBorder="1" applyAlignment="1">
      <alignment wrapText="1"/>
    </xf>
    <xf numFmtId="9" fontId="72" fillId="4" borderId="4" xfId="2" applyFont="1" applyFill="1" applyBorder="1"/>
    <xf numFmtId="9" fontId="72" fillId="4" borderId="7" xfId="2" applyFont="1" applyFill="1" applyBorder="1"/>
    <xf numFmtId="9" fontId="67" fillId="0" borderId="7" xfId="2" applyFont="1" applyBorder="1"/>
    <xf numFmtId="9" fontId="67" fillId="0" borderId="29" xfId="2" applyFont="1" applyFill="1" applyBorder="1"/>
    <xf numFmtId="9" fontId="67" fillId="19" borderId="58" xfId="2" applyFont="1" applyFill="1" applyBorder="1"/>
    <xf numFmtId="3" fontId="74" fillId="23" borderId="0" xfId="0" applyNumberFormat="1" applyFont="1" applyFill="1"/>
    <xf numFmtId="9" fontId="74" fillId="23" borderId="0" xfId="2" applyFont="1" applyFill="1"/>
    <xf numFmtId="9" fontId="67" fillId="11" borderId="7" xfId="2" applyFont="1" applyFill="1" applyBorder="1"/>
    <xf numFmtId="9" fontId="67" fillId="7" borderId="7" xfId="2" applyFont="1" applyFill="1" applyBorder="1"/>
    <xf numFmtId="9" fontId="78" fillId="8" borderId="7" xfId="2" applyFont="1" applyFill="1" applyBorder="1"/>
    <xf numFmtId="9" fontId="67" fillId="0" borderId="78" xfId="2" applyFont="1" applyFill="1" applyBorder="1"/>
    <xf numFmtId="9" fontId="72" fillId="0" borderId="3" xfId="2" applyFont="1" applyBorder="1"/>
    <xf numFmtId="9" fontId="72" fillId="4" borderId="12" xfId="2" applyFont="1" applyFill="1" applyBorder="1"/>
    <xf numFmtId="9" fontId="67" fillId="3" borderId="99" xfId="2" applyFont="1" applyFill="1" applyBorder="1"/>
    <xf numFmtId="9" fontId="72" fillId="3" borderId="7" xfId="2" applyFont="1" applyFill="1" applyBorder="1"/>
    <xf numFmtId="9" fontId="67" fillId="3" borderId="29" xfId="2" applyFont="1" applyFill="1" applyBorder="1"/>
    <xf numFmtId="9" fontId="67" fillId="5" borderId="7" xfId="2" applyFont="1" applyFill="1" applyBorder="1"/>
    <xf numFmtId="9" fontId="67" fillId="3" borderId="58" xfId="2" applyFont="1" applyFill="1" applyBorder="1"/>
    <xf numFmtId="9" fontId="67" fillId="6" borderId="7" xfId="2" applyFont="1" applyFill="1" applyBorder="1"/>
    <xf numFmtId="9" fontId="67" fillId="0" borderId="22" xfId="2" applyFont="1" applyFill="1" applyBorder="1" applyAlignment="1"/>
    <xf numFmtId="9" fontId="79" fillId="0" borderId="99" xfId="2" applyFont="1" applyFill="1" applyBorder="1"/>
    <xf numFmtId="9" fontId="67" fillId="0" borderId="0" xfId="2" applyFont="1" applyAlignment="1">
      <alignment wrapText="1"/>
    </xf>
    <xf numFmtId="167" fontId="67" fillId="0" borderId="0" xfId="2" applyNumberFormat="1" applyFont="1" applyFill="1"/>
    <xf numFmtId="9" fontId="72" fillId="0" borderId="0" xfId="2" applyFont="1"/>
    <xf numFmtId="9" fontId="67" fillId="0" borderId="0" xfId="2" applyFont="1"/>
    <xf numFmtId="9" fontId="72" fillId="0" borderId="7" xfId="2" applyFont="1" applyFill="1" applyBorder="1"/>
    <xf numFmtId="9" fontId="67" fillId="3" borderId="78" xfId="2" applyFont="1" applyFill="1" applyBorder="1"/>
    <xf numFmtId="9" fontId="72" fillId="0" borderId="13" xfId="2" applyFont="1" applyBorder="1"/>
    <xf numFmtId="9" fontId="72" fillId="0" borderId="14" xfId="2" applyFont="1" applyBorder="1"/>
    <xf numFmtId="9" fontId="72" fillId="4" borderId="17" xfId="2" applyFont="1" applyFill="1" applyBorder="1"/>
    <xf numFmtId="167" fontId="67" fillId="6" borderId="0" xfId="43" applyNumberFormat="1" applyFont="1" applyFill="1"/>
    <xf numFmtId="167" fontId="72" fillId="0" borderId="0" xfId="43" applyNumberFormat="1" applyFont="1"/>
    <xf numFmtId="49" fontId="67" fillId="14" borderId="48" xfId="43" applyNumberFormat="1" applyFont="1" applyFill="1" applyBorder="1" applyAlignment="1">
      <alignment horizontal="left" wrapText="1" indent="2"/>
    </xf>
    <xf numFmtId="164" fontId="67" fillId="0" borderId="0" xfId="43" applyNumberFormat="1" applyFont="1"/>
    <xf numFmtId="167" fontId="72" fillId="4" borderId="99" xfId="1" applyNumberFormat="1" applyFont="1" applyFill="1" applyBorder="1"/>
    <xf numFmtId="9" fontId="67" fillId="0" borderId="44" xfId="2" applyFont="1" applyBorder="1"/>
    <xf numFmtId="3" fontId="79" fillId="24" borderId="99" xfId="43" applyNumberFormat="1" applyFont="1" applyFill="1" applyBorder="1"/>
    <xf numFmtId="3" fontId="67" fillId="24" borderId="99" xfId="43" applyNumberFormat="1" applyFont="1" applyFill="1" applyBorder="1"/>
    <xf numFmtId="3" fontId="67" fillId="14" borderId="99" xfId="43" applyNumberFormat="1" applyFont="1" applyFill="1" applyBorder="1"/>
    <xf numFmtId="0" fontId="175" fillId="23" borderId="0" xfId="0" applyFont="1" applyFill="1" applyAlignment="1">
      <alignment horizontal="left" vertical="top" wrapText="1"/>
    </xf>
    <xf numFmtId="0" fontId="175" fillId="23" borderId="0" xfId="0" applyFont="1" applyFill="1"/>
    <xf numFmtId="0" fontId="175" fillId="23" borderId="0" xfId="0" applyFont="1" applyFill="1" applyAlignment="1">
      <alignment horizontal="left" indent="2"/>
    </xf>
    <xf numFmtId="3" fontId="175" fillId="23" borderId="0" xfId="0" applyNumberFormat="1" applyFont="1" applyFill="1" applyAlignment="1">
      <alignment horizontal="left" indent="2"/>
    </xf>
    <xf numFmtId="3" fontId="175" fillId="23" borderId="0" xfId="0" applyNumberFormat="1" applyFont="1" applyFill="1"/>
    <xf numFmtId="0" fontId="175" fillId="23" borderId="0" xfId="0" applyFont="1" applyFill="1" applyAlignment="1">
      <alignment horizontal="left" vertical="top" wrapText="1" indent="2"/>
    </xf>
    <xf numFmtId="0" fontId="175" fillId="23" borderId="0" xfId="0" applyFont="1" applyFill="1" applyAlignment="1">
      <alignment horizontal="left" wrapText="1"/>
    </xf>
    <xf numFmtId="0" fontId="175" fillId="23" borderId="0" xfId="0" applyFont="1" applyFill="1" applyAlignment="1">
      <alignment horizontal="left"/>
    </xf>
    <xf numFmtId="3" fontId="67" fillId="0" borderId="108" xfId="43" applyNumberFormat="1" applyFont="1" applyBorder="1"/>
    <xf numFmtId="167" fontId="173" fillId="23" borderId="0" xfId="1" applyNumberFormat="1" applyFont="1" applyFill="1"/>
    <xf numFmtId="0" fontId="74" fillId="23" borderId="0" xfId="0" applyFont="1" applyFill="1" applyAlignment="1">
      <alignment horizontal="left" vertical="top"/>
    </xf>
    <xf numFmtId="9" fontId="67" fillId="0" borderId="0" xfId="43" applyNumberFormat="1" applyFont="1"/>
    <xf numFmtId="0" fontId="74" fillId="23" borderId="0" xfId="0" applyFont="1" applyFill="1" applyAlignment="1">
      <alignment horizontal="left"/>
    </xf>
    <xf numFmtId="0" fontId="67" fillId="0" borderId="98" xfId="43" applyFont="1" applyBorder="1" applyAlignment="1">
      <alignment horizontal="left" wrapText="1" indent="3"/>
    </xf>
    <xf numFmtId="3" fontId="67" fillId="0" borderId="109" xfId="43" applyNumberFormat="1" applyFont="1" applyBorder="1"/>
    <xf numFmtId="9" fontId="67" fillId="0" borderId="109" xfId="2" applyFont="1" applyFill="1" applyBorder="1"/>
    <xf numFmtId="9" fontId="67" fillId="5" borderId="109" xfId="4" applyFont="1" applyFill="1" applyBorder="1" applyAlignment="1">
      <alignment wrapText="1"/>
    </xf>
    <xf numFmtId="49" fontId="67" fillId="0" borderId="112" xfId="43" applyNumberFormat="1" applyFont="1" applyBorder="1" applyAlignment="1">
      <alignment horizontal="left" indent="2"/>
    </xf>
    <xf numFmtId="49" fontId="67" fillId="0" borderId="111" xfId="43" applyNumberFormat="1" applyFont="1" applyBorder="1" applyAlignment="1">
      <alignment horizontal="left" wrapText="1" indent="4"/>
    </xf>
    <xf numFmtId="9" fontId="67" fillId="0" borderId="109" xfId="4" applyFont="1" applyFill="1" applyBorder="1"/>
    <xf numFmtId="9" fontId="67" fillId="0" borderId="113" xfId="4" applyFont="1" applyFill="1" applyBorder="1" applyAlignment="1">
      <alignment wrapText="1"/>
    </xf>
    <xf numFmtId="3" fontId="67" fillId="6" borderId="109" xfId="43" applyNumberFormat="1" applyFont="1" applyFill="1" applyBorder="1"/>
    <xf numFmtId="9" fontId="67" fillId="0" borderId="109" xfId="4" applyFont="1" applyFill="1" applyBorder="1" applyAlignment="1">
      <alignment wrapText="1"/>
    </xf>
    <xf numFmtId="0" fontId="81" fillId="0" borderId="0" xfId="0" applyFont="1" applyAlignment="1">
      <alignment horizontal="center"/>
    </xf>
    <xf numFmtId="0" fontId="0" fillId="0" borderId="74" xfId="0" applyBorder="1" applyAlignment="1">
      <alignment wrapText="1"/>
    </xf>
    <xf numFmtId="167" fontId="99" fillId="0" borderId="0" xfId="1" applyNumberFormat="1" applyFont="1" applyFill="1" applyBorder="1" applyAlignment="1">
      <alignment wrapText="1"/>
    </xf>
    <xf numFmtId="167" fontId="99" fillId="0" borderId="70" xfId="1" applyNumberFormat="1" applyFont="1" applyBorder="1"/>
    <xf numFmtId="0" fontId="99" fillId="0" borderId="84" xfId="0" applyFont="1" applyBorder="1" applyAlignment="1">
      <alignment wrapText="1"/>
    </xf>
    <xf numFmtId="0" fontId="99" fillId="0" borderId="69" xfId="0" applyFont="1" applyBorder="1" applyAlignment="1">
      <alignment horizontal="left" indent="2"/>
    </xf>
    <xf numFmtId="167" fontId="99" fillId="0" borderId="120" xfId="1" applyNumberFormat="1" applyFont="1" applyFill="1" applyBorder="1"/>
    <xf numFmtId="167" fontId="99" fillId="0" borderId="119" xfId="1" applyNumberFormat="1" applyFont="1" applyBorder="1"/>
    <xf numFmtId="0" fontId="99" fillId="0" borderId="0" xfId="173" applyFont="1" applyAlignment="1">
      <alignment wrapText="1"/>
    </xf>
    <xf numFmtId="0" fontId="99" fillId="0" borderId="84" xfId="0" applyFont="1" applyBorder="1" applyAlignment="1">
      <alignment horizontal="left" wrapText="1"/>
    </xf>
    <xf numFmtId="0" fontId="99" fillId="0" borderId="104" xfId="0" applyFont="1" applyBorder="1" applyAlignment="1">
      <alignment wrapText="1"/>
    </xf>
    <xf numFmtId="167" fontId="99" fillId="0" borderId="104" xfId="1" applyNumberFormat="1" applyFont="1" applyBorder="1"/>
    <xf numFmtId="167" fontId="99" fillId="0" borderId="105" xfId="1" applyNumberFormat="1" applyFont="1" applyFill="1" applyBorder="1"/>
    <xf numFmtId="0" fontId="99" fillId="0" borderId="87" xfId="0" applyFont="1" applyBorder="1" applyAlignment="1">
      <alignment wrapText="1"/>
    </xf>
    <xf numFmtId="0" fontId="99" fillId="0" borderId="121" xfId="0" applyFont="1" applyBorder="1"/>
    <xf numFmtId="0" fontId="99" fillId="0" borderId="121" xfId="0" applyFont="1" applyBorder="1" applyAlignment="1">
      <alignment wrapText="1"/>
    </xf>
    <xf numFmtId="167" fontId="99" fillId="0" borderId="121" xfId="1" applyNumberFormat="1" applyFont="1" applyBorder="1"/>
    <xf numFmtId="167" fontId="99" fillId="0" borderId="122" xfId="1" applyNumberFormat="1" applyFont="1" applyFill="1" applyBorder="1"/>
    <xf numFmtId="167" fontId="143" fillId="0" borderId="121" xfId="1" applyNumberFormat="1" applyFont="1" applyBorder="1"/>
    <xf numFmtId="0" fontId="0" fillId="0" borderId="123" xfId="0" applyBorder="1"/>
    <xf numFmtId="0" fontId="0" fillId="0" borderId="123" xfId="0" applyBorder="1" applyAlignment="1">
      <alignment wrapText="1"/>
    </xf>
    <xf numFmtId="49" fontId="99" fillId="0" borderId="123" xfId="0" applyNumberFormat="1" applyFont="1" applyBorder="1" applyAlignment="1">
      <alignment vertical="center" wrapText="1"/>
    </xf>
    <xf numFmtId="0" fontId="99" fillId="0" borderId="123" xfId="0" applyFont="1" applyBorder="1"/>
    <xf numFmtId="167" fontId="99" fillId="0" borderId="110" xfId="1" applyNumberFormat="1" applyFont="1" applyFill="1" applyBorder="1" applyAlignment="1">
      <alignment wrapText="1"/>
    </xf>
    <xf numFmtId="0" fontId="165" fillId="10" borderId="0" xfId="0" applyFont="1" applyFill="1" applyAlignment="1">
      <alignment horizontal="left" vertical="top" wrapText="1"/>
    </xf>
    <xf numFmtId="0" fontId="99" fillId="10" borderId="0" xfId="0" applyFont="1" applyFill="1"/>
    <xf numFmtId="0" fontId="117" fillId="10" borderId="0" xfId="0" applyFont="1" applyFill="1"/>
    <xf numFmtId="0" fontId="88" fillId="0" borderId="24" xfId="283" applyNumberFormat="1" applyFont="1" applyFill="1" applyBorder="1" applyAlignment="1">
      <alignment wrapText="1"/>
    </xf>
    <xf numFmtId="0" fontId="88" fillId="0" borderId="63" xfId="283" applyNumberFormat="1" applyFont="1" applyFill="1" applyBorder="1" applyAlignment="1">
      <alignment wrapText="1"/>
    </xf>
    <xf numFmtId="0" fontId="90" fillId="0" borderId="100" xfId="283" applyNumberFormat="1" applyFont="1" applyFill="1" applyBorder="1" applyAlignment="1">
      <alignment wrapText="1"/>
    </xf>
    <xf numFmtId="0" fontId="90" fillId="0" borderId="24" xfId="283" applyNumberFormat="1" applyFont="1" applyFill="1" applyBorder="1" applyAlignment="1">
      <alignment wrapText="1"/>
    </xf>
    <xf numFmtId="0" fontId="88" fillId="0" borderId="103" xfId="284" applyFont="1" applyBorder="1" applyAlignment="1">
      <alignment horizontal="left" vertical="center" wrapText="1"/>
    </xf>
    <xf numFmtId="0" fontId="88" fillId="0" borderId="24" xfId="284" applyFont="1" applyBorder="1" applyAlignment="1">
      <alignment horizontal="left" vertical="center" wrapText="1"/>
    </xf>
    <xf numFmtId="0" fontId="0" fillId="0" borderId="69" xfId="0" applyBorder="1" applyAlignment="1">
      <alignment horizontal="left" wrapText="1"/>
    </xf>
    <xf numFmtId="0" fontId="0" fillId="0" borderId="74" xfId="0" applyBorder="1" applyAlignment="1">
      <alignment horizontal="left" wrapText="1"/>
    </xf>
    <xf numFmtId="0" fontId="0" fillId="0" borderId="124" xfId="0" applyBorder="1" applyAlignment="1">
      <alignment wrapText="1"/>
    </xf>
    <xf numFmtId="0" fontId="0" fillId="0" borderId="124" xfId="0" applyBorder="1"/>
    <xf numFmtId="0" fontId="99" fillId="0" borderId="124" xfId="0" applyFont="1" applyBorder="1" applyAlignment="1">
      <alignment wrapText="1"/>
    </xf>
    <xf numFmtId="0" fontId="99" fillId="0" borderId="124" xfId="0" quotePrefix="1" applyFont="1" applyBorder="1" applyAlignment="1">
      <alignment horizontal="left"/>
    </xf>
    <xf numFmtId="49" fontId="99" fillId="0" borderId="124" xfId="0" applyNumberFormat="1" applyFont="1" applyBorder="1" applyAlignment="1">
      <alignment horizontal="left"/>
    </xf>
    <xf numFmtId="0" fontId="99" fillId="0" borderId="124" xfId="0" applyFont="1" applyBorder="1"/>
    <xf numFmtId="167" fontId="99" fillId="0" borderId="124" xfId="1" applyNumberFormat="1" applyFont="1" applyBorder="1"/>
    <xf numFmtId="0" fontId="99" fillId="0" borderId="125" xfId="0" applyFont="1" applyBorder="1"/>
    <xf numFmtId="0" fontId="99" fillId="0" borderId="125" xfId="0" applyFont="1" applyBorder="1" applyAlignment="1">
      <alignment wrapText="1"/>
    </xf>
    <xf numFmtId="167" fontId="99" fillId="0" borderId="118" xfId="1" applyNumberFormat="1" applyFont="1" applyFill="1" applyBorder="1"/>
    <xf numFmtId="167" fontId="99" fillId="0" borderId="125" xfId="1" applyNumberFormat="1" applyFont="1" applyFill="1" applyBorder="1"/>
    <xf numFmtId="167" fontId="103" fillId="0" borderId="125" xfId="1" applyNumberFormat="1" applyFont="1" applyBorder="1"/>
    <xf numFmtId="0" fontId="99" fillId="0" borderId="126" xfId="0" applyFont="1" applyBorder="1"/>
    <xf numFmtId="0" fontId="99" fillId="0" borderId="126" xfId="0" applyFont="1" applyBorder="1" applyAlignment="1">
      <alignment wrapText="1"/>
    </xf>
    <xf numFmtId="167" fontId="99" fillId="0" borderId="127" xfId="1" applyNumberFormat="1" applyFont="1" applyFill="1" applyBorder="1"/>
    <xf numFmtId="167" fontId="99" fillId="0" borderId="126" xfId="1" applyNumberFormat="1" applyFont="1" applyFill="1" applyBorder="1"/>
    <xf numFmtId="167" fontId="103" fillId="0" borderId="126" xfId="1" applyNumberFormat="1" applyFont="1" applyBorder="1"/>
    <xf numFmtId="167" fontId="99" fillId="0" borderId="124" xfId="1" applyNumberFormat="1" applyFont="1" applyFill="1" applyBorder="1"/>
    <xf numFmtId="0" fontId="88" fillId="0" borderId="124" xfId="283" applyNumberFormat="1" applyFont="1" applyFill="1" applyBorder="1" applyAlignment="1">
      <alignment wrapText="1"/>
    </xf>
    <xf numFmtId="0" fontId="88" fillId="0" borderId="124" xfId="283" applyNumberFormat="1" applyFont="1" applyFill="1" applyBorder="1" applyAlignment="1">
      <alignment vertical="center" wrapText="1"/>
    </xf>
    <xf numFmtId="0" fontId="88" fillId="0" borderId="117" xfId="283" applyNumberFormat="1" applyFont="1" applyFill="1" applyBorder="1" applyAlignment="1">
      <alignment wrapText="1"/>
    </xf>
    <xf numFmtId="0" fontId="88" fillId="0" borderId="124" xfId="284" applyFont="1" applyBorder="1" applyAlignment="1">
      <alignment horizontal="left" vertical="center" wrapText="1"/>
    </xf>
    <xf numFmtId="178" fontId="88" fillId="0" borderId="124" xfId="22" applyNumberFormat="1" applyFont="1" applyFill="1" applyBorder="1"/>
    <xf numFmtId="0" fontId="96" fillId="0" borderId="0" xfId="0" applyFont="1" applyAlignment="1">
      <alignment horizontal="right"/>
    </xf>
    <xf numFmtId="172" fontId="96" fillId="12" borderId="0" xfId="1" applyNumberFormat="1" applyFont="1" applyFill="1" applyBorder="1"/>
    <xf numFmtId="0" fontId="84" fillId="0" borderId="0" xfId="0" applyFont="1"/>
    <xf numFmtId="167" fontId="99" fillId="0" borderId="84" xfId="1" applyNumberFormat="1" applyFont="1" applyBorder="1" applyAlignment="1">
      <alignment wrapText="1"/>
    </xf>
    <xf numFmtId="167" fontId="99" fillId="20" borderId="69" xfId="1" applyNumberFormat="1" applyFont="1" applyFill="1" applyBorder="1"/>
    <xf numFmtId="0" fontId="99" fillId="9" borderId="0" xfId="0" applyFont="1" applyFill="1"/>
    <xf numFmtId="167" fontId="174" fillId="0" borderId="84" xfId="1" applyNumberFormat="1" applyFont="1" applyFill="1" applyBorder="1"/>
    <xf numFmtId="0" fontId="99" fillId="0" borderId="73" xfId="0" applyFont="1" applyBorder="1" applyAlignment="1">
      <alignment horizontal="left"/>
    </xf>
    <xf numFmtId="0" fontId="99" fillId="0" borderId="117" xfId="0" applyFont="1" applyBorder="1"/>
    <xf numFmtId="0" fontId="99" fillId="0" borderId="117" xfId="0" applyFont="1" applyBorder="1" applyAlignment="1">
      <alignment wrapText="1"/>
    </xf>
    <xf numFmtId="0" fontId="99" fillId="0" borderId="74" xfId="0" applyFont="1" applyBorder="1" applyAlignment="1">
      <alignment horizontal="left"/>
    </xf>
    <xf numFmtId="0" fontId="78" fillId="0" borderId="133" xfId="28" applyFont="1" applyBorder="1"/>
    <xf numFmtId="0" fontId="99" fillId="0" borderId="133" xfId="0" applyFont="1" applyBorder="1" applyAlignment="1">
      <alignment horizontal="left"/>
    </xf>
    <xf numFmtId="0" fontId="99" fillId="0" borderId="64" xfId="0" applyFont="1" applyBorder="1" applyAlignment="1">
      <alignment wrapText="1"/>
    </xf>
    <xf numFmtId="167" fontId="99" fillId="0" borderId="23" xfId="1" applyNumberFormat="1" applyFont="1" applyFill="1" applyBorder="1"/>
    <xf numFmtId="167" fontId="99" fillId="0" borderId="133" xfId="1" applyNumberFormat="1" applyFont="1" applyBorder="1"/>
    <xf numFmtId="0" fontId="99" fillId="0" borderId="119" xfId="0" applyFont="1" applyBorder="1"/>
    <xf numFmtId="167" fontId="99" fillId="0" borderId="110" xfId="1" applyNumberFormat="1" applyFont="1" applyFill="1" applyBorder="1"/>
    <xf numFmtId="49" fontId="165" fillId="0" borderId="69" xfId="0" applyNumberFormat="1" applyFont="1" applyBorder="1" applyAlignment="1">
      <alignment horizontal="left"/>
    </xf>
    <xf numFmtId="0" fontId="165" fillId="0" borderId="69" xfId="0" applyFont="1" applyBorder="1"/>
    <xf numFmtId="167" fontId="165" fillId="0" borderId="93" xfId="1" applyNumberFormat="1" applyFont="1" applyFill="1" applyBorder="1"/>
    <xf numFmtId="167" fontId="113" fillId="0" borderId="0" xfId="1" applyNumberFormat="1" applyFont="1"/>
    <xf numFmtId="0" fontId="78" fillId="0" borderId="73" xfId="28" applyFont="1" applyBorder="1"/>
    <xf numFmtId="0" fontId="78" fillId="0" borderId="74" xfId="28" applyFont="1" applyBorder="1"/>
    <xf numFmtId="49" fontId="99" fillId="0" borderId="114" xfId="0" applyNumberFormat="1" applyFont="1" applyBorder="1" applyAlignment="1">
      <alignment horizontal="left"/>
    </xf>
    <xf numFmtId="0" fontId="99" fillId="0" borderId="114" xfId="0" applyFont="1" applyBorder="1"/>
    <xf numFmtId="0" fontId="99" fillId="0" borderId="114" xfId="0" applyFont="1" applyBorder="1" applyAlignment="1">
      <alignment wrapText="1"/>
    </xf>
    <xf numFmtId="1" fontId="99" fillId="0" borderId="136" xfId="0" applyNumberFormat="1" applyFont="1" applyBorder="1"/>
    <xf numFmtId="1" fontId="99" fillId="0" borderId="137" xfId="0" applyNumberFormat="1" applyFont="1" applyBorder="1"/>
    <xf numFmtId="0" fontId="165" fillId="15" borderId="69" xfId="0" applyFont="1" applyFill="1" applyBorder="1" applyAlignment="1">
      <alignment horizontal="right" wrapText="1"/>
    </xf>
    <xf numFmtId="167" fontId="99" fillId="0" borderId="70" xfId="1" applyNumberFormat="1" applyFont="1" applyBorder="1" applyAlignment="1">
      <alignment wrapText="1"/>
    </xf>
    <xf numFmtId="0" fontId="0" fillId="0" borderId="124" xfId="0" applyBorder="1" applyAlignment="1">
      <alignment horizontal="center" vertical="center"/>
    </xf>
    <xf numFmtId="49" fontId="99" fillId="0" borderId="123" xfId="0" applyNumberFormat="1" applyFont="1" applyBorder="1" applyAlignment="1">
      <alignment horizontal="left"/>
    </xf>
    <xf numFmtId="0" fontId="90" fillId="0" borderId="0" xfId="0" applyFont="1" applyAlignment="1">
      <alignment vertical="center"/>
    </xf>
    <xf numFmtId="167" fontId="99" fillId="0" borderId="96" xfId="1" applyNumberFormat="1" applyFont="1" applyFill="1" applyBorder="1"/>
    <xf numFmtId="167" fontId="95" fillId="0" borderId="74" xfId="1" applyNumberFormat="1" applyFont="1" applyBorder="1"/>
    <xf numFmtId="49" fontId="99" fillId="0" borderId="136" xfId="0" applyNumberFormat="1" applyFont="1" applyBorder="1" applyAlignment="1">
      <alignment horizontal="left"/>
    </xf>
    <xf numFmtId="0" fontId="99" fillId="0" borderId="133" xfId="0" applyFont="1" applyBorder="1"/>
    <xf numFmtId="0" fontId="99" fillId="0" borderId="133" xfId="0" applyFont="1" applyBorder="1" applyAlignment="1">
      <alignment wrapText="1"/>
    </xf>
    <xf numFmtId="167" fontId="99" fillId="0" borderId="140" xfId="1" applyNumberFormat="1" applyFont="1" applyFill="1" applyBorder="1"/>
    <xf numFmtId="167" fontId="99" fillId="0" borderId="134" xfId="1" applyNumberFormat="1" applyFont="1" applyBorder="1"/>
    <xf numFmtId="49" fontId="99" fillId="0" borderId="138" xfId="0" applyNumberFormat="1" applyFont="1" applyBorder="1" applyAlignment="1">
      <alignment horizontal="left"/>
    </xf>
    <xf numFmtId="0" fontId="99" fillId="0" borderId="119" xfId="0" applyFont="1" applyBorder="1" applyAlignment="1">
      <alignment wrapText="1"/>
    </xf>
    <xf numFmtId="167" fontId="99" fillId="0" borderId="135" xfId="1" applyNumberFormat="1" applyFont="1" applyBorder="1"/>
    <xf numFmtId="167" fontId="99" fillId="0" borderId="19" xfId="1" applyNumberFormat="1" applyFont="1" applyFill="1" applyBorder="1"/>
    <xf numFmtId="0" fontId="99" fillId="0" borderId="92" xfId="0" applyFont="1" applyBorder="1"/>
    <xf numFmtId="0" fontId="0" fillId="21" borderId="0" xfId="0" applyFill="1"/>
    <xf numFmtId="0" fontId="0" fillId="21" borderId="88" xfId="0" applyFill="1" applyBorder="1"/>
    <xf numFmtId="0" fontId="0" fillId="21" borderId="0" xfId="0" applyFill="1" applyAlignment="1">
      <alignment wrapText="1"/>
    </xf>
    <xf numFmtId="0" fontId="96" fillId="21" borderId="0" xfId="0" applyFont="1" applyFill="1"/>
    <xf numFmtId="0" fontId="99" fillId="21" borderId="0" xfId="0" applyFont="1" applyFill="1"/>
    <xf numFmtId="0" fontId="91" fillId="21" borderId="0" xfId="0" applyFont="1" applyFill="1"/>
    <xf numFmtId="0" fontId="148" fillId="21" borderId="0" xfId="0" applyFont="1" applyFill="1"/>
    <xf numFmtId="0" fontId="87" fillId="21" borderId="0" xfId="0" applyFont="1" applyFill="1"/>
    <xf numFmtId="0" fontId="99" fillId="14" borderId="74" xfId="0" applyFont="1" applyFill="1" applyBorder="1" applyAlignment="1">
      <alignment wrapText="1"/>
    </xf>
    <xf numFmtId="0" fontId="99" fillId="14" borderId="69" xfId="0" applyFont="1" applyFill="1" applyBorder="1" applyAlignment="1">
      <alignment wrapText="1"/>
    </xf>
    <xf numFmtId="0" fontId="99" fillId="14" borderId="73" xfId="0" applyFont="1" applyFill="1" applyBorder="1" applyAlignment="1">
      <alignment wrapText="1"/>
    </xf>
    <xf numFmtId="167" fontId="99" fillId="0" borderId="0" xfId="1" applyNumberFormat="1" applyFont="1" applyBorder="1"/>
    <xf numFmtId="0" fontId="99" fillId="0" borderId="86" xfId="0" applyFont="1" applyBorder="1" applyAlignment="1">
      <alignment horizontal="left"/>
    </xf>
    <xf numFmtId="0" fontId="99" fillId="0" borderId="117" xfId="0" quotePrefix="1" applyFont="1" applyBorder="1" applyAlignment="1">
      <alignment horizontal="left"/>
    </xf>
    <xf numFmtId="0" fontId="99" fillId="0" borderId="41" xfId="0" quotePrefix="1" applyFont="1" applyBorder="1" applyAlignment="1">
      <alignment horizontal="left"/>
    </xf>
    <xf numFmtId="0" fontId="99" fillId="0" borderId="131" xfId="0" quotePrefix="1" applyFont="1" applyBorder="1" applyAlignment="1">
      <alignment horizontal="left"/>
    </xf>
    <xf numFmtId="0" fontId="99" fillId="0" borderId="132" xfId="0" applyFont="1" applyBorder="1"/>
    <xf numFmtId="0" fontId="99" fillId="0" borderId="132" xfId="0" applyFont="1" applyBorder="1" applyAlignment="1">
      <alignment wrapText="1"/>
    </xf>
    <xf numFmtId="167" fontId="179" fillId="0" borderId="0" xfId="1" applyNumberFormat="1" applyFont="1"/>
    <xf numFmtId="168" fontId="166" fillId="0" borderId="0" xfId="0" applyNumberFormat="1" applyFont="1" applyAlignment="1">
      <alignment horizontal="left"/>
    </xf>
    <xf numFmtId="0" fontId="99" fillId="0" borderId="139" xfId="0" applyFont="1" applyBorder="1"/>
    <xf numFmtId="0" fontId="99" fillId="0" borderId="139" xfId="0" applyFont="1" applyBorder="1" applyAlignment="1">
      <alignment wrapText="1"/>
    </xf>
    <xf numFmtId="167" fontId="99" fillId="15" borderId="69" xfId="1" applyNumberFormat="1" applyFont="1" applyFill="1" applyBorder="1"/>
    <xf numFmtId="167" fontId="81" fillId="11" borderId="69" xfId="1" applyNumberFormat="1" applyFont="1" applyFill="1" applyBorder="1"/>
    <xf numFmtId="0" fontId="96" fillId="0" borderId="84" xfId="0" applyFont="1" applyBorder="1"/>
    <xf numFmtId="0" fontId="0" fillId="0" borderId="95" xfId="0" applyBorder="1"/>
    <xf numFmtId="0" fontId="99" fillId="0" borderId="73" xfId="0" applyFont="1" applyBorder="1" applyAlignment="1">
      <alignment horizontal="left" indent="2"/>
    </xf>
    <xf numFmtId="0" fontId="0" fillId="0" borderId="104" xfId="0" applyBorder="1"/>
    <xf numFmtId="0" fontId="0" fillId="0" borderId="141" xfId="0" applyBorder="1"/>
    <xf numFmtId="49" fontId="99" fillId="0" borderId="104" xfId="0" applyNumberFormat="1" applyFont="1" applyBorder="1" applyAlignment="1">
      <alignment horizontal="left"/>
    </xf>
    <xf numFmtId="0" fontId="99" fillId="0" borderId="104" xfId="0" applyFont="1" applyBorder="1" applyAlignment="1">
      <alignment horizontal="left" indent="2"/>
    </xf>
    <xf numFmtId="0" fontId="0" fillId="0" borderId="142" xfId="0" applyBorder="1"/>
    <xf numFmtId="49" fontId="99" fillId="0" borderId="87" xfId="0" applyNumberFormat="1" applyFont="1" applyBorder="1" applyAlignment="1">
      <alignment horizontal="left"/>
    </xf>
    <xf numFmtId="0" fontId="99" fillId="0" borderId="87" xfId="0" applyFont="1" applyBorder="1" applyAlignment="1">
      <alignment horizontal="left" indent="2"/>
    </xf>
    <xf numFmtId="167" fontId="107" fillId="11" borderId="0" xfId="1" applyNumberFormat="1" applyFont="1" applyFill="1" applyBorder="1" applyAlignment="1">
      <alignment horizontal="center" wrapText="1"/>
    </xf>
    <xf numFmtId="167" fontId="99" fillId="0" borderId="0" xfId="0" applyNumberFormat="1" applyFont="1" applyAlignment="1">
      <alignment horizontal="center" wrapText="1"/>
    </xf>
    <xf numFmtId="167" fontId="99" fillId="0" borderId="0" xfId="1" applyNumberFormat="1" applyFont="1" applyBorder="1" applyAlignment="1">
      <alignment wrapText="1"/>
    </xf>
    <xf numFmtId="167" fontId="99" fillId="0" borderId="0" xfId="1" applyNumberFormat="1" applyFont="1" applyBorder="1" applyAlignment="1">
      <alignment horizontal="center"/>
    </xf>
    <xf numFmtId="167" fontId="96" fillId="0" borderId="0" xfId="1" applyNumberFormat="1" applyFont="1" applyBorder="1"/>
    <xf numFmtId="167" fontId="103" fillId="0" borderId="0" xfId="1" applyNumberFormat="1" applyFont="1" applyBorder="1"/>
    <xf numFmtId="167" fontId="95" fillId="0" borderId="0" xfId="1" applyNumberFormat="1" applyFont="1" applyBorder="1"/>
    <xf numFmtId="167" fontId="143" fillId="0" borderId="0" xfId="1" applyNumberFormat="1" applyFont="1" applyBorder="1"/>
    <xf numFmtId="167" fontId="94" fillId="0" borderId="0" xfId="1" applyNumberFormat="1" applyFont="1" applyAlignment="1">
      <alignment horizontal="center" vertical="center" wrapText="1"/>
    </xf>
    <xf numFmtId="167" fontId="94" fillId="0" borderId="0" xfId="1" applyNumberFormat="1" applyFont="1" applyAlignment="1">
      <alignment horizontal="center" wrapText="1"/>
    </xf>
    <xf numFmtId="49" fontId="99" fillId="0" borderId="0" xfId="0" quotePrefix="1" applyNumberFormat="1" applyFont="1" applyAlignment="1">
      <alignment horizontal="left"/>
    </xf>
    <xf numFmtId="49" fontId="99" fillId="0" borderId="124" xfId="0" quotePrefix="1" applyNumberFormat="1" applyFont="1" applyBorder="1" applyAlignment="1">
      <alignment horizontal="left"/>
    </xf>
    <xf numFmtId="167" fontId="99" fillId="0" borderId="87" xfId="1" applyNumberFormat="1" applyFont="1" applyFill="1" applyBorder="1"/>
    <xf numFmtId="167" fontId="99" fillId="62" borderId="69" xfId="1" applyNumberFormat="1" applyFont="1" applyFill="1" applyBorder="1" applyAlignment="1">
      <alignment horizontal="center" wrapText="1"/>
    </xf>
    <xf numFmtId="167" fontId="99" fillId="62" borderId="69" xfId="1" applyNumberFormat="1" applyFont="1" applyFill="1" applyBorder="1" applyAlignment="1">
      <alignment wrapText="1"/>
    </xf>
    <xf numFmtId="167" fontId="99" fillId="62" borderId="69" xfId="0" applyNumberFormat="1" applyFont="1" applyFill="1" applyBorder="1" applyAlignment="1">
      <alignment horizontal="center" wrapText="1"/>
    </xf>
    <xf numFmtId="167" fontId="99" fillId="62" borderId="69" xfId="1" applyNumberFormat="1" applyFont="1" applyFill="1" applyBorder="1"/>
    <xf numFmtId="167" fontId="151" fillId="62" borderId="69" xfId="1" applyNumberFormat="1" applyFont="1" applyFill="1" applyBorder="1"/>
    <xf numFmtId="167" fontId="0" fillId="62" borderId="69" xfId="1" applyNumberFormat="1" applyFont="1" applyFill="1" applyBorder="1" applyAlignment="1">
      <alignment wrapText="1"/>
    </xf>
    <xf numFmtId="167" fontId="99" fillId="62" borderId="69" xfId="1" applyNumberFormat="1" applyFont="1" applyFill="1" applyBorder="1" applyAlignment="1">
      <alignment horizontal="center"/>
    </xf>
    <xf numFmtId="167" fontId="103" fillId="62" borderId="69" xfId="1" applyNumberFormat="1" applyFont="1" applyFill="1" applyBorder="1"/>
    <xf numFmtId="167" fontId="95" fillId="62" borderId="69" xfId="1" applyNumberFormat="1" applyFont="1" applyFill="1" applyBorder="1"/>
    <xf numFmtId="167" fontId="107" fillId="62" borderId="69" xfId="1" applyNumberFormat="1" applyFont="1" applyFill="1" applyBorder="1"/>
    <xf numFmtId="167" fontId="107" fillId="0" borderId="96" xfId="1" applyNumberFormat="1" applyFont="1" applyFill="1" applyBorder="1"/>
    <xf numFmtId="0" fontId="144" fillId="0" borderId="0" xfId="173" applyBorder="1" applyAlignment="1">
      <alignment wrapText="1"/>
    </xf>
    <xf numFmtId="0" fontId="99" fillId="0" borderId="144" xfId="0" applyFont="1" applyBorder="1" applyAlignment="1">
      <alignment wrapText="1"/>
    </xf>
    <xf numFmtId="0" fontId="99" fillId="0" borderId="95" xfId="0" applyFont="1" applyBorder="1"/>
    <xf numFmtId="167" fontId="95" fillId="0" borderId="71" xfId="1" applyNumberFormat="1" applyFont="1" applyBorder="1"/>
    <xf numFmtId="167" fontId="99" fillId="0" borderId="71" xfId="1" applyNumberFormat="1" applyFont="1" applyBorder="1"/>
    <xf numFmtId="167" fontId="99" fillId="0" borderId="73" xfId="1" applyNumberFormat="1" applyFont="1" applyBorder="1" applyAlignment="1"/>
    <xf numFmtId="49" fontId="99" fillId="0" borderId="145" xfId="0" applyNumberFormat="1" applyFont="1" applyBorder="1" applyAlignment="1">
      <alignment horizontal="left"/>
    </xf>
    <xf numFmtId="167" fontId="99" fillId="0" borderId="134" xfId="1" applyNumberFormat="1" applyFont="1" applyFill="1" applyBorder="1"/>
    <xf numFmtId="49" fontId="99" fillId="0" borderId="146" xfId="0" applyNumberFormat="1" applyFont="1" applyBorder="1" applyAlignment="1">
      <alignment horizontal="left"/>
    </xf>
    <xf numFmtId="167" fontId="99" fillId="0" borderId="135" xfId="1" applyNumberFormat="1" applyFont="1" applyFill="1" applyBorder="1"/>
    <xf numFmtId="49" fontId="99" fillId="0" borderId="137" xfId="0" applyNumberFormat="1" applyFont="1" applyBorder="1" applyAlignment="1">
      <alignment horizontal="left"/>
    </xf>
    <xf numFmtId="0" fontId="0" fillId="0" borderId="119" xfId="0" applyBorder="1"/>
    <xf numFmtId="167" fontId="99" fillId="0" borderId="147" xfId="1" applyNumberFormat="1" applyFont="1" applyBorder="1"/>
    <xf numFmtId="167" fontId="99" fillId="0" borderId="119" xfId="1" applyNumberFormat="1" applyFont="1" applyFill="1" applyBorder="1"/>
    <xf numFmtId="49" fontId="0" fillId="0" borderId="74" xfId="0" applyNumberFormat="1" applyBorder="1" applyAlignment="1">
      <alignment horizontal="left"/>
    </xf>
    <xf numFmtId="0" fontId="0" fillId="0" borderId="70" xfId="0" applyBorder="1" applyAlignment="1">
      <alignment wrapText="1"/>
    </xf>
    <xf numFmtId="49" fontId="0" fillId="0" borderId="69" xfId="0" applyNumberFormat="1" applyBorder="1" applyAlignment="1">
      <alignment horizontal="left"/>
    </xf>
    <xf numFmtId="167" fontId="99" fillId="0" borderId="139" xfId="1" applyNumberFormat="1" applyFont="1" applyFill="1" applyBorder="1"/>
    <xf numFmtId="167" fontId="103" fillId="0" borderId="139" xfId="1" applyNumberFormat="1" applyFont="1" applyBorder="1"/>
    <xf numFmtId="49" fontId="99" fillId="0" borderId="148" xfId="0" applyNumberFormat="1" applyFont="1" applyBorder="1" applyAlignment="1">
      <alignment horizontal="left"/>
    </xf>
    <xf numFmtId="0" fontId="0" fillId="0" borderId="149" xfId="0" applyBorder="1"/>
    <xf numFmtId="0" fontId="99" fillId="0" borderId="149" xfId="0" applyFont="1" applyBorder="1" applyAlignment="1">
      <alignment wrapText="1"/>
    </xf>
    <xf numFmtId="167" fontId="99" fillId="0" borderId="116" xfId="1" applyNumberFormat="1" applyFont="1" applyFill="1" applyBorder="1"/>
    <xf numFmtId="167" fontId="99" fillId="0" borderId="149" xfId="1" applyNumberFormat="1" applyFont="1" applyBorder="1"/>
    <xf numFmtId="167" fontId="99" fillId="0" borderId="150" xfId="1" applyNumberFormat="1" applyFont="1" applyBorder="1"/>
    <xf numFmtId="167" fontId="143" fillId="0" borderId="84" xfId="1" applyNumberFormat="1" applyFont="1" applyBorder="1"/>
    <xf numFmtId="167" fontId="73" fillId="0" borderId="0" xfId="1" applyNumberFormat="1" applyFont="1" applyFill="1" applyBorder="1"/>
    <xf numFmtId="0" fontId="162" fillId="20" borderId="69" xfId="0" applyFont="1" applyFill="1" applyBorder="1" applyAlignment="1">
      <alignment wrapText="1"/>
    </xf>
    <xf numFmtId="49" fontId="0" fillId="0" borderId="69" xfId="0" applyNumberFormat="1" applyBorder="1" applyAlignment="1">
      <alignment wrapText="1"/>
    </xf>
    <xf numFmtId="0" fontId="88" fillId="0" borderId="0" xfId="283" applyNumberFormat="1" applyFont="1" applyFill="1" applyBorder="1" applyAlignment="1">
      <alignment vertical="center" wrapText="1"/>
    </xf>
    <xf numFmtId="0" fontId="88" fillId="0" borderId="139" xfId="283" applyNumberFormat="1" applyFont="1" applyFill="1" applyBorder="1" applyAlignment="1">
      <alignment vertical="center" wrapText="1"/>
    </xf>
    <xf numFmtId="0" fontId="88" fillId="0" borderId="139" xfId="284" applyFont="1" applyBorder="1" applyAlignment="1">
      <alignment horizontal="left" vertical="center" wrapText="1"/>
    </xf>
    <xf numFmtId="0" fontId="165" fillId="0" borderId="0" xfId="0" applyFont="1" applyAlignment="1">
      <alignment horizontal="left" vertical="top" wrapText="1"/>
    </xf>
    <xf numFmtId="0" fontId="176" fillId="0" borderId="1" xfId="0" applyFont="1" applyBorder="1"/>
    <xf numFmtId="0" fontId="176" fillId="0" borderId="2" xfId="0" applyFont="1" applyBorder="1"/>
    <xf numFmtId="0" fontId="176" fillId="0" borderId="3" xfId="0" applyFont="1" applyBorder="1"/>
    <xf numFmtId="0" fontId="0" fillId="0" borderId="114" xfId="0" applyBorder="1" applyAlignment="1">
      <alignment horizontal="center" vertical="center"/>
    </xf>
    <xf numFmtId="0" fontId="118" fillId="0" borderId="114" xfId="0" applyFont="1" applyBorder="1" applyAlignment="1">
      <alignment wrapText="1"/>
    </xf>
    <xf numFmtId="0" fontId="0" fillId="7" borderId="114" xfId="0" applyFill="1" applyBorder="1" applyAlignment="1">
      <alignment wrapText="1"/>
    </xf>
    <xf numFmtId="0" fontId="118" fillId="0" borderId="124" xfId="0" applyFont="1" applyBorder="1" applyAlignment="1">
      <alignment wrapText="1"/>
    </xf>
    <xf numFmtId="0" fontId="0" fillId="18" borderId="124" xfId="0" applyFill="1" applyBorder="1" applyAlignment="1">
      <alignment wrapText="1"/>
    </xf>
    <xf numFmtId="0" fontId="0" fillId="9" borderId="124" xfId="0" applyFill="1" applyBorder="1"/>
    <xf numFmtId="0" fontId="0" fillId="7" borderId="124" xfId="0" applyFill="1" applyBorder="1" applyAlignment="1">
      <alignment wrapText="1"/>
    </xf>
    <xf numFmtId="0" fontId="0" fillId="18" borderId="124" xfId="0" applyFill="1" applyBorder="1"/>
    <xf numFmtId="167" fontId="99" fillId="61" borderId="69" xfId="0" applyNumberFormat="1" applyFont="1" applyFill="1" applyBorder="1" applyAlignment="1">
      <alignment horizontal="center" wrapText="1"/>
    </xf>
    <xf numFmtId="167" fontId="99" fillId="61" borderId="69" xfId="1" applyNumberFormat="1" applyFont="1" applyFill="1" applyBorder="1"/>
    <xf numFmtId="49" fontId="99" fillId="0" borderId="151" xfId="0" applyNumberFormat="1" applyFont="1" applyBorder="1" applyAlignment="1">
      <alignment horizontal="left"/>
    </xf>
    <xf numFmtId="167" fontId="99" fillId="0" borderId="152" xfId="1" applyNumberFormat="1" applyFont="1" applyBorder="1"/>
    <xf numFmtId="167" fontId="99" fillId="0" borderId="153" xfId="1" applyNumberFormat="1" applyFont="1" applyFill="1" applyBorder="1"/>
    <xf numFmtId="167" fontId="99" fillId="0" borderId="73" xfId="1" applyNumberFormat="1" applyFont="1" applyFill="1" applyBorder="1" applyAlignment="1"/>
    <xf numFmtId="167" fontId="148" fillId="0" borderId="0" xfId="1" applyNumberFormat="1" applyFont="1" applyBorder="1"/>
    <xf numFmtId="167" fontId="99" fillId="7" borderId="69" xfId="1" applyNumberFormat="1" applyFont="1" applyFill="1" applyBorder="1"/>
    <xf numFmtId="167" fontId="99" fillId="0" borderId="115" xfId="1" applyNumberFormat="1" applyFont="1" applyFill="1" applyBorder="1"/>
    <xf numFmtId="167" fontId="103" fillId="62" borderId="73" xfId="1" applyNumberFormat="1" applyFont="1" applyFill="1" applyBorder="1"/>
    <xf numFmtId="0" fontId="99" fillId="0" borderId="123" xfId="0" applyFont="1" applyBorder="1" applyAlignment="1">
      <alignment wrapText="1"/>
    </xf>
    <xf numFmtId="167" fontId="73" fillId="62" borderId="74" xfId="1" applyNumberFormat="1" applyFont="1" applyFill="1" applyBorder="1" applyAlignment="1">
      <alignment wrapText="1"/>
    </xf>
    <xf numFmtId="0" fontId="0" fillId="0" borderId="149" xfId="0" applyBorder="1" applyAlignment="1">
      <alignment wrapText="1"/>
    </xf>
    <xf numFmtId="49" fontId="99" fillId="0" borderId="149" xfId="0" applyNumberFormat="1" applyFont="1" applyBorder="1" applyAlignment="1">
      <alignment vertical="center" wrapText="1"/>
    </xf>
    <xf numFmtId="0" fontId="99" fillId="0" borderId="149" xfId="0" applyFont="1" applyBorder="1"/>
    <xf numFmtId="167" fontId="99" fillId="0" borderId="116" xfId="1" applyNumberFormat="1" applyFont="1" applyFill="1" applyBorder="1" applyAlignment="1">
      <alignment wrapText="1"/>
    </xf>
    <xf numFmtId="0" fontId="0" fillId="0" borderId="156" xfId="0" applyBorder="1" applyAlignment="1">
      <alignment wrapText="1"/>
    </xf>
    <xf numFmtId="49" fontId="99" fillId="0" borderId="156" xfId="0" applyNumberFormat="1" applyFont="1" applyBorder="1" applyAlignment="1">
      <alignment vertical="center" wrapText="1"/>
    </xf>
    <xf numFmtId="0" fontId="99" fillId="0" borderId="156" xfId="0" applyFont="1" applyBorder="1"/>
    <xf numFmtId="167" fontId="99" fillId="0" borderId="19" xfId="1" applyNumberFormat="1" applyFont="1" applyFill="1" applyBorder="1" applyAlignment="1">
      <alignment wrapText="1"/>
    </xf>
    <xf numFmtId="167" fontId="99" fillId="0" borderId="133" xfId="1" applyNumberFormat="1" applyFont="1" applyBorder="1" applyAlignment="1">
      <alignment wrapText="1"/>
    </xf>
    <xf numFmtId="167" fontId="99" fillId="0" borderId="119" xfId="1" applyNumberFormat="1" applyFont="1" applyBorder="1" applyAlignment="1">
      <alignment wrapText="1"/>
    </xf>
    <xf numFmtId="0" fontId="88" fillId="5" borderId="0" xfId="0" applyFont="1" applyFill="1" applyAlignment="1">
      <alignment horizontal="left" vertical="top" wrapText="1"/>
    </xf>
    <xf numFmtId="0" fontId="100" fillId="0" borderId="107" xfId="272" quotePrefix="1" applyFont="1" applyBorder="1"/>
    <xf numFmtId="9" fontId="67" fillId="0" borderId="129" xfId="4" applyFont="1" applyFill="1" applyBorder="1" applyAlignment="1">
      <alignment wrapText="1"/>
    </xf>
    <xf numFmtId="3" fontId="67" fillId="0" borderId="129" xfId="43" applyNumberFormat="1" applyFont="1" applyBorder="1"/>
    <xf numFmtId="9" fontId="67" fillId="0" borderId="129" xfId="2" applyFont="1" applyFill="1" applyBorder="1"/>
    <xf numFmtId="167" fontId="99" fillId="58" borderId="69" xfId="0" applyNumberFormat="1" applyFont="1" applyFill="1" applyBorder="1" applyAlignment="1">
      <alignment horizontal="center" wrapText="1"/>
    </xf>
    <xf numFmtId="167" fontId="99" fillId="58" borderId="69" xfId="1" applyNumberFormat="1" applyFont="1" applyFill="1" applyBorder="1" applyAlignment="1">
      <alignment wrapText="1"/>
    </xf>
    <xf numFmtId="167" fontId="99" fillId="58" borderId="69" xfId="1" applyNumberFormat="1" applyFont="1" applyFill="1" applyBorder="1"/>
    <xf numFmtId="0" fontId="67" fillId="0" borderId="124" xfId="43" applyFont="1" applyBorder="1" applyAlignment="1">
      <alignment horizontal="left" wrapText="1" indent="3"/>
    </xf>
    <xf numFmtId="9" fontId="67" fillId="0" borderId="158" xfId="4" applyFont="1" applyFill="1" applyBorder="1"/>
    <xf numFmtId="0" fontId="67" fillId="0" borderId="57" xfId="43" applyFont="1" applyBorder="1" applyAlignment="1">
      <alignment horizontal="left" wrapText="1" indent="3"/>
    </xf>
    <xf numFmtId="167" fontId="99" fillId="58" borderId="69" xfId="1" applyNumberFormat="1" applyFont="1" applyFill="1" applyBorder="1" applyAlignment="1">
      <alignment horizontal="center" wrapText="1"/>
    </xf>
    <xf numFmtId="9" fontId="67" fillId="0" borderId="129" xfId="4" applyFont="1" applyBorder="1" applyAlignment="1">
      <alignment wrapText="1"/>
    </xf>
    <xf numFmtId="49" fontId="67" fillId="0" borderId="130" xfId="43" applyNumberFormat="1" applyFont="1" applyBorder="1" applyAlignment="1">
      <alignment horizontal="left" indent="2"/>
    </xf>
    <xf numFmtId="0" fontId="67" fillId="5" borderId="124" xfId="43" applyFont="1" applyFill="1" applyBorder="1" applyAlignment="1">
      <alignment horizontal="left" wrapText="1" indent="3"/>
    </xf>
    <xf numFmtId="167" fontId="99" fillId="58" borderId="69" xfId="1" applyNumberFormat="1" applyFont="1" applyFill="1" applyBorder="1" applyAlignment="1">
      <alignment horizontal="center"/>
    </xf>
    <xf numFmtId="0" fontId="75" fillId="0" borderId="0" xfId="43" quotePrefix="1" applyFont="1"/>
    <xf numFmtId="0" fontId="3" fillId="0" borderId="0" xfId="43" quotePrefix="1" applyFont="1"/>
    <xf numFmtId="167" fontId="0" fillId="58" borderId="69" xfId="1" applyNumberFormat="1" applyFont="1" applyFill="1" applyBorder="1"/>
    <xf numFmtId="167" fontId="95" fillId="58" borderId="69" xfId="1" applyNumberFormat="1" applyFont="1" applyFill="1" applyBorder="1"/>
    <xf numFmtId="167" fontId="103" fillId="58" borderId="69" xfId="1" applyNumberFormat="1" applyFont="1" applyFill="1" applyBorder="1"/>
    <xf numFmtId="167" fontId="103" fillId="58" borderId="73" xfId="1" applyNumberFormat="1" applyFont="1" applyFill="1" applyBorder="1"/>
    <xf numFmtId="0" fontId="80" fillId="0" borderId="124" xfId="43" applyFont="1" applyBorder="1" applyAlignment="1">
      <alignment horizontal="left" wrapText="1" indent="3"/>
    </xf>
    <xf numFmtId="167" fontId="96" fillId="58" borderId="133" xfId="1" applyNumberFormat="1" applyFont="1" applyFill="1" applyBorder="1" applyAlignment="1">
      <alignment wrapText="1"/>
    </xf>
    <xf numFmtId="167" fontId="99" fillId="58" borderId="133" xfId="1" applyNumberFormat="1" applyFont="1" applyFill="1" applyBorder="1"/>
    <xf numFmtId="167" fontId="96" fillId="58" borderId="119" xfId="1" applyNumberFormat="1" applyFont="1" applyFill="1" applyBorder="1" applyAlignment="1">
      <alignment wrapText="1"/>
    </xf>
    <xf numFmtId="167" fontId="99" fillId="58" borderId="119" xfId="1" applyNumberFormat="1" applyFont="1" applyFill="1" applyBorder="1"/>
    <xf numFmtId="167" fontId="73" fillId="58" borderId="74" xfId="1" applyNumberFormat="1" applyFont="1" applyFill="1" applyBorder="1" applyAlignment="1">
      <alignment wrapText="1"/>
    </xf>
    <xf numFmtId="167" fontId="73" fillId="58" borderId="74" xfId="1" applyNumberFormat="1" applyFont="1" applyFill="1" applyBorder="1"/>
    <xf numFmtId="167" fontId="165" fillId="58" borderId="69" xfId="1" applyNumberFormat="1" applyFont="1" applyFill="1" applyBorder="1"/>
    <xf numFmtId="167" fontId="99" fillId="58" borderId="74" xfId="1" applyNumberFormat="1" applyFont="1" applyFill="1" applyBorder="1"/>
    <xf numFmtId="1" fontId="99" fillId="0" borderId="159" xfId="0" applyNumberFormat="1" applyFont="1" applyBorder="1"/>
    <xf numFmtId="0" fontId="78" fillId="0" borderId="92" xfId="28" applyFont="1" applyBorder="1"/>
    <xf numFmtId="0" fontId="99" fillId="0" borderId="92" xfId="0" applyFont="1" applyBorder="1" applyAlignment="1">
      <alignment horizontal="left"/>
    </xf>
    <xf numFmtId="0" fontId="165" fillId="15" borderId="92" xfId="0" applyFont="1" applyFill="1" applyBorder="1" applyAlignment="1">
      <alignment horizontal="right" wrapText="1"/>
    </xf>
    <xf numFmtId="167" fontId="99" fillId="58" borderId="92" xfId="1" applyNumberFormat="1" applyFont="1" applyFill="1" applyBorder="1"/>
    <xf numFmtId="167" fontId="99" fillId="58" borderId="92" xfId="0" applyNumberFormat="1" applyFont="1" applyFill="1" applyBorder="1" applyAlignment="1">
      <alignment horizontal="center" wrapText="1"/>
    </xf>
    <xf numFmtId="167" fontId="96" fillId="0" borderId="0" xfId="1" applyNumberFormat="1" applyFont="1" applyFill="1" applyBorder="1" applyAlignment="1">
      <alignment wrapText="1"/>
    </xf>
    <xf numFmtId="167" fontId="99" fillId="0" borderId="133" xfId="1" applyNumberFormat="1" applyFont="1" applyFill="1" applyBorder="1"/>
    <xf numFmtId="167" fontId="96" fillId="0" borderId="0" xfId="1" applyNumberFormat="1" applyFont="1" applyFill="1" applyBorder="1" applyAlignment="1">
      <alignment horizontal="center"/>
    </xf>
    <xf numFmtId="167" fontId="96" fillId="0" borderId="93" xfId="1" applyNumberFormat="1" applyFont="1" applyFill="1" applyBorder="1"/>
    <xf numFmtId="167" fontId="96" fillId="0" borderId="105" xfId="1" applyNumberFormat="1" applyFont="1" applyFill="1" applyBorder="1"/>
    <xf numFmtId="3" fontId="67" fillId="9" borderId="0" xfId="43" applyNumberFormat="1" applyFont="1" applyFill="1"/>
    <xf numFmtId="0" fontId="99" fillId="0" borderId="92" xfId="0" applyFont="1" applyBorder="1" applyAlignment="1">
      <alignment horizontal="left" wrapText="1"/>
    </xf>
    <xf numFmtId="167" fontId="79" fillId="19" borderId="44" xfId="1" applyNumberFormat="1" applyFont="1" applyFill="1" applyBorder="1"/>
    <xf numFmtId="167" fontId="168" fillId="0" borderId="0" xfId="1" applyNumberFormat="1" applyFont="1" applyFill="1"/>
    <xf numFmtId="167" fontId="180" fillId="0" borderId="0" xfId="1" applyNumberFormat="1" applyFont="1"/>
    <xf numFmtId="167" fontId="180" fillId="0" borderId="0" xfId="1" applyNumberFormat="1" applyFont="1" applyBorder="1"/>
    <xf numFmtId="167" fontId="168" fillId="0" borderId="0" xfId="1" applyNumberFormat="1" applyFont="1" applyBorder="1"/>
    <xf numFmtId="167" fontId="168" fillId="0" borderId="0" xfId="1" applyNumberFormat="1" applyFont="1"/>
    <xf numFmtId="0" fontId="99" fillId="61" borderId="74" xfId="0" applyFont="1" applyFill="1" applyBorder="1" applyAlignment="1">
      <alignment wrapText="1"/>
    </xf>
    <xf numFmtId="0" fontId="99" fillId="61" borderId="143" xfId="0" applyFont="1" applyFill="1" applyBorder="1" applyAlignment="1">
      <alignment wrapText="1"/>
    </xf>
    <xf numFmtId="167" fontId="99" fillId="58" borderId="69" xfId="1" applyNumberFormat="1" applyFont="1" applyFill="1" applyBorder="1" applyAlignment="1"/>
    <xf numFmtId="167" fontId="99" fillId="58" borderId="73" xfId="1" applyNumberFormat="1" applyFont="1" applyFill="1" applyBorder="1"/>
    <xf numFmtId="167" fontId="99" fillId="58" borderId="133" xfId="1" applyNumberFormat="1" applyFont="1" applyFill="1" applyBorder="1" applyAlignment="1">
      <alignment wrapText="1"/>
    </xf>
    <xf numFmtId="167" fontId="99" fillId="58" borderId="119" xfId="1" applyNumberFormat="1" applyFont="1" applyFill="1" applyBorder="1" applyAlignment="1">
      <alignment wrapText="1"/>
    </xf>
    <xf numFmtId="167" fontId="99" fillId="58" borderId="74" xfId="1" applyNumberFormat="1" applyFont="1" applyFill="1" applyBorder="1" applyAlignment="1">
      <alignment wrapText="1"/>
    </xf>
    <xf numFmtId="167" fontId="99" fillId="63" borderId="69" xfId="1" applyNumberFormat="1" applyFont="1" applyFill="1" applyBorder="1"/>
    <xf numFmtId="167" fontId="99" fillId="0" borderId="85" xfId="1" applyNumberFormat="1" applyFont="1" applyBorder="1"/>
    <xf numFmtId="167" fontId="99" fillId="0" borderId="69" xfId="1" applyNumberFormat="1" applyFont="1" applyBorder="1" applyAlignment="1"/>
    <xf numFmtId="167" fontId="99" fillId="0" borderId="147" xfId="1" applyNumberFormat="1" applyFont="1" applyFill="1" applyBorder="1"/>
    <xf numFmtId="167" fontId="99" fillId="64" borderId="69" xfId="1" applyNumberFormat="1" applyFont="1" applyFill="1" applyBorder="1" applyAlignment="1">
      <alignment wrapText="1"/>
    </xf>
    <xf numFmtId="0" fontId="0" fillId="64" borderId="0" xfId="0" applyFill="1"/>
    <xf numFmtId="0" fontId="99" fillId="64" borderId="0" xfId="0" applyFont="1" applyFill="1"/>
    <xf numFmtId="167" fontId="99" fillId="64" borderId="69" xfId="1" applyNumberFormat="1" applyFont="1" applyFill="1" applyBorder="1"/>
    <xf numFmtId="167" fontId="99" fillId="64" borderId="104" xfId="1" applyNumberFormat="1" applyFont="1" applyFill="1" applyBorder="1"/>
    <xf numFmtId="0" fontId="82" fillId="0" borderId="0" xfId="0" applyFont="1"/>
    <xf numFmtId="167" fontId="99" fillId="64" borderId="84" xfId="1" applyNumberFormat="1" applyFont="1" applyFill="1" applyBorder="1"/>
    <xf numFmtId="0" fontId="99" fillId="64" borderId="84" xfId="0" applyFont="1" applyFill="1" applyBorder="1" applyAlignment="1">
      <alignment wrapText="1"/>
    </xf>
    <xf numFmtId="167" fontId="99" fillId="64" borderId="86" xfId="1" applyNumberFormat="1" applyFont="1" applyFill="1" applyBorder="1" applyAlignment="1">
      <alignment wrapText="1"/>
    </xf>
    <xf numFmtId="167" fontId="148" fillId="0" borderId="0" xfId="1" quotePrefix="1" applyNumberFormat="1" applyFont="1" applyBorder="1"/>
    <xf numFmtId="167" fontId="99" fillId="64" borderId="73" xfId="1" applyNumberFormat="1" applyFont="1" applyFill="1" applyBorder="1" applyAlignment="1"/>
    <xf numFmtId="167" fontId="148" fillId="0" borderId="0" xfId="1" applyNumberFormat="1" applyFont="1" applyBorder="1" applyAlignment="1">
      <alignment horizontal="center"/>
    </xf>
    <xf numFmtId="167" fontId="99" fillId="64" borderId="73" xfId="1" applyNumberFormat="1" applyFont="1" applyFill="1" applyBorder="1"/>
    <xf numFmtId="167" fontId="99" fillId="64" borderId="125" xfId="1" applyNumberFormat="1" applyFont="1" applyFill="1" applyBorder="1"/>
    <xf numFmtId="167" fontId="99" fillId="64" borderId="69" xfId="0" applyNumberFormat="1" applyFont="1" applyFill="1" applyBorder="1" applyAlignment="1">
      <alignment horizontal="center" wrapText="1"/>
    </xf>
    <xf numFmtId="167" fontId="88" fillId="64" borderId="0" xfId="0" applyNumberFormat="1" applyFont="1" applyFill="1"/>
    <xf numFmtId="167" fontId="92" fillId="0" borderId="0" xfId="0" applyNumberFormat="1" applyFont="1"/>
    <xf numFmtId="167" fontId="0" fillId="61" borderId="0" xfId="1" applyNumberFormat="1" applyFont="1" applyFill="1"/>
    <xf numFmtId="0" fontId="99" fillId="0" borderId="123" xfId="0" applyFont="1" applyBorder="1" applyAlignment="1">
      <alignment horizontal="left" wrapText="1"/>
    </xf>
    <xf numFmtId="172" fontId="99" fillId="64" borderId="0" xfId="1" applyNumberFormat="1" applyFont="1" applyFill="1" applyBorder="1"/>
    <xf numFmtId="0" fontId="87" fillId="64" borderId="0" xfId="0" applyFont="1" applyFill="1" applyAlignment="1">
      <alignment wrapText="1"/>
    </xf>
    <xf numFmtId="167" fontId="99" fillId="64" borderId="87" xfId="1" applyNumberFormat="1" applyFont="1" applyFill="1" applyBorder="1"/>
    <xf numFmtId="167" fontId="168" fillId="58" borderId="69" xfId="0" applyNumberFormat="1" applyFont="1" applyFill="1" applyBorder="1" applyAlignment="1">
      <alignment horizontal="center" wrapText="1"/>
    </xf>
    <xf numFmtId="167" fontId="168" fillId="0" borderId="69" xfId="1" applyNumberFormat="1" applyFont="1" applyBorder="1" applyAlignment="1">
      <alignment wrapText="1"/>
    </xf>
    <xf numFmtId="167" fontId="168" fillId="64" borderId="69" xfId="1" applyNumberFormat="1" applyFont="1" applyFill="1" applyBorder="1" applyAlignment="1">
      <alignment wrapText="1"/>
    </xf>
    <xf numFmtId="167" fontId="0" fillId="64" borderId="69" xfId="1" applyNumberFormat="1" applyFont="1" applyFill="1" applyBorder="1"/>
    <xf numFmtId="167" fontId="99" fillId="9" borderId="73" xfId="1" applyNumberFormat="1" applyFont="1" applyFill="1" applyBorder="1"/>
    <xf numFmtId="167" fontId="73" fillId="65" borderId="0" xfId="1" applyNumberFormat="1" applyFont="1" applyFill="1" applyBorder="1"/>
    <xf numFmtId="0" fontId="109" fillId="65" borderId="0" xfId="0" applyFont="1" applyFill="1"/>
    <xf numFmtId="0" fontId="85" fillId="65" borderId="0" xfId="0" applyFont="1" applyFill="1"/>
    <xf numFmtId="0" fontId="99" fillId="64" borderId="69" xfId="0" applyFont="1" applyFill="1" applyBorder="1"/>
    <xf numFmtId="0" fontId="99" fillId="64" borderId="69" xfId="0" applyFont="1" applyFill="1" applyBorder="1" applyAlignment="1">
      <alignment wrapText="1"/>
    </xf>
    <xf numFmtId="167" fontId="99" fillId="66" borderId="69" xfId="1" applyNumberFormat="1" applyFont="1" applyFill="1" applyBorder="1"/>
    <xf numFmtId="167" fontId="99" fillId="66" borderId="73" xfId="1" applyNumberFormat="1" applyFont="1" applyFill="1" applyBorder="1" applyAlignment="1"/>
    <xf numFmtId="172" fontId="73" fillId="9" borderId="0" xfId="1" quotePrefix="1" applyNumberFormat="1" applyFont="1" applyFill="1" applyBorder="1"/>
    <xf numFmtId="0" fontId="99" fillId="0" borderId="69" xfId="0" quotePrefix="1" applyFont="1" applyBorder="1"/>
    <xf numFmtId="167" fontId="168" fillId="67" borderId="69" xfId="1" applyNumberFormat="1" applyFont="1" applyFill="1" applyBorder="1" applyAlignment="1">
      <alignment wrapText="1"/>
    </xf>
    <xf numFmtId="49" fontId="99" fillId="0" borderId="74" xfId="0" applyNumberFormat="1" applyFont="1" applyBorder="1" applyAlignment="1">
      <alignment wrapText="1"/>
    </xf>
    <xf numFmtId="167" fontId="168" fillId="67" borderId="86" xfId="1" applyNumberFormat="1" applyFont="1" applyFill="1" applyBorder="1" applyAlignment="1">
      <alignment wrapText="1"/>
    </xf>
    <xf numFmtId="167" fontId="99" fillId="67" borderId="69" xfId="1" applyNumberFormat="1" applyFont="1" applyFill="1" applyBorder="1"/>
    <xf numFmtId="0" fontId="0" fillId="67" borderId="0" xfId="0" applyFill="1"/>
    <xf numFmtId="167" fontId="99" fillId="67" borderId="86" xfId="1" applyNumberFormat="1" applyFont="1" applyFill="1" applyBorder="1"/>
    <xf numFmtId="0" fontId="99" fillId="67" borderId="0" xfId="0" applyFont="1" applyFill="1"/>
    <xf numFmtId="167" fontId="164" fillId="20" borderId="69" xfId="1" applyNumberFormat="1" applyFont="1" applyFill="1" applyBorder="1"/>
    <xf numFmtId="167" fontId="181" fillId="0" borderId="69" xfId="1" applyNumberFormat="1" applyFont="1" applyBorder="1"/>
    <xf numFmtId="167" fontId="181" fillId="0" borderId="74" xfId="1" applyNumberFormat="1" applyFont="1" applyFill="1" applyBorder="1" applyAlignment="1">
      <alignment wrapText="1"/>
    </xf>
    <xf numFmtId="167" fontId="182" fillId="0" borderId="74" xfId="1" applyNumberFormat="1" applyFont="1" applyFill="1" applyBorder="1" applyAlignment="1">
      <alignment wrapText="1"/>
    </xf>
    <xf numFmtId="167" fontId="182" fillId="0" borderId="69" xfId="1" applyNumberFormat="1" applyFont="1" applyFill="1" applyBorder="1" applyAlignment="1">
      <alignment wrapText="1"/>
    </xf>
    <xf numFmtId="167" fontId="181" fillId="0" borderId="69" xfId="1" applyNumberFormat="1" applyFont="1" applyFill="1" applyBorder="1" applyAlignment="1">
      <alignment wrapText="1"/>
    </xf>
    <xf numFmtId="167" fontId="181" fillId="0" borderId="69" xfId="1" applyNumberFormat="1" applyFont="1" applyBorder="1" applyAlignment="1">
      <alignment wrapText="1"/>
    </xf>
    <xf numFmtId="167" fontId="181" fillId="0" borderId="123" xfId="1" applyNumberFormat="1" applyFont="1" applyFill="1" applyBorder="1"/>
    <xf numFmtId="167" fontId="181" fillId="0" borderId="149" xfId="1" applyNumberFormat="1" applyFont="1" applyFill="1" applyBorder="1"/>
    <xf numFmtId="167" fontId="181" fillId="0" borderId="156" xfId="1" applyNumberFormat="1" applyFont="1" applyFill="1" applyBorder="1"/>
    <xf numFmtId="167" fontId="181" fillId="0" borderId="74" xfId="1" applyNumberFormat="1" applyFont="1" applyBorder="1" applyAlignment="1">
      <alignment wrapText="1"/>
    </xf>
    <xf numFmtId="167" fontId="181" fillId="0" borderId="92" xfId="1" applyNumberFormat="1" applyFont="1" applyBorder="1" applyAlignment="1">
      <alignment wrapText="1"/>
    </xf>
    <xf numFmtId="167" fontId="181" fillId="0" borderId="87" xfId="1" applyNumberFormat="1" applyFont="1" applyBorder="1" applyAlignment="1">
      <alignment wrapText="1"/>
    </xf>
    <xf numFmtId="167" fontId="181" fillId="0" borderId="70" xfId="1" applyNumberFormat="1" applyFont="1" applyFill="1" applyBorder="1" applyAlignment="1"/>
    <xf numFmtId="167" fontId="181" fillId="0" borderId="73" xfId="1" applyNumberFormat="1" applyFont="1" applyFill="1" applyBorder="1" applyAlignment="1"/>
    <xf numFmtId="167" fontId="181" fillId="0" borderId="84" xfId="1" applyNumberFormat="1" applyFont="1" applyBorder="1"/>
    <xf numFmtId="167" fontId="181" fillId="0" borderId="73" xfId="1" applyNumberFormat="1" applyFont="1" applyBorder="1" applyAlignment="1">
      <alignment wrapText="1"/>
    </xf>
    <xf numFmtId="167" fontId="181" fillId="0" borderId="133" xfId="1" applyNumberFormat="1" applyFont="1" applyBorder="1" applyAlignment="1">
      <alignment wrapText="1"/>
    </xf>
    <xf numFmtId="167" fontId="181" fillId="0" borderId="119" xfId="1" applyNumberFormat="1" applyFont="1" applyBorder="1" applyAlignment="1">
      <alignment wrapText="1"/>
    </xf>
    <xf numFmtId="167" fontId="181" fillId="0" borderId="74" xfId="1" applyNumberFormat="1" applyFont="1" applyBorder="1"/>
    <xf numFmtId="167" fontId="181" fillId="0" borderId="69" xfId="1" applyNumberFormat="1" applyFont="1" applyFill="1" applyBorder="1"/>
    <xf numFmtId="167" fontId="181" fillId="0" borderId="104" xfId="1" applyNumberFormat="1" applyFont="1" applyBorder="1" applyAlignment="1">
      <alignment wrapText="1"/>
    </xf>
    <xf numFmtId="167" fontId="183" fillId="20" borderId="69" xfId="1" applyNumberFormat="1" applyFont="1" applyFill="1" applyBorder="1"/>
    <xf numFmtId="167" fontId="181" fillId="0" borderId="119" xfId="1" applyNumberFormat="1" applyFont="1" applyBorder="1"/>
    <xf numFmtId="167" fontId="181" fillId="0" borderId="73" xfId="1" applyNumberFormat="1" applyFont="1" applyFill="1" applyBorder="1"/>
    <xf numFmtId="167" fontId="181" fillId="0" borderId="92" xfId="1" applyNumberFormat="1" applyFont="1" applyBorder="1"/>
    <xf numFmtId="167" fontId="181" fillId="0" borderId="123" xfId="1" applyNumberFormat="1" applyFont="1" applyBorder="1"/>
    <xf numFmtId="167" fontId="184" fillId="0" borderId="69" xfId="1" applyNumberFormat="1" applyFont="1" applyBorder="1"/>
    <xf numFmtId="49" fontId="99" fillId="0" borderId="69" xfId="0" quotePrefix="1" applyNumberFormat="1" applyFont="1" applyBorder="1" applyAlignment="1">
      <alignment horizontal="left"/>
    </xf>
    <xf numFmtId="49" fontId="99" fillId="0" borderId="84" xfId="0" quotePrefix="1" applyNumberFormat="1" applyFont="1" applyBorder="1" applyAlignment="1">
      <alignment horizontal="left"/>
    </xf>
    <xf numFmtId="167" fontId="181" fillId="0" borderId="84" xfId="1" applyNumberFormat="1" applyFont="1" applyBorder="1" applyAlignment="1">
      <alignment wrapText="1"/>
    </xf>
    <xf numFmtId="49" fontId="99" fillId="0" borderId="64" xfId="0" quotePrefix="1" applyNumberFormat="1" applyFont="1" applyBorder="1" applyAlignment="1">
      <alignment horizontal="left"/>
    </xf>
    <xf numFmtId="167" fontId="185" fillId="0" borderId="69" xfId="1" applyNumberFormat="1" applyFont="1" applyBorder="1"/>
    <xf numFmtId="167" fontId="181" fillId="0" borderId="149" xfId="1" applyNumberFormat="1" applyFont="1" applyBorder="1"/>
    <xf numFmtId="167" fontId="181" fillId="0" borderId="139" xfId="1" applyNumberFormat="1" applyFont="1" applyFill="1" applyBorder="1"/>
    <xf numFmtId="167" fontId="181" fillId="19" borderId="69" xfId="1" applyNumberFormat="1" applyFont="1" applyFill="1" applyBorder="1"/>
    <xf numFmtId="0" fontId="0" fillId="67" borderId="69" xfId="0" quotePrefix="1" applyFill="1" applyBorder="1"/>
    <xf numFmtId="0" fontId="0" fillId="67" borderId="73" xfId="0" quotePrefix="1" applyFill="1" applyBorder="1"/>
    <xf numFmtId="0" fontId="99" fillId="67" borderId="73" xfId="0" quotePrefix="1" applyFont="1" applyFill="1" applyBorder="1"/>
    <xf numFmtId="167" fontId="96" fillId="0" borderId="127" xfId="1" applyNumberFormat="1" applyFont="1" applyFill="1" applyBorder="1"/>
    <xf numFmtId="167" fontId="99" fillId="64" borderId="139" xfId="1" applyNumberFormat="1" applyFont="1" applyFill="1" applyBorder="1"/>
    <xf numFmtId="167" fontId="143" fillId="0" borderId="139" xfId="1" applyNumberFormat="1" applyFont="1" applyBorder="1"/>
    <xf numFmtId="0" fontId="67" fillId="13" borderId="48" xfId="43" applyFont="1" applyFill="1" applyBorder="1" applyAlignment="1">
      <alignment horizontal="left" wrapText="1" indent="3"/>
    </xf>
    <xf numFmtId="0" fontId="67" fillId="13" borderId="57" xfId="43" applyFont="1" applyFill="1" applyBorder="1" applyAlignment="1">
      <alignment horizontal="left" wrapText="1" indent="3"/>
    </xf>
    <xf numFmtId="0" fontId="67" fillId="13" borderId="97" xfId="43" applyFont="1" applyFill="1" applyBorder="1" applyAlignment="1">
      <alignment horizontal="left" wrapText="1" indent="3"/>
    </xf>
    <xf numFmtId="0" fontId="67" fillId="13" borderId="124" xfId="43" applyFont="1" applyFill="1" applyBorder="1" applyAlignment="1">
      <alignment horizontal="left" wrapText="1" indent="3"/>
    </xf>
    <xf numFmtId="0" fontId="67" fillId="13" borderId="98" xfId="43" applyFont="1" applyFill="1" applyBorder="1" applyAlignment="1">
      <alignment horizontal="left" wrapText="1" indent="3"/>
    </xf>
    <xf numFmtId="167" fontId="159" fillId="0" borderId="69" xfId="1" applyNumberFormat="1" applyFont="1" applyFill="1" applyBorder="1"/>
    <xf numFmtId="167" fontId="159" fillId="0" borderId="69" xfId="1" applyNumberFormat="1" applyFont="1" applyBorder="1"/>
    <xf numFmtId="167" fontId="181" fillId="0" borderId="104" xfId="1" applyNumberFormat="1" applyFont="1" applyBorder="1"/>
    <xf numFmtId="167" fontId="181" fillId="0" borderId="121" xfId="1" applyNumberFormat="1" applyFont="1" applyBorder="1"/>
    <xf numFmtId="167" fontId="181" fillId="0" borderId="87" xfId="1" applyNumberFormat="1" applyFont="1" applyBorder="1"/>
    <xf numFmtId="167" fontId="186" fillId="0" borderId="74" xfId="1" applyNumberFormat="1" applyFont="1" applyBorder="1"/>
    <xf numFmtId="167" fontId="186" fillId="0" borderId="69" xfId="1" applyNumberFormat="1" applyFont="1" applyBorder="1"/>
    <xf numFmtId="167" fontId="181" fillId="0" borderId="74" xfId="1" applyNumberFormat="1" applyFont="1" applyFill="1" applyBorder="1"/>
    <xf numFmtId="167" fontId="181" fillId="0" borderId="125" xfId="1" applyNumberFormat="1" applyFont="1" applyFill="1" applyBorder="1"/>
    <xf numFmtId="167" fontId="181" fillId="0" borderId="139" xfId="1" applyNumberFormat="1" applyFont="1" applyBorder="1"/>
    <xf numFmtId="167" fontId="181" fillId="0" borderId="124" xfId="1" applyNumberFormat="1" applyFont="1" applyBorder="1"/>
    <xf numFmtId="167" fontId="181" fillId="0" borderId="117" xfId="1" applyNumberFormat="1" applyFont="1" applyBorder="1"/>
    <xf numFmtId="0" fontId="67" fillId="5" borderId="0" xfId="43" applyFont="1" applyFill="1"/>
    <xf numFmtId="167" fontId="72" fillId="0" borderId="3" xfId="1" applyNumberFormat="1" applyFont="1" applyBorder="1" applyAlignment="1">
      <alignment horizontal="center" vertical="center" wrapText="1"/>
    </xf>
    <xf numFmtId="167" fontId="72" fillId="4" borderId="4" xfId="1" applyNumberFormat="1" applyFont="1" applyFill="1" applyBorder="1"/>
    <xf numFmtId="167" fontId="67" fillId="11" borderId="7" xfId="1" applyNumberFormat="1" applyFont="1" applyFill="1" applyBorder="1"/>
    <xf numFmtId="167" fontId="67" fillId="7" borderId="7" xfId="1" applyNumberFormat="1" applyFont="1" applyFill="1" applyBorder="1"/>
    <xf numFmtId="167" fontId="78" fillId="8" borderId="7" xfId="1" applyNumberFormat="1" applyFont="1" applyFill="1" applyBorder="1"/>
    <xf numFmtId="167" fontId="67" fillId="0" borderId="109" xfId="1" applyNumberFormat="1" applyFont="1" applyBorder="1"/>
    <xf numFmtId="167" fontId="67" fillId="0" borderId="129" xfId="1" applyNumberFormat="1" applyFont="1" applyBorder="1"/>
    <xf numFmtId="167" fontId="72" fillId="0" borderId="3" xfId="1" applyNumberFormat="1" applyFont="1" applyBorder="1"/>
    <xf numFmtId="167" fontId="72" fillId="0" borderId="11" xfId="1" applyNumberFormat="1" applyFont="1" applyBorder="1"/>
    <xf numFmtId="167" fontId="72" fillId="4" borderId="43" xfId="1" applyNumberFormat="1" applyFont="1" applyFill="1" applyBorder="1"/>
    <xf numFmtId="167" fontId="67" fillId="0" borderId="108" xfId="1" applyNumberFormat="1" applyFont="1" applyBorder="1"/>
    <xf numFmtId="167" fontId="67" fillId="0" borderId="101" xfId="1" applyNumberFormat="1" applyFont="1" applyBorder="1"/>
    <xf numFmtId="167" fontId="72" fillId="4" borderId="12" xfId="1" applyNumberFormat="1" applyFont="1" applyFill="1" applyBorder="1"/>
    <xf numFmtId="167" fontId="72" fillId="3" borderId="99" xfId="1" applyNumberFormat="1" applyFont="1" applyFill="1" applyBorder="1"/>
    <xf numFmtId="167" fontId="67" fillId="0" borderId="99" xfId="1" applyNumberFormat="1" applyFont="1" applyBorder="1"/>
    <xf numFmtId="167" fontId="67" fillId="0" borderId="44" xfId="1" applyNumberFormat="1" applyFont="1" applyFill="1" applyBorder="1"/>
    <xf numFmtId="167" fontId="79" fillId="19" borderId="58" xfId="1" applyNumberFormat="1" applyFont="1" applyFill="1" applyBorder="1"/>
    <xf numFmtId="167" fontId="67" fillId="0" borderId="7" xfId="1" applyNumberFormat="1" applyFont="1" applyFill="1" applyBorder="1"/>
    <xf numFmtId="167" fontId="67" fillId="0" borderId="78" xfId="1" applyNumberFormat="1" applyFont="1" applyFill="1" applyBorder="1"/>
    <xf numFmtId="167" fontId="67" fillId="5" borderId="99" xfId="1" applyNumberFormat="1" applyFont="1" applyFill="1" applyBorder="1"/>
    <xf numFmtId="167" fontId="67" fillId="3" borderId="58" xfId="1" applyNumberFormat="1" applyFont="1" applyFill="1" applyBorder="1"/>
    <xf numFmtId="167" fontId="67" fillId="3" borderId="99" xfId="1" applyNumberFormat="1" applyFont="1" applyFill="1" applyBorder="1"/>
    <xf numFmtId="167" fontId="67" fillId="6" borderId="109" xfId="1" applyNumberFormat="1" applyFont="1" applyFill="1" applyBorder="1"/>
    <xf numFmtId="167" fontId="67" fillId="6" borderId="78" xfId="1" applyNumberFormat="1" applyFont="1" applyFill="1" applyBorder="1"/>
    <xf numFmtId="167" fontId="79" fillId="0" borderId="99" xfId="1" applyNumberFormat="1" applyFont="1" applyBorder="1"/>
    <xf numFmtId="167" fontId="72" fillId="0" borderId="7" xfId="1" applyNumberFormat="1" applyFont="1" applyBorder="1"/>
    <xf numFmtId="167" fontId="67" fillId="3" borderId="78" xfId="1" applyNumberFormat="1" applyFont="1" applyFill="1" applyBorder="1"/>
    <xf numFmtId="167" fontId="72" fillId="0" borderId="14" xfId="1" applyNumberFormat="1" applyFont="1" applyBorder="1"/>
    <xf numFmtId="167" fontId="72" fillId="4" borderId="17" xfId="1" applyNumberFormat="1" applyFont="1" applyFill="1" applyBorder="1"/>
    <xf numFmtId="3" fontId="67" fillId="0" borderId="66" xfId="43" applyNumberFormat="1" applyFont="1" applyBorder="1"/>
    <xf numFmtId="3" fontId="67" fillId="0" borderId="82" xfId="43" applyNumberFormat="1" applyFont="1" applyBorder="1"/>
    <xf numFmtId="3" fontId="67" fillId="0" borderId="56" xfId="43" applyNumberFormat="1" applyFont="1" applyBorder="1"/>
    <xf numFmtId="3" fontId="67" fillId="0" borderId="21" xfId="43" applyNumberFormat="1" applyFont="1" applyBorder="1"/>
    <xf numFmtId="3" fontId="67" fillId="3" borderId="44" xfId="43" applyNumberFormat="1" applyFont="1" applyFill="1" applyBorder="1"/>
    <xf numFmtId="3" fontId="79" fillId="10" borderId="44" xfId="43" applyNumberFormat="1" applyFont="1" applyFill="1" applyBorder="1"/>
    <xf numFmtId="3" fontId="79" fillId="0" borderId="44" xfId="43" applyNumberFormat="1" applyFont="1" applyBorder="1"/>
    <xf numFmtId="3" fontId="67" fillId="3" borderId="29" xfId="43" applyNumberFormat="1" applyFont="1" applyFill="1" applyBorder="1"/>
    <xf numFmtId="3" fontId="67" fillId="5" borderId="44" xfId="43" applyNumberFormat="1" applyFont="1" applyFill="1" applyBorder="1"/>
    <xf numFmtId="3" fontId="67" fillId="6" borderId="44" xfId="43" applyNumberFormat="1" applyFont="1" applyFill="1" applyBorder="1"/>
    <xf numFmtId="167" fontId="67" fillId="0" borderId="58" xfId="1" applyNumberFormat="1" applyFont="1" applyFill="1" applyBorder="1"/>
    <xf numFmtId="167" fontId="67" fillId="0" borderId="47" xfId="1" applyNumberFormat="1" applyFont="1" applyFill="1" applyBorder="1"/>
    <xf numFmtId="167" fontId="67" fillId="0" borderId="60" xfId="1" applyNumberFormat="1" applyFont="1" applyFill="1" applyBorder="1"/>
    <xf numFmtId="167" fontId="67" fillId="0" borderId="81" xfId="1" applyNumberFormat="1" applyFont="1" applyFill="1" applyBorder="1"/>
    <xf numFmtId="9" fontId="67" fillId="0" borderId="102" xfId="4" applyFont="1" applyFill="1" applyBorder="1" applyAlignment="1">
      <alignment wrapText="1"/>
    </xf>
    <xf numFmtId="9" fontId="67" fillId="0" borderId="7" xfId="4" quotePrefix="1" applyFont="1" applyBorder="1" applyAlignment="1">
      <alignment wrapText="1"/>
    </xf>
    <xf numFmtId="3" fontId="67" fillId="5" borderId="128" xfId="43" applyNumberFormat="1" applyFont="1" applyFill="1" applyBorder="1"/>
    <xf numFmtId="3" fontId="67" fillId="0" borderId="158" xfId="43" applyNumberFormat="1" applyFont="1" applyBorder="1"/>
    <xf numFmtId="0" fontId="67" fillId="0" borderId="0" xfId="43" quotePrefix="1" applyFont="1" applyAlignment="1">
      <alignment wrapText="1"/>
    </xf>
    <xf numFmtId="9" fontId="72" fillId="0" borderId="0" xfId="4" applyFont="1" applyAlignment="1">
      <alignment horizontal="right"/>
    </xf>
    <xf numFmtId="167" fontId="67" fillId="0" borderId="0" xfId="4" applyNumberFormat="1" applyFont="1"/>
    <xf numFmtId="3" fontId="67" fillId="4" borderId="99" xfId="43" applyNumberFormat="1" applyFont="1" applyFill="1" applyBorder="1"/>
    <xf numFmtId="9" fontId="67" fillId="0" borderId="81" xfId="4" applyFont="1" applyFill="1" applyBorder="1" applyAlignment="1">
      <alignment wrapText="1"/>
    </xf>
    <xf numFmtId="3" fontId="67" fillId="0" borderId="109" xfId="43" applyNumberFormat="1" applyFont="1" applyBorder="1" applyAlignment="1">
      <alignment wrapText="1"/>
    </xf>
    <xf numFmtId="3" fontId="67" fillId="0" borderId="129" xfId="43" applyNumberFormat="1" applyFont="1" applyBorder="1" applyAlignment="1">
      <alignment wrapText="1"/>
    </xf>
    <xf numFmtId="3" fontId="67" fillId="4" borderId="99" xfId="43" applyNumberFormat="1" applyFont="1" applyFill="1" applyBorder="1" applyAlignment="1">
      <alignment wrapText="1"/>
    </xf>
    <xf numFmtId="3" fontId="67" fillId="0" borderId="3" xfId="43" applyNumberFormat="1" applyFont="1" applyBorder="1" applyAlignment="1">
      <alignment wrapText="1"/>
    </xf>
    <xf numFmtId="3" fontId="67" fillId="0" borderId="60" xfId="43" applyNumberFormat="1" applyFont="1" applyBorder="1" applyAlignment="1">
      <alignment wrapText="1"/>
    </xf>
    <xf numFmtId="3" fontId="67" fillId="0" borderId="43" xfId="43" applyNumberFormat="1" applyFont="1" applyBorder="1"/>
    <xf numFmtId="3" fontId="67" fillId="0" borderId="75" xfId="43" applyNumberFormat="1" applyFont="1" applyBorder="1"/>
    <xf numFmtId="3" fontId="67" fillId="4" borderId="7" xfId="43" applyNumberFormat="1" applyFont="1" applyFill="1" applyBorder="1"/>
    <xf numFmtId="3" fontId="67" fillId="3" borderId="7" xfId="43" applyNumberFormat="1" applyFont="1" applyFill="1" applyBorder="1" applyAlignment="1">
      <alignment wrapText="1"/>
    </xf>
    <xf numFmtId="3" fontId="67" fillId="3" borderId="99" xfId="43" applyNumberFormat="1" applyFont="1" applyFill="1" applyBorder="1" applyAlignment="1">
      <alignment wrapText="1"/>
    </xf>
    <xf numFmtId="3" fontId="67" fillId="0" borderId="7" xfId="43" applyNumberFormat="1" applyFont="1" applyBorder="1" applyAlignment="1">
      <alignment wrapText="1"/>
    </xf>
    <xf numFmtId="3" fontId="67" fillId="0" borderId="44" xfId="43" applyNumberFormat="1" applyFont="1" applyBorder="1" applyAlignment="1">
      <alignment wrapText="1"/>
    </xf>
    <xf numFmtId="3" fontId="67" fillId="24" borderId="44" xfId="43" applyNumberFormat="1" applyFont="1" applyFill="1" applyBorder="1"/>
    <xf numFmtId="3" fontId="79" fillId="24" borderId="58" xfId="43" applyNumberFormat="1" applyFont="1" applyFill="1" applyBorder="1"/>
    <xf numFmtId="3" fontId="67" fillId="0" borderId="58" xfId="43" applyNumberFormat="1" applyFont="1" applyBorder="1" applyAlignment="1">
      <alignment wrapText="1"/>
    </xf>
    <xf numFmtId="9" fontId="67" fillId="0" borderId="124" xfId="4" applyFont="1" applyFill="1" applyBorder="1" applyAlignment="1">
      <alignment wrapText="1"/>
    </xf>
    <xf numFmtId="0" fontId="74" fillId="23" borderId="0" xfId="0" applyFont="1" applyFill="1" applyAlignment="1">
      <alignment horizontal="left" vertical="top" wrapText="1"/>
    </xf>
    <xf numFmtId="0" fontId="74" fillId="23" borderId="0" xfId="0" applyFont="1" applyFill="1" applyAlignment="1">
      <alignment horizontal="left" wrapText="1"/>
    </xf>
    <xf numFmtId="167" fontId="151" fillId="62" borderId="69" xfId="1" applyNumberFormat="1" applyFont="1" applyFill="1" applyBorder="1" applyAlignment="1">
      <alignment horizontal="center" vertical="center"/>
    </xf>
    <xf numFmtId="167" fontId="99" fillId="62" borderId="69" xfId="1" applyNumberFormat="1" applyFont="1" applyFill="1" applyBorder="1" applyAlignment="1">
      <alignment horizontal="center" vertical="center"/>
    </xf>
    <xf numFmtId="167" fontId="81" fillId="15" borderId="73" xfId="1" applyNumberFormat="1" applyFont="1" applyFill="1" applyBorder="1" applyAlignment="1">
      <alignment horizontal="center" wrapText="1"/>
    </xf>
    <xf numFmtId="167" fontId="81" fillId="15" borderId="74" xfId="1" applyNumberFormat="1" applyFont="1" applyFill="1" applyBorder="1" applyAlignment="1">
      <alignment horizontal="center" wrapText="1"/>
    </xf>
    <xf numFmtId="0" fontId="157" fillId="0" borderId="69" xfId="0" applyFont="1" applyBorder="1" applyAlignment="1">
      <alignment horizontal="center" wrapText="1"/>
    </xf>
    <xf numFmtId="0" fontId="152" fillId="0" borderId="88" xfId="0" applyFont="1" applyBorder="1" applyAlignment="1">
      <alignment horizontal="center"/>
    </xf>
    <xf numFmtId="0" fontId="81" fillId="11" borderId="69" xfId="0" applyFont="1" applyFill="1" applyBorder="1" applyAlignment="1">
      <alignment horizontal="center" wrapText="1"/>
    </xf>
    <xf numFmtId="0" fontId="81" fillId="11" borderId="69" xfId="0" applyFont="1" applyFill="1" applyBorder="1" applyAlignment="1">
      <alignment horizontal="center"/>
    </xf>
    <xf numFmtId="0" fontId="107" fillId="11" borderId="69" xfId="0" applyFont="1" applyFill="1" applyBorder="1" applyAlignment="1">
      <alignment horizontal="center" wrapText="1"/>
    </xf>
    <xf numFmtId="0" fontId="81" fillId="11" borderId="73" xfId="0" applyFont="1" applyFill="1" applyBorder="1" applyAlignment="1">
      <alignment horizontal="center" wrapText="1"/>
    </xf>
    <xf numFmtId="0" fontId="81" fillId="11" borderId="70" xfId="0" applyFont="1" applyFill="1" applyBorder="1" applyAlignment="1">
      <alignment horizontal="center" wrapText="1"/>
    </xf>
    <xf numFmtId="0" fontId="0" fillId="0" borderId="145" xfId="0" applyBorder="1" applyAlignment="1">
      <alignment horizontal="center"/>
    </xf>
    <xf numFmtId="0" fontId="0" fillId="0" borderId="155" xfId="0" applyBorder="1" applyAlignment="1">
      <alignment horizontal="center"/>
    </xf>
    <xf numFmtId="167" fontId="151" fillId="62" borderId="154" xfId="1" applyNumberFormat="1" applyFont="1" applyFill="1" applyBorder="1" applyAlignment="1">
      <alignment horizontal="center"/>
    </xf>
    <xf numFmtId="167" fontId="151" fillId="62" borderId="157" xfId="1" applyNumberFormat="1" applyFont="1" applyFill="1" applyBorder="1" applyAlignment="1">
      <alignment horizontal="center"/>
    </xf>
    <xf numFmtId="0" fontId="107" fillId="25" borderId="69" xfId="0" applyFont="1" applyFill="1" applyBorder="1" applyAlignment="1">
      <alignment horizontal="center"/>
    </xf>
    <xf numFmtId="0" fontId="81" fillId="25" borderId="69" xfId="0" applyFont="1" applyFill="1" applyBorder="1" applyAlignment="1">
      <alignment horizontal="center" wrapText="1"/>
    </xf>
    <xf numFmtId="0" fontId="107" fillId="25" borderId="69" xfId="0" applyFont="1" applyFill="1" applyBorder="1" applyAlignment="1">
      <alignment horizontal="center" wrapText="1"/>
    </xf>
    <xf numFmtId="0" fontId="107" fillId="11" borderId="73" xfId="0" applyFont="1" applyFill="1" applyBorder="1" applyAlignment="1">
      <alignment horizontal="center" wrapText="1"/>
    </xf>
    <xf numFmtId="0" fontId="107" fillId="11" borderId="69" xfId="0" applyFont="1" applyFill="1" applyBorder="1" applyAlignment="1">
      <alignment horizontal="center"/>
    </xf>
    <xf numFmtId="0" fontId="107" fillId="0" borderId="69" xfId="0" applyFont="1" applyBorder="1" applyAlignment="1">
      <alignment horizontal="center" wrapText="1"/>
    </xf>
    <xf numFmtId="0" fontId="81" fillId="25" borderId="73" xfId="0" applyFont="1" applyFill="1" applyBorder="1" applyAlignment="1">
      <alignment horizontal="center" wrapText="1"/>
    </xf>
    <xf numFmtId="0" fontId="81" fillId="25" borderId="74" xfId="0" applyFont="1" applyFill="1" applyBorder="1" applyAlignment="1">
      <alignment horizontal="center" wrapText="1"/>
    </xf>
    <xf numFmtId="0" fontId="121" fillId="0" borderId="0" xfId="83" applyFont="1"/>
    <xf numFmtId="0" fontId="61" fillId="0" borderId="0" xfId="43"/>
    <xf numFmtId="0" fontId="120" fillId="0" borderId="0" xfId="83" applyFont="1"/>
    <xf numFmtId="9" fontId="67" fillId="0" borderId="160" xfId="2" applyFont="1" applyBorder="1" applyAlignment="1">
      <alignment horizontal="right" wrapText="1"/>
    </xf>
    <xf numFmtId="9" fontId="67" fillId="0" borderId="22" xfId="2" applyFont="1" applyBorder="1" applyAlignment="1">
      <alignment horizontal="right" wrapText="1"/>
    </xf>
    <xf numFmtId="3" fontId="78" fillId="8" borderId="160" xfId="43" applyNumberFormat="1" applyFont="1" applyFill="1" applyBorder="1" applyAlignment="1">
      <alignment horizontal="right" vertical="center"/>
    </xf>
    <xf numFmtId="3" fontId="78" fillId="8" borderId="22" xfId="43" applyNumberFormat="1" applyFont="1" applyFill="1" applyBorder="1" applyAlignment="1">
      <alignment horizontal="right" vertical="center"/>
    </xf>
    <xf numFmtId="3" fontId="67" fillId="0" borderId="160" xfId="43" applyNumberFormat="1" applyFont="1" applyBorder="1" applyAlignment="1">
      <alignment horizontal="right" vertical="center"/>
    </xf>
    <xf numFmtId="3" fontId="67" fillId="0" borderId="22" xfId="43" applyNumberFormat="1" applyFont="1" applyBorder="1" applyAlignment="1">
      <alignment horizontal="right" vertical="center"/>
    </xf>
    <xf numFmtId="3" fontId="67" fillId="0" borderId="160" xfId="43" applyNumberFormat="1" applyFont="1" applyBorder="1" applyAlignment="1">
      <alignment horizontal="right"/>
    </xf>
    <xf numFmtId="3" fontId="67" fillId="0" borderId="22" xfId="43" applyNumberFormat="1" applyFont="1" applyBorder="1" applyAlignment="1">
      <alignment horizontal="right"/>
    </xf>
    <xf numFmtId="9" fontId="78" fillId="8" borderId="160" xfId="2" applyFont="1" applyFill="1" applyBorder="1" applyAlignment="1">
      <alignment horizontal="right" vertical="center"/>
    </xf>
    <xf numFmtId="9" fontId="78" fillId="8" borderId="22" xfId="2" applyFont="1" applyFill="1" applyBorder="1" applyAlignment="1">
      <alignment horizontal="right" vertical="center"/>
    </xf>
    <xf numFmtId="9" fontId="67" fillId="19" borderId="160" xfId="2" applyFont="1" applyFill="1" applyBorder="1" applyAlignment="1">
      <alignment horizontal="right" vertical="center"/>
    </xf>
    <xf numFmtId="9" fontId="67" fillId="19" borderId="22" xfId="2" applyFont="1" applyFill="1" applyBorder="1" applyAlignment="1">
      <alignment horizontal="right" vertical="center"/>
    </xf>
  </cellXfs>
  <cellStyles count="357">
    <cellStyle name="20% - Accent1" xfId="118" builtinId="30" customBuiltin="1"/>
    <cellStyle name="20% - Accent1 2" xfId="178" xr:uid="{363495CB-4EFD-4075-8AF2-8C15E33F265E}"/>
    <cellStyle name="20% - Accent1 3" xfId="254" xr:uid="{E5B18DE7-613F-46E6-83F3-B8D166189AAE}"/>
    <cellStyle name="20% - Accent2" xfId="122" builtinId="34" customBuiltin="1"/>
    <cellStyle name="20% - Accent2 2" xfId="181" xr:uid="{A18B77CC-0EE2-4068-8D7D-EF36B82D4569}"/>
    <cellStyle name="20% - Accent2 3" xfId="257" xr:uid="{0B5741FD-8B26-42B3-AD92-C666C48C2E56}"/>
    <cellStyle name="20% - Accent3" xfId="126" builtinId="38" customBuiltin="1"/>
    <cellStyle name="20% - Accent3 2" xfId="184" xr:uid="{828B7FC4-D874-45AB-90C4-80E102CDA5BC}"/>
    <cellStyle name="20% - Accent3 3" xfId="260" xr:uid="{1E6C9157-3BCC-462D-A9DA-092044DD508A}"/>
    <cellStyle name="20% - Accent4" xfId="130" builtinId="42" customBuiltin="1"/>
    <cellStyle name="20% - Accent4 2" xfId="187" xr:uid="{D6C29F7D-F1D1-4B50-B51D-8C757C4F426E}"/>
    <cellStyle name="20% - Accent4 3" xfId="263" xr:uid="{C8AB55DE-1FCC-4428-9A86-267BA79876C2}"/>
    <cellStyle name="20% - Accent5" xfId="134" builtinId="46" customBuiltin="1"/>
    <cellStyle name="20% - Accent5 2" xfId="190" xr:uid="{FCD4D055-3930-49A6-8889-90B080C6E772}"/>
    <cellStyle name="20% - Accent5 3" xfId="266" xr:uid="{F587695F-375B-4967-B352-43DE04DA1E20}"/>
    <cellStyle name="20% - Accent6" xfId="138" builtinId="50" customBuiltin="1"/>
    <cellStyle name="20% - Accent6 2" xfId="193" xr:uid="{27DC87F4-78AB-4578-80CF-0B1BFA91BF76}"/>
    <cellStyle name="20% - Accent6 3" xfId="269" xr:uid="{6401CBB4-6642-461B-ACAA-8610AEB4F886}"/>
    <cellStyle name="20% no 1. izcēluma 2" xfId="148" xr:uid="{00000000-0005-0000-0000-000001000000}"/>
    <cellStyle name="20% no 1. izcēluma 3" xfId="221" xr:uid="{784540F9-359C-423E-BC1B-C1AEB3C33C54}"/>
    <cellStyle name="20% no 1. izcēluma 4" xfId="291" xr:uid="{9A5F063E-E35A-492C-BB8F-D1193F715CA3}"/>
    <cellStyle name="20% no 1. izcēluma 5" xfId="311" xr:uid="{597C57DC-09AE-4B25-85F8-E5A2FE1610F3}"/>
    <cellStyle name="20% no 2. izcēluma 2" xfId="150" xr:uid="{00000000-0005-0000-0000-000003000000}"/>
    <cellStyle name="20% no 2. izcēluma 3" xfId="224" xr:uid="{825A49D2-CB0F-4EA0-883E-62C47A8A74EE}"/>
    <cellStyle name="20% no 2. izcēluma 4" xfId="294" xr:uid="{570A7799-FCA2-470F-8DEB-14D159827883}"/>
    <cellStyle name="20% no 2. izcēluma 5" xfId="314" xr:uid="{2291D85C-FC7D-46A5-8603-D5B8B5572186}"/>
    <cellStyle name="20% no 3. izcēluma 2" xfId="152" xr:uid="{00000000-0005-0000-0000-000005000000}"/>
    <cellStyle name="20% no 3. izcēluma 3" xfId="227" xr:uid="{BDB0685F-E89F-4E5B-8878-13EC8CEB3F6B}"/>
    <cellStyle name="20% no 3. izcēluma 4" xfId="297" xr:uid="{FADBEC5B-90F9-4043-9A0B-9C4C32C01783}"/>
    <cellStyle name="20% no 3. izcēluma 5" xfId="317" xr:uid="{0DF69524-4A0F-42D0-B664-2E5954611DF2}"/>
    <cellStyle name="20% no 4. izcēluma 2" xfId="154" xr:uid="{00000000-0005-0000-0000-000007000000}"/>
    <cellStyle name="20% no 4. izcēluma 3" xfId="230" xr:uid="{A8DB4D5F-6BB0-4C95-BF37-19DF26094270}"/>
    <cellStyle name="20% no 4. izcēluma 4" xfId="300" xr:uid="{CB2C0813-EF94-4DE4-A397-B37898DC7994}"/>
    <cellStyle name="20% no 4. izcēluma 5" xfId="320" xr:uid="{50411459-29A0-41BE-9B03-9A8E7E6F336B}"/>
    <cellStyle name="20% no 5. izcēluma 2" xfId="156" xr:uid="{00000000-0005-0000-0000-000009000000}"/>
    <cellStyle name="20% no 5. izcēluma 3" xfId="233" xr:uid="{A32F06B0-3F09-44A7-8CC2-04FCC134D7A2}"/>
    <cellStyle name="20% no 5. izcēluma 4" xfId="303" xr:uid="{5125DE62-4F25-4E20-AE79-BCD92B6132EF}"/>
    <cellStyle name="20% no 5. izcēluma 5" xfId="323" xr:uid="{96D944B2-3D88-49BA-8244-3F36ECEC7F22}"/>
    <cellStyle name="20% no 6. izcēluma 2" xfId="158" xr:uid="{00000000-0005-0000-0000-00000B000000}"/>
    <cellStyle name="20% no 6. izcēluma 3" xfId="236" xr:uid="{D91FA401-D48B-4953-A089-E6168A38A39B}"/>
    <cellStyle name="20% no 6. izcēluma 4" xfId="306" xr:uid="{E42FA86C-3F1C-4E26-AE77-9FEF4111EA57}"/>
    <cellStyle name="20% no 6. izcēluma 5" xfId="326" xr:uid="{EA428D3A-00FC-4B88-A38B-A09D6986F58D}"/>
    <cellStyle name="40% - Accent1" xfId="119" builtinId="31" customBuiltin="1"/>
    <cellStyle name="40% - Accent1 2" xfId="179" xr:uid="{52F15773-EEB9-4FAB-B1D0-72EF0155F97D}"/>
    <cellStyle name="40% - Accent1 3" xfId="255" xr:uid="{3E5A396A-0448-4C32-9011-01F9C66BC61D}"/>
    <cellStyle name="40% - Accent2" xfId="123" builtinId="35" customBuiltin="1"/>
    <cellStyle name="40% - Accent2 2" xfId="182" xr:uid="{3B8FAB79-3B2B-45F3-A5EB-B230A3278B50}"/>
    <cellStyle name="40% - Accent2 3" xfId="258" xr:uid="{1181E458-A323-45CD-9455-A05C791EED05}"/>
    <cellStyle name="40% - Accent3" xfId="127" builtinId="39" customBuiltin="1"/>
    <cellStyle name="40% - Accent3 2" xfId="185" xr:uid="{2B662775-B899-4B35-8D7E-FCE4CD58456D}"/>
    <cellStyle name="40% - Accent3 3" xfId="261" xr:uid="{9AF3EAC6-520A-4CDF-9CAA-4E7F85768EEB}"/>
    <cellStyle name="40% - Accent4" xfId="131" builtinId="43" customBuiltin="1"/>
    <cellStyle name="40% - Accent4 2" xfId="188" xr:uid="{64C688F0-7CEF-4FE8-9E4F-59C5F7B42BEF}"/>
    <cellStyle name="40% - Accent4 3" xfId="264" xr:uid="{4CD6D80D-3FF9-4D61-B545-31BC888C668F}"/>
    <cellStyle name="40% - Accent5" xfId="135" builtinId="47" customBuiltin="1"/>
    <cellStyle name="40% - Accent5 2" xfId="191" xr:uid="{AF63A63F-2393-4DDD-B11E-1E8547F0F85D}"/>
    <cellStyle name="40% - Accent5 3" xfId="267" xr:uid="{549B5969-3EB4-4DD1-BDD8-95D7A6E0C93E}"/>
    <cellStyle name="40% - Accent6" xfId="139" builtinId="51" customBuiltin="1"/>
    <cellStyle name="40% - Accent6 2" xfId="194" xr:uid="{3A5C1458-F927-4ED5-9DF6-2B52D0C9B7BA}"/>
    <cellStyle name="40% - Accent6 3" xfId="270" xr:uid="{0D42A310-8352-4F0C-A4E1-061959AAB9CB}"/>
    <cellStyle name="40% no 1. izcēluma 2" xfId="149" xr:uid="{00000000-0005-0000-0000-00000D000000}"/>
    <cellStyle name="40% no 1. izcēluma 3" xfId="222" xr:uid="{79A19D2E-A8A2-4715-83EE-F09F8D21670E}"/>
    <cellStyle name="40% no 1. izcēluma 4" xfId="292" xr:uid="{AA301BD9-2E8A-4E8F-96CA-536C68EC720E}"/>
    <cellStyle name="40% no 1. izcēluma 5" xfId="312" xr:uid="{1626B5D4-66DE-44A1-ACD3-D5E8FCB7087C}"/>
    <cellStyle name="40% no 2. izcēluma 2" xfId="151" xr:uid="{00000000-0005-0000-0000-00000F000000}"/>
    <cellStyle name="40% no 2. izcēluma 3" xfId="225" xr:uid="{6D9775AC-6734-46A7-8000-8D06F849011F}"/>
    <cellStyle name="40% no 2. izcēluma 4" xfId="295" xr:uid="{5C52B775-BC1C-4B3E-B437-C84A210FF11C}"/>
    <cellStyle name="40% no 2. izcēluma 5" xfId="315" xr:uid="{45D44B65-7989-43A5-93A3-DF617C616786}"/>
    <cellStyle name="40% no 3. izcēluma 2" xfId="153" xr:uid="{00000000-0005-0000-0000-000011000000}"/>
    <cellStyle name="40% no 3. izcēluma 3" xfId="228" xr:uid="{1DBDB1B2-71C4-4862-AD1C-CDF14924E251}"/>
    <cellStyle name="40% no 3. izcēluma 4" xfId="298" xr:uid="{71DB1057-1042-4D89-BA7B-EC2DEF3B4B3D}"/>
    <cellStyle name="40% no 3. izcēluma 5" xfId="318" xr:uid="{7511ED00-E917-4F59-AE42-43D154D728E7}"/>
    <cellStyle name="40% no 4. izcēluma 2" xfId="155" xr:uid="{00000000-0005-0000-0000-000013000000}"/>
    <cellStyle name="40% no 4. izcēluma 3" xfId="231" xr:uid="{4A868E76-6305-44D7-A20B-7EEE03FAFAB6}"/>
    <cellStyle name="40% no 4. izcēluma 4" xfId="301" xr:uid="{9CC6FB48-9F66-4708-85B8-85397A9B79BC}"/>
    <cellStyle name="40% no 4. izcēluma 5" xfId="321" xr:uid="{F63DC069-D7F1-4251-9284-2D3EB7C8775D}"/>
    <cellStyle name="40% no 5. izcēluma 2" xfId="157" xr:uid="{00000000-0005-0000-0000-000015000000}"/>
    <cellStyle name="40% no 5. izcēluma 3" xfId="234" xr:uid="{4F8CC661-C589-4E31-9949-FDD729F9FFE2}"/>
    <cellStyle name="40% no 5. izcēluma 4" xfId="304" xr:uid="{EF6D5159-2B4E-47F1-83AE-6E140D63093C}"/>
    <cellStyle name="40% no 5. izcēluma 5" xfId="324" xr:uid="{FB2F11D1-AF3F-4808-83FD-2205B0C0CCA7}"/>
    <cellStyle name="40% no 6. izcēluma 2" xfId="159" xr:uid="{00000000-0005-0000-0000-000017000000}"/>
    <cellStyle name="40% no 6. izcēluma 3" xfId="237" xr:uid="{21B6D52D-3270-4A1B-841E-69E38C4EE0ED}"/>
    <cellStyle name="40% no 6. izcēluma 4" xfId="307" xr:uid="{0DB94084-4E67-4794-937F-E3E1599C29CB}"/>
    <cellStyle name="40% no 6. izcēluma 5" xfId="327" xr:uid="{C17B50F9-B7EE-4B14-BF28-3E6F9F3048D3}"/>
    <cellStyle name="60% - Accent1" xfId="120" builtinId="32" customBuiltin="1"/>
    <cellStyle name="60% - Accent1 2" xfId="180" xr:uid="{2FF805B4-7736-476D-9441-E38DA002F17C}"/>
    <cellStyle name="60% - Accent1 3" xfId="256" xr:uid="{1D71ECB8-1786-4327-A481-1DBC41CD12F6}"/>
    <cellStyle name="60% - Accent2" xfId="124" builtinId="36" customBuiltin="1"/>
    <cellStyle name="60% - Accent2 2" xfId="183" xr:uid="{C36BDC48-DDDB-44C7-9E4B-3FEFC6C7EE83}"/>
    <cellStyle name="60% - Accent2 3" xfId="259" xr:uid="{1FE7452F-6B7B-4BB2-8685-1812FF4DC364}"/>
    <cellStyle name="60% - Accent3" xfId="128" builtinId="40" customBuiltin="1"/>
    <cellStyle name="60% - Accent3 2" xfId="186" xr:uid="{129DABD0-E58B-4402-90C0-1CDA297E49E8}"/>
    <cellStyle name="60% - Accent3 3" xfId="262" xr:uid="{08802A62-7D09-45F3-ADFC-7526242635C2}"/>
    <cellStyle name="60% - Accent4" xfId="132" builtinId="44" customBuiltin="1"/>
    <cellStyle name="60% - Accent4 2" xfId="189" xr:uid="{4DF1C865-0303-4E8E-8163-9614765FC054}"/>
    <cellStyle name="60% - Accent4 3" xfId="265" xr:uid="{68A38B11-F7FC-4586-93CC-9F039F4577DA}"/>
    <cellStyle name="60% - Accent5" xfId="136" builtinId="48" customBuiltin="1"/>
    <cellStyle name="60% - Accent5 2" xfId="192" xr:uid="{49CE04F7-7C67-4035-B478-D5A0BC67A4F9}"/>
    <cellStyle name="60% - Accent5 3" xfId="268" xr:uid="{B7B32AEA-8954-41E2-ACA2-AF1C9415F3A5}"/>
    <cellStyle name="60% - Accent6" xfId="140" builtinId="52" customBuiltin="1"/>
    <cellStyle name="60% - Accent6 2" xfId="195" xr:uid="{E49FFC8E-C988-475A-9C83-E9CFCB701DBF}"/>
    <cellStyle name="60% - Accent6 3" xfId="271" xr:uid="{CE0272C9-98EC-4F79-8EFD-9FFA00968D36}"/>
    <cellStyle name="60% no 1. izcēluma 2" xfId="223" xr:uid="{BACF85F9-4A7D-4C85-89B8-81505C9E67CC}"/>
    <cellStyle name="60% no 1. izcēluma 3" xfId="293" xr:uid="{6E6DDF74-1124-452E-8DEA-BE136C66FD35}"/>
    <cellStyle name="60% no 1. izcēluma 4" xfId="313" xr:uid="{FD9E8D96-C712-462C-8C77-1F9F40495FB6}"/>
    <cellStyle name="60% no 2. izcēluma 2" xfId="226" xr:uid="{E8127104-1405-4FB8-A7A8-A9AC3EFE9E68}"/>
    <cellStyle name="60% no 2. izcēluma 3" xfId="296" xr:uid="{8E8CF635-DE1E-48BD-9894-6B0ED7F30586}"/>
    <cellStyle name="60% no 2. izcēluma 4" xfId="316" xr:uid="{8C110840-DBE8-42A4-B129-6FA4AE31D5A2}"/>
    <cellStyle name="60% no 3. izcēluma 2" xfId="229" xr:uid="{DF56DC40-6B6E-4ECB-9EB0-25F22FE902E7}"/>
    <cellStyle name="60% no 3. izcēluma 3" xfId="299" xr:uid="{AB6F73AB-E870-4C67-BCB8-91DE26B16151}"/>
    <cellStyle name="60% no 3. izcēluma 4" xfId="319" xr:uid="{05C04937-C729-444E-A89F-DD3EBC717066}"/>
    <cellStyle name="60% no 4. izcēluma 2" xfId="232" xr:uid="{B21BC850-C4D2-4CC5-A843-4B748E0B26A3}"/>
    <cellStyle name="60% no 4. izcēluma 3" xfId="302" xr:uid="{BB661609-EFCF-49F1-9834-CB5B796206BC}"/>
    <cellStyle name="60% no 4. izcēluma 4" xfId="322" xr:uid="{317F5FFD-B391-49E0-B954-B8BF4F0E3CEF}"/>
    <cellStyle name="60% no 5. izcēluma 2" xfId="235" xr:uid="{93DD5956-1773-4ED8-803E-11AD19B3C5C4}"/>
    <cellStyle name="60% no 5. izcēluma 3" xfId="305" xr:uid="{8E15DA69-81B4-4F76-BEB8-D54236B4D5FB}"/>
    <cellStyle name="60% no 5. izcēluma 4" xfId="325" xr:uid="{0895A06E-5B5E-4177-BD65-3E77CEDF170B}"/>
    <cellStyle name="60% no 6. izcēluma 2" xfId="238" xr:uid="{521FF28F-DC94-43B6-BBAC-663C1ED4DF4C}"/>
    <cellStyle name="60% no 6. izcēluma 3" xfId="308" xr:uid="{74A471CA-D70E-4D05-8BB8-D0BDEEE83208}"/>
    <cellStyle name="60% no 6. izcēluma 4" xfId="328" xr:uid="{8B75D909-116E-4F22-A6F2-2861B219AE89}"/>
    <cellStyle name="Accent1" xfId="117" builtinId="29" customBuiltin="1"/>
    <cellStyle name="Accent2" xfId="121" builtinId="33" customBuiltin="1"/>
    <cellStyle name="Accent3" xfId="125" builtinId="37" customBuiltin="1"/>
    <cellStyle name="Accent4" xfId="129" builtinId="41" customBuiltin="1"/>
    <cellStyle name="Accent5" xfId="133" builtinId="45" customBuiltin="1"/>
    <cellStyle name="Accent6" xfId="137" builtinId="49" customBuiltin="1"/>
    <cellStyle name="Bad" xfId="107" builtinId="27" customBuiltin="1"/>
    <cellStyle name="Calculation" xfId="111" builtinId="22" customBuiltin="1"/>
    <cellStyle name="Check Cell" xfId="113" builtinId="23" customBuiltin="1"/>
    <cellStyle name="Comma" xfId="1" builtinId="3"/>
    <cellStyle name="Comma 10" xfId="346" xr:uid="{4AEB9CA1-D5D0-4EB5-9E5B-8AF3960B2AA6}"/>
    <cellStyle name="Comma 11" xfId="355" xr:uid="{D360B394-E1A9-47C9-8189-31944E82ED6E}"/>
    <cellStyle name="Comma 2" xfId="217" xr:uid="{A6C95BC1-19F2-4D14-8F05-F1BCAFFD66B6}"/>
    <cellStyle name="Comma 2 2" xfId="25" xr:uid="{00000000-0005-0000-0000-000020000000}"/>
    <cellStyle name="Comma 2 3" xfId="275" xr:uid="{F9D5D71F-661B-4307-A0AF-6B2ED6BF2B9D}"/>
    <cellStyle name="Comma 2 4" xfId="349" xr:uid="{AE970975-841F-4898-894E-0F08D0BD3029}"/>
    <cellStyle name="Comma 3" xfId="30" xr:uid="{00000000-0005-0000-0000-000021000000}"/>
    <cellStyle name="Comma 3 2" xfId="98" xr:uid="{00000000-0005-0000-0000-000022000000}"/>
    <cellStyle name="Comma 3 3" xfId="12" xr:uid="{00000000-0005-0000-0000-000023000000}"/>
    <cellStyle name="Comma 4" xfId="249" xr:uid="{AC4A0D79-086A-4C7A-AFC2-E1C60832C341}"/>
    <cellStyle name="Comma 4 2" xfId="11" xr:uid="{00000000-0005-0000-0000-000024000000}"/>
    <cellStyle name="Comma 5" xfId="8" xr:uid="{00000000-0005-0000-0000-000025000000}"/>
    <cellStyle name="Comma 6" xfId="251" xr:uid="{20C29D04-42EB-4FAE-971A-CDD78EB55D47}"/>
    <cellStyle name="Comma 6 2" xfId="15" xr:uid="{00000000-0005-0000-0000-000026000000}"/>
    <cellStyle name="Comma 7" xfId="273" xr:uid="{5DB96E3C-C4BF-462A-82BC-319C1315BCE8}"/>
    <cellStyle name="Comma 8" xfId="287" xr:uid="{9E2421F4-A937-454D-A66C-D9ADB2C1194B}"/>
    <cellStyle name="Comma 9" xfId="336" xr:uid="{26B5D914-D3F0-4FCB-AF52-C2533471B040}"/>
    <cellStyle name="Currency 2" xfId="214" xr:uid="{A0439C78-5394-45FD-B783-E1E5BD692DBF}"/>
    <cellStyle name="Datums" xfId="209" xr:uid="{177CD88D-07C8-4806-B238-51403151868B}"/>
    <cellStyle name="Excel Built-in Comma" xfId="69" xr:uid="{00000000-0005-0000-0000-000028000000}"/>
    <cellStyle name="Excel Built-in Normal" xfId="54" xr:uid="{00000000-0005-0000-0000-000029000000}"/>
    <cellStyle name="Excel Built-in Normal 2" xfId="340" xr:uid="{620B331D-89B2-49E7-AB45-45365CACB7DE}"/>
    <cellStyle name="Excel Built-in Percent" xfId="68" xr:uid="{00000000-0005-0000-0000-00002A000000}"/>
    <cellStyle name="Explanatory Text" xfId="115" builtinId="53" customBuiltin="1"/>
    <cellStyle name="Explanatory Text 2" xfId="207" xr:uid="{A0498B9A-D992-4E78-BF25-546CAE2BE786}"/>
    <cellStyle name="Good" xfId="106" builtinId="26" customBuiltin="1"/>
    <cellStyle name="Heading 1" xfId="102" builtinId="16" customBuiltin="1"/>
    <cellStyle name="Heading 1 2" xfId="204" xr:uid="{E98B7448-A897-4EA1-9906-18A8FE0D192D}"/>
    <cellStyle name="Heading 2" xfId="103" builtinId="17" customBuiltin="1"/>
    <cellStyle name="Heading 2 2" xfId="208" xr:uid="{FF1DA6CD-3B3A-4E9F-90B0-39C524CC5C89}"/>
    <cellStyle name="Heading 3" xfId="104" builtinId="18" customBuiltin="1"/>
    <cellStyle name="Heading 3 2" xfId="211" xr:uid="{EC5204E5-D883-4752-94D0-7259464FE54C}"/>
    <cellStyle name="Heading 4" xfId="105" builtinId="19" customBuiltin="1"/>
    <cellStyle name="Heading 4 2" xfId="212" xr:uid="{5BE628C0-8046-4E7E-9D76-388CC31BADE7}"/>
    <cellStyle name="Hipersaite 2" xfId="41" xr:uid="{00000000-0005-0000-0000-00002C000000}"/>
    <cellStyle name="Hipersaite 3" xfId="91" xr:uid="{00000000-0005-0000-0000-00002D000000}"/>
    <cellStyle name="Hipersaite 4" xfId="197" xr:uid="{6744AC71-A348-4DB4-9CF9-D7854F4985EF}"/>
    <cellStyle name="Hyperlink" xfId="173" builtinId="8"/>
    <cellStyle name="Hyperlink 2" xfId="334" xr:uid="{F95411F1-DA76-4DD5-A910-76A15CEB3EAE}"/>
    <cellStyle name="Hyperlink 3" xfId="335" xr:uid="{9B7BA1C6-BD62-44EA-8EED-CEA290CA7D57}"/>
    <cellStyle name="Hyperlink 4" xfId="356" xr:uid="{F84425BD-07C7-47FD-AEA9-F519333DAC29}"/>
    <cellStyle name="Input" xfId="109" builtinId="20" customBuiltin="1"/>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3 3" xfId="348" xr:uid="{440F2FA2-8C4D-40B8-B2C0-4F53F3D6CCBD}"/>
    <cellStyle name="Komats 14" xfId="145" xr:uid="{00000000-0005-0000-0000-00003D000000}"/>
    <cellStyle name="Komats 15" xfId="201" xr:uid="{B05EB464-085D-4EEA-BAF8-CC5AD2B4A2D0}"/>
    <cellStyle name="Komats 16" xfId="280" xr:uid="{AD548885-FD29-4088-8317-79BA9DC61C67}"/>
    <cellStyle name="Komats 17" xfId="330" xr:uid="{5FE15543-B810-42D2-B800-E7A1E4E01E4A}"/>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20 5" xfId="282" xr:uid="{21700D0F-48A2-4293-89BF-0015CF265070}"/>
    <cellStyle name="Komats 20 6" xfId="347" xr:uid="{E58143DE-3C87-4006-B2FF-B93CE3B6FA3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4 4" xfId="352" xr:uid="{C34E2C00-0D92-448C-B0EB-5A110AA20781}"/>
    <cellStyle name="Komats 5" xfId="67" xr:uid="{00000000-0005-0000-0000-00004E000000}"/>
    <cellStyle name="Komats 6" xfId="22" xr:uid="{00000000-0005-0000-0000-00004F000000}"/>
    <cellStyle name="Komats 6 8" xfId="283" xr:uid="{F7F561BB-1E2E-47B6-9A20-08EA282A36E1}"/>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3" xr:uid="{01923C97-C140-46F8-BB35-E6786FEC1363}"/>
    <cellStyle name="Labs 2" xfId="27" xr:uid="{00000000-0005-0000-0000-000056000000}"/>
    <cellStyle name="Linked Cell" xfId="112" builtinId="24" customBuiltin="1"/>
    <cellStyle name="Neitrāls 2" xfId="219" xr:uid="{E6A96BF4-61AC-4D2C-811D-29F06C7D1AE5}"/>
    <cellStyle name="Neutral" xfId="108" builtinId="28" customBuiltin="1"/>
    <cellStyle name="Neutral 2" xfId="176" xr:uid="{3B14C34B-77DA-4AF7-A04A-380F8ABDA04A}"/>
    <cellStyle name="Normal" xfId="0" builtinId="0"/>
    <cellStyle name="Normal 10" xfId="18" xr:uid="{00000000-0005-0000-0000-000058000000}"/>
    <cellStyle name="Normal 11" xfId="245" xr:uid="{5575246C-A952-4A15-BADA-9F19CD9E65C6}"/>
    <cellStyle name="Normal 12" xfId="248" xr:uid="{1D4F9D85-0A78-43F9-9239-E886866C899F}"/>
    <cellStyle name="Normal 13" xfId="250" xr:uid="{70DA57D8-BE06-4782-A262-EFEB9F93E445}"/>
    <cellStyle name="Normal 14" xfId="252" xr:uid="{665D8E63-7A1E-4286-B974-6D3B17E8B04A}"/>
    <cellStyle name="Normal 15" xfId="286" xr:uid="{FBEC95EE-F34F-4BDD-AB8C-AB89C986C816}"/>
    <cellStyle name="Normal 16" xfId="338" xr:uid="{A9AEFFD9-19C6-492D-80CC-92B62533031B}"/>
    <cellStyle name="Normal 17" xfId="339" xr:uid="{C80E5B2A-9567-4222-B247-41EA50EAE90D}"/>
    <cellStyle name="Normal 18" xfId="345" xr:uid="{DCCF1C3E-180C-4FA4-8014-054AAEF7C2C6}"/>
    <cellStyle name="Normal 19" xfId="354" xr:uid="{19029BA8-94E2-4F6D-9B0F-AC75D1C6FD04}"/>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2 3" xfId="343" xr:uid="{4E6C777C-44D1-4CA1-A5AB-B297299DD3F0}"/>
    <cellStyle name="Normal 2 2 3 2" xfId="351" xr:uid="{CDB092AD-4678-4DA7-B692-8F5469150626}"/>
    <cellStyle name="Normal 2 3" xfId="64" xr:uid="{00000000-0005-0000-0000-00005D000000}"/>
    <cellStyle name="Normal 2 4" xfId="167" xr:uid="{00000000-0005-0000-0000-00005E000000}"/>
    <cellStyle name="Normal 2 5" xfId="274" xr:uid="{700C907F-C361-4212-BDF9-43011535042A}"/>
    <cellStyle name="Normal 2 6" xfId="353" xr:uid="{317713BA-54D8-4B34-AAEA-DB1774D4541A}"/>
    <cellStyle name="Normal 21" xfId="284" xr:uid="{E16B377A-0FBF-4AA2-95CB-A54E7CAC446C}"/>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199" xr:uid="{7941E8FE-1001-4537-B72B-74FF7E985732}"/>
    <cellStyle name="Normal 4 3 2 2" xfId="241" xr:uid="{07A6D629-704A-4AD3-960C-E38FF4D2C387}"/>
    <cellStyle name="Normal 4 3 2 3" xfId="333" xr:uid="{8A3427C7-D1FE-467B-A2F0-E532BFDE58AC}"/>
    <cellStyle name="Normal 4 3 3" xfId="203" xr:uid="{1EEB7F85-9DF1-4FF9-BB7F-7A0A3BDFEC8F}"/>
    <cellStyle name="Normal 4 3 4" xfId="240" xr:uid="{23EF9E90-9BAF-472E-B63C-4831EE5CD3B5}"/>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6" xr:uid="{B39A0216-0C63-4619-93B3-621879552DDB}"/>
    <cellStyle name="Normal 8" xfId="206" xr:uid="{06CF81E4-4CEE-4FB3-98A1-BFD93CCD82A7}"/>
    <cellStyle name="Normal 9" xfId="243" xr:uid="{E2B71D29-652D-40F2-B8AC-0C8EC8E6795B}"/>
    <cellStyle name="Normal 9 2" xfId="278" xr:uid="{AF77981C-2D49-4006-BAE6-6578AC2E2B9B}"/>
    <cellStyle name="Normal 9 2 2" xfId="342" xr:uid="{DFD4CD40-CD05-447F-8511-8DCFD9AFDEDA}"/>
    <cellStyle name="Normal 9 2 2 2" xfId="350" xr:uid="{FB45D700-E899-4091-9A37-223BA843F996}"/>
    <cellStyle name="Note 2" xfId="177" xr:uid="{AA97006D-4E69-4CC6-8481-354EBBA19CC9}"/>
    <cellStyle name="Note 3" xfId="215" xr:uid="{C0D84A79-D75B-4349-B990-6E2C649B60A1}"/>
    <cellStyle name="Note 4" xfId="253" xr:uid="{AF2C6C55-2CA7-4924-A4AC-240F6A75F761}"/>
    <cellStyle name="Output" xfId="110" builtinId="21" customBuiltin="1"/>
    <cellStyle name="Parastais_Lapa2" xfId="40" xr:uid="{00000000-0005-0000-0000-00006D00000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2 2 2 2" xfId="246" xr:uid="{AC96DA57-6BDC-46BB-80C2-D97C9371E98E}"/>
    <cellStyle name="Parasts 2 2 3" xfId="32" xr:uid="{00000000-0005-0000-0000-00007E000000}"/>
    <cellStyle name="Parasts 2 2 4" xfId="35" xr:uid="{00000000-0005-0000-0000-00007F000000}"/>
    <cellStyle name="Parasts 2 2 4 2" xfId="344" xr:uid="{3967C302-8350-41FD-AB76-17D98E6C4D88}"/>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2 5 6" xfId="288" xr:uid="{72083EC4-2096-484B-8A5A-06F2502D7264}"/>
    <cellStyle name="Parasts 2 3" xfId="86" xr:uid="{00000000-0005-0000-0000-000085000000}"/>
    <cellStyle name="Parasts 2 4" xfId="170" xr:uid="{00000000-0005-0000-0000-000086000000}"/>
    <cellStyle name="Parasts 2 5" xfId="272" xr:uid="{864894B5-703B-41B0-A3F8-C8987EA1DFC8}"/>
    <cellStyle name="Parasts 20" xfId="166" xr:uid="{00000000-0005-0000-0000-000087000000}"/>
    <cellStyle name="Parasts 20 2" xfId="198" xr:uid="{75C7A2B3-6BCE-4112-A10A-55E82BAF20CE}"/>
    <cellStyle name="Parasts 20 3" xfId="202" xr:uid="{9577B0DB-EFB8-4226-AE75-FBD61AB104D3}"/>
    <cellStyle name="Parasts 20 4" xfId="239" xr:uid="{96EF8392-9C93-4913-B028-411468475788}"/>
    <cellStyle name="Parasts 20 5" xfId="332" xr:uid="{A06035B0-D00F-4E1C-B621-40568198CEA8}"/>
    <cellStyle name="Parasts 21" xfId="172" xr:uid="{00000000-0005-0000-0000-000088000000}"/>
    <cellStyle name="Parasts 22" xfId="196" xr:uid="{838BED57-F8F7-4C64-A2D0-8B3E18F8B431}"/>
    <cellStyle name="Parasts 23" xfId="200" xr:uid="{A9EB4556-2728-4537-8824-E4B437D8C3EC}"/>
    <cellStyle name="Parasts 24" xfId="218" xr:uid="{B555F44A-3B4B-4C67-8753-6B33B9A32A6D}"/>
    <cellStyle name="Parasts 24 2" xfId="244" xr:uid="{C7F7D1DA-786D-40A6-8C6D-C94B002410C9}"/>
    <cellStyle name="Parasts 25" xfId="276" xr:uid="{712D909E-56D4-480F-9F0D-78B5687D6CA8}"/>
    <cellStyle name="Parasts 26" xfId="277" xr:uid="{459ACD10-50EE-4118-A1A5-79E12FA62099}"/>
    <cellStyle name="Parasts 27" xfId="279" xr:uid="{057DAC5B-D145-47A3-9416-66C3E75968A3}"/>
    <cellStyle name="Parasts 28" xfId="289" xr:uid="{EB6D980D-751B-4277-8703-96E68C00C4B4}"/>
    <cellStyle name="Parasts 29" xfId="309" xr:uid="{D1DFF283-1E67-414F-8602-5219B11AF00C}"/>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4 2" xfId="247" xr:uid="{AF31DD25-E13D-4B36-B8CB-BC7F8C6466B8}"/>
    <cellStyle name="Parasts 3 4 2 6" xfId="341" xr:uid="{7669E774-1AE4-453B-976A-E864A4E3E4CE}"/>
    <cellStyle name="Parasts 3 5" xfId="163" xr:uid="{00000000-0005-0000-0000-00008D000000}"/>
    <cellStyle name="Parasts 3 6" xfId="331" xr:uid="{A4ED9927-E779-45D0-B085-45C116419499}"/>
    <cellStyle name="Parasts 30" xfId="329" xr:uid="{59C0C5F7-B8A7-4DEE-BEEA-390F1D4289A7}"/>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ercent" xfId="2" builtinId="5"/>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iezīme 4" xfId="220" xr:uid="{31E00C30-DE24-4229-8B20-70128355722C}"/>
    <cellStyle name="Piezīme 5" xfId="290" xr:uid="{A9357EED-5A9A-43AB-B805-A978E58DCAD5}"/>
    <cellStyle name="Piezīme 6" xfId="310" xr:uid="{DCE696D9-8CA8-49F6-A174-CE21697177D7}"/>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Procenti 8" xfId="281" xr:uid="{5D3D1976-3ACA-44D4-ABC5-B370AC9251A5}"/>
    <cellStyle name="Style 1" xfId="169" xr:uid="{00000000-0005-0000-0000-0000AA000000}"/>
    <cellStyle name="TableStyleLight1" xfId="285" xr:uid="{564DE8A6-361E-4F9C-9BA7-769CB6522B45}"/>
    <cellStyle name="Tālruņa numurs" xfId="210" xr:uid="{B8C2BBA4-491B-4C8E-967C-8909EA0A9A6D}"/>
    <cellStyle name="Title" xfId="101" builtinId="15" customBuiltin="1"/>
    <cellStyle name="Title 2" xfId="205" xr:uid="{F7EDA3B8-B2E2-476D-9C0C-F20AEF5341CE}"/>
    <cellStyle name="Total" xfId="116" builtinId="25" customBuiltin="1"/>
    <cellStyle name="Valūta 2" xfId="21" xr:uid="{00000000-0005-0000-0000-0000AC000000}"/>
    <cellStyle name="Valūta 3" xfId="79" xr:uid="{00000000-0005-0000-0000-0000AD000000}"/>
    <cellStyle name="Valūta 4" xfId="242" xr:uid="{E97C5B63-0097-415C-A38C-0E0328028B59}"/>
    <cellStyle name="Virsraksts 2 2" xfId="85" xr:uid="{00000000-0005-0000-0000-0000B0000000}"/>
    <cellStyle name="Warning Text" xfId="114" builtinId="11" customBuiltin="1"/>
    <cellStyle name="Обычный_saulkrasti_tame" xfId="337" xr:uid="{25277645-674A-41C3-BDF5-EFCAFE6AE402}"/>
  </cellStyles>
  <dxfs count="9">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8"/>
      <tableStyleElement type="headerRow" dxfId="7"/>
      <tableStyleElement type="totalRow" dxfId="6"/>
      <tableStyleElement type="lastColumn" dxfId="5"/>
      <tableStyleElement type="lastTotalCell" dxfId="4"/>
    </tableStyle>
  </tableStyles>
  <colors>
    <mruColors>
      <color rgb="FFFFC1C1"/>
      <color rgb="FFFF8B8B"/>
      <color rgb="FF00FFFF"/>
      <color rgb="FF6CA644"/>
      <color rgb="FF0FA8C1"/>
      <color rgb="FFFFCC66"/>
      <color rgb="FFFFFFCC"/>
      <color rgb="FF99FFCC"/>
      <color rgb="FFFFFF99"/>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24168085369041"/>
          <c:y val="1.677304637483180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2026.g. 1. ceturksnis</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BE-44CF-BB37-ECA97D4B58CE}"/>
              </c:ext>
            </c:extLst>
          </c:dPt>
          <c:dPt>
            <c:idx val="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58B-4CEC-8F82-F1B409F87F58}"/>
              </c:ext>
            </c:extLst>
          </c:dPt>
          <c:dPt>
            <c:idx val="3"/>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58B-4CEC-8F82-F1B409F87F58}"/>
              </c:ext>
            </c:extLst>
          </c:dPt>
          <c:dPt>
            <c:idx val="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E58B-4CEC-8F82-F1B409F87F58}"/>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58B-4CEC-8F82-F1B409F87F58}"/>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E58B-4CEC-8F82-F1B409F87F58}"/>
              </c:ext>
            </c:extLst>
          </c:dPt>
          <c:dPt>
            <c:idx val="15"/>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295-4FC9-9B8A-67C7A571446E}"/>
              </c:ext>
            </c:extLst>
          </c:dPt>
          <c:dPt>
            <c:idx val="16"/>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295-4FC9-9B8A-67C7A571446E}"/>
              </c:ext>
            </c:extLst>
          </c:dPt>
          <c:dPt>
            <c:idx val="17"/>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5395-4F8C-9367-38E419AC522F}"/>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Grafiki_budžeta_izpilde!$A$6:$A$23</c:f>
              <c:strCache>
                <c:ptCount val="18"/>
                <c:pt idx="0">
                  <c:v>IEŅĒMUMI kopā</c:v>
                </c:pt>
                <c:pt idx="1">
                  <c:v>1. Nodokļu ieņēmumi</c:v>
                </c:pt>
                <c:pt idx="2">
                  <c:v>1.1. Iedzīvotāju ienākuma nodoklis</c:v>
                </c:pt>
                <c:pt idx="3">
                  <c:v>1.2. Nekustamā īpašuma nodokļu ieņēmumi</c:v>
                </c:pt>
                <c:pt idx="4">
                  <c:v>1.3. Dabas resursu nodoklis un azartspēļu nodoklis</c:v>
                </c:pt>
                <c:pt idx="5">
                  <c:v>2. Valsts (pašvaldību) un kancelejas nodevas</c:v>
                </c:pt>
                <c:pt idx="6">
                  <c:v>3. Naudas sodi un sankcijas</c:v>
                </c:pt>
                <c:pt idx="7">
                  <c:v>4. Pārējie nenodokļu ieņēmumi</c:v>
                </c:pt>
                <c:pt idx="8">
                  <c:v>5. Ieņēmumi no pašvaldības īpašuma pārdošanas</c:v>
                </c:pt>
                <c:pt idx="9">
                  <c:v>6. Valsts budžeta transferti un projektu finansējums</c:v>
                </c:pt>
                <c:pt idx="10">
                  <c:v>6.1. Valsts budžeta transferti</c:v>
                </c:pt>
                <c:pt idx="11">
                  <c:v>6.2. ES struktūrfondu līdzekļi un aktivitāšu līdzfin.</c:v>
                </c:pt>
                <c:pt idx="12">
                  <c:v>6.3. IIN budžeta dotācija</c:v>
                </c:pt>
                <c:pt idx="13">
                  <c:v>7. Pašvaldību budžeta transferti</c:v>
                </c:pt>
                <c:pt idx="14">
                  <c:v>8. Budžeta iestāžu ieņēmumi</c:v>
                </c:pt>
                <c:pt idx="15">
                  <c:v>8.1. Maksa par izglītības pakalpojumiem u.c. ieņēmumi</c:v>
                </c:pt>
                <c:pt idx="16">
                  <c:v>8.2. Ieņēmumi par nomu un īri</c:v>
                </c:pt>
                <c:pt idx="17">
                  <c:v>8.3. Pārrobežu projektu ieņēmumi</c:v>
                </c:pt>
              </c:strCache>
            </c:strRef>
          </c:cat>
          <c:val>
            <c:numRef>
              <c:f>Grafiki_budžeta_izpilde!$D$6:$D$23</c:f>
              <c:numCache>
                <c:formatCode>0%</c:formatCode>
                <c:ptCount val="18"/>
                <c:pt idx="0">
                  <c:v>0.27592882507747296</c:v>
                </c:pt>
                <c:pt idx="1">
                  <c:v>0.24965369394900752</c:v>
                </c:pt>
                <c:pt idx="2">
                  <c:v>0.22000000192065011</c:v>
                </c:pt>
                <c:pt idx="3">
                  <c:v>0.62483858740913867</c:v>
                </c:pt>
                <c:pt idx="4">
                  <c:v>0.59037306666666656</c:v>
                </c:pt>
                <c:pt idx="5">
                  <c:v>0.2177952875952876</c:v>
                </c:pt>
                <c:pt idx="6">
                  <c:v>0.32553053846153845</c:v>
                </c:pt>
                <c:pt idx="7">
                  <c:v>0.53467542863044826</c:v>
                </c:pt>
                <c:pt idx="8">
                  <c:v>1</c:v>
                </c:pt>
                <c:pt idx="9">
                  <c:v>0.33288977189222346</c:v>
                </c:pt>
                <c:pt idx="10">
                  <c:v>0.28731246926412346</c:v>
                </c:pt>
                <c:pt idx="11">
                  <c:v>0.39393590316129334</c:v>
                </c:pt>
                <c:pt idx="12">
                  <c:v>0.25000005278967008</c:v>
                </c:pt>
                <c:pt idx="13">
                  <c:v>0</c:v>
                </c:pt>
                <c:pt idx="14">
                  <c:v>0.26803589716814802</c:v>
                </c:pt>
                <c:pt idx="15">
                  <c:v>0.27108192605940201</c:v>
                </c:pt>
                <c:pt idx="16">
                  <c:v>0.27832221280802089</c:v>
                </c:pt>
                <c:pt idx="17">
                  <c:v>0</c:v>
                </c:pt>
              </c:numCache>
            </c:numRef>
          </c:val>
          <c:extLst>
            <c:ext xmlns:c16="http://schemas.microsoft.com/office/drawing/2014/chart" uri="{C3380CC4-5D6E-409C-BE32-E72D297353CC}">
              <c16:uniqueId val="{0000000C-80BE-44CF-BB37-ECA97D4B58CE}"/>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Grafiki_budžeta_izpilde!$D$54</c:f>
              <c:strCache>
                <c:ptCount val="1"/>
                <c:pt idx="0">
                  <c:v>Izdevumu izpilde, %, 2026.g. 1. ceturksnis</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172-4793-95F1-0F2B152A96E2}"/>
              </c:ext>
            </c:extLst>
          </c:dPt>
          <c:dPt>
            <c:idx val="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A-96FB-4AF0-9D0D-BC9C21817BA5}"/>
              </c:ext>
            </c:extLst>
          </c:dPt>
          <c:dPt>
            <c:idx val="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96FB-4AF0-9D0D-BC9C21817BA5}"/>
              </c:ext>
            </c:extLst>
          </c:dPt>
          <c:dPt>
            <c:idx val="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C-96FB-4AF0-9D0D-BC9C21817BA5}"/>
              </c:ext>
            </c:extLst>
          </c:dPt>
          <c:dPt>
            <c:idx val="1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0-96FB-4AF0-9D0D-BC9C21817BA5}"/>
              </c:ext>
            </c:extLst>
          </c:dPt>
          <c:dPt>
            <c:idx val="1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4A2-49C4-9107-D032EFAA6039}"/>
              </c:ext>
            </c:extLst>
          </c:dPt>
          <c:dPt>
            <c:idx val="1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1C7-4C8C-9093-0D1697AC3B96}"/>
              </c:ext>
            </c:extLst>
          </c:dPt>
          <c:dPt>
            <c:idx val="1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0032-4F42-BAE8-9E7DBA7C367A}"/>
              </c:ext>
            </c:extLst>
          </c:dPt>
          <c:dPt>
            <c:idx val="1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032-4F42-BAE8-9E7DBA7C367A}"/>
              </c:ext>
            </c:extLst>
          </c:dPt>
          <c:dPt>
            <c:idx val="19"/>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0032-4F42-BAE8-9E7DBA7C367A}"/>
              </c:ext>
            </c:extLst>
          </c:dPt>
          <c:dPt>
            <c:idx val="2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032-4F42-BAE8-9E7DBA7C367A}"/>
              </c:ext>
            </c:extLst>
          </c:dPt>
          <c:dPt>
            <c:idx val="2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0032-4F42-BAE8-9E7DBA7C367A}"/>
              </c:ext>
            </c:extLst>
          </c:dPt>
          <c:dPt>
            <c:idx val="2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1C50-496A-AC12-B5A391D1F2A9}"/>
              </c:ext>
            </c:extLst>
          </c:dPt>
          <c:dPt>
            <c:idx val="2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1C50-496A-AC12-B5A391D1F2A9}"/>
              </c:ext>
            </c:extLst>
          </c:dPt>
          <c:dPt>
            <c:idx val="2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1C50-496A-AC12-B5A391D1F2A9}"/>
              </c:ext>
            </c:extLst>
          </c:dPt>
          <c:dPt>
            <c:idx val="25"/>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54A2-49C4-9107-D032EFAA6039}"/>
              </c:ext>
            </c:extLst>
          </c:dPt>
          <c:dPt>
            <c:idx val="26"/>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54A2-49C4-9107-D032EFAA6039}"/>
              </c:ext>
            </c:extLst>
          </c:dPt>
          <c:dPt>
            <c:idx val="2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54A2-49C4-9107-D032EFAA6039}"/>
              </c:ext>
            </c:extLst>
          </c:dPt>
          <c:dPt>
            <c:idx val="2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54A2-49C4-9107-D032EFAA603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Grafiki_budžeta_izpilde!$A$55:$A$84</c:f>
              <c:strCache>
                <c:ptCount val="30"/>
                <c:pt idx="0">
                  <c:v>IZDEVUMI kopā</c:v>
                </c:pt>
                <c:pt idx="1">
                  <c:v>1. Vispārējie valdības dienesti</c:v>
                </c:pt>
                <c:pt idx="2">
                  <c:v>1.1. Pārvalde, deputāti, komisijas</c:v>
                </c:pt>
                <c:pt idx="3">
                  <c:v>1.2. Aizņēmumu procentu maksājumi</c:v>
                </c:pt>
                <c:pt idx="4">
                  <c:v>1.3. Iemaksas PFIF</c:v>
                </c:pt>
                <c:pt idx="5">
                  <c:v>2. Sabiedriskā kārtība un drošība (bāze)</c:v>
                </c:pt>
                <c:pt idx="6">
                  <c:v>3. Sabiedriskās attiecības, laikraksts</c:v>
                </c:pt>
                <c:pt idx="7">
                  <c:v>4. Autoceļu fonds</c:v>
                </c:pt>
                <c:pt idx="8">
                  <c:v>5. Vides aizsardzība (DRN izlietojums)</c:v>
                </c:pt>
                <c:pt idx="9">
                  <c:v>6. Pašv. teritoriju un mājokļu apsaimniekošana</c:v>
                </c:pt>
                <c:pt idx="10">
                  <c:v>6.1. APN, NĪN, TPN, Būvvalde</c:v>
                </c:pt>
                <c:pt idx="11">
                  <c:v>6.2. Teritorijas uzturēšana</c:v>
                </c:pt>
                <c:pt idx="12">
                  <c:v>6.3. Izdevumi neparedzētiem gadījumiem, līdzdalības budžets</c:v>
                </c:pt>
                <c:pt idx="13">
                  <c:v>6.4. Projekti</c:v>
                </c:pt>
                <c:pt idx="14">
                  <c:v>7. Atpūta, kultūra un reliģija</c:v>
                </c:pt>
                <c:pt idx="15">
                  <c:v>8. Sociālā aizsardzība</c:v>
                </c:pt>
                <c:pt idx="16">
                  <c:v>9. Izglītība</c:v>
                </c:pt>
                <c:pt idx="17">
                  <c:v>9.1. Norēķini ar pašvaldībām par izglītības iestāžu pakalp.</c:v>
                </c:pt>
                <c:pt idx="18">
                  <c:v>9.2. Ādažu PII "Strautiņš"</c:v>
                </c:pt>
                <c:pt idx="19">
                  <c:v>9.3. Kadagas PII "Mežavēji"</c:v>
                </c:pt>
                <c:pt idx="20">
                  <c:v>9.4. Carnikavas PII "Riekstiņš"</c:v>
                </c:pt>
                <c:pt idx="21">
                  <c:v>9.5. Siguļu PII "Piejūra"</c:v>
                </c:pt>
                <c:pt idx="22">
                  <c:v>9.6. Privātās izglītības iestādes</c:v>
                </c:pt>
                <c:pt idx="23">
                  <c:v>9.7. Carnikavas vidusskola</c:v>
                </c:pt>
                <c:pt idx="24">
                  <c:v>9.8. Ādažu vidusskola</c:v>
                </c:pt>
                <c:pt idx="25">
                  <c:v>9.9. Ādažu novada  Mākslu skola</c:v>
                </c:pt>
                <c:pt idx="26">
                  <c:v>9.10. Sporta skola</c:v>
                </c:pt>
                <c:pt idx="27">
                  <c:v>9.11. Izglītības un jauniešu lietu pārvalde </c:v>
                </c:pt>
                <c:pt idx="28">
                  <c:v>9.12. Projekti</c:v>
                </c:pt>
                <c:pt idx="29">
                  <c:v>10. Kredītu pamatsummas atmaksa</c:v>
                </c:pt>
              </c:strCache>
            </c:strRef>
          </c:cat>
          <c:val>
            <c:numRef>
              <c:f>Grafiki_budžeta_izpilde!$D$55:$D$84</c:f>
              <c:numCache>
                <c:formatCode>0%</c:formatCode>
                <c:ptCount val="30"/>
                <c:pt idx="0">
                  <c:v>0.15249230159179533</c:v>
                </c:pt>
                <c:pt idx="1">
                  <c:v>0.20783592223936234</c:v>
                </c:pt>
                <c:pt idx="2">
                  <c:v>0.17148519363952155</c:v>
                </c:pt>
                <c:pt idx="3">
                  <c:v>0.23081063524693907</c:v>
                </c:pt>
                <c:pt idx="4">
                  <c:v>0.21999999728875358</c:v>
                </c:pt>
                <c:pt idx="5">
                  <c:v>0.14232920845674599</c:v>
                </c:pt>
                <c:pt idx="6">
                  <c:v>0.13775254353541896</c:v>
                </c:pt>
                <c:pt idx="7">
                  <c:v>0.16853289657817538</c:v>
                </c:pt>
                <c:pt idx="8">
                  <c:v>0.29206116946582034</c:v>
                </c:pt>
                <c:pt idx="9">
                  <c:v>8.6082136300016529E-2</c:v>
                </c:pt>
                <c:pt idx="10">
                  <c:v>0.15146802264678957</c:v>
                </c:pt>
                <c:pt idx="11">
                  <c:v>0.14434518173004443</c:v>
                </c:pt>
                <c:pt idx="12">
                  <c:v>0</c:v>
                </c:pt>
                <c:pt idx="13">
                  <c:v>5.8473250444449211E-2</c:v>
                </c:pt>
                <c:pt idx="14">
                  <c:v>0.14569985715675859</c:v>
                </c:pt>
                <c:pt idx="15">
                  <c:v>0.19019167805064952</c:v>
                </c:pt>
                <c:pt idx="16">
                  <c:v>0.15932948553489582</c:v>
                </c:pt>
                <c:pt idx="17">
                  <c:v>3.2783187499999998E-2</c:v>
                </c:pt>
                <c:pt idx="18">
                  <c:v>0.14948355145259437</c:v>
                </c:pt>
                <c:pt idx="19">
                  <c:v>0.1488115727083571</c:v>
                </c:pt>
                <c:pt idx="20">
                  <c:v>0.15408731024532171</c:v>
                </c:pt>
                <c:pt idx="21">
                  <c:v>0.15487350581402626</c:v>
                </c:pt>
                <c:pt idx="22">
                  <c:v>0.2352844228113162</c:v>
                </c:pt>
                <c:pt idx="23">
                  <c:v>0.16513575243900064</c:v>
                </c:pt>
                <c:pt idx="24">
                  <c:v>0.16091958737310014</c:v>
                </c:pt>
                <c:pt idx="25">
                  <c:v>0.16475662251489734</c:v>
                </c:pt>
                <c:pt idx="26">
                  <c:v>0.16960210703207204</c:v>
                </c:pt>
                <c:pt idx="27">
                  <c:v>0.10882232273114331</c:v>
                </c:pt>
                <c:pt idx="28">
                  <c:v>0.14792075455957596</c:v>
                </c:pt>
                <c:pt idx="29">
                  <c:v>0.30669607679801164</c:v>
                </c:pt>
              </c:numCache>
            </c:numRef>
          </c:val>
          <c:extLst>
            <c:ext xmlns:c16="http://schemas.microsoft.com/office/drawing/2014/chart" uri="{C3380CC4-5D6E-409C-BE32-E72D297353CC}">
              <c16:uniqueId val="{00000002-B172-4793-95F1-0F2B152A96E2}"/>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60004</xdr:colOff>
      <xdr:row>3</xdr:row>
      <xdr:rowOff>137158</xdr:rowOff>
    </xdr:from>
    <xdr:to>
      <xdr:col>18</xdr:col>
      <xdr:colOff>66674</xdr:colOff>
      <xdr:row>28</xdr:row>
      <xdr:rowOff>49529</xdr:rowOff>
    </xdr:to>
    <xdr:graphicFrame macro="">
      <xdr:nvGraphicFramePr>
        <xdr:cNvPr id="2" name="Diagramma 9">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588858</xdr:colOff>
      <xdr:row>4</xdr:row>
      <xdr:rowOff>283000</xdr:rowOff>
    </xdr:from>
    <xdr:to>
      <xdr:col>10</xdr:col>
      <xdr:colOff>623146</xdr:colOff>
      <xdr:row>4</xdr:row>
      <xdr:rowOff>508002</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1405025" y="928583"/>
          <a:ext cx="637538" cy="22500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25%</a:t>
          </a:r>
        </a:p>
        <a:p>
          <a:pPr algn="ctr"/>
          <a:endParaRPr lang="lv-LV" sz="1100"/>
        </a:p>
      </xdr:txBody>
    </xdr:sp>
    <xdr:clientData/>
  </xdr:twoCellAnchor>
  <xdr:twoCellAnchor>
    <xdr:from>
      <xdr:col>4</xdr:col>
      <xdr:colOff>404493</xdr:colOff>
      <xdr:row>50</xdr:row>
      <xdr:rowOff>60114</xdr:rowOff>
    </xdr:from>
    <xdr:to>
      <xdr:col>18</xdr:col>
      <xdr:colOff>249766</xdr:colOff>
      <xdr:row>87</xdr:row>
      <xdr:rowOff>137584</xdr:rowOff>
    </xdr:to>
    <xdr:graphicFrame macro="">
      <xdr:nvGraphicFramePr>
        <xdr:cNvPr id="4" name="Diagramma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0.48325</cdr:x>
      <cdr:y>0.15951</cdr:y>
    </cdr:from>
    <cdr:to>
      <cdr:x>0.48325</cdr:x>
      <cdr:y>0.94843</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4713630" y="708549"/>
          <a:ext cx="0" cy="3504413"/>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0.48548</cdr:x>
      <cdr:y>0.13955</cdr:y>
    </cdr:from>
    <cdr:to>
      <cdr:x>0.48548</cdr:x>
      <cdr:y>0.97122</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4657007" y="908801"/>
          <a:ext cx="0" cy="5415948"/>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0.44955</cdr:x>
      <cdr:y>0.05562</cdr:y>
    </cdr:from>
    <cdr:to>
      <cdr:x>0.52201</cdr:x>
      <cdr:y>0.09585</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4312345" y="362217"/>
          <a:ext cx="695075" cy="261983"/>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25%</a:t>
          </a:r>
        </a:p>
        <a:p xmlns:a="http://schemas.openxmlformats.org/drawingml/2006/main">
          <a:pPr algn="ctr"/>
          <a:endParaRPr lang="lv-LV" sz="1100"/>
        </a:p>
      </cdr:txBody>
    </cdr:sp>
  </cdr:relSizeAnchor>
</c:userShape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192B1-81F0-4FC0-97F9-946F07D61EF1}">
  <sheetPr codeName="Lapa6" filterMode="1">
    <tabColor rgb="FF8E267F"/>
    <pageSetUpPr fitToPage="1"/>
  </sheetPr>
  <dimension ref="A1:Y470"/>
  <sheetViews>
    <sheetView zoomScale="122" zoomScaleNormal="130" zoomScaleSheetLayoutView="150" workbookViewId="0">
      <selection activeCell="K3" sqref="K3"/>
    </sheetView>
  </sheetViews>
  <sheetFormatPr defaultRowHeight="12" outlineLevelRow="1" outlineLevelCol="1" x14ac:dyDescent="0.2"/>
  <cols>
    <col min="1" max="1" width="2.5703125" style="729" customWidth="1"/>
    <col min="2" max="2" width="3.42578125" style="300" hidden="1" customWidth="1" outlineLevel="1"/>
    <col min="3" max="3" width="3.7109375" customWidth="1" collapsed="1"/>
    <col min="4" max="5" width="1.7109375" customWidth="1"/>
    <col min="6" max="6" width="12" style="8" customWidth="1" outlineLevel="1"/>
    <col min="7" max="7" width="12.7109375" customWidth="1" outlineLevel="1"/>
    <col min="8" max="8" width="56.85546875" customWidth="1"/>
    <col min="9" max="9" width="14.42578125" customWidth="1"/>
    <col min="10" max="10" width="0.5703125" customWidth="1"/>
    <col min="11" max="11" width="14.85546875" customWidth="1"/>
    <col min="12" max="12" width="13.42578125" customWidth="1"/>
    <col min="13" max="13" width="12.7109375" style="7" customWidth="1"/>
    <col min="14" max="14" width="1" customWidth="1"/>
    <col min="15" max="15" width="12.7109375" style="7" customWidth="1" outlineLevel="1"/>
    <col min="16" max="16" width="72.5703125" style="45" customWidth="1"/>
    <col min="17" max="17" width="13.42578125" style="135" customWidth="1"/>
    <col min="18" max="18" width="15.42578125" customWidth="1"/>
    <col min="19" max="19" width="21.42578125" customWidth="1"/>
    <col min="20" max="20" width="13.42578125" customWidth="1"/>
    <col min="21" max="21" width="11" customWidth="1"/>
  </cols>
  <sheetData>
    <row r="1" spans="6:21" ht="14.45" customHeight="1" x14ac:dyDescent="0.2">
      <c r="M1" s="170"/>
      <c r="O1" s="170"/>
      <c r="R1" s="156"/>
      <c r="S1" s="50"/>
    </row>
    <row r="2" spans="6:21" ht="24.75" customHeight="1" x14ac:dyDescent="0.2">
      <c r="G2" s="219"/>
      <c r="H2" s="175"/>
      <c r="K2" s="625">
        <v>2025</v>
      </c>
      <c r="L2" s="625">
        <v>2026</v>
      </c>
      <c r="M2" s="772" t="s">
        <v>1057</v>
      </c>
      <c r="O2" s="771" t="s">
        <v>1058</v>
      </c>
      <c r="R2" s="294" t="s">
        <v>690</v>
      </c>
      <c r="S2" s="391" t="e">
        <f>#REF!+114822</f>
        <v>#REF!</v>
      </c>
      <c r="T2" s="51">
        <v>4771895.0599999996</v>
      </c>
      <c r="U2" s="11"/>
    </row>
    <row r="3" spans="6:21" ht="15.6" customHeight="1" x14ac:dyDescent="0.2">
      <c r="F3" s="361">
        <v>47212315.492941171</v>
      </c>
      <c r="G3" s="898">
        <v>47212315.492941171</v>
      </c>
      <c r="H3" s="9"/>
      <c r="I3" s="172" t="s">
        <v>360</v>
      </c>
      <c r="K3" s="250" t="e">
        <f>#REF!</f>
        <v>#REF!</v>
      </c>
      <c r="L3" s="933" t="e">
        <f>#REF!</f>
        <v>#REF!</v>
      </c>
      <c r="M3" s="155" t="e">
        <f>L3-K3</f>
        <v>#REF!</v>
      </c>
      <c r="O3" s="273" t="e">
        <f>L3/K3-1</f>
        <v>#REF!</v>
      </c>
      <c r="P3" s="934" t="s">
        <v>1358</v>
      </c>
      <c r="Q3" s="378"/>
      <c r="R3" s="295" t="s">
        <v>587</v>
      </c>
      <c r="S3" s="226"/>
      <c r="T3" s="51" t="s">
        <v>727</v>
      </c>
      <c r="U3" s="11"/>
    </row>
    <row r="4" spans="6:21" ht="93.6" customHeight="1" x14ac:dyDescent="0.2">
      <c r="F4" s="361">
        <v>41221258.668277726</v>
      </c>
      <c r="G4" s="898">
        <v>41221258.668277726</v>
      </c>
      <c r="H4" s="9"/>
      <c r="I4" s="172" t="s">
        <v>361</v>
      </c>
      <c r="K4" s="252" t="e">
        <f>#REF!</f>
        <v>#REF!</v>
      </c>
      <c r="L4" s="251" t="e">
        <f>#REF!</f>
        <v>#REF!</v>
      </c>
      <c r="M4" s="155" t="e">
        <f>L4-K4</f>
        <v>#REF!</v>
      </c>
      <c r="O4" s="273" t="e">
        <f>L4/K4-1</f>
        <v>#REF!</v>
      </c>
      <c r="P4" s="934" t="s">
        <v>1369</v>
      </c>
      <c r="Q4" s="378"/>
      <c r="R4" s="294" t="s">
        <v>691</v>
      </c>
      <c r="S4" s="385"/>
      <c r="T4" s="51"/>
      <c r="U4" s="11"/>
    </row>
    <row r="5" spans="6:21" ht="14.45" customHeight="1" x14ac:dyDescent="0.2">
      <c r="F5" s="361">
        <v>5991056.8246634454</v>
      </c>
      <c r="G5" s="899">
        <v>5991056.8246634454</v>
      </c>
      <c r="H5" s="223"/>
      <c r="I5" s="223"/>
      <c r="K5" s="253" t="e">
        <f>K3-K4</f>
        <v>#REF!</v>
      </c>
      <c r="L5" s="253" t="e">
        <f>L3-L4</f>
        <v>#REF!</v>
      </c>
      <c r="M5" s="274" t="e">
        <f>M3-M4</f>
        <v>#REF!</v>
      </c>
      <c r="O5" s="273" t="e">
        <f>L5/K5-1</f>
        <v>#REF!</v>
      </c>
      <c r="Q5" s="379"/>
      <c r="R5" s="392" t="s">
        <v>692</v>
      </c>
      <c r="S5" s="393"/>
      <c r="T5" s="51"/>
      <c r="U5" s="11"/>
    </row>
    <row r="6" spans="6:21" ht="14.45" customHeight="1" x14ac:dyDescent="0.2">
      <c r="F6" s="361"/>
      <c r="G6" s="898"/>
      <c r="H6" s="120"/>
      <c r="I6" s="5"/>
      <c r="L6" s="220"/>
      <c r="P6" s="221"/>
      <c r="Q6" s="379"/>
      <c r="R6" s="394" t="s">
        <v>693</v>
      </c>
      <c r="S6" s="395">
        <f>SUM(S4:S5)</f>
        <v>0</v>
      </c>
      <c r="T6" s="51"/>
      <c r="U6" s="11"/>
    </row>
    <row r="7" spans="6:21" ht="14.45" customHeight="1" x14ac:dyDescent="0.2">
      <c r="F7" s="361">
        <v>6702990.9699999997</v>
      </c>
      <c r="G7" s="900">
        <v>6702990.9699999997</v>
      </c>
      <c r="H7" s="5"/>
      <c r="I7" s="364" t="s">
        <v>1137</v>
      </c>
      <c r="J7" s="8"/>
      <c r="K7" s="683"/>
      <c r="L7" s="684">
        <f>6712462.97-7279-2193</f>
        <v>6702990.9699999997</v>
      </c>
      <c r="M7" s="931" t="s">
        <v>1347</v>
      </c>
      <c r="N7" s="8"/>
      <c r="P7" s="7"/>
      <c r="S7" s="160"/>
      <c r="U7" s="11"/>
    </row>
    <row r="8" spans="6:21" ht="14.45" customHeight="1" x14ac:dyDescent="0.2">
      <c r="F8" s="361">
        <v>12694047.794663444</v>
      </c>
      <c r="G8" s="901">
        <v>12694047.794663444</v>
      </c>
      <c r="H8" s="296"/>
      <c r="I8" s="296" t="s">
        <v>462</v>
      </c>
      <c r="K8" s="116"/>
      <c r="L8" s="254" t="e">
        <f>L5+L7</f>
        <v>#REF!</v>
      </c>
      <c r="T8" s="51"/>
      <c r="U8" s="11"/>
    </row>
    <row r="9" spans="6:21" ht="14.45" customHeight="1" x14ac:dyDescent="0.2">
      <c r="F9" s="361"/>
      <c r="G9" s="902"/>
      <c r="I9" s="5"/>
      <c r="L9" s="220"/>
      <c r="R9" s="159"/>
      <c r="S9" s="160"/>
      <c r="T9" s="51" t="s">
        <v>629</v>
      </c>
      <c r="U9" s="11"/>
    </row>
    <row r="10" spans="6:21" ht="14.45" customHeight="1" x14ac:dyDescent="0.2">
      <c r="F10" s="361">
        <v>3907497</v>
      </c>
      <c r="G10" s="902">
        <v>3907497</v>
      </c>
      <c r="I10" s="172" t="s">
        <v>610</v>
      </c>
      <c r="K10" s="948" t="s">
        <v>1367</v>
      </c>
      <c r="L10" s="251" t="e">
        <f>#REF!</f>
        <v>#REF!</v>
      </c>
      <c r="M10" s="135">
        <v>455488.13</v>
      </c>
      <c r="O10" s="7" t="s">
        <v>1187</v>
      </c>
      <c r="S10" s="160"/>
      <c r="T10" s="51"/>
      <c r="U10" s="11"/>
    </row>
    <row r="11" spans="6:21" ht="14.45" customHeight="1" x14ac:dyDescent="0.2">
      <c r="F11" s="361">
        <v>8786550.7946634442</v>
      </c>
      <c r="G11" s="902">
        <v>8786550.7946634442</v>
      </c>
      <c r="H11" s="224"/>
      <c r="I11" s="224"/>
      <c r="J11" s="51"/>
      <c r="K11" s="225"/>
      <c r="L11" s="254" t="e">
        <f>L8-L10</f>
        <v>#REF!</v>
      </c>
      <c r="N11" s="51"/>
      <c r="O11" s="46"/>
      <c r="S11" s="160"/>
      <c r="T11" s="51"/>
      <c r="U11" s="11"/>
    </row>
    <row r="12" spans="6:21" ht="14.45" customHeight="1" x14ac:dyDescent="0.2">
      <c r="F12" s="361"/>
      <c r="G12" s="902"/>
      <c r="I12" s="5"/>
      <c r="K12" s="339"/>
      <c r="L12" s="220"/>
      <c r="S12" s="160"/>
      <c r="U12" s="11"/>
    </row>
    <row r="13" spans="6:21" ht="14.45" customHeight="1" x14ac:dyDescent="0.2">
      <c r="F13" s="361">
        <v>3340445.1859999998</v>
      </c>
      <c r="G13" s="901">
        <v>3320445.1859999998</v>
      </c>
      <c r="H13" s="6"/>
      <c r="I13" s="47" t="s">
        <v>614</v>
      </c>
      <c r="L13" s="251">
        <f>K29</f>
        <v>3320446.6360000004</v>
      </c>
      <c r="S13" s="135"/>
      <c r="T13" s="51"/>
      <c r="U13" s="11"/>
    </row>
    <row r="14" spans="6:21" ht="14.45" customHeight="1" x14ac:dyDescent="0.2">
      <c r="F14" s="361">
        <v>1392130.75141</v>
      </c>
      <c r="G14" s="901">
        <v>1392130.75141</v>
      </c>
      <c r="I14" s="47" t="s">
        <v>599</v>
      </c>
      <c r="L14" s="251">
        <f>K30</f>
        <v>1392130.75141</v>
      </c>
      <c r="M14" s="122"/>
      <c r="O14" s="122"/>
      <c r="S14" s="157"/>
      <c r="U14" s="11"/>
    </row>
    <row r="15" spans="6:21" ht="14.45" customHeight="1" x14ac:dyDescent="0.2">
      <c r="F15" s="361">
        <v>4053974.8572534444</v>
      </c>
      <c r="G15" s="900">
        <v>4073974.8572534444</v>
      </c>
      <c r="H15" s="227"/>
      <c r="I15" s="227" t="s">
        <v>442</v>
      </c>
      <c r="K15" s="117"/>
      <c r="L15" s="365" t="e">
        <f>L11-L13-L14</f>
        <v>#REF!</v>
      </c>
      <c r="M15" s="747" t="e">
        <f>L4*O15</f>
        <v>#REF!</v>
      </c>
      <c r="O15" s="748">
        <v>5.0000000000000001E-3</v>
      </c>
      <c r="S15" s="135"/>
      <c r="T15" s="51"/>
      <c r="U15" s="11"/>
    </row>
    <row r="16" spans="6:21" ht="14.45" customHeight="1" x14ac:dyDescent="0.2">
      <c r="F16" s="361"/>
      <c r="G16" s="902"/>
      <c r="L16" s="220"/>
      <c r="M16" s="747" t="s">
        <v>1159</v>
      </c>
      <c r="O16" s="747"/>
      <c r="S16" s="135"/>
      <c r="U16" s="11"/>
    </row>
    <row r="17" spans="1:21" ht="14.45" customHeight="1" x14ac:dyDescent="0.2">
      <c r="F17" s="361"/>
      <c r="G17" s="902"/>
      <c r="I17" s="47" t="s">
        <v>601</v>
      </c>
      <c r="L17" s="220"/>
      <c r="P17" s="10"/>
      <c r="S17" s="135"/>
      <c r="U17" s="11"/>
    </row>
    <row r="18" spans="1:21" ht="14.45" customHeight="1" x14ac:dyDescent="0.2">
      <c r="F18" s="361">
        <v>3878517.7333333334</v>
      </c>
      <c r="G18" s="902">
        <v>3923667.7333333334</v>
      </c>
      <c r="I18" s="293" t="s">
        <v>611</v>
      </c>
      <c r="J18" s="65"/>
      <c r="K18" s="65"/>
      <c r="L18" s="366">
        <f>K32</f>
        <v>3923667.7333333334</v>
      </c>
      <c r="M18" s="941" t="s">
        <v>1359</v>
      </c>
      <c r="N18" s="942"/>
      <c r="O18" s="941"/>
      <c r="P18" s="943"/>
      <c r="S18" s="7"/>
      <c r="U18" s="11"/>
    </row>
    <row r="19" spans="1:21" ht="14.45" customHeight="1" x14ac:dyDescent="0.2">
      <c r="F19" s="361">
        <v>175457.12392011099</v>
      </c>
      <c r="G19" s="902">
        <v>150307.12392011099</v>
      </c>
      <c r="H19" s="158"/>
      <c r="I19" s="266" t="s">
        <v>613</v>
      </c>
      <c r="J19" s="65"/>
      <c r="K19" s="65"/>
      <c r="L19" s="367" t="e">
        <f>L15-L18</f>
        <v>#REF!</v>
      </c>
      <c r="M19" s="767" t="s">
        <v>1348</v>
      </c>
      <c r="N19" s="65"/>
      <c r="O19" s="297"/>
      <c r="P19" s="10"/>
      <c r="S19" s="7"/>
      <c r="U19" s="11"/>
    </row>
    <row r="20" spans="1:21" ht="14.45" customHeight="1" x14ac:dyDescent="0.2">
      <c r="G20" s="11"/>
      <c r="H20" s="158"/>
      <c r="I20" s="293"/>
      <c r="J20" s="65"/>
      <c r="K20" s="65"/>
      <c r="L20" s="292"/>
      <c r="M20" s="767"/>
      <c r="N20" s="65"/>
      <c r="O20" s="122"/>
      <c r="P20" s="10"/>
      <c r="S20" s="7"/>
      <c r="U20" s="11"/>
    </row>
    <row r="21" spans="1:21" ht="14.45" customHeight="1" x14ac:dyDescent="0.2">
      <c r="G21" s="11"/>
      <c r="H21" s="158"/>
      <c r="I21" s="293"/>
      <c r="J21" s="65"/>
      <c r="K21" s="65"/>
      <c r="L21" s="292"/>
      <c r="M21" s="767"/>
      <c r="N21" s="65"/>
      <c r="O21" s="122"/>
      <c r="P21" s="10"/>
      <c r="S21" s="7"/>
      <c r="U21" s="11"/>
    </row>
    <row r="22" spans="1:21" ht="12" customHeight="1" x14ac:dyDescent="0.2">
      <c r="G22" s="11"/>
      <c r="I22" s="47"/>
      <c r="L22" s="251"/>
      <c r="O22" s="122"/>
      <c r="P22" s="10"/>
      <c r="S22" s="7"/>
      <c r="U22" s="11"/>
    </row>
    <row r="23" spans="1:21" hidden="1" x14ac:dyDescent="0.2">
      <c r="F23" s="143"/>
      <c r="I23" s="47" t="s">
        <v>470</v>
      </c>
      <c r="L23" s="251">
        <f>K31-K32</f>
        <v>3920750.4400000004</v>
      </c>
      <c r="M23" s="10"/>
      <c r="O23" s="10"/>
      <c r="P23"/>
      <c r="Q23"/>
      <c r="R23" s="7"/>
      <c r="T23" s="11"/>
    </row>
    <row r="24" spans="1:21" hidden="1" x14ac:dyDescent="0.2">
      <c r="G24" s="11"/>
      <c r="I24" s="47"/>
      <c r="L24" s="251"/>
      <c r="M24" s="122"/>
      <c r="O24" s="122"/>
      <c r="P24" s="10"/>
      <c r="Q24"/>
      <c r="S24" s="7"/>
      <c r="U24" s="11"/>
    </row>
    <row r="25" spans="1:21" hidden="1" x14ac:dyDescent="0.2">
      <c r="H25" s="228"/>
      <c r="I25" s="228" t="s">
        <v>588</v>
      </c>
      <c r="K25" s="153"/>
      <c r="L25" s="298" t="e">
        <f>L15-L18-L23</f>
        <v>#REF!</v>
      </c>
      <c r="Q25"/>
      <c r="S25" s="7"/>
      <c r="T25" s="51"/>
      <c r="U25" s="11"/>
    </row>
    <row r="26" spans="1:21" hidden="1" x14ac:dyDescent="0.2">
      <c r="L26" s="7"/>
      <c r="Q26"/>
    </row>
    <row r="27" spans="1:21" hidden="1" x14ac:dyDescent="0.2">
      <c r="L27" s="7"/>
      <c r="Q27"/>
    </row>
    <row r="28" spans="1:21" ht="12" customHeight="1" collapsed="1" x14ac:dyDescent="0.2">
      <c r="A28" s="730"/>
      <c r="C28" s="282"/>
      <c r="D28" s="283"/>
      <c r="E28" s="283"/>
      <c r="F28" s="435"/>
      <c r="G28" s="283"/>
      <c r="H28" s="368"/>
      <c r="I28" s="389" t="s">
        <v>345</v>
      </c>
      <c r="J28" s="390"/>
      <c r="K28" s="152" t="s">
        <v>229</v>
      </c>
      <c r="L28" s="152" t="s">
        <v>344</v>
      </c>
      <c r="M28" s="166" t="s">
        <v>305</v>
      </c>
      <c r="N28" s="390"/>
      <c r="O28" s="45"/>
    </row>
    <row r="29" spans="1:21" ht="14.45" customHeight="1" x14ac:dyDescent="0.2">
      <c r="A29" s="730"/>
      <c r="C29" s="284"/>
      <c r="D29" s="4"/>
      <c r="E29" s="4"/>
      <c r="G29" s="4"/>
      <c r="H29" s="262" t="s">
        <v>600</v>
      </c>
      <c r="I29" s="257">
        <f>SUM(K29:M29)</f>
        <v>24902313.65554262</v>
      </c>
      <c r="K29" s="162">
        <f>K121</f>
        <v>3320446.6360000004</v>
      </c>
      <c r="L29" s="162">
        <f>L121</f>
        <v>11274865.470542617</v>
      </c>
      <c r="M29" s="162">
        <f>M121</f>
        <v>10307001.549000002</v>
      </c>
      <c r="O29" s="45"/>
    </row>
    <row r="30" spans="1:21" ht="14.45" customHeight="1" x14ac:dyDescent="0.2">
      <c r="A30" s="730"/>
      <c r="C30" s="284"/>
      <c r="D30" s="4"/>
      <c r="E30" s="4"/>
      <c r="G30" s="4"/>
      <c r="H30" s="262" t="s">
        <v>725</v>
      </c>
      <c r="I30" s="257">
        <f>SUM(K30:M30)</f>
        <v>1422550.75141</v>
      </c>
      <c r="K30" s="162">
        <f>K200</f>
        <v>1392130.75141</v>
      </c>
      <c r="L30" s="162">
        <f>L200</f>
        <v>30420</v>
      </c>
      <c r="M30" s="162">
        <f>M200</f>
        <v>0</v>
      </c>
      <c r="O30" s="45"/>
    </row>
    <row r="31" spans="1:21" ht="14.45" customHeight="1" x14ac:dyDescent="0.2">
      <c r="A31" s="730"/>
      <c r="C31" s="284"/>
      <c r="D31" s="4"/>
      <c r="E31" s="4"/>
      <c r="G31" s="4"/>
      <c r="H31" s="262" t="s">
        <v>601</v>
      </c>
      <c r="I31" s="257">
        <f>SUM(K31:M31)</f>
        <v>7844418.1733333338</v>
      </c>
      <c r="K31" s="162">
        <f>K393</f>
        <v>7844418.1733333338</v>
      </c>
      <c r="L31" s="162">
        <f>L393</f>
        <v>0</v>
      </c>
      <c r="M31" s="162">
        <f>M393</f>
        <v>0</v>
      </c>
      <c r="O31" s="45"/>
    </row>
    <row r="32" spans="1:21" ht="14.45" customHeight="1" x14ac:dyDescent="0.2">
      <c r="A32" s="730"/>
      <c r="C32" s="284"/>
      <c r="D32" s="4"/>
      <c r="E32" s="4"/>
      <c r="G32" s="4"/>
      <c r="H32" s="285" t="s">
        <v>611</v>
      </c>
      <c r="I32" s="286">
        <f>I396</f>
        <v>3923667.7333333334</v>
      </c>
      <c r="J32" s="287"/>
      <c r="K32" s="288">
        <f t="shared" ref="K32:M33" si="0">K396</f>
        <v>3923667.7333333334</v>
      </c>
      <c r="L32" s="286">
        <f t="shared" si="0"/>
        <v>0</v>
      </c>
      <c r="M32" s="286">
        <f t="shared" si="0"/>
        <v>0</v>
      </c>
      <c r="N32" s="287"/>
      <c r="O32" s="45"/>
    </row>
    <row r="33" spans="1:23" ht="14.45" customHeight="1" x14ac:dyDescent="0.2">
      <c r="A33" s="730"/>
      <c r="C33" s="284"/>
      <c r="D33" s="4"/>
      <c r="E33" s="4"/>
      <c r="G33" s="4"/>
      <c r="H33" s="285" t="s">
        <v>821</v>
      </c>
      <c r="I33" s="286">
        <f>I397</f>
        <v>3873887.44</v>
      </c>
      <c r="J33" s="287"/>
      <c r="K33" s="288">
        <f t="shared" si="0"/>
        <v>3873887.44</v>
      </c>
      <c r="L33" s="286">
        <f t="shared" si="0"/>
        <v>0</v>
      </c>
      <c r="M33" s="286">
        <f t="shared" si="0"/>
        <v>0</v>
      </c>
      <c r="N33" s="287"/>
      <c r="O33" s="45"/>
    </row>
    <row r="34" spans="1:23" ht="14.45" customHeight="1" x14ac:dyDescent="0.2">
      <c r="A34" s="730"/>
      <c r="C34" s="284"/>
      <c r="D34" s="4"/>
      <c r="E34" s="4"/>
      <c r="G34" s="4"/>
      <c r="H34" s="262" t="s">
        <v>612</v>
      </c>
      <c r="I34" s="263">
        <f>SUM(I29:I31)</f>
        <v>34169282.580285951</v>
      </c>
      <c r="J34" s="5"/>
      <c r="K34" s="264">
        <f>SUM(K29:K31)</f>
        <v>12556995.560743334</v>
      </c>
      <c r="L34" s="264">
        <f>SUM(L29:L31)</f>
        <v>11305285.470542617</v>
      </c>
      <c r="M34" s="264">
        <f>SUM(M29:M31)</f>
        <v>10307001.549000002</v>
      </c>
      <c r="N34" s="5"/>
      <c r="O34" s="45"/>
    </row>
    <row r="35" spans="1:23" ht="14.45" customHeight="1" x14ac:dyDescent="0.2">
      <c r="A35" s="730"/>
      <c r="C35" s="259"/>
      <c r="D35" s="260"/>
      <c r="E35" s="260"/>
      <c r="F35" s="436"/>
      <c r="G35" s="260"/>
      <c r="H35" s="261" t="s">
        <v>602</v>
      </c>
      <c r="I35" s="258">
        <f>SUM(K35:M35)</f>
        <v>0</v>
      </c>
      <c r="J35" s="115"/>
      <c r="K35" s="256">
        <f>K469</f>
        <v>0</v>
      </c>
      <c r="L35" s="256">
        <f>L469</f>
        <v>0</v>
      </c>
      <c r="M35" s="256">
        <f>M469</f>
        <v>0</v>
      </c>
      <c r="N35" s="115"/>
      <c r="O35" s="45"/>
    </row>
    <row r="36" spans="1:23" ht="14.45" customHeight="1" x14ac:dyDescent="0.2">
      <c r="H36" s="289"/>
      <c r="I36" s="290"/>
      <c r="J36" s="115"/>
      <c r="K36" s="291"/>
      <c r="L36" s="291"/>
      <c r="M36" s="291"/>
      <c r="N36" s="115"/>
      <c r="O36" s="291"/>
    </row>
    <row r="37" spans="1:23" ht="14.45" customHeight="1" x14ac:dyDescent="0.2">
      <c r="D37" s="255"/>
      <c r="E37" s="255"/>
      <c r="F37" s="437" t="s">
        <v>726</v>
      </c>
      <c r="G37" s="255"/>
    </row>
    <row r="38" spans="1:23" ht="14.45" customHeight="1" x14ac:dyDescent="0.2">
      <c r="B38" s="1091"/>
      <c r="C38" s="1093" t="s">
        <v>301</v>
      </c>
      <c r="D38" s="1093" t="s">
        <v>259</v>
      </c>
      <c r="E38" s="1093" t="s">
        <v>260</v>
      </c>
      <c r="F38" s="1093" t="s">
        <v>459</v>
      </c>
      <c r="G38" s="1093" t="s">
        <v>443</v>
      </c>
      <c r="H38" s="1093" t="s">
        <v>488</v>
      </c>
      <c r="I38" s="1093" t="s">
        <v>345</v>
      </c>
      <c r="J38" s="128"/>
      <c r="K38" s="1094" t="s">
        <v>450</v>
      </c>
      <c r="L38" s="1094"/>
      <c r="M38" s="1094"/>
      <c r="N38" s="128"/>
      <c r="O38" s="1089" t="s">
        <v>1173</v>
      </c>
    </row>
    <row r="39" spans="1:23" s="6" customFormat="1" ht="36" customHeight="1" x14ac:dyDescent="0.2">
      <c r="A39" s="731"/>
      <c r="B39" s="1091"/>
      <c r="C39" s="1093"/>
      <c r="D39" s="1093"/>
      <c r="E39" s="1093"/>
      <c r="F39" s="1093"/>
      <c r="G39" s="1093"/>
      <c r="H39" s="1093"/>
      <c r="I39" s="1093"/>
      <c r="J39" s="128"/>
      <c r="K39" s="127" t="s">
        <v>229</v>
      </c>
      <c r="L39" s="152" t="s">
        <v>344</v>
      </c>
      <c r="M39" s="171" t="s">
        <v>305</v>
      </c>
      <c r="N39" s="128"/>
      <c r="O39" s="1090"/>
      <c r="P39" s="45"/>
      <c r="Q39" s="135"/>
      <c r="R39"/>
      <c r="S39"/>
      <c r="T39"/>
      <c r="U39"/>
      <c r="V39"/>
      <c r="W39"/>
    </row>
    <row r="40" spans="1:23" s="6" customFormat="1" ht="15" customHeight="1" x14ac:dyDescent="0.2">
      <c r="A40" s="731"/>
      <c r="B40" s="120" t="s">
        <v>607</v>
      </c>
      <c r="C40" s="370">
        <v>1</v>
      </c>
      <c r="D40" s="131"/>
      <c r="E40" s="131"/>
      <c r="F40" s="438" t="s">
        <v>1133</v>
      </c>
      <c r="G40" s="118" t="s">
        <v>646</v>
      </c>
      <c r="H40" s="140" t="s">
        <v>682</v>
      </c>
      <c r="I40" s="958">
        <f t="shared" ref="I40:I57" si="1">SUM(K40:M40)</f>
        <v>9257</v>
      </c>
      <c r="J40" s="424"/>
      <c r="K40" s="936">
        <v>9257</v>
      </c>
      <c r="L40" s="860"/>
      <c r="M40" s="864">
        <v>0</v>
      </c>
      <c r="N40" s="424"/>
      <c r="O40" s="776"/>
      <c r="P40" s="3" t="s">
        <v>1134</v>
      </c>
      <c r="Q40" s="380"/>
      <c r="S40" s="134" t="s">
        <v>269</v>
      </c>
      <c r="T40" s="134"/>
      <c r="U40" s="11"/>
    </row>
    <row r="41" spans="1:23" ht="16.899999999999999" customHeight="1" x14ac:dyDescent="0.2">
      <c r="A41" s="732"/>
      <c r="B41" s="9"/>
      <c r="C41" s="118">
        <v>2</v>
      </c>
      <c r="D41" s="119"/>
      <c r="E41" s="119"/>
      <c r="F41" s="442" t="s">
        <v>700</v>
      </c>
      <c r="G41" s="118" t="s">
        <v>341</v>
      </c>
      <c r="H41" s="903" t="s">
        <v>1282</v>
      </c>
      <c r="I41" s="960">
        <f t="shared" si="1"/>
        <v>30000</v>
      </c>
      <c r="J41" s="432"/>
      <c r="K41" s="950">
        <f>50000-20000</f>
        <v>30000</v>
      </c>
      <c r="L41" s="859"/>
      <c r="M41" s="859"/>
      <c r="N41" s="432"/>
      <c r="O41" s="777"/>
      <c r="P41" s="3" t="s">
        <v>1121</v>
      </c>
      <c r="Q41"/>
    </row>
    <row r="42" spans="1:23" s="6" customFormat="1" ht="24" x14ac:dyDescent="0.2">
      <c r="A42" s="731"/>
      <c r="B42" s="120" t="s">
        <v>330</v>
      </c>
      <c r="C42" s="370">
        <v>3</v>
      </c>
      <c r="D42" s="131"/>
      <c r="E42" s="131"/>
      <c r="F42" s="438" t="s">
        <v>297</v>
      </c>
      <c r="G42" s="118" t="s">
        <v>297</v>
      </c>
      <c r="H42" s="140" t="s">
        <v>451</v>
      </c>
      <c r="I42" s="984">
        <f t="shared" si="1"/>
        <v>10622</v>
      </c>
      <c r="J42" s="424"/>
      <c r="K42" s="858">
        <v>0</v>
      </c>
      <c r="L42" s="858">
        <v>10622</v>
      </c>
      <c r="M42" s="864">
        <v>0</v>
      </c>
      <c r="N42" s="424"/>
      <c r="O42" s="776"/>
      <c r="P42" s="3" t="s">
        <v>715</v>
      </c>
      <c r="Q42" s="380"/>
      <c r="S42" s="134" t="s">
        <v>269</v>
      </c>
      <c r="T42" s="134"/>
      <c r="U42" s="11"/>
    </row>
    <row r="43" spans="1:23" s="9" customFormat="1" ht="18.600000000000001" customHeight="1" x14ac:dyDescent="0.2">
      <c r="A43" s="735"/>
      <c r="B43" s="9" t="s">
        <v>608</v>
      </c>
      <c r="C43" s="118">
        <v>4</v>
      </c>
      <c r="D43" s="129"/>
      <c r="E43" s="138"/>
      <c r="F43" s="774" t="s">
        <v>1176</v>
      </c>
      <c r="G43" s="665" t="s">
        <v>589</v>
      </c>
      <c r="H43" s="662" t="s">
        <v>1074</v>
      </c>
      <c r="I43" s="963">
        <f>SUM(K43:M43)</f>
        <v>41250</v>
      </c>
      <c r="J43" s="139"/>
      <c r="K43" s="936">
        <v>41250</v>
      </c>
      <c r="L43" s="860">
        <v>0</v>
      </c>
      <c r="M43" s="858"/>
      <c r="N43" s="139"/>
      <c r="O43" s="778">
        <v>858258.45</v>
      </c>
      <c r="P43" s="3" t="s">
        <v>1208</v>
      </c>
      <c r="Q43" s="381"/>
      <c r="R43" s="120"/>
      <c r="S43" s="120"/>
      <c r="T43" s="120"/>
      <c r="U43" s="120"/>
      <c r="V43" s="120"/>
      <c r="W43" s="120"/>
    </row>
    <row r="44" spans="1:23" ht="36" x14ac:dyDescent="0.2">
      <c r="B44" s="9" t="s">
        <v>607</v>
      </c>
      <c r="C44" s="370">
        <v>5</v>
      </c>
      <c r="D44" s="118"/>
      <c r="E44" s="118"/>
      <c r="F44" s="439" t="s">
        <v>218</v>
      </c>
      <c r="G44" s="118" t="s">
        <v>589</v>
      </c>
      <c r="H44" s="133" t="s">
        <v>998</v>
      </c>
      <c r="I44" s="963">
        <f t="shared" si="1"/>
        <v>18000</v>
      </c>
      <c r="J44" s="139"/>
      <c r="K44" s="936">
        <v>6000</v>
      </c>
      <c r="L44" s="860">
        <v>12000</v>
      </c>
      <c r="M44" s="860"/>
      <c r="N44" s="139"/>
      <c r="O44" s="779"/>
      <c r="P44" s="369" t="s">
        <v>694</v>
      </c>
    </row>
    <row r="45" spans="1:23" ht="65.45" customHeight="1" x14ac:dyDescent="0.2">
      <c r="B45" s="9" t="s">
        <v>330</v>
      </c>
      <c r="C45" s="118">
        <v>6</v>
      </c>
      <c r="D45" s="118"/>
      <c r="E45" s="118"/>
      <c r="F45" s="439" t="s">
        <v>218</v>
      </c>
      <c r="G45" s="118" t="s">
        <v>589</v>
      </c>
      <c r="H45" s="133" t="s">
        <v>899</v>
      </c>
      <c r="I45" s="963">
        <f t="shared" si="1"/>
        <v>3050</v>
      </c>
      <c r="J45" s="139"/>
      <c r="K45" s="936">
        <f>570+2480</f>
        <v>3050</v>
      </c>
      <c r="L45" s="860"/>
      <c r="M45" s="860"/>
      <c r="N45" s="139"/>
      <c r="O45" s="779"/>
      <c r="P45" s="853" t="s">
        <v>1153</v>
      </c>
    </row>
    <row r="46" spans="1:23" ht="69" customHeight="1" x14ac:dyDescent="0.2">
      <c r="B46" s="9" t="s">
        <v>330</v>
      </c>
      <c r="C46" s="370">
        <v>7</v>
      </c>
      <c r="D46" s="118"/>
      <c r="E46" s="118"/>
      <c r="F46" s="439" t="s">
        <v>218</v>
      </c>
      <c r="G46" s="118" t="s">
        <v>589</v>
      </c>
      <c r="H46" s="133" t="s">
        <v>900</v>
      </c>
      <c r="I46" s="963">
        <f t="shared" si="1"/>
        <v>1525</v>
      </c>
      <c r="J46" s="139"/>
      <c r="K46" s="936">
        <f>285+1240</f>
        <v>1525</v>
      </c>
      <c r="L46" s="860"/>
      <c r="M46" s="860"/>
      <c r="N46" s="139"/>
      <c r="O46" s="779"/>
      <c r="P46" s="853" t="s">
        <v>1153</v>
      </c>
    </row>
    <row r="47" spans="1:23" x14ac:dyDescent="0.2">
      <c r="B47" s="9" t="s">
        <v>323</v>
      </c>
      <c r="C47" s="118">
        <v>8</v>
      </c>
      <c r="D47" s="118"/>
      <c r="E47" s="118"/>
      <c r="F47" s="439" t="s">
        <v>218</v>
      </c>
      <c r="G47" s="118" t="s">
        <v>589</v>
      </c>
      <c r="H47" s="119" t="s">
        <v>262</v>
      </c>
      <c r="I47" s="963">
        <f t="shared" si="1"/>
        <v>1300</v>
      </c>
      <c r="J47" s="139"/>
      <c r="K47" s="936">
        <v>300</v>
      </c>
      <c r="L47" s="860">
        <v>1000</v>
      </c>
      <c r="M47" s="860"/>
      <c r="N47" s="139"/>
      <c r="O47" s="779"/>
      <c r="P47" s="369"/>
    </row>
    <row r="48" spans="1:23" ht="14.45" customHeight="1" x14ac:dyDescent="0.2">
      <c r="B48" s="9" t="s">
        <v>608</v>
      </c>
      <c r="C48" s="370">
        <v>9</v>
      </c>
      <c r="D48" s="118"/>
      <c r="E48" s="118"/>
      <c r="F48" s="439" t="s">
        <v>218</v>
      </c>
      <c r="G48" s="665" t="s">
        <v>589</v>
      </c>
      <c r="H48" s="133" t="s">
        <v>901</v>
      </c>
      <c r="I48" s="963">
        <f>SUM(K48:M48)</f>
        <v>4000</v>
      </c>
      <c r="J48" s="139"/>
      <c r="K48" s="936">
        <v>4000</v>
      </c>
      <c r="L48" s="860"/>
      <c r="M48" s="860"/>
      <c r="N48" s="139"/>
      <c r="O48" s="779"/>
      <c r="P48" s="369" t="s">
        <v>902</v>
      </c>
    </row>
    <row r="49" spans="1:23" s="9" customFormat="1" ht="24" x14ac:dyDescent="0.2">
      <c r="A49" s="733"/>
      <c r="B49" s="9" t="s">
        <v>608</v>
      </c>
      <c r="C49" s="118">
        <v>10</v>
      </c>
      <c r="D49" s="129"/>
      <c r="E49" s="138"/>
      <c r="F49" s="438" t="s">
        <v>658</v>
      </c>
      <c r="G49" s="137" t="s">
        <v>589</v>
      </c>
      <c r="H49" s="662" t="s">
        <v>1068</v>
      </c>
      <c r="I49" s="963">
        <f>SUM(K49:M49)</f>
        <v>1435672.9972426188</v>
      </c>
      <c r="J49" s="139"/>
      <c r="K49" s="832">
        <f>363090.93-M49</f>
        <v>43090.929999999993</v>
      </c>
      <c r="L49" s="860">
        <v>1072582.0672426189</v>
      </c>
      <c r="M49" s="832">
        <v>320000</v>
      </c>
      <c r="N49" s="139"/>
      <c r="O49" s="779">
        <v>2847772</v>
      </c>
      <c r="P49" s="369" t="s">
        <v>1069</v>
      </c>
      <c r="Q49" s="381"/>
      <c r="R49" s="120"/>
      <c r="S49" s="120"/>
      <c r="T49" s="120"/>
      <c r="U49" s="120"/>
      <c r="V49" s="120"/>
      <c r="W49" s="120"/>
    </row>
    <row r="50" spans="1:23" s="9" customFormat="1" ht="22.5" x14ac:dyDescent="0.2">
      <c r="A50" s="733"/>
      <c r="B50" s="9" t="s">
        <v>608</v>
      </c>
      <c r="C50" s="370">
        <v>11</v>
      </c>
      <c r="D50" s="129"/>
      <c r="E50" s="138"/>
      <c r="F50" s="742" t="s">
        <v>1070</v>
      </c>
      <c r="G50" s="691" t="s">
        <v>589</v>
      </c>
      <c r="H50" s="692" t="s">
        <v>1071</v>
      </c>
      <c r="I50" s="973">
        <f>SUM(K50:M50)</f>
        <v>980225</v>
      </c>
      <c r="J50" s="139"/>
      <c r="K50" s="860">
        <v>147033.75</v>
      </c>
      <c r="L50" s="860">
        <v>0</v>
      </c>
      <c r="M50" s="860">
        <v>833191.25</v>
      </c>
      <c r="N50" s="139"/>
      <c r="O50" s="779">
        <v>1782228</v>
      </c>
      <c r="P50" s="369" t="s">
        <v>1178</v>
      </c>
      <c r="Q50" s="381"/>
      <c r="R50" s="120"/>
      <c r="S50" s="120"/>
      <c r="T50" s="120"/>
      <c r="U50" s="120"/>
      <c r="V50" s="120"/>
      <c r="W50" s="120"/>
    </row>
    <row r="51" spans="1:23" ht="39" customHeight="1" x14ac:dyDescent="0.2">
      <c r="B51" s="9" t="s">
        <v>608</v>
      </c>
      <c r="C51" s="118">
        <v>12</v>
      </c>
      <c r="D51" s="118"/>
      <c r="E51" s="118"/>
      <c r="F51" s="438" t="s">
        <v>689</v>
      </c>
      <c r="G51" s="118" t="s">
        <v>589</v>
      </c>
      <c r="H51" s="133" t="s">
        <v>1060</v>
      </c>
      <c r="I51" s="963">
        <f t="shared" si="1"/>
        <v>660558.49</v>
      </c>
      <c r="J51" s="139"/>
      <c r="K51" s="858">
        <v>269578.48999999993</v>
      </c>
      <c r="L51" s="860">
        <v>390980</v>
      </c>
      <c r="M51" s="860"/>
      <c r="N51" s="139"/>
      <c r="O51" s="779">
        <v>707692.95</v>
      </c>
      <c r="P51" s="369"/>
    </row>
    <row r="52" spans="1:23" ht="38.450000000000003" customHeight="1" x14ac:dyDescent="0.2">
      <c r="B52" s="9" t="s">
        <v>608</v>
      </c>
      <c r="C52" s="370">
        <v>13</v>
      </c>
      <c r="D52" s="118"/>
      <c r="E52" s="118"/>
      <c r="F52" s="439" t="s">
        <v>812</v>
      </c>
      <c r="G52" s="118" t="s">
        <v>589</v>
      </c>
      <c r="H52" s="662" t="s">
        <v>1066</v>
      </c>
      <c r="I52" s="963">
        <f>SUM(K52:M52)</f>
        <v>907436.40000000014</v>
      </c>
      <c r="J52" s="139"/>
      <c r="K52" s="858">
        <v>28362</v>
      </c>
      <c r="L52" s="860">
        <v>638646</v>
      </c>
      <c r="M52" s="860">
        <v>240428.40000000014</v>
      </c>
      <c r="N52" s="139"/>
      <c r="O52" s="779">
        <v>907436.40000000014</v>
      </c>
      <c r="P52" s="369" t="s">
        <v>695</v>
      </c>
    </row>
    <row r="53" spans="1:23" ht="29.45" customHeight="1" x14ac:dyDescent="0.2">
      <c r="B53" s="9" t="s">
        <v>608</v>
      </c>
      <c r="C53" s="118">
        <v>14</v>
      </c>
      <c r="D53" s="118"/>
      <c r="E53" s="118"/>
      <c r="F53" s="664" t="s">
        <v>1401</v>
      </c>
      <c r="G53" s="665" t="s">
        <v>589</v>
      </c>
      <c r="H53" s="662" t="s">
        <v>1067</v>
      </c>
      <c r="I53" s="963">
        <f>SUM(K53:M53)</f>
        <v>363945.29000000004</v>
      </c>
      <c r="J53" s="139"/>
      <c r="K53" s="858">
        <v>80217.820000000065</v>
      </c>
      <c r="L53" s="860">
        <v>283727.46999999997</v>
      </c>
      <c r="M53" s="860"/>
      <c r="N53" s="139"/>
      <c r="O53" s="779">
        <v>363945.29000000004</v>
      </c>
      <c r="P53" s="369"/>
    </row>
    <row r="54" spans="1:23" ht="17.45" customHeight="1" x14ac:dyDescent="0.2">
      <c r="B54" s="9" t="s">
        <v>330</v>
      </c>
      <c r="C54" s="370">
        <v>15</v>
      </c>
      <c r="D54" s="118"/>
      <c r="E54" s="118"/>
      <c r="F54" s="663" t="s">
        <v>839</v>
      </c>
      <c r="G54" s="661" t="s">
        <v>589</v>
      </c>
      <c r="H54" s="662" t="s">
        <v>1059</v>
      </c>
      <c r="I54" s="963">
        <f t="shared" si="1"/>
        <v>404972</v>
      </c>
      <c r="J54" s="139"/>
      <c r="K54" s="858">
        <f>404972-L54-M54</f>
        <v>328847</v>
      </c>
      <c r="L54" s="860">
        <v>76125</v>
      </c>
      <c r="M54" s="860"/>
      <c r="N54" s="139"/>
      <c r="O54" s="779">
        <v>584127.92000000004</v>
      </c>
      <c r="P54" s="369" t="s">
        <v>1093</v>
      </c>
    </row>
    <row r="55" spans="1:23" ht="17.45" customHeight="1" x14ac:dyDescent="0.2">
      <c r="B55" s="9" t="s">
        <v>330</v>
      </c>
      <c r="C55" s="118">
        <v>16</v>
      </c>
      <c r="D55" s="118"/>
      <c r="E55" s="118"/>
      <c r="F55" s="663" t="s">
        <v>872</v>
      </c>
      <c r="G55" s="661" t="s">
        <v>589</v>
      </c>
      <c r="H55" s="662" t="s">
        <v>1061</v>
      </c>
      <c r="I55" s="963">
        <f t="shared" si="1"/>
        <v>48400.14</v>
      </c>
      <c r="J55" s="139"/>
      <c r="K55" s="860">
        <v>22711</v>
      </c>
      <c r="L55" s="860">
        <v>25689.14</v>
      </c>
      <c r="M55" s="860"/>
      <c r="N55" s="139"/>
      <c r="O55" s="780">
        <v>48400</v>
      </c>
      <c r="P55" s="369"/>
    </row>
    <row r="56" spans="1:23" ht="24" customHeight="1" x14ac:dyDescent="0.2">
      <c r="B56" s="9" t="s">
        <v>608</v>
      </c>
      <c r="C56" s="370">
        <v>17</v>
      </c>
      <c r="D56" s="118"/>
      <c r="E56" s="118"/>
      <c r="F56" s="663" t="s">
        <v>873</v>
      </c>
      <c r="G56" s="661" t="s">
        <v>589</v>
      </c>
      <c r="H56" s="662" t="s">
        <v>1062</v>
      </c>
      <c r="I56" s="963">
        <f t="shared" si="1"/>
        <v>0</v>
      </c>
      <c r="J56" s="139"/>
      <c r="K56" s="858">
        <v>0</v>
      </c>
      <c r="L56" s="860">
        <v>0</v>
      </c>
      <c r="M56" s="860">
        <v>0</v>
      </c>
      <c r="N56" s="139"/>
      <c r="O56" s="779">
        <v>4997.3</v>
      </c>
      <c r="P56" s="649" t="s">
        <v>1258</v>
      </c>
    </row>
    <row r="57" spans="1:23" ht="39" customHeight="1" thickBot="1" x14ac:dyDescent="0.25">
      <c r="B57" s="9" t="s">
        <v>330</v>
      </c>
      <c r="C57" s="118">
        <v>18</v>
      </c>
      <c r="D57" s="118"/>
      <c r="E57" s="118"/>
      <c r="F57" s="663" t="s">
        <v>875</v>
      </c>
      <c r="G57" s="661" t="s">
        <v>589</v>
      </c>
      <c r="H57" s="662" t="s">
        <v>1063</v>
      </c>
      <c r="I57" s="963">
        <f t="shared" si="1"/>
        <v>0</v>
      </c>
      <c r="J57" s="139"/>
      <c r="K57" s="858">
        <v>0</v>
      </c>
      <c r="L57" s="860">
        <v>0</v>
      </c>
      <c r="M57" s="860">
        <v>0</v>
      </c>
      <c r="N57" s="139"/>
      <c r="O57" s="779">
        <v>10000</v>
      </c>
      <c r="P57" s="649" t="s">
        <v>1259</v>
      </c>
    </row>
    <row r="58" spans="1:23" s="9" customFormat="1" ht="24" x14ac:dyDescent="0.2">
      <c r="A58" s="733"/>
      <c r="B58" s="9" t="s">
        <v>608</v>
      </c>
      <c r="C58" s="370">
        <v>19</v>
      </c>
      <c r="D58" s="129"/>
      <c r="E58" s="741"/>
      <c r="F58" s="743" t="s">
        <v>590</v>
      </c>
      <c r="G58" s="362" t="s">
        <v>589</v>
      </c>
      <c r="H58" s="696" t="s">
        <v>696</v>
      </c>
      <c r="I58" s="974">
        <f>SUM(K58:M58)</f>
        <v>788012.49</v>
      </c>
      <c r="J58" s="697"/>
      <c r="K58" s="831">
        <f>850912.49-L58-L59</f>
        <v>678719.49</v>
      </c>
      <c r="L58" s="831">
        <f>172193-L59</f>
        <v>109293</v>
      </c>
      <c r="M58" s="860">
        <v>0</v>
      </c>
      <c r="N58" s="139"/>
      <c r="O58" s="1087">
        <v>986255</v>
      </c>
      <c r="P58" s="8"/>
      <c r="Q58" s="381"/>
      <c r="R58" s="120"/>
      <c r="S58" s="120"/>
      <c r="T58" s="120"/>
      <c r="U58" s="120"/>
      <c r="V58" s="120"/>
      <c r="W58" s="120"/>
    </row>
    <row r="59" spans="1:23" s="9" customFormat="1" ht="24.75" thickBot="1" x14ac:dyDescent="0.25">
      <c r="A59" s="733"/>
      <c r="B59" s="9" t="s">
        <v>608</v>
      </c>
      <c r="C59" s="118">
        <v>20</v>
      </c>
      <c r="D59" s="129"/>
      <c r="E59" s="741"/>
      <c r="F59" s="744" t="s">
        <v>1072</v>
      </c>
      <c r="G59" s="745" t="s">
        <v>589</v>
      </c>
      <c r="H59" s="746" t="s">
        <v>1073</v>
      </c>
      <c r="I59" s="975">
        <f>SUM(K59:M59)</f>
        <v>62900</v>
      </c>
      <c r="J59" s="727"/>
      <c r="K59" s="858">
        <v>0</v>
      </c>
      <c r="L59" s="860">
        <v>62900</v>
      </c>
      <c r="M59" s="860">
        <v>0</v>
      </c>
      <c r="N59" s="139"/>
      <c r="O59" s="1087"/>
      <c r="P59" s="8"/>
      <c r="Q59" s="381"/>
      <c r="R59" s="120"/>
      <c r="S59" s="120"/>
      <c r="T59" s="120"/>
      <c r="U59" s="120"/>
      <c r="V59" s="120"/>
      <c r="W59" s="120"/>
    </row>
    <row r="60" spans="1:23" s="9" customFormat="1" ht="24" x14ac:dyDescent="0.2">
      <c r="A60" s="733"/>
      <c r="B60" s="9" t="s">
        <v>330</v>
      </c>
      <c r="C60" s="370">
        <v>21</v>
      </c>
      <c r="D60" s="137"/>
      <c r="E60" s="137"/>
      <c r="F60" s="439" t="s">
        <v>649</v>
      </c>
      <c r="G60" s="137" t="s">
        <v>589</v>
      </c>
      <c r="H60" s="662" t="s">
        <v>688</v>
      </c>
      <c r="I60" s="958">
        <f>SUM(K60:M60)</f>
        <v>42495</v>
      </c>
      <c r="J60" s="139"/>
      <c r="K60" s="858">
        <v>6000</v>
      </c>
      <c r="L60" s="860">
        <v>36495</v>
      </c>
      <c r="M60" s="860">
        <v>0</v>
      </c>
      <c r="N60" s="139"/>
      <c r="O60" s="779"/>
      <c r="P60" s="369"/>
      <c r="Q60" s="146"/>
    </row>
    <row r="61" spans="1:23" s="9" customFormat="1" ht="24" x14ac:dyDescent="0.2">
      <c r="A61" s="733"/>
      <c r="B61" s="9" t="s">
        <v>330</v>
      </c>
      <c r="C61" s="118">
        <v>22</v>
      </c>
      <c r="D61" s="138"/>
      <c r="E61" s="138"/>
      <c r="F61" s="440" t="s">
        <v>447</v>
      </c>
      <c r="G61" s="270" t="s">
        <v>589</v>
      </c>
      <c r="H61" s="232" t="s">
        <v>448</v>
      </c>
      <c r="I61" s="967">
        <f t="shared" ref="I61:I111" si="2">SUM(K61:M61)</f>
        <v>354136.73180000001</v>
      </c>
      <c r="J61" s="139"/>
      <c r="K61" s="858">
        <v>0</v>
      </c>
      <c r="L61" s="860">
        <f>343733.7318+1815</f>
        <v>345548.73180000001</v>
      </c>
      <c r="M61" s="860">
        <v>8588</v>
      </c>
      <c r="N61" s="139"/>
      <c r="O61" s="779">
        <v>1435665.0000000002</v>
      </c>
      <c r="P61" s="650" t="s">
        <v>1161</v>
      </c>
      <c r="Q61" s="146"/>
    </row>
    <row r="62" spans="1:23" s="9" customFormat="1" ht="13.5" customHeight="1" x14ac:dyDescent="0.2">
      <c r="A62" s="733"/>
      <c r="B62" s="9" t="s">
        <v>330</v>
      </c>
      <c r="C62" s="370">
        <v>23</v>
      </c>
      <c r="D62" s="138"/>
      <c r="E62" s="138"/>
      <c r="F62" s="439" t="s">
        <v>380</v>
      </c>
      <c r="G62" s="137" t="s">
        <v>589</v>
      </c>
      <c r="H62" s="133" t="s">
        <v>449</v>
      </c>
      <c r="I62" s="963">
        <f t="shared" si="2"/>
        <v>3920860</v>
      </c>
      <c r="J62" s="139"/>
      <c r="K62" s="858">
        <v>0</v>
      </c>
      <c r="L62" s="860">
        <v>3051714</v>
      </c>
      <c r="M62" s="751">
        <v>869146</v>
      </c>
      <c r="N62" s="139"/>
      <c r="O62" s="779">
        <v>6240591.2000000002</v>
      </c>
      <c r="P62" s="650" t="s">
        <v>1209</v>
      </c>
      <c r="Q62" s="146"/>
    </row>
    <row r="63" spans="1:23" s="9" customFormat="1" ht="13.5" customHeight="1" x14ac:dyDescent="0.2">
      <c r="A63" s="733"/>
      <c r="C63" s="118">
        <v>24</v>
      </c>
      <c r="D63" s="138"/>
      <c r="E63" s="138"/>
      <c r="F63" s="439" t="s">
        <v>415</v>
      </c>
      <c r="G63" s="137" t="s">
        <v>589</v>
      </c>
      <c r="H63" s="133" t="s">
        <v>1152</v>
      </c>
      <c r="I63" s="963">
        <f t="shared" si="2"/>
        <v>191255</v>
      </c>
      <c r="J63" s="139"/>
      <c r="K63" s="858">
        <v>191255</v>
      </c>
      <c r="L63" s="860"/>
      <c r="M63" s="860"/>
      <c r="N63" s="139"/>
      <c r="O63" s="779"/>
      <c r="P63" s="650"/>
      <c r="Q63" s="146"/>
    </row>
    <row r="64" spans="1:23" s="9" customFormat="1" ht="24.6" customHeight="1" x14ac:dyDescent="0.2">
      <c r="A64" s="733"/>
      <c r="B64" s="9" t="s">
        <v>608</v>
      </c>
      <c r="C64" s="370">
        <v>25</v>
      </c>
      <c r="D64" s="138"/>
      <c r="E64" s="138"/>
      <c r="F64" s="439" t="s">
        <v>659</v>
      </c>
      <c r="G64" s="137" t="s">
        <v>589</v>
      </c>
      <c r="H64" s="133" t="s">
        <v>660</v>
      </c>
      <c r="I64" s="963">
        <f t="shared" si="2"/>
        <v>193242</v>
      </c>
      <c r="J64" s="139"/>
      <c r="K64" s="831">
        <f>108900+84342</f>
        <v>193242</v>
      </c>
      <c r="L64" s="860">
        <v>0</v>
      </c>
      <c r="M64" s="860"/>
      <c r="N64" s="139"/>
      <c r="O64" s="779">
        <v>7197942.9199999999</v>
      </c>
      <c r="P64" s="3"/>
      <c r="Q64" s="146"/>
    </row>
    <row r="65" spans="1:23" s="9" customFormat="1" ht="24.6" customHeight="1" x14ac:dyDescent="0.2">
      <c r="A65" s="733"/>
      <c r="B65" s="9" t="s">
        <v>330</v>
      </c>
      <c r="C65" s="118">
        <v>26</v>
      </c>
      <c r="D65" s="705"/>
      <c r="E65" s="690"/>
      <c r="F65" s="774" t="s">
        <v>218</v>
      </c>
      <c r="G65" s="665" t="s">
        <v>589</v>
      </c>
      <c r="H65" s="662" t="s">
        <v>1075</v>
      </c>
      <c r="I65" s="968">
        <f t="shared" ref="I65:I71" si="3">SUM(K65:M65)</f>
        <v>987119.77750000008</v>
      </c>
      <c r="J65" s="139"/>
      <c r="K65" s="858">
        <v>218324.99849999999</v>
      </c>
      <c r="L65" s="860">
        <v>768794.7790000001</v>
      </c>
      <c r="M65" s="858">
        <v>0</v>
      </c>
      <c r="N65" s="139"/>
      <c r="O65" s="778">
        <v>1582322.1850000001</v>
      </c>
      <c r="P65" s="3"/>
      <c r="Q65" s="381"/>
      <c r="R65" s="120"/>
      <c r="S65" s="120"/>
      <c r="T65" s="120"/>
      <c r="U65" s="120"/>
      <c r="V65" s="120"/>
      <c r="W65" s="120"/>
    </row>
    <row r="66" spans="1:23" s="9" customFormat="1" ht="26.45" customHeight="1" x14ac:dyDescent="0.2">
      <c r="A66" s="733"/>
      <c r="B66" s="9" t="s">
        <v>330</v>
      </c>
      <c r="C66" s="370">
        <v>27</v>
      </c>
      <c r="D66" s="706"/>
      <c r="E66" s="693"/>
      <c r="F66" s="707" t="s">
        <v>218</v>
      </c>
      <c r="G66" s="708" t="s">
        <v>589</v>
      </c>
      <c r="H66" s="709" t="s">
        <v>1077</v>
      </c>
      <c r="I66" s="967">
        <f t="shared" si="3"/>
        <v>36542</v>
      </c>
      <c r="J66" s="139"/>
      <c r="K66" s="858">
        <f>36542-L66</f>
        <v>0</v>
      </c>
      <c r="L66" s="860">
        <v>36542</v>
      </c>
      <c r="M66" s="858">
        <v>0</v>
      </c>
      <c r="N66" s="139"/>
      <c r="O66" s="778">
        <v>1617500</v>
      </c>
      <c r="P66" s="3"/>
      <c r="Q66" s="381"/>
      <c r="R66" s="120"/>
      <c r="S66" s="120"/>
      <c r="T66" s="120"/>
      <c r="U66" s="120"/>
      <c r="V66" s="120"/>
      <c r="W66" s="120"/>
    </row>
    <row r="67" spans="1:23" s="9" customFormat="1" ht="29.25" customHeight="1" x14ac:dyDescent="0.2">
      <c r="A67" s="733"/>
      <c r="B67" s="9" t="s">
        <v>330</v>
      </c>
      <c r="C67" s="118">
        <v>28</v>
      </c>
      <c r="D67" s="129"/>
      <c r="E67" s="138"/>
      <c r="F67" s="664" t="s">
        <v>218</v>
      </c>
      <c r="G67" s="665" t="s">
        <v>589</v>
      </c>
      <c r="H67" s="662" t="s">
        <v>1078</v>
      </c>
      <c r="I67" s="963">
        <f t="shared" si="3"/>
        <v>76315</v>
      </c>
      <c r="J67" s="139"/>
      <c r="K67" s="858">
        <v>0</v>
      </c>
      <c r="L67" s="860">
        <v>76315</v>
      </c>
      <c r="M67" s="858">
        <v>0</v>
      </c>
      <c r="N67" s="139"/>
      <c r="O67" s="778">
        <v>1802500</v>
      </c>
      <c r="P67" s="3"/>
      <c r="Q67" s="381"/>
      <c r="R67" s="120"/>
      <c r="S67" s="120"/>
      <c r="T67" s="120"/>
      <c r="U67" s="120"/>
      <c r="V67" s="120"/>
      <c r="W67" s="120"/>
    </row>
    <row r="68" spans="1:23" s="9" customFormat="1" ht="29.25" customHeight="1" x14ac:dyDescent="0.2">
      <c r="A68" s="733"/>
      <c r="B68" s="9" t="s">
        <v>330</v>
      </c>
      <c r="C68" s="370">
        <v>29</v>
      </c>
      <c r="D68" s="129"/>
      <c r="E68" s="138"/>
      <c r="F68" s="664" t="s">
        <v>218</v>
      </c>
      <c r="G68" s="665" t="s">
        <v>589</v>
      </c>
      <c r="H68" s="662" t="s">
        <v>1079</v>
      </c>
      <c r="I68" s="963">
        <f t="shared" si="3"/>
        <v>44625.11</v>
      </c>
      <c r="J68" s="139"/>
      <c r="K68" s="858">
        <v>8941</v>
      </c>
      <c r="L68" s="860">
        <v>35684.11</v>
      </c>
      <c r="M68" s="858">
        <v>0</v>
      </c>
      <c r="N68" s="139"/>
      <c r="O68" s="778">
        <v>1009421</v>
      </c>
      <c r="P68" s="3"/>
      <c r="Q68" s="381"/>
      <c r="R68" s="120"/>
      <c r="S68" s="120"/>
      <c r="T68" s="120"/>
      <c r="U68" s="120"/>
      <c r="V68" s="120"/>
      <c r="W68" s="120"/>
    </row>
    <row r="69" spans="1:23" s="9" customFormat="1" ht="29.25" customHeight="1" x14ac:dyDescent="0.2">
      <c r="A69" s="733"/>
      <c r="B69" s="9" t="s">
        <v>330</v>
      </c>
      <c r="C69" s="118">
        <v>30</v>
      </c>
      <c r="D69" s="129"/>
      <c r="E69" s="138"/>
      <c r="F69" s="664" t="s">
        <v>218</v>
      </c>
      <c r="G69" s="665" t="s">
        <v>589</v>
      </c>
      <c r="H69" s="662" t="s">
        <v>1080</v>
      </c>
      <c r="I69" s="963">
        <f t="shared" si="3"/>
        <v>71219</v>
      </c>
      <c r="J69" s="139"/>
      <c r="K69" s="858">
        <v>7500</v>
      </c>
      <c r="L69" s="860">
        <v>63719</v>
      </c>
      <c r="M69" s="858">
        <v>0</v>
      </c>
      <c r="N69" s="139"/>
      <c r="O69" s="778">
        <v>939722.22200000007</v>
      </c>
      <c r="P69" s="3"/>
      <c r="Q69" s="381"/>
      <c r="R69" s="120"/>
      <c r="S69" s="120"/>
      <c r="T69" s="120"/>
      <c r="U69" s="120"/>
      <c r="V69" s="120"/>
      <c r="W69" s="120"/>
    </row>
    <row r="70" spans="1:23" s="9" customFormat="1" ht="29.25" customHeight="1" x14ac:dyDescent="0.2">
      <c r="A70" s="733"/>
      <c r="B70" s="9" t="s">
        <v>330</v>
      </c>
      <c r="C70" s="370">
        <v>31</v>
      </c>
      <c r="D70" s="129"/>
      <c r="E70" s="138"/>
      <c r="F70" s="664" t="s">
        <v>218</v>
      </c>
      <c r="G70" s="665" t="s">
        <v>589</v>
      </c>
      <c r="H70" s="662" t="s">
        <v>1081</v>
      </c>
      <c r="I70" s="963">
        <f t="shared" si="3"/>
        <v>58080</v>
      </c>
      <c r="J70" s="139"/>
      <c r="K70" s="858">
        <v>0</v>
      </c>
      <c r="L70" s="860">
        <v>58080</v>
      </c>
      <c r="M70" s="858">
        <v>0</v>
      </c>
      <c r="N70" s="139"/>
      <c r="O70" s="778">
        <v>750000</v>
      </c>
      <c r="P70" s="3"/>
      <c r="Q70" s="381"/>
      <c r="R70" s="120"/>
      <c r="S70" s="120"/>
      <c r="T70" s="120"/>
      <c r="U70" s="120"/>
      <c r="V70" s="120"/>
      <c r="W70" s="120"/>
    </row>
    <row r="71" spans="1:23" s="9" customFormat="1" ht="29.25" customHeight="1" x14ac:dyDescent="0.2">
      <c r="A71" s="733"/>
      <c r="B71" s="9" t="s">
        <v>330</v>
      </c>
      <c r="C71" s="118">
        <v>32</v>
      </c>
      <c r="D71" s="129"/>
      <c r="E71" s="138"/>
      <c r="F71" s="664" t="s">
        <v>218</v>
      </c>
      <c r="G71" s="665" t="s">
        <v>589</v>
      </c>
      <c r="H71" s="662" t="s">
        <v>1082</v>
      </c>
      <c r="I71" s="963">
        <f t="shared" si="3"/>
        <v>39567</v>
      </c>
      <c r="J71" s="139"/>
      <c r="K71" s="858">
        <v>0</v>
      </c>
      <c r="L71" s="860">
        <v>39567</v>
      </c>
      <c r="M71" s="858">
        <v>0</v>
      </c>
      <c r="N71" s="139"/>
      <c r="O71" s="778">
        <v>1232500</v>
      </c>
      <c r="P71" s="3"/>
      <c r="Q71" s="381"/>
      <c r="R71" s="120"/>
      <c r="S71" s="120"/>
      <c r="T71" s="120"/>
      <c r="U71" s="120"/>
      <c r="V71" s="120"/>
      <c r="W71" s="120"/>
    </row>
    <row r="72" spans="1:23" s="9" customFormat="1" ht="29.45" customHeight="1" x14ac:dyDescent="0.2">
      <c r="A72" s="735"/>
      <c r="C72" s="370">
        <v>33</v>
      </c>
      <c r="D72" s="129"/>
      <c r="E72" s="138"/>
      <c r="F72" s="664" t="s">
        <v>218</v>
      </c>
      <c r="G72" s="665" t="s">
        <v>589</v>
      </c>
      <c r="H72" s="788" t="s">
        <v>1162</v>
      </c>
      <c r="I72" s="963">
        <f>SUM(K72:M72)</f>
        <v>115193.98999999999</v>
      </c>
      <c r="J72" s="139"/>
      <c r="K72" s="858">
        <v>17841.489999999991</v>
      </c>
      <c r="L72" s="860">
        <v>97352.5</v>
      </c>
      <c r="M72" s="858"/>
      <c r="N72" s="139"/>
      <c r="O72" s="781">
        <v>229064.71</v>
      </c>
      <c r="P72" s="3" t="s">
        <v>1163</v>
      </c>
      <c r="Q72" s="381"/>
      <c r="R72" s="120"/>
      <c r="S72" s="120"/>
      <c r="T72" s="120"/>
      <c r="U72" s="120"/>
      <c r="V72" s="120"/>
      <c r="W72" s="120"/>
    </row>
    <row r="73" spans="1:23" s="9" customFormat="1" ht="25.5" customHeight="1" x14ac:dyDescent="0.2">
      <c r="A73" s="735"/>
      <c r="C73" s="370">
        <v>35</v>
      </c>
      <c r="D73" s="129"/>
      <c r="E73" s="138"/>
      <c r="F73" s="664" t="s">
        <v>218</v>
      </c>
      <c r="G73" s="665" t="s">
        <v>589</v>
      </c>
      <c r="H73" s="904" t="s">
        <v>1207</v>
      </c>
      <c r="I73" s="963">
        <f>SUM(K73:M73)</f>
        <v>0</v>
      </c>
      <c r="J73" s="139"/>
      <c r="K73" s="928">
        <f>321863-321863</f>
        <v>0</v>
      </c>
      <c r="L73" s="860">
        <v>0</v>
      </c>
      <c r="M73" s="858"/>
      <c r="N73" s="139"/>
      <c r="O73" s="781">
        <v>3161117</v>
      </c>
      <c r="P73" s="3" t="s">
        <v>1283</v>
      </c>
      <c r="Q73" s="381"/>
      <c r="R73" s="120"/>
      <c r="S73" s="120"/>
      <c r="T73" s="120"/>
      <c r="U73" s="120"/>
      <c r="V73" s="120"/>
      <c r="W73" s="120"/>
    </row>
    <row r="74" spans="1:23" s="9" customFormat="1" ht="12.6" customHeight="1" x14ac:dyDescent="0.2">
      <c r="A74" s="733"/>
      <c r="C74" s="118">
        <v>36</v>
      </c>
      <c r="D74" s="137"/>
      <c r="E74" s="137"/>
      <c r="F74" s="439" t="s">
        <v>219</v>
      </c>
      <c r="G74" s="137" t="s">
        <v>452</v>
      </c>
      <c r="H74" s="133" t="s">
        <v>724</v>
      </c>
      <c r="I74" s="971">
        <f t="shared" si="2"/>
        <v>10000</v>
      </c>
      <c r="J74" s="433"/>
      <c r="K74" s="905">
        <v>10000</v>
      </c>
      <c r="L74" s="868"/>
      <c r="M74" s="868"/>
      <c r="N74" s="139"/>
      <c r="O74" s="782"/>
      <c r="P74" s="214"/>
      <c r="Q74" s="146"/>
      <c r="T74"/>
    </row>
    <row r="75" spans="1:23" s="9" customFormat="1" ht="24" customHeight="1" x14ac:dyDescent="0.2">
      <c r="A75" s="733"/>
      <c r="C75" s="370">
        <v>37</v>
      </c>
      <c r="D75" s="137"/>
      <c r="E75" s="137"/>
      <c r="F75" s="773" t="s">
        <v>1158</v>
      </c>
      <c r="G75" s="9" t="s">
        <v>579</v>
      </c>
      <c r="H75" s="120" t="s">
        <v>1175</v>
      </c>
      <c r="I75" s="971">
        <f t="shared" si="2"/>
        <v>2723</v>
      </c>
      <c r="J75" s="433"/>
      <c r="K75" s="905">
        <v>2723</v>
      </c>
      <c r="L75" s="868"/>
      <c r="M75" s="868"/>
      <c r="N75" s="139"/>
      <c r="O75" s="782"/>
      <c r="P75" s="214"/>
      <c r="Q75" s="146"/>
      <c r="T75"/>
    </row>
    <row r="76" spans="1:23" ht="24" customHeight="1" x14ac:dyDescent="0.2">
      <c r="B76" s="9" t="s">
        <v>330</v>
      </c>
      <c r="C76" s="118">
        <v>38</v>
      </c>
      <c r="D76" s="118"/>
      <c r="E76" s="118"/>
      <c r="F76" s="664" t="s">
        <v>869</v>
      </c>
      <c r="G76" s="665" t="s">
        <v>589</v>
      </c>
      <c r="H76" s="662" t="s">
        <v>1064</v>
      </c>
      <c r="I76" s="963">
        <f t="shared" si="2"/>
        <v>16700</v>
      </c>
      <c r="J76" s="139"/>
      <c r="K76" s="858">
        <v>2300</v>
      </c>
      <c r="L76" s="860">
        <v>14400</v>
      </c>
      <c r="M76" s="860">
        <v>0</v>
      </c>
      <c r="N76" s="139"/>
      <c r="O76" s="779">
        <v>22700</v>
      </c>
      <c r="P76" s="369"/>
    </row>
    <row r="77" spans="1:23" s="9" customFormat="1" ht="12.75" x14ac:dyDescent="0.2">
      <c r="A77" s="733"/>
      <c r="B77" s="9" t="s">
        <v>608</v>
      </c>
      <c r="C77" s="370">
        <v>39</v>
      </c>
      <c r="D77" s="129"/>
      <c r="E77" s="138"/>
      <c r="F77" s="438" t="s">
        <v>636</v>
      </c>
      <c r="G77" s="137" t="s">
        <v>589</v>
      </c>
      <c r="H77" s="133" t="s">
        <v>697</v>
      </c>
      <c r="I77" s="963">
        <f t="shared" si="2"/>
        <v>8910182.6090000011</v>
      </c>
      <c r="J77" s="139"/>
      <c r="K77" s="858">
        <v>0</v>
      </c>
      <c r="L77" s="860">
        <v>1403713.71</v>
      </c>
      <c r="M77" s="858">
        <v>7506468.8990000011</v>
      </c>
      <c r="N77" s="139"/>
      <c r="O77" s="778">
        <v>15154550.221799999</v>
      </c>
      <c r="P77" s="3" t="s">
        <v>592</v>
      </c>
      <c r="Q77" s="381"/>
      <c r="R77" s="120"/>
      <c r="S77" s="120"/>
      <c r="T77" s="120"/>
      <c r="U77" s="120"/>
      <c r="V77" s="120"/>
      <c r="W77" s="120"/>
    </row>
    <row r="78" spans="1:23" s="9" customFormat="1" ht="13.9" customHeight="1" x14ac:dyDescent="0.2">
      <c r="A78" s="733"/>
      <c r="B78" s="9" t="s">
        <v>608</v>
      </c>
      <c r="C78" s="118">
        <v>40</v>
      </c>
      <c r="D78" s="129"/>
      <c r="E78" s="138"/>
      <c r="F78" s="438" t="s">
        <v>704</v>
      </c>
      <c r="G78" s="137" t="s">
        <v>589</v>
      </c>
      <c r="H78" s="119" t="s">
        <v>1160</v>
      </c>
      <c r="I78" s="963">
        <f t="shared" si="2"/>
        <v>78746.5</v>
      </c>
      <c r="J78" s="229"/>
      <c r="K78" s="858">
        <v>78746.5</v>
      </c>
      <c r="L78" s="860">
        <v>0</v>
      </c>
      <c r="M78" s="858">
        <v>0</v>
      </c>
      <c r="N78" s="139"/>
      <c r="O78" s="778"/>
      <c r="P78" s="3"/>
      <c r="Q78" s="381"/>
      <c r="R78" s="120"/>
      <c r="S78" s="120"/>
      <c r="T78" s="120"/>
      <c r="U78" s="120"/>
      <c r="V78" s="120"/>
      <c r="W78" s="120"/>
    </row>
    <row r="79" spans="1:23" ht="12" customHeight="1" thickBot="1" x14ac:dyDescent="0.25">
      <c r="B79" s="9" t="s">
        <v>608</v>
      </c>
      <c r="C79" s="370">
        <v>41</v>
      </c>
      <c r="D79" s="118"/>
      <c r="E79" s="118"/>
      <c r="F79" s="663" t="s">
        <v>874</v>
      </c>
      <c r="G79" s="661" t="s">
        <v>589</v>
      </c>
      <c r="H79" s="662" t="s">
        <v>1065</v>
      </c>
      <c r="I79" s="963">
        <f t="shared" si="2"/>
        <v>20934</v>
      </c>
      <c r="J79" s="139"/>
      <c r="K79" s="858">
        <v>685</v>
      </c>
      <c r="L79" s="860">
        <v>20249</v>
      </c>
      <c r="M79" s="860">
        <v>0</v>
      </c>
      <c r="N79" s="139"/>
      <c r="O79" s="779">
        <v>31642</v>
      </c>
      <c r="P79" s="819"/>
    </row>
    <row r="80" spans="1:23" s="9" customFormat="1" ht="25.9" customHeight="1" x14ac:dyDescent="0.2">
      <c r="A80" s="734"/>
      <c r="B80" s="9" t="s">
        <v>608</v>
      </c>
      <c r="C80" s="710">
        <v>42</v>
      </c>
      <c r="D80" s="694"/>
      <c r="E80" s="695"/>
      <c r="F80" s="988" t="s">
        <v>1270</v>
      </c>
      <c r="G80" s="362" t="s">
        <v>589</v>
      </c>
      <c r="H80" s="696" t="s">
        <v>1076</v>
      </c>
      <c r="I80" s="974">
        <f t="shared" si="2"/>
        <v>622519.04999999981</v>
      </c>
      <c r="J80" s="697"/>
      <c r="K80" s="858">
        <v>93377.857499999984</v>
      </c>
      <c r="L80" s="860">
        <v>529141.19249999989</v>
      </c>
      <c r="M80" s="858">
        <v>0</v>
      </c>
      <c r="N80" s="139"/>
      <c r="O80" s="778">
        <v>1437245.8800000001</v>
      </c>
      <c r="P80" s="308"/>
      <c r="Q80" s="381"/>
      <c r="R80" s="120"/>
      <c r="S80" s="120"/>
      <c r="T80" s="120"/>
      <c r="U80" s="120"/>
      <c r="V80" s="120"/>
      <c r="W80" s="120"/>
    </row>
    <row r="81" spans="1:23" s="9" customFormat="1" ht="25.9" customHeight="1" x14ac:dyDescent="0.2">
      <c r="A81" s="734"/>
      <c r="C81" s="711">
        <v>43</v>
      </c>
      <c r="D81" s="129"/>
      <c r="E81" s="138"/>
      <c r="F81" s="701" t="s">
        <v>713</v>
      </c>
      <c r="G81" s="702" t="s">
        <v>208</v>
      </c>
      <c r="H81" s="712" t="s">
        <v>1202</v>
      </c>
      <c r="I81" s="989">
        <f t="shared" si="2"/>
        <v>0</v>
      </c>
      <c r="J81" s="703"/>
      <c r="K81" s="882"/>
      <c r="L81" s="860"/>
      <c r="M81" s="858"/>
      <c r="N81" s="139"/>
      <c r="O81" s="778"/>
      <c r="P81" s="704">
        <v>14440</v>
      </c>
      <c r="Q81" s="381"/>
      <c r="R81" s="120"/>
      <c r="S81" s="120"/>
      <c r="T81" s="120"/>
      <c r="U81" s="120"/>
      <c r="V81" s="120"/>
      <c r="W81" s="120"/>
    </row>
    <row r="82" spans="1:23" s="9" customFormat="1" ht="25.9" customHeight="1" x14ac:dyDescent="0.2">
      <c r="A82" s="734"/>
      <c r="C82" s="711">
        <v>44</v>
      </c>
      <c r="D82" s="129"/>
      <c r="E82" s="138"/>
      <c r="F82" s="701" t="s">
        <v>713</v>
      </c>
      <c r="G82" s="702" t="s">
        <v>208</v>
      </c>
      <c r="H82" s="712" t="s">
        <v>1203</v>
      </c>
      <c r="I82" s="989">
        <f t="shared" si="2"/>
        <v>0</v>
      </c>
      <c r="J82" s="703"/>
      <c r="K82" s="882"/>
      <c r="L82" s="860"/>
      <c r="M82" s="858"/>
      <c r="N82" s="139"/>
      <c r="O82" s="778"/>
      <c r="P82" s="704">
        <v>154729</v>
      </c>
      <c r="Q82" s="381"/>
      <c r="R82" s="120"/>
      <c r="S82" s="120"/>
      <c r="T82" s="120"/>
      <c r="U82" s="120"/>
      <c r="V82" s="120"/>
      <c r="W82" s="120"/>
    </row>
    <row r="83" spans="1:23" s="9" customFormat="1" ht="53.25" customHeight="1" x14ac:dyDescent="0.2">
      <c r="A83" s="734"/>
      <c r="C83" s="711">
        <v>45</v>
      </c>
      <c r="D83" s="129"/>
      <c r="E83" s="138"/>
      <c r="F83" s="701" t="s">
        <v>713</v>
      </c>
      <c r="G83" s="702" t="s">
        <v>208</v>
      </c>
      <c r="H83" s="712" t="s">
        <v>1204</v>
      </c>
      <c r="I83" s="989">
        <f t="shared" si="2"/>
        <v>0</v>
      </c>
      <c r="J83" s="703"/>
      <c r="K83" s="882"/>
      <c r="L83" s="860"/>
      <c r="M83" s="858"/>
      <c r="N83" s="139"/>
      <c r="O83" s="778"/>
      <c r="P83" s="704">
        <v>28692</v>
      </c>
      <c r="Q83" s="381"/>
      <c r="R83" s="120"/>
      <c r="S83" s="120"/>
      <c r="T83" s="120"/>
      <c r="U83" s="120"/>
      <c r="V83" s="120"/>
      <c r="W83" s="120"/>
    </row>
    <row r="84" spans="1:23" s="9" customFormat="1" ht="24" customHeight="1" x14ac:dyDescent="0.2">
      <c r="A84" s="734"/>
      <c r="C84" s="711">
        <v>46</v>
      </c>
      <c r="D84" s="129"/>
      <c r="E84" s="138"/>
      <c r="F84" s="439" t="s">
        <v>713</v>
      </c>
      <c r="G84" s="137" t="s">
        <v>208</v>
      </c>
      <c r="H84" s="712" t="s">
        <v>1206</v>
      </c>
      <c r="I84" s="958">
        <f t="shared" si="2"/>
        <v>0</v>
      </c>
      <c r="J84" s="434"/>
      <c r="K84" s="860"/>
      <c r="L84" s="860"/>
      <c r="M84" s="858"/>
      <c r="N84" s="139"/>
      <c r="O84" s="778"/>
      <c r="P84" s="704">
        <v>332723</v>
      </c>
      <c r="Q84" s="381"/>
      <c r="R84" s="120"/>
      <c r="S84" s="120"/>
      <c r="T84" s="120"/>
      <c r="U84" s="120"/>
      <c r="V84" s="120"/>
      <c r="W84" s="120"/>
    </row>
    <row r="85" spans="1:23" s="9" customFormat="1" ht="36.75" customHeight="1" x14ac:dyDescent="0.2">
      <c r="A85" s="734"/>
      <c r="C85" s="884">
        <v>47</v>
      </c>
      <c r="D85" s="885"/>
      <c r="E85" s="886"/>
      <c r="F85" s="446" t="s">
        <v>713</v>
      </c>
      <c r="G85" s="728" t="s">
        <v>208</v>
      </c>
      <c r="H85" s="887" t="s">
        <v>1205</v>
      </c>
      <c r="I85" s="982">
        <f>SUM(K85:M85)</f>
        <v>0</v>
      </c>
      <c r="J85" s="835"/>
      <c r="K85" s="888"/>
      <c r="L85" s="888"/>
      <c r="M85" s="889"/>
      <c r="N85" s="139"/>
      <c r="O85" s="778"/>
      <c r="P85" s="704">
        <v>11680</v>
      </c>
      <c r="Q85" s="381"/>
      <c r="R85" s="120"/>
      <c r="S85" s="120"/>
      <c r="T85" s="120"/>
      <c r="U85" s="120"/>
      <c r="V85" s="120"/>
      <c r="W85" s="120"/>
    </row>
    <row r="86" spans="1:23" ht="13.5" customHeight="1" x14ac:dyDescent="0.2">
      <c r="B86" s="9"/>
      <c r="C86" s="231">
        <v>50</v>
      </c>
      <c r="D86" s="231"/>
      <c r="E86" s="231"/>
      <c r="F86" s="440" t="s">
        <v>713</v>
      </c>
      <c r="G86" s="270" t="s">
        <v>208</v>
      </c>
      <c r="H86" s="232" t="s">
        <v>1200</v>
      </c>
      <c r="I86" s="976">
        <f t="shared" si="2"/>
        <v>29040</v>
      </c>
      <c r="J86" s="430"/>
      <c r="K86" s="883">
        <v>29040</v>
      </c>
      <c r="L86" s="883"/>
      <c r="M86" s="883"/>
      <c r="N86" s="139"/>
      <c r="O86" s="779"/>
      <c r="Q86" s="45"/>
      <c r="R86" s="45"/>
      <c r="S86" s="45"/>
      <c r="T86" s="45"/>
    </row>
    <row r="87" spans="1:23" ht="13.5" customHeight="1" x14ac:dyDescent="0.2">
      <c r="B87" s="9"/>
      <c r="C87" s="118">
        <v>51</v>
      </c>
      <c r="D87" s="118"/>
      <c r="E87" s="118"/>
      <c r="F87" s="439" t="s">
        <v>713</v>
      </c>
      <c r="G87" s="137" t="s">
        <v>208</v>
      </c>
      <c r="H87" s="133" t="s">
        <v>1201</v>
      </c>
      <c r="I87" s="958">
        <f>SUM(K87:M87)</f>
        <v>5011</v>
      </c>
      <c r="J87" s="434"/>
      <c r="K87" s="860">
        <v>5011</v>
      </c>
      <c r="L87" s="860"/>
      <c r="M87" s="860"/>
      <c r="N87" s="139"/>
      <c r="O87" s="779"/>
      <c r="Q87" s="45"/>
      <c r="R87" s="45"/>
      <c r="S87" s="45"/>
      <c r="T87" s="45"/>
    </row>
    <row r="88" spans="1:23" x14ac:dyDescent="0.2">
      <c r="B88" s="9"/>
      <c r="C88" s="118">
        <v>52</v>
      </c>
      <c r="D88" s="249"/>
      <c r="E88" s="249"/>
      <c r="F88" s="773" t="s">
        <v>225</v>
      </c>
      <c r="G88" s="9" t="s">
        <v>1123</v>
      </c>
      <c r="H88" s="120" t="s">
        <v>1184</v>
      </c>
      <c r="I88" s="958">
        <f>SUM(K88:M88)</f>
        <v>9996</v>
      </c>
      <c r="J88" s="139"/>
      <c r="K88" s="860"/>
      <c r="L88" s="860">
        <v>9996</v>
      </c>
      <c r="M88" s="860"/>
      <c r="N88" s="139"/>
      <c r="O88" s="779"/>
      <c r="Q88" s="45"/>
      <c r="R88" s="45"/>
      <c r="S88" s="45"/>
      <c r="T88" s="45"/>
    </row>
    <row r="89" spans="1:23" s="9" customFormat="1" ht="24" x14ac:dyDescent="0.2">
      <c r="A89" s="733"/>
      <c r="B89" s="9" t="s">
        <v>607</v>
      </c>
      <c r="C89" s="118">
        <v>53</v>
      </c>
      <c r="D89" s="690"/>
      <c r="E89" s="690"/>
      <c r="F89" s="664" t="s">
        <v>382</v>
      </c>
      <c r="G89" s="665" t="s">
        <v>589</v>
      </c>
      <c r="H89" s="662" t="s">
        <v>244</v>
      </c>
      <c r="I89" s="968">
        <f t="shared" si="2"/>
        <v>47219.45</v>
      </c>
      <c r="J89" s="139"/>
      <c r="K89" s="858">
        <v>0</v>
      </c>
      <c r="L89" s="860">
        <v>47219.45</v>
      </c>
      <c r="M89" s="860">
        <v>0</v>
      </c>
      <c r="N89" s="139"/>
      <c r="O89" s="780">
        <v>186981</v>
      </c>
      <c r="P89" s="3"/>
      <c r="Q89" s="146"/>
    </row>
    <row r="90" spans="1:23" s="9" customFormat="1" ht="24" x14ac:dyDescent="0.2">
      <c r="A90" s="733"/>
      <c r="B90" s="9" t="s">
        <v>608</v>
      </c>
      <c r="C90" s="118">
        <v>54</v>
      </c>
      <c r="D90" s="693"/>
      <c r="E90" s="693"/>
      <c r="F90" s="801" t="s">
        <v>698</v>
      </c>
      <c r="G90" s="231" t="s">
        <v>589</v>
      </c>
      <c r="H90" s="802" t="s">
        <v>699</v>
      </c>
      <c r="I90" s="967">
        <f t="shared" si="2"/>
        <v>0</v>
      </c>
      <c r="J90" s="213"/>
      <c r="K90" s="858">
        <v>0</v>
      </c>
      <c r="L90" s="871">
        <v>0</v>
      </c>
      <c r="M90" s="871">
        <v>0</v>
      </c>
      <c r="N90" s="139"/>
      <c r="O90" s="780">
        <v>43191.63</v>
      </c>
      <c r="P90" s="651" t="s">
        <v>1174</v>
      </c>
      <c r="Q90" s="146"/>
    </row>
    <row r="91" spans="1:23" x14ac:dyDescent="0.2">
      <c r="A91" s="733"/>
      <c r="B91" s="9"/>
      <c r="C91" s="118">
        <v>55</v>
      </c>
      <c r="D91" s="118"/>
      <c r="E91" s="118"/>
      <c r="F91" s="439" t="s">
        <v>297</v>
      </c>
      <c r="G91" s="137" t="s">
        <v>297</v>
      </c>
      <c r="H91" s="660" t="s">
        <v>1180</v>
      </c>
      <c r="I91" s="958">
        <f>SUM(K91:M91)</f>
        <v>888703</v>
      </c>
      <c r="J91" s="139"/>
      <c r="K91" s="860"/>
      <c r="L91" s="860">
        <v>888703</v>
      </c>
      <c r="M91" s="872"/>
      <c r="N91" s="139"/>
      <c r="O91" s="769"/>
      <c r="P91" s="2" t="s">
        <v>1181</v>
      </c>
    </row>
    <row r="92" spans="1:23" x14ac:dyDescent="0.2">
      <c r="A92" s="733"/>
      <c r="B92" s="9"/>
      <c r="C92" s="118">
        <v>56</v>
      </c>
      <c r="D92" s="118"/>
      <c r="E92" s="118"/>
      <c r="F92" s="803" t="s">
        <v>297</v>
      </c>
      <c r="G92" s="118" t="s">
        <v>297</v>
      </c>
      <c r="H92" s="660" t="s">
        <v>1100</v>
      </c>
      <c r="I92" s="958">
        <f t="shared" si="2"/>
        <v>570505</v>
      </c>
      <c r="J92" s="213"/>
      <c r="K92" s="917">
        <f>570505-M92</f>
        <v>91025</v>
      </c>
      <c r="L92" s="871"/>
      <c r="M92" s="939">
        <f>276030+(204530-1080)</f>
        <v>479480</v>
      </c>
      <c r="N92" s="139"/>
      <c r="O92" s="780">
        <v>693831</v>
      </c>
      <c r="P92" s="2" t="s">
        <v>1110</v>
      </c>
    </row>
    <row r="93" spans="1:23" s="9" customFormat="1" x14ac:dyDescent="0.2">
      <c r="A93" s="733"/>
      <c r="C93" s="118">
        <v>57</v>
      </c>
      <c r="D93" s="118"/>
      <c r="E93" s="118"/>
      <c r="F93" s="439" t="s">
        <v>297</v>
      </c>
      <c r="G93" s="137" t="s">
        <v>297</v>
      </c>
      <c r="H93" s="662" t="s">
        <v>1101</v>
      </c>
      <c r="I93" s="958">
        <f>SUM(K93:M93)</f>
        <v>4840</v>
      </c>
      <c r="J93" s="409"/>
      <c r="K93" s="860">
        <v>4840</v>
      </c>
      <c r="L93" s="873"/>
      <c r="M93" s="873"/>
      <c r="N93" s="139"/>
      <c r="O93" s="783"/>
      <c r="P93" s="685"/>
      <c r="T93"/>
    </row>
    <row r="94" spans="1:23" ht="12.75" customHeight="1" x14ac:dyDescent="0.2">
      <c r="A94" s="733"/>
      <c r="B94" s="9"/>
      <c r="C94" s="118">
        <v>58</v>
      </c>
      <c r="D94" s="118"/>
      <c r="E94" s="118"/>
      <c r="F94" s="439" t="s">
        <v>1379</v>
      </c>
      <c r="G94" s="137" t="s">
        <v>297</v>
      </c>
      <c r="H94" s="662" t="s">
        <v>1132</v>
      </c>
      <c r="I94" s="958">
        <f>SUM(K94:M94)</f>
        <v>57584</v>
      </c>
      <c r="J94" s="139"/>
      <c r="K94" s="860">
        <v>57584</v>
      </c>
      <c r="L94" s="860"/>
      <c r="M94" s="873"/>
      <c r="N94" s="139"/>
      <c r="O94" s="783"/>
      <c r="P94" s="2" t="s">
        <v>1118</v>
      </c>
    </row>
    <row r="95" spans="1:23" x14ac:dyDescent="0.2">
      <c r="A95" s="733"/>
      <c r="B95" s="9"/>
      <c r="C95" s="118">
        <v>59</v>
      </c>
      <c r="D95" s="118"/>
      <c r="E95" s="118"/>
      <c r="F95" s="439" t="s">
        <v>1379</v>
      </c>
      <c r="G95" s="137" t="s">
        <v>297</v>
      </c>
      <c r="H95" s="662" t="s">
        <v>994</v>
      </c>
      <c r="I95" s="958">
        <f>SUM(K95:M95)</f>
        <v>38600</v>
      </c>
      <c r="J95" s="139"/>
      <c r="K95" s="860">
        <v>38600</v>
      </c>
      <c r="L95" s="860"/>
      <c r="M95" s="872"/>
      <c r="N95" s="139"/>
      <c r="O95" s="784"/>
      <c r="P95" s="2" t="s">
        <v>1118</v>
      </c>
    </row>
    <row r="96" spans="1:23" s="9" customFormat="1" ht="79.5" thickBot="1" x14ac:dyDescent="0.25">
      <c r="A96" s="733"/>
      <c r="C96" s="249">
        <v>60</v>
      </c>
      <c r="D96" s="789"/>
      <c r="E96" s="691"/>
      <c r="F96" s="691" t="s">
        <v>1380</v>
      </c>
      <c r="G96" s="691" t="s">
        <v>1050</v>
      </c>
      <c r="H96" s="692" t="s">
        <v>993</v>
      </c>
      <c r="I96" s="1015">
        <f>SUM(K96:M96)</f>
        <v>47288</v>
      </c>
      <c r="J96" s="839"/>
      <c r="K96" s="906">
        <v>47288</v>
      </c>
      <c r="L96" s="874"/>
      <c r="M96" s="874"/>
      <c r="N96" s="139"/>
      <c r="O96" s="840">
        <f>881784.9+155609.1</f>
        <v>1037394</v>
      </c>
      <c r="P96" s="265" t="s">
        <v>1055</v>
      </c>
      <c r="T96"/>
    </row>
    <row r="97" spans="1:17" ht="24" x14ac:dyDescent="0.2">
      <c r="A97" s="735"/>
      <c r="B97" s="9"/>
      <c r="C97" s="1098">
        <v>61</v>
      </c>
      <c r="D97" s="843"/>
      <c r="E97" s="843"/>
      <c r="F97" s="844" t="s">
        <v>1382</v>
      </c>
      <c r="G97" s="845" t="s">
        <v>1035</v>
      </c>
      <c r="H97" s="843" t="s">
        <v>1136</v>
      </c>
      <c r="I97" s="965">
        <f t="shared" si="2"/>
        <v>254729</v>
      </c>
      <c r="J97" s="846"/>
      <c r="K97" s="907"/>
      <c r="L97" s="877">
        <f>122404+4400+(118325+7600+2000)</f>
        <v>254729</v>
      </c>
      <c r="M97" s="876"/>
      <c r="N97" s="697"/>
      <c r="O97" s="1100">
        <v>268728</v>
      </c>
      <c r="P97" s="45" t="s">
        <v>1194</v>
      </c>
    </row>
    <row r="98" spans="1:17" ht="24.75" thickBot="1" x14ac:dyDescent="0.25">
      <c r="A98" s="735"/>
      <c r="B98" s="9"/>
      <c r="C98" s="1099"/>
      <c r="D98" s="847"/>
      <c r="E98" s="847"/>
      <c r="F98" s="848" t="s">
        <v>377</v>
      </c>
      <c r="G98" s="849" t="s">
        <v>1035</v>
      </c>
      <c r="H98" s="847" t="s">
        <v>1261</v>
      </c>
      <c r="I98" s="966">
        <f t="shared" si="2"/>
        <v>14000</v>
      </c>
      <c r="J98" s="850"/>
      <c r="K98" s="908"/>
      <c r="L98" s="879">
        <v>14000</v>
      </c>
      <c r="M98" s="878"/>
      <c r="N98" s="727"/>
      <c r="O98" s="1101"/>
    </row>
    <row r="99" spans="1:17" ht="133.15" customHeight="1" x14ac:dyDescent="0.2">
      <c r="A99" s="735"/>
      <c r="B99" s="9"/>
      <c r="C99" s="231">
        <v>62</v>
      </c>
      <c r="D99" s="645"/>
      <c r="E99" s="645"/>
      <c r="F99" s="646" t="s">
        <v>377</v>
      </c>
      <c r="G99" s="647" t="s">
        <v>1035</v>
      </c>
      <c r="H99" s="841" t="s">
        <v>1051</v>
      </c>
      <c r="I99" s="964">
        <f t="shared" si="2"/>
        <v>613434</v>
      </c>
      <c r="J99" s="648"/>
      <c r="K99" s="909">
        <f>613434-L99-M99</f>
        <v>193434</v>
      </c>
      <c r="L99" s="881">
        <f>270000+150000</f>
        <v>420000</v>
      </c>
      <c r="M99" s="880"/>
      <c r="N99" s="813"/>
      <c r="O99" s="842">
        <v>635250</v>
      </c>
      <c r="P99" s="62" t="s">
        <v>1052</v>
      </c>
    </row>
    <row r="100" spans="1:17" s="9" customFormat="1" x14ac:dyDescent="0.2">
      <c r="A100" s="735"/>
      <c r="B100" s="9" t="s">
        <v>608</v>
      </c>
      <c r="C100" s="118">
        <v>63</v>
      </c>
      <c r="D100" s="270"/>
      <c r="E100" s="270"/>
      <c r="F100" s="707" t="s">
        <v>297</v>
      </c>
      <c r="G100" s="708" t="s">
        <v>297</v>
      </c>
      <c r="H100" s="709" t="s">
        <v>1083</v>
      </c>
      <c r="I100" s="991">
        <f t="shared" si="2"/>
        <v>59199</v>
      </c>
      <c r="J100" s="139"/>
      <c r="K100" s="858">
        <f>59199-M100</f>
        <v>9500</v>
      </c>
      <c r="L100" s="860"/>
      <c r="M100" s="838">
        <f>47733+1966</f>
        <v>49699</v>
      </c>
      <c r="N100" s="139"/>
      <c r="O100" s="779">
        <v>262933.5</v>
      </c>
      <c r="P100" s="45"/>
      <c r="Q100" s="146"/>
    </row>
    <row r="101" spans="1:17" ht="21" customHeight="1" x14ac:dyDescent="0.2">
      <c r="A101" s="735"/>
      <c r="B101" s="9"/>
      <c r="C101" s="9"/>
      <c r="D101" s="118"/>
      <c r="E101" s="118"/>
      <c r="F101" s="137" t="s">
        <v>1379</v>
      </c>
      <c r="G101" s="118" t="s">
        <v>297</v>
      </c>
      <c r="H101" s="817" t="s">
        <v>996</v>
      </c>
      <c r="I101" s="992">
        <f>SUM(K101:M101)</f>
        <v>19470</v>
      </c>
      <c r="J101" s="139"/>
      <c r="K101" s="860">
        <f>20922-K102</f>
        <v>19470</v>
      </c>
      <c r="L101" s="873"/>
      <c r="M101" s="873"/>
      <c r="N101" s="139"/>
      <c r="O101" s="768"/>
      <c r="P101" s="2" t="s">
        <v>1304</v>
      </c>
      <c r="Q101"/>
    </row>
    <row r="102" spans="1:17" ht="21" customHeight="1" x14ac:dyDescent="0.2">
      <c r="A102" s="735"/>
      <c r="B102" s="9"/>
      <c r="C102" s="9"/>
      <c r="D102" s="118"/>
      <c r="E102" s="118"/>
      <c r="F102" s="949" t="s">
        <v>1375</v>
      </c>
      <c r="G102" s="118" t="s">
        <v>654</v>
      </c>
      <c r="H102" s="817" t="s">
        <v>1302</v>
      </c>
      <c r="I102" s="992">
        <f>SUM(K102:M102)</f>
        <v>1452</v>
      </c>
      <c r="J102" s="139"/>
      <c r="K102" s="860">
        <v>1452</v>
      </c>
      <c r="L102" s="873"/>
      <c r="M102" s="873"/>
      <c r="N102" s="139"/>
      <c r="O102" s="768"/>
      <c r="P102" s="2" t="s">
        <v>1303</v>
      </c>
      <c r="Q102"/>
    </row>
    <row r="103" spans="1:17" ht="21" customHeight="1" x14ac:dyDescent="0.2">
      <c r="A103" s="735"/>
      <c r="B103" s="9"/>
      <c r="C103" s="9"/>
      <c r="D103" s="118"/>
      <c r="E103" s="118"/>
      <c r="F103" s="137" t="s">
        <v>1379</v>
      </c>
      <c r="G103" s="118" t="s">
        <v>297</v>
      </c>
      <c r="H103" s="816" t="s">
        <v>995</v>
      </c>
      <c r="I103" s="992">
        <f>SUM(K103:M103)</f>
        <v>7994</v>
      </c>
      <c r="J103" s="139"/>
      <c r="K103" s="860">
        <v>7994</v>
      </c>
      <c r="L103" s="873"/>
      <c r="M103" s="873"/>
      <c r="N103" s="139"/>
      <c r="O103" s="768"/>
      <c r="P103" s="2" t="s">
        <v>1197</v>
      </c>
      <c r="Q103"/>
    </row>
    <row r="104" spans="1:17" x14ac:dyDescent="0.2">
      <c r="A104" s="735"/>
      <c r="B104" s="9"/>
      <c r="C104" s="118"/>
      <c r="D104" s="118"/>
      <c r="E104" s="118"/>
      <c r="F104" s="439" t="s">
        <v>1379</v>
      </c>
      <c r="G104" s="118" t="s">
        <v>297</v>
      </c>
      <c r="H104" s="653" t="s">
        <v>1185</v>
      </c>
      <c r="I104" s="992">
        <f>SUM(K104:M104)</f>
        <v>250000</v>
      </c>
      <c r="J104" s="139"/>
      <c r="K104" s="860">
        <v>250000</v>
      </c>
      <c r="L104" s="860"/>
      <c r="M104" s="873"/>
      <c r="N104" s="139"/>
      <c r="O104" s="768"/>
      <c r="P104" s="2" t="s">
        <v>1111</v>
      </c>
    </row>
    <row r="105" spans="1:17" s="9" customFormat="1" ht="24" x14ac:dyDescent="0.2">
      <c r="A105" s="735"/>
      <c r="B105" s="9" t="s">
        <v>608</v>
      </c>
      <c r="C105" s="118">
        <v>64</v>
      </c>
      <c r="D105" s="137"/>
      <c r="E105" s="137"/>
      <c r="F105" s="664" t="s">
        <v>878</v>
      </c>
      <c r="G105" s="665" t="s">
        <v>194</v>
      </c>
      <c r="H105" s="662" t="s">
        <v>1084</v>
      </c>
      <c r="I105" s="963">
        <f t="shared" si="2"/>
        <v>42376</v>
      </c>
      <c r="J105" s="139"/>
      <c r="K105" s="858">
        <v>0</v>
      </c>
      <c r="L105" s="859">
        <v>42376</v>
      </c>
      <c r="M105" s="860">
        <v>0</v>
      </c>
      <c r="N105" s="139"/>
      <c r="O105" s="1088">
        <f>SUM(I105:I111)</f>
        <v>68285</v>
      </c>
      <c r="P105" s="45"/>
      <c r="Q105" s="146"/>
    </row>
    <row r="106" spans="1:17" s="9" customFormat="1" ht="24" x14ac:dyDescent="0.2">
      <c r="A106" s="733"/>
      <c r="B106" s="9" t="s">
        <v>608</v>
      </c>
      <c r="C106" s="118">
        <v>65</v>
      </c>
      <c r="D106" s="137"/>
      <c r="E106" s="137"/>
      <c r="F106" s="664" t="s">
        <v>883</v>
      </c>
      <c r="G106" s="665" t="s">
        <v>1089</v>
      </c>
      <c r="H106" s="662" t="s">
        <v>1085</v>
      </c>
      <c r="I106" s="963">
        <f t="shared" si="2"/>
        <v>1221</v>
      </c>
      <c r="J106" s="139"/>
      <c r="K106" s="858">
        <v>0</v>
      </c>
      <c r="L106" s="859">
        <v>1221</v>
      </c>
      <c r="M106" s="860">
        <v>0</v>
      </c>
      <c r="N106" s="139"/>
      <c r="O106" s="1088"/>
      <c r="P106" s="77"/>
      <c r="Q106" s="146"/>
    </row>
    <row r="107" spans="1:17" s="9" customFormat="1" ht="24" x14ac:dyDescent="0.2">
      <c r="A107" s="733"/>
      <c r="B107" s="9" t="s">
        <v>330</v>
      </c>
      <c r="C107" s="118">
        <v>66</v>
      </c>
      <c r="D107" s="137"/>
      <c r="E107" s="137"/>
      <c r="F107" s="664" t="s">
        <v>887</v>
      </c>
      <c r="G107" s="665" t="s">
        <v>667</v>
      </c>
      <c r="H107" s="662" t="s">
        <v>1086</v>
      </c>
      <c r="I107" s="963">
        <f t="shared" si="2"/>
        <v>15473</v>
      </c>
      <c r="J107" s="139"/>
      <c r="K107" s="858">
        <v>0</v>
      </c>
      <c r="L107" s="859">
        <v>15473</v>
      </c>
      <c r="M107" s="860">
        <v>0</v>
      </c>
      <c r="N107" s="139"/>
      <c r="O107" s="1088"/>
      <c r="P107" s="77"/>
      <c r="Q107" s="146"/>
    </row>
    <row r="108" spans="1:17" s="9" customFormat="1" ht="24" x14ac:dyDescent="0.2">
      <c r="A108" s="733"/>
      <c r="B108" s="9" t="s">
        <v>330</v>
      </c>
      <c r="C108" s="118">
        <v>67</v>
      </c>
      <c r="D108" s="137"/>
      <c r="E108" s="137"/>
      <c r="F108" s="664" t="s">
        <v>888</v>
      </c>
      <c r="G108" s="665" t="s">
        <v>306</v>
      </c>
      <c r="H108" s="662" t="s">
        <v>1087</v>
      </c>
      <c r="I108" s="963">
        <f t="shared" si="2"/>
        <v>2219</v>
      </c>
      <c r="J108" s="139"/>
      <c r="K108" s="858">
        <v>0</v>
      </c>
      <c r="L108" s="860">
        <v>2219</v>
      </c>
      <c r="M108" s="860">
        <v>0</v>
      </c>
      <c r="N108" s="139"/>
      <c r="O108" s="1088"/>
      <c r="P108" s="77"/>
      <c r="Q108" s="146"/>
    </row>
    <row r="109" spans="1:17" s="9" customFormat="1" ht="24" x14ac:dyDescent="0.2">
      <c r="A109" s="733"/>
      <c r="B109" s="9" t="s">
        <v>608</v>
      </c>
      <c r="C109" s="118">
        <v>68</v>
      </c>
      <c r="D109" s="137"/>
      <c r="E109" s="137"/>
      <c r="F109" s="664" t="s">
        <v>468</v>
      </c>
      <c r="G109" s="665" t="s">
        <v>460</v>
      </c>
      <c r="H109" s="662" t="s">
        <v>1088</v>
      </c>
      <c r="I109" s="963">
        <f t="shared" si="2"/>
        <v>2857</v>
      </c>
      <c r="J109" s="139"/>
      <c r="K109" s="858">
        <v>0</v>
      </c>
      <c r="L109" s="860">
        <v>2857</v>
      </c>
      <c r="M109" s="860">
        <v>0</v>
      </c>
      <c r="N109" s="139"/>
      <c r="O109" s="1088"/>
      <c r="P109" s="77"/>
      <c r="Q109" s="146"/>
    </row>
    <row r="110" spans="1:17" s="9" customFormat="1" ht="24" x14ac:dyDescent="0.2">
      <c r="A110" s="733"/>
      <c r="B110" s="9" t="s">
        <v>608</v>
      </c>
      <c r="C110" s="118">
        <v>69</v>
      </c>
      <c r="D110" s="137"/>
      <c r="E110" s="137"/>
      <c r="F110" s="664" t="s">
        <v>891</v>
      </c>
      <c r="G110" s="665" t="s">
        <v>1091</v>
      </c>
      <c r="H110" s="662" t="s">
        <v>1090</v>
      </c>
      <c r="I110" s="963">
        <f t="shared" si="2"/>
        <v>1643</v>
      </c>
      <c r="J110" s="139"/>
      <c r="K110" s="858">
        <v>0</v>
      </c>
      <c r="L110" s="859">
        <v>1643</v>
      </c>
      <c r="M110" s="860">
        <v>0</v>
      </c>
      <c r="N110" s="139"/>
      <c r="O110" s="1088"/>
      <c r="P110" s="77"/>
      <c r="Q110" s="146"/>
    </row>
    <row r="111" spans="1:17" s="9" customFormat="1" ht="24" x14ac:dyDescent="0.2">
      <c r="A111" s="733"/>
      <c r="B111" s="9" t="s">
        <v>330</v>
      </c>
      <c r="C111" s="118">
        <v>70</v>
      </c>
      <c r="D111" s="137"/>
      <c r="E111" s="137"/>
      <c r="F111" s="664" t="s">
        <v>893</v>
      </c>
      <c r="G111" s="665" t="s">
        <v>500</v>
      </c>
      <c r="H111" s="662" t="s">
        <v>1092</v>
      </c>
      <c r="I111" s="963">
        <f t="shared" si="2"/>
        <v>2496</v>
      </c>
      <c r="J111" s="139"/>
      <c r="K111" s="858">
        <v>0</v>
      </c>
      <c r="L111" s="860">
        <v>2496</v>
      </c>
      <c r="M111" s="860">
        <v>0</v>
      </c>
      <c r="N111" s="139"/>
      <c r="O111" s="1088"/>
      <c r="P111" s="77"/>
      <c r="Q111" s="146"/>
    </row>
    <row r="112" spans="1:17" s="8" customFormat="1" ht="12.75" thickBot="1" x14ac:dyDescent="0.25">
      <c r="A112" s="732"/>
      <c r="B112" s="753"/>
      <c r="C112" s="118">
        <v>71</v>
      </c>
      <c r="D112" s="137"/>
      <c r="E112" s="137"/>
      <c r="F112" s="664" t="s">
        <v>594</v>
      </c>
      <c r="G112" s="665" t="s">
        <v>595</v>
      </c>
      <c r="H112" s="662" t="s">
        <v>1126</v>
      </c>
      <c r="I112" s="963">
        <f>SUBTOTAL(9,K112:M112)</f>
        <v>9634.02</v>
      </c>
      <c r="J112" s="139"/>
      <c r="K112" s="928">
        <f>7962*1.21</f>
        <v>9634.02</v>
      </c>
      <c r="L112" s="860"/>
      <c r="M112" s="860"/>
      <c r="N112" s="139"/>
      <c r="O112" s="779"/>
      <c r="P112" s="114" t="s">
        <v>1277</v>
      </c>
    </row>
    <row r="113" spans="1:18" ht="12.75" thickTop="1" x14ac:dyDescent="0.2">
      <c r="B113" s="9" t="s">
        <v>607</v>
      </c>
      <c r="C113" s="118">
        <v>72</v>
      </c>
      <c r="D113" s="269"/>
      <c r="E113" s="269"/>
      <c r="F113" s="446" t="s">
        <v>339</v>
      </c>
      <c r="G113" s="269" t="s">
        <v>237</v>
      </c>
      <c r="H113" s="896" t="s">
        <v>1171</v>
      </c>
      <c r="I113" s="982">
        <f t="shared" ref="I113:I120" si="4">SUM(K113:M113)</f>
        <v>19174</v>
      </c>
      <c r="J113" s="700"/>
      <c r="K113" s="132">
        <v>3328</v>
      </c>
      <c r="L113" s="132">
        <f>15132+714</f>
        <v>15846</v>
      </c>
      <c r="M113" s="132"/>
      <c r="N113" s="139"/>
      <c r="O113" s="779"/>
      <c r="P113" s="237" t="s">
        <v>678</v>
      </c>
      <c r="Q113" s="135" t="s">
        <v>1360</v>
      </c>
      <c r="R113" t="s">
        <v>1361</v>
      </c>
    </row>
    <row r="114" spans="1:18" ht="24" x14ac:dyDescent="0.2">
      <c r="B114" s="9" t="s">
        <v>607</v>
      </c>
      <c r="C114" s="118">
        <v>73</v>
      </c>
      <c r="D114" s="644"/>
      <c r="E114" s="644"/>
      <c r="F114" s="715" t="s">
        <v>861</v>
      </c>
      <c r="G114" s="644" t="s">
        <v>237</v>
      </c>
      <c r="H114" s="932" t="s">
        <v>1138</v>
      </c>
      <c r="I114" s="983">
        <f t="shared" si="4"/>
        <v>83359.61</v>
      </c>
      <c r="J114" s="700"/>
      <c r="K114" s="917">
        <f>7563.71+6647.18</f>
        <v>14210.89</v>
      </c>
      <c r="L114" s="132">
        <f>50424.72+13066+5658</f>
        <v>69148.72</v>
      </c>
      <c r="M114" s="132"/>
      <c r="N114" s="139"/>
      <c r="O114" s="779">
        <v>226889.89</v>
      </c>
      <c r="P114" s="237" t="s">
        <v>1141</v>
      </c>
      <c r="Q114" s="135">
        <f>14210.89+0.11</f>
        <v>14211</v>
      </c>
      <c r="R114" s="7">
        <v>9946.0126086956443</v>
      </c>
    </row>
    <row r="115" spans="1:18" x14ac:dyDescent="0.2">
      <c r="B115" s="9" t="s">
        <v>607</v>
      </c>
      <c r="C115" s="118">
        <v>74</v>
      </c>
      <c r="D115" s="644"/>
      <c r="E115" s="644"/>
      <c r="F115" s="715" t="s">
        <v>863</v>
      </c>
      <c r="G115" s="644" t="s">
        <v>237</v>
      </c>
      <c r="H115" s="932" t="s">
        <v>1142</v>
      </c>
      <c r="I115" s="983">
        <f t="shared" si="4"/>
        <v>41749</v>
      </c>
      <c r="J115" s="700"/>
      <c r="K115" s="132"/>
      <c r="L115" s="132">
        <v>41749</v>
      </c>
      <c r="M115" s="132"/>
      <c r="N115" s="139"/>
      <c r="O115" s="779"/>
      <c r="P115" s="716" t="s">
        <v>1278</v>
      </c>
      <c r="R115" s="11">
        <f>Q114-R114</f>
        <v>4264.9873913043557</v>
      </c>
    </row>
    <row r="116" spans="1:18" s="9" customFormat="1" x14ac:dyDescent="0.2">
      <c r="A116" s="733"/>
      <c r="B116" s="9" t="s">
        <v>608</v>
      </c>
      <c r="C116" s="118">
        <v>75</v>
      </c>
      <c r="D116" s="693"/>
      <c r="E116" s="693"/>
      <c r="F116" s="440" t="s">
        <v>278</v>
      </c>
      <c r="G116" s="270" t="s">
        <v>194</v>
      </c>
      <c r="H116" s="270" t="s">
        <v>307</v>
      </c>
      <c r="I116" s="976">
        <f t="shared" si="4"/>
        <v>42102</v>
      </c>
      <c r="J116" s="139"/>
      <c r="K116" s="162"/>
      <c r="L116" s="132">
        <f>102+42000</f>
        <v>42102</v>
      </c>
      <c r="M116" s="132"/>
      <c r="N116" s="139"/>
      <c r="O116" s="779"/>
      <c r="P116" s="114"/>
      <c r="Q116" s="146"/>
    </row>
    <row r="117" spans="1:18" s="9" customFormat="1" x14ac:dyDescent="0.2">
      <c r="A117" s="733"/>
      <c r="B117" s="9" t="s">
        <v>608</v>
      </c>
      <c r="C117" s="118">
        <v>76</v>
      </c>
      <c r="D117" s="138"/>
      <c r="E117" s="138"/>
      <c r="F117" s="439" t="s">
        <v>326</v>
      </c>
      <c r="G117" s="137" t="s">
        <v>194</v>
      </c>
      <c r="H117" s="137" t="s">
        <v>457</v>
      </c>
      <c r="I117" s="958">
        <f t="shared" si="4"/>
        <v>70991</v>
      </c>
      <c r="J117" s="139"/>
      <c r="K117" s="162"/>
      <c r="L117" s="132">
        <v>70991</v>
      </c>
      <c r="M117" s="132"/>
      <c r="N117" s="139"/>
      <c r="O117" s="779"/>
      <c r="P117" s="2"/>
      <c r="Q117" s="146"/>
    </row>
    <row r="118" spans="1:18" s="9" customFormat="1" x14ac:dyDescent="0.2">
      <c r="A118" s="733"/>
      <c r="B118" s="9" t="s">
        <v>330</v>
      </c>
      <c r="C118" s="118">
        <v>77</v>
      </c>
      <c r="D118" s="138"/>
      <c r="E118" s="138"/>
      <c r="F118" s="439" t="s">
        <v>337</v>
      </c>
      <c r="G118" s="137" t="s">
        <v>667</v>
      </c>
      <c r="H118" s="137" t="s">
        <v>350</v>
      </c>
      <c r="I118" s="958">
        <f t="shared" si="4"/>
        <v>17776</v>
      </c>
      <c r="J118" s="139"/>
      <c r="K118" s="162"/>
      <c r="L118" s="132">
        <f>1796+15980</f>
        <v>17776</v>
      </c>
      <c r="M118" s="132"/>
      <c r="N118" s="139"/>
      <c r="O118" s="779"/>
      <c r="P118" s="2"/>
      <c r="Q118" s="146"/>
    </row>
    <row r="119" spans="1:18" s="9" customFormat="1" x14ac:dyDescent="0.2">
      <c r="A119" s="733"/>
      <c r="B119" s="9" t="s">
        <v>330</v>
      </c>
      <c r="C119" s="118">
        <v>78</v>
      </c>
      <c r="D119" s="138"/>
      <c r="E119" s="138"/>
      <c r="F119" s="439" t="s">
        <v>422</v>
      </c>
      <c r="G119" s="137" t="s">
        <v>667</v>
      </c>
      <c r="H119" s="137" t="s">
        <v>835</v>
      </c>
      <c r="I119" s="977">
        <f t="shared" si="4"/>
        <v>40988</v>
      </c>
      <c r="J119" s="139"/>
      <c r="K119" s="162">
        <v>8888.4</v>
      </c>
      <c r="L119" s="136">
        <f>40988-K119</f>
        <v>32099.599999999999</v>
      </c>
      <c r="M119" s="132"/>
      <c r="N119" s="139"/>
      <c r="O119" s="779"/>
      <c r="P119" s="2"/>
      <c r="Q119" s="146"/>
    </row>
    <row r="120" spans="1:18" s="9" customFormat="1" x14ac:dyDescent="0.2">
      <c r="A120" s="733"/>
      <c r="B120" s="9" t="s">
        <v>330</v>
      </c>
      <c r="C120" s="118">
        <v>79</v>
      </c>
      <c r="D120" s="138"/>
      <c r="E120" s="138"/>
      <c r="F120" s="439" t="s">
        <v>583</v>
      </c>
      <c r="G120" s="137" t="s">
        <v>667</v>
      </c>
      <c r="H120" s="137" t="s">
        <v>836</v>
      </c>
      <c r="I120" s="977">
        <f t="shared" si="4"/>
        <v>25608</v>
      </c>
      <c r="J120" s="139"/>
      <c r="K120" s="162">
        <v>4268</v>
      </c>
      <c r="L120" s="136">
        <f>25608-K120</f>
        <v>21340</v>
      </c>
      <c r="M120" s="132"/>
      <c r="N120" s="139"/>
      <c r="O120" s="779"/>
      <c r="P120" s="2"/>
      <c r="Q120" s="146"/>
    </row>
    <row r="121" spans="1:18" x14ac:dyDescent="0.2">
      <c r="D121" s="56"/>
      <c r="E121" s="56"/>
      <c r="F121" s="371"/>
      <c r="G121" s="121"/>
      <c r="H121" s="126" t="s">
        <v>490</v>
      </c>
      <c r="I121" s="752">
        <f>SUM(I40:I120)</f>
        <v>24902313.655542616</v>
      </c>
      <c r="J121" s="164"/>
      <c r="K121" s="163">
        <f>SUM(K40:K120)</f>
        <v>3320446.6360000004</v>
      </c>
      <c r="L121" s="163">
        <f>SUM(L40:L120)</f>
        <v>11274865.470542617</v>
      </c>
      <c r="M121" s="163">
        <f>SUM(M40:M120)</f>
        <v>10307001.549000002</v>
      </c>
      <c r="N121" s="139"/>
      <c r="O121" s="785"/>
      <c r="P121" s="2"/>
    </row>
    <row r="122" spans="1:18" ht="14.45" customHeight="1" x14ac:dyDescent="0.2">
      <c r="D122" s="56"/>
      <c r="E122" s="56"/>
      <c r="F122" s="371"/>
      <c r="G122" s="121"/>
      <c r="H122" s="172"/>
      <c r="I122" s="164"/>
      <c r="J122" s="164"/>
      <c r="K122" s="164"/>
      <c r="L122" s="164"/>
      <c r="M122" s="786"/>
      <c r="N122" s="139"/>
      <c r="O122" s="164"/>
    </row>
    <row r="123" spans="1:18" hidden="1" outlineLevel="1" x14ac:dyDescent="0.2">
      <c r="B123" s="216" t="s">
        <v>608</v>
      </c>
      <c r="D123" s="56"/>
      <c r="E123" s="56"/>
      <c r="F123" s="371"/>
      <c r="G123" s="121"/>
      <c r="H123" s="172"/>
      <c r="I123" s="271">
        <f>SUMIF($B$42:$B$120,$B123,I$42:I$120)</f>
        <v>15290013.826242622</v>
      </c>
      <c r="J123" s="164"/>
      <c r="K123" s="271">
        <f t="shared" ref="K123:M125" si="5">SUMIF($B$42:$B$120,$B123,K$42:K$120)</f>
        <v>1667803.8374999999</v>
      </c>
      <c r="L123" s="271">
        <f t="shared" si="5"/>
        <v>4672422.4397426182</v>
      </c>
      <c r="M123" s="271">
        <f t="shared" si="5"/>
        <v>8949787.5490000006</v>
      </c>
      <c r="N123" s="139"/>
      <c r="O123" s="271"/>
      <c r="Q123"/>
    </row>
    <row r="124" spans="1:18" hidden="1" outlineLevel="1" x14ac:dyDescent="0.2">
      <c r="B124" s="216" t="s">
        <v>330</v>
      </c>
      <c r="D124" s="56"/>
      <c r="E124" s="56"/>
      <c r="F124" s="371"/>
      <c r="G124" s="121"/>
      <c r="H124" s="172"/>
      <c r="I124" s="271">
        <f>SUMIF($B$42:$B$120,$B124,I$42:I$120)</f>
        <v>6220788.7593</v>
      </c>
      <c r="J124" s="164"/>
      <c r="K124" s="271">
        <f t="shared" si="5"/>
        <v>612355.39850000001</v>
      </c>
      <c r="L124" s="271">
        <f t="shared" si="5"/>
        <v>4730699.3607999999</v>
      </c>
      <c r="M124" s="271">
        <f t="shared" si="5"/>
        <v>877734</v>
      </c>
      <c r="N124" s="139"/>
      <c r="O124" s="271"/>
      <c r="Q124"/>
    </row>
    <row r="125" spans="1:18" hidden="1" outlineLevel="1" x14ac:dyDescent="0.2">
      <c r="B125" s="216" t="s">
        <v>607</v>
      </c>
      <c r="D125" s="56"/>
      <c r="E125" s="56"/>
      <c r="F125" s="371"/>
      <c r="G125" s="121"/>
      <c r="H125" s="172"/>
      <c r="I125" s="271">
        <f>SUMIF($B$42:$B$120,$B125,I$42:I$120)</f>
        <v>209502.06</v>
      </c>
      <c r="J125" s="164"/>
      <c r="K125" s="271">
        <f t="shared" si="5"/>
        <v>23538.89</v>
      </c>
      <c r="L125" s="271">
        <f t="shared" si="5"/>
        <v>185963.16999999998</v>
      </c>
      <c r="M125" s="271">
        <f t="shared" si="5"/>
        <v>0</v>
      </c>
      <c r="N125" s="139"/>
      <c r="O125" s="271"/>
      <c r="Q125"/>
    </row>
    <row r="126" spans="1:18" collapsed="1" x14ac:dyDescent="0.2">
      <c r="D126" s="56"/>
      <c r="E126" s="56"/>
      <c r="F126" s="371"/>
      <c r="G126" s="121"/>
      <c r="H126" s="172"/>
      <c r="I126" s="164"/>
      <c r="J126" s="164"/>
      <c r="K126" s="164"/>
      <c r="L126" s="164"/>
      <c r="M126" s="164"/>
      <c r="N126" s="139"/>
      <c r="O126" s="164"/>
    </row>
    <row r="127" spans="1:18" ht="12.75" x14ac:dyDescent="0.2">
      <c r="F127" s="437" t="s">
        <v>1164</v>
      </c>
      <c r="I127" s="105"/>
      <c r="J127" s="139"/>
      <c r="K127" s="105"/>
      <c r="L127" s="105"/>
      <c r="M127" s="105"/>
      <c r="N127" s="139"/>
      <c r="O127" s="105"/>
      <c r="Q127" s="382"/>
    </row>
    <row r="128" spans="1:18" ht="12" customHeight="1" x14ac:dyDescent="0.2">
      <c r="B128" s="1092"/>
      <c r="C128" s="1093" t="s">
        <v>301</v>
      </c>
      <c r="D128" s="1093" t="s">
        <v>259</v>
      </c>
      <c r="E128" s="1093" t="s">
        <v>260</v>
      </c>
      <c r="F128" s="1094" t="s">
        <v>459</v>
      </c>
      <c r="G128" s="1094" t="s">
        <v>443</v>
      </c>
      <c r="H128" s="1093" t="s">
        <v>489</v>
      </c>
      <c r="I128" s="1095" t="s">
        <v>345</v>
      </c>
      <c r="J128" s="165"/>
      <c r="K128" s="1106" t="s">
        <v>450</v>
      </c>
      <c r="L128" s="1106"/>
      <c r="M128" s="1106"/>
      <c r="N128" s="139"/>
      <c r="O128" s="45"/>
    </row>
    <row r="129" spans="2:16" ht="24" x14ac:dyDescent="0.2">
      <c r="B129" s="1092"/>
      <c r="C129" s="1093"/>
      <c r="D129" s="1093"/>
      <c r="E129" s="1093"/>
      <c r="F129" s="1094"/>
      <c r="G129" s="1094"/>
      <c r="H129" s="1093"/>
      <c r="I129" s="1095"/>
      <c r="J129" s="165"/>
      <c r="K129" s="152" t="s">
        <v>229</v>
      </c>
      <c r="L129" s="152" t="s">
        <v>344</v>
      </c>
      <c r="M129" s="166" t="s">
        <v>305</v>
      </c>
      <c r="N129" s="139"/>
      <c r="O129" s="45"/>
    </row>
    <row r="130" spans="2:16" ht="36" x14ac:dyDescent="0.2">
      <c r="B130" s="9" t="s">
        <v>607</v>
      </c>
      <c r="C130" s="118"/>
      <c r="D130" s="231"/>
      <c r="E130" s="231"/>
      <c r="F130" s="440" t="s">
        <v>218</v>
      </c>
      <c r="G130" s="231" t="s">
        <v>589</v>
      </c>
      <c r="H130" s="232" t="s">
        <v>701</v>
      </c>
      <c r="I130" s="967">
        <f>SUM(K130:M130)</f>
        <v>870</v>
      </c>
      <c r="J130" s="139"/>
      <c r="K130" s="233">
        <v>870</v>
      </c>
      <c r="L130" s="233"/>
      <c r="M130" s="233"/>
      <c r="N130" s="139"/>
      <c r="O130" s="740">
        <f>K130</f>
        <v>870</v>
      </c>
    </row>
    <row r="131" spans="2:16" ht="36" x14ac:dyDescent="0.2">
      <c r="B131" s="9" t="s">
        <v>607</v>
      </c>
      <c r="C131" s="118"/>
      <c r="D131" s="118"/>
      <c r="E131" s="118"/>
      <c r="F131" s="439" t="s">
        <v>218</v>
      </c>
      <c r="G131" s="118" t="s">
        <v>589</v>
      </c>
      <c r="H131" s="133" t="s">
        <v>702</v>
      </c>
      <c r="I131" s="963">
        <f>SUM(K131:M131)</f>
        <v>550</v>
      </c>
      <c r="J131" s="139"/>
      <c r="K131" s="132">
        <v>550</v>
      </c>
      <c r="L131" s="132"/>
      <c r="M131" s="132"/>
      <c r="N131" s="139"/>
      <c r="O131" s="740">
        <f>K131</f>
        <v>550</v>
      </c>
      <c r="P131" s="234"/>
    </row>
    <row r="132" spans="2:16" ht="24" x14ac:dyDescent="0.2">
      <c r="B132" s="9"/>
      <c r="C132" s="728"/>
      <c r="D132" s="728"/>
      <c r="E132" s="728"/>
      <c r="F132" s="446" t="s">
        <v>218</v>
      </c>
      <c r="G132" s="728" t="s">
        <v>589</v>
      </c>
      <c r="H132" s="352" t="s">
        <v>1177</v>
      </c>
      <c r="I132" s="968">
        <f>K132+L132</f>
        <v>600</v>
      </c>
      <c r="J132" s="700"/>
      <c r="K132" s="299">
        <v>600</v>
      </c>
      <c r="L132" s="299"/>
      <c r="M132" s="353"/>
      <c r="N132" s="139"/>
      <c r="O132" s="740">
        <f>K132</f>
        <v>600</v>
      </c>
      <c r="P132" s="375"/>
    </row>
    <row r="133" spans="2:16" ht="12.75" thickBot="1" x14ac:dyDescent="0.25">
      <c r="B133" s="9"/>
      <c r="C133" s="386"/>
      <c r="D133" s="386"/>
      <c r="E133" s="386"/>
      <c r="F133" s="761" t="s">
        <v>218</v>
      </c>
      <c r="G133" s="386" t="s">
        <v>589</v>
      </c>
      <c r="H133" s="638" t="s">
        <v>729</v>
      </c>
      <c r="I133" s="969">
        <f>K133+L133</f>
        <v>10000</v>
      </c>
      <c r="J133" s="428"/>
      <c r="K133" s="935">
        <f>2*2000+6000</f>
        <v>10000</v>
      </c>
      <c r="L133" s="775"/>
      <c r="M133" s="431"/>
      <c r="N133" s="139"/>
      <c r="O133" s="740">
        <f>K133-6000</f>
        <v>4000</v>
      </c>
      <c r="P133" s="375"/>
    </row>
    <row r="134" spans="2:16" ht="12.75" thickTop="1" x14ac:dyDescent="0.2">
      <c r="B134" s="9" t="s">
        <v>607</v>
      </c>
      <c r="C134" s="231"/>
      <c r="D134" s="231" t="s">
        <v>362</v>
      </c>
      <c r="E134" s="231"/>
      <c r="F134" s="440" t="s">
        <v>429</v>
      </c>
      <c r="G134" s="231" t="s">
        <v>589</v>
      </c>
      <c r="H134" s="232" t="s">
        <v>445</v>
      </c>
      <c r="I134" s="970">
        <f t="shared" ref="I134:I144" si="6">SUM(K134:M134)</f>
        <v>40000</v>
      </c>
      <c r="J134" s="139"/>
      <c r="K134" s="275">
        <v>40000</v>
      </c>
      <c r="L134" s="628"/>
      <c r="M134" s="628"/>
      <c r="N134" s="139"/>
      <c r="O134" s="740"/>
      <c r="P134" s="235"/>
    </row>
    <row r="135" spans="2:16" ht="24" x14ac:dyDescent="0.2">
      <c r="B135" s="9" t="s">
        <v>607</v>
      </c>
      <c r="C135" s="118"/>
      <c r="D135" s="118"/>
      <c r="E135" s="118"/>
      <c r="F135" s="439" t="s">
        <v>429</v>
      </c>
      <c r="G135" s="118" t="s">
        <v>589</v>
      </c>
      <c r="H135" s="133" t="s">
        <v>703</v>
      </c>
      <c r="I135" s="963">
        <f>K135+L135</f>
        <v>150</v>
      </c>
      <c r="J135" s="139"/>
      <c r="K135" s="132">
        <v>150</v>
      </c>
      <c r="L135" s="136"/>
      <c r="M135" s="132"/>
      <c r="N135" s="139"/>
      <c r="O135" s="740"/>
      <c r="P135" s="234"/>
    </row>
    <row r="136" spans="2:16" ht="36" x14ac:dyDescent="0.2">
      <c r="B136" s="9"/>
      <c r="C136" s="249"/>
      <c r="D136" s="249"/>
      <c r="E136" s="249"/>
      <c r="F136" s="439" t="s">
        <v>429</v>
      </c>
      <c r="G136" s="118" t="s">
        <v>589</v>
      </c>
      <c r="H136" s="268" t="s">
        <v>905</v>
      </c>
      <c r="I136" s="971">
        <f>SUM(K136:M136)</f>
        <v>1400</v>
      </c>
      <c r="J136" s="139"/>
      <c r="K136" s="277">
        <f>1000+400</f>
        <v>1400</v>
      </c>
      <c r="L136" s="276"/>
      <c r="M136" s="276"/>
      <c r="N136" s="139"/>
      <c r="O136" s="740"/>
      <c r="P136" s="235"/>
    </row>
    <row r="137" spans="2:16" ht="32.25" customHeight="1" thickBot="1" x14ac:dyDescent="0.25">
      <c r="B137" s="9" t="s">
        <v>607</v>
      </c>
      <c r="C137" s="230"/>
      <c r="D137" s="230" t="s">
        <v>363</v>
      </c>
      <c r="E137" s="230"/>
      <c r="F137" s="441" t="s">
        <v>429</v>
      </c>
      <c r="G137" s="230" t="s">
        <v>589</v>
      </c>
      <c r="H137" s="629" t="s">
        <v>446</v>
      </c>
      <c r="I137" s="972">
        <f t="shared" si="6"/>
        <v>10000</v>
      </c>
      <c r="J137" s="428"/>
      <c r="K137" s="429">
        <v>10000</v>
      </c>
      <c r="L137" s="427"/>
      <c r="M137" s="427"/>
      <c r="N137" s="139"/>
      <c r="O137" s="740"/>
      <c r="P137" s="235"/>
    </row>
    <row r="138" spans="2:16" ht="12.75" thickTop="1" x14ac:dyDescent="0.2">
      <c r="B138" s="9" t="s">
        <v>607</v>
      </c>
      <c r="C138" s="118"/>
      <c r="D138" s="118"/>
      <c r="E138" s="118"/>
      <c r="F138" s="985" t="s">
        <v>616</v>
      </c>
      <c r="G138" s="118" t="s">
        <v>705</v>
      </c>
      <c r="H138" s="133" t="s">
        <v>687</v>
      </c>
      <c r="I138" s="958">
        <f>SUM(K138:M138)</f>
        <v>15000</v>
      </c>
      <c r="J138" s="139"/>
      <c r="K138" s="132">
        <v>15000</v>
      </c>
      <c r="L138" s="276"/>
      <c r="M138" s="276"/>
      <c r="N138" s="139"/>
      <c r="P138" s="217"/>
    </row>
    <row r="139" spans="2:16" ht="12.75" thickBot="1" x14ac:dyDescent="0.25">
      <c r="B139" s="9" t="s">
        <v>330</v>
      </c>
      <c r="C139" s="230"/>
      <c r="D139" s="230"/>
      <c r="E139" s="230"/>
      <c r="F139" s="986" t="s">
        <v>616</v>
      </c>
      <c r="G139" s="230" t="s">
        <v>705</v>
      </c>
      <c r="H139" s="629" t="s">
        <v>820</v>
      </c>
      <c r="I139" s="987">
        <f>SUM(K139:M139)</f>
        <v>8000</v>
      </c>
      <c r="J139" s="428"/>
      <c r="K139" s="429">
        <v>8000</v>
      </c>
      <c r="L139" s="427"/>
      <c r="M139" s="427"/>
      <c r="N139" s="139"/>
      <c r="P139" s="217"/>
    </row>
    <row r="140" spans="2:16" ht="12.75" thickTop="1" x14ac:dyDescent="0.2">
      <c r="B140" s="9" t="s">
        <v>607</v>
      </c>
      <c r="C140" s="231"/>
      <c r="D140" s="231"/>
      <c r="E140" s="231"/>
      <c r="F140" s="440" t="s">
        <v>219</v>
      </c>
      <c r="G140" s="231" t="s">
        <v>452</v>
      </c>
      <c r="H140" s="232" t="s">
        <v>463</v>
      </c>
      <c r="I140" s="976">
        <f t="shared" si="6"/>
        <v>49380</v>
      </c>
      <c r="J140" s="139"/>
      <c r="K140" s="233">
        <f>43880+5500</f>
        <v>49380</v>
      </c>
      <c r="L140" s="233"/>
      <c r="M140" s="233"/>
      <c r="N140" s="139"/>
      <c r="P140" s="235" t="s">
        <v>577</v>
      </c>
    </row>
    <row r="141" spans="2:16" ht="23.25" customHeight="1" x14ac:dyDescent="0.2">
      <c r="B141" s="9" t="s">
        <v>607</v>
      </c>
      <c r="C141" s="118"/>
      <c r="D141" s="118"/>
      <c r="E141" s="118"/>
      <c r="F141" s="439" t="s">
        <v>219</v>
      </c>
      <c r="G141" s="118" t="s">
        <v>452</v>
      </c>
      <c r="H141" s="133" t="s">
        <v>833</v>
      </c>
      <c r="I141" s="958">
        <f t="shared" si="6"/>
        <v>11250</v>
      </c>
      <c r="J141" s="139"/>
      <c r="K141" s="132">
        <v>11250</v>
      </c>
      <c r="L141" s="132"/>
      <c r="M141" s="132"/>
      <c r="N141" s="139"/>
      <c r="P141" s="235" t="s">
        <v>670</v>
      </c>
    </row>
    <row r="142" spans="2:16" ht="22.15" customHeight="1" x14ac:dyDescent="0.2">
      <c r="B142" s="9"/>
      <c r="C142" s="118"/>
      <c r="D142" s="118"/>
      <c r="E142" s="118"/>
      <c r="F142" s="439" t="s">
        <v>219</v>
      </c>
      <c r="G142" s="118" t="s">
        <v>452</v>
      </c>
      <c r="H142" s="133" t="s">
        <v>1363</v>
      </c>
      <c r="I142" s="958">
        <f t="shared" si="6"/>
        <v>5000</v>
      </c>
      <c r="J142" s="139"/>
      <c r="K142" s="132">
        <v>5000</v>
      </c>
      <c r="L142" s="276"/>
      <c r="M142" s="276"/>
      <c r="N142" s="139"/>
      <c r="O142" s="740"/>
      <c r="P142" s="235"/>
    </row>
    <row r="143" spans="2:16" ht="24" x14ac:dyDescent="0.2">
      <c r="B143" s="9" t="s">
        <v>607</v>
      </c>
      <c r="C143" s="118"/>
      <c r="D143" s="118"/>
      <c r="E143" s="118"/>
      <c r="F143" s="439" t="s">
        <v>219</v>
      </c>
      <c r="G143" s="118" t="s">
        <v>452</v>
      </c>
      <c r="H143" s="133" t="s">
        <v>906</v>
      </c>
      <c r="I143" s="958">
        <f t="shared" si="6"/>
        <v>12000</v>
      </c>
      <c r="J143" s="139"/>
      <c r="K143" s="132">
        <v>12000</v>
      </c>
      <c r="L143" s="276"/>
      <c r="M143" s="276"/>
      <c r="N143" s="139"/>
      <c r="O143" s="740"/>
      <c r="P143" s="235"/>
    </row>
    <row r="144" spans="2:16" ht="27.6" customHeight="1" thickBot="1" x14ac:dyDescent="0.25">
      <c r="B144" s="9" t="s">
        <v>607</v>
      </c>
      <c r="C144" s="230"/>
      <c r="D144" s="230"/>
      <c r="E144" s="230"/>
      <c r="F144" s="441" t="s">
        <v>219</v>
      </c>
      <c r="G144" s="230" t="s">
        <v>452</v>
      </c>
      <c r="H144" s="921" t="s">
        <v>1179</v>
      </c>
      <c r="I144" s="958">
        <f t="shared" si="6"/>
        <v>124488</v>
      </c>
      <c r="J144" s="428"/>
      <c r="K144" s="920">
        <f>114488+10000</f>
        <v>124488</v>
      </c>
      <c r="L144" s="427"/>
      <c r="M144" s="427"/>
      <c r="N144" s="139"/>
      <c r="O144" s="837" t="s">
        <v>1291</v>
      </c>
      <c r="P144" s="787"/>
    </row>
    <row r="145" spans="1:25" ht="12.75" thickTop="1" x14ac:dyDescent="0.2">
      <c r="B145" s="9" t="s">
        <v>608</v>
      </c>
      <c r="C145" s="231"/>
      <c r="D145" s="231"/>
      <c r="E145" s="238"/>
      <c r="F145" s="440" t="s">
        <v>381</v>
      </c>
      <c r="G145" s="231" t="s">
        <v>169</v>
      </c>
      <c r="H145" s="232" t="s">
        <v>453</v>
      </c>
      <c r="I145" s="976">
        <f t="shared" ref="I145:I152" si="7">SUM(K145:M145)</f>
        <v>19000</v>
      </c>
      <c r="J145" s="139"/>
      <c r="K145" s="233">
        <v>19000</v>
      </c>
      <c r="L145" s="233"/>
      <c r="M145" s="233"/>
      <c r="N145" s="139"/>
      <c r="O145" s="740"/>
    </row>
    <row r="146" spans="1:25" x14ac:dyDescent="0.2">
      <c r="B146" s="9" t="s">
        <v>608</v>
      </c>
      <c r="C146" s="118"/>
      <c r="D146" s="239"/>
      <c r="E146" s="239"/>
      <c r="F146" s="439" t="s">
        <v>381</v>
      </c>
      <c r="G146" s="118" t="s">
        <v>169</v>
      </c>
      <c r="H146" s="944" t="s">
        <v>513</v>
      </c>
      <c r="I146" s="977">
        <f t="shared" si="7"/>
        <v>150000</v>
      </c>
      <c r="J146" s="229"/>
      <c r="K146" s="946">
        <f>168000-28000+10000</f>
        <v>150000</v>
      </c>
      <c r="L146" s="132"/>
      <c r="M146" s="132"/>
      <c r="N146" s="139"/>
      <c r="O146" s="740"/>
    </row>
    <row r="147" spans="1:25" s="45" customFormat="1" x14ac:dyDescent="0.2">
      <c r="A147" s="736"/>
      <c r="B147" s="9" t="s">
        <v>608</v>
      </c>
      <c r="C147" s="123"/>
      <c r="D147" s="240"/>
      <c r="E147" s="240"/>
      <c r="F147" s="439" t="s">
        <v>381</v>
      </c>
      <c r="G147" s="123" t="s">
        <v>169</v>
      </c>
      <c r="H147" s="124" t="s">
        <v>454</v>
      </c>
      <c r="I147" s="957"/>
      <c r="J147" s="327"/>
      <c r="K147" s="687"/>
      <c r="L147" s="402"/>
      <c r="M147" s="402"/>
      <c r="N147" s="139"/>
      <c r="O147" s="740"/>
      <c r="Q147" s="135"/>
      <c r="R147"/>
      <c r="S147"/>
      <c r="T147"/>
      <c r="U147"/>
      <c r="V147"/>
      <c r="W147"/>
      <c r="X147"/>
      <c r="Y147"/>
    </row>
    <row r="148" spans="1:25" s="45" customFormat="1" x14ac:dyDescent="0.2">
      <c r="A148" s="736"/>
      <c r="B148" s="9" t="s">
        <v>608</v>
      </c>
      <c r="C148" s="118"/>
      <c r="D148" s="239"/>
      <c r="E148" s="239"/>
      <c r="F148" s="439" t="s">
        <v>381</v>
      </c>
      <c r="G148" s="118" t="s">
        <v>169</v>
      </c>
      <c r="H148" s="630" t="s">
        <v>908</v>
      </c>
      <c r="I148" s="977">
        <f t="shared" si="7"/>
        <v>6000</v>
      </c>
      <c r="J148" s="139"/>
      <c r="K148" s="132">
        <v>6000</v>
      </c>
      <c r="L148" s="132"/>
      <c r="M148" s="132"/>
      <c r="N148" s="139"/>
      <c r="O148" s="740"/>
      <c r="Q148" s="135"/>
      <c r="R148"/>
      <c r="S148"/>
      <c r="T148"/>
      <c r="U148"/>
      <c r="V148"/>
      <c r="W148"/>
      <c r="X148"/>
      <c r="Y148"/>
    </row>
    <row r="149" spans="1:25" s="45" customFormat="1" x14ac:dyDescent="0.2">
      <c r="A149" s="736"/>
      <c r="B149" s="9" t="s">
        <v>608</v>
      </c>
      <c r="C149" s="118"/>
      <c r="D149" s="239"/>
      <c r="E149" s="239"/>
      <c r="F149" s="439" t="s">
        <v>381</v>
      </c>
      <c r="G149" s="118" t="s">
        <v>169</v>
      </c>
      <c r="H149" s="242" t="s">
        <v>909</v>
      </c>
      <c r="I149" s="977">
        <f t="shared" si="7"/>
        <v>4000</v>
      </c>
      <c r="J149" s="139"/>
      <c r="K149" s="132">
        <v>4000</v>
      </c>
      <c r="L149" s="132"/>
      <c r="M149" s="132"/>
      <c r="N149" s="139"/>
      <c r="O149" s="740"/>
      <c r="Q149" s="135"/>
      <c r="R149"/>
      <c r="S149"/>
      <c r="T149"/>
      <c r="U149"/>
      <c r="V149"/>
      <c r="W149"/>
      <c r="X149"/>
      <c r="Y149"/>
    </row>
    <row r="150" spans="1:25" s="45" customFormat="1" x14ac:dyDescent="0.2">
      <c r="A150" s="736"/>
      <c r="B150" s="9" t="s">
        <v>608</v>
      </c>
      <c r="C150" s="118"/>
      <c r="D150" s="239"/>
      <c r="E150" s="239"/>
      <c r="F150" s="439" t="s">
        <v>381</v>
      </c>
      <c r="G150" s="118" t="s">
        <v>169</v>
      </c>
      <c r="H150" s="242" t="s">
        <v>910</v>
      </c>
      <c r="I150" s="977">
        <f t="shared" si="7"/>
        <v>15000</v>
      </c>
      <c r="J150" s="139"/>
      <c r="K150" s="132">
        <v>15000</v>
      </c>
      <c r="L150" s="132"/>
      <c r="M150" s="132"/>
      <c r="N150" s="139"/>
      <c r="O150" s="740"/>
      <c r="Q150" s="135"/>
      <c r="R150"/>
      <c r="S150"/>
      <c r="T150"/>
      <c r="U150"/>
      <c r="V150"/>
      <c r="W150"/>
      <c r="X150"/>
      <c r="Y150"/>
    </row>
    <row r="151" spans="1:25" s="45" customFormat="1" x14ac:dyDescent="0.2">
      <c r="A151" s="736"/>
      <c r="B151" s="9" t="s">
        <v>608</v>
      </c>
      <c r="C151" s="118"/>
      <c r="D151" s="239"/>
      <c r="E151" s="239"/>
      <c r="F151" s="439" t="s">
        <v>381</v>
      </c>
      <c r="G151" s="118" t="s">
        <v>169</v>
      </c>
      <c r="H151" s="242" t="s">
        <v>911</v>
      </c>
      <c r="I151" s="977">
        <f t="shared" si="7"/>
        <v>13000</v>
      </c>
      <c r="J151" s="139"/>
      <c r="K151" s="132">
        <v>13000</v>
      </c>
      <c r="L151" s="132"/>
      <c r="M151" s="132"/>
      <c r="N151" s="139"/>
      <c r="O151" s="740"/>
      <c r="Q151" s="135"/>
      <c r="R151"/>
      <c r="S151"/>
      <c r="T151"/>
      <c r="U151"/>
      <c r="V151"/>
      <c r="W151"/>
      <c r="X151"/>
      <c r="Y151"/>
    </row>
    <row r="152" spans="1:25" s="45" customFormat="1" x14ac:dyDescent="0.2">
      <c r="A152" s="736"/>
      <c r="B152" s="9"/>
      <c r="C152" s="118"/>
      <c r="D152" s="239"/>
      <c r="E152" s="239"/>
      <c r="F152" s="439" t="s">
        <v>381</v>
      </c>
      <c r="G152" s="118" t="s">
        <v>169</v>
      </c>
      <c r="H152" s="242" t="s">
        <v>911</v>
      </c>
      <c r="I152" s="977">
        <f t="shared" si="7"/>
        <v>13000</v>
      </c>
      <c r="J152" s="139"/>
      <c r="K152" s="132">
        <v>13000</v>
      </c>
      <c r="L152" s="132"/>
      <c r="M152" s="132"/>
      <c r="N152" s="139"/>
      <c r="O152" s="740"/>
      <c r="Q152" s="135"/>
      <c r="R152"/>
      <c r="S152"/>
      <c r="T152"/>
      <c r="U152"/>
      <c r="V152"/>
      <c r="W152"/>
      <c r="X152"/>
      <c r="Y152"/>
    </row>
    <row r="153" spans="1:25" s="45" customFormat="1" ht="24" x14ac:dyDescent="0.2">
      <c r="A153" s="736"/>
      <c r="B153" s="9" t="s">
        <v>608</v>
      </c>
      <c r="C153" s="118"/>
      <c r="D153" s="239"/>
      <c r="E153" s="239"/>
      <c r="F153" s="439" t="s">
        <v>381</v>
      </c>
      <c r="G153" s="118" t="s">
        <v>169</v>
      </c>
      <c r="H153" s="242" t="s">
        <v>912</v>
      </c>
      <c r="I153" s="962">
        <f>SUM(K153:M153)</f>
        <v>15000</v>
      </c>
      <c r="J153" s="139"/>
      <c r="K153" s="132">
        <v>15000</v>
      </c>
      <c r="L153" s="132"/>
      <c r="M153" s="132"/>
      <c r="N153" s="139"/>
      <c r="O153" s="740"/>
      <c r="Q153" s="135"/>
      <c r="R153"/>
      <c r="S153"/>
      <c r="T153"/>
      <c r="U153"/>
      <c r="V153"/>
      <c r="W153"/>
      <c r="X153"/>
      <c r="Y153"/>
    </row>
    <row r="154" spans="1:25" s="45" customFormat="1" x14ac:dyDescent="0.2">
      <c r="A154" s="736"/>
      <c r="B154" s="9" t="s">
        <v>608</v>
      </c>
      <c r="C154" s="118"/>
      <c r="D154" s="239"/>
      <c r="E154" s="239"/>
      <c r="F154" s="439" t="s">
        <v>381</v>
      </c>
      <c r="G154" s="118" t="s">
        <v>169</v>
      </c>
      <c r="H154" s="242" t="s">
        <v>913</v>
      </c>
      <c r="I154" s="962">
        <f>SUM(K154:M154)</f>
        <v>6000</v>
      </c>
      <c r="J154" s="139"/>
      <c r="K154" s="132">
        <v>6000</v>
      </c>
      <c r="L154" s="132"/>
      <c r="M154" s="132"/>
      <c r="N154" s="139"/>
      <c r="O154" s="740"/>
      <c r="Q154" s="135"/>
      <c r="R154"/>
      <c r="S154"/>
      <c r="T154"/>
      <c r="U154"/>
      <c r="V154"/>
      <c r="W154"/>
      <c r="X154"/>
      <c r="Y154"/>
    </row>
    <row r="155" spans="1:25" s="45" customFormat="1" x14ac:dyDescent="0.2">
      <c r="A155" s="736"/>
      <c r="B155" s="9"/>
      <c r="C155" s="118"/>
      <c r="D155" s="239"/>
      <c r="E155" s="239"/>
      <c r="F155" s="439" t="s">
        <v>381</v>
      </c>
      <c r="G155" s="118" t="s">
        <v>169</v>
      </c>
      <c r="H155" s="242" t="s">
        <v>622</v>
      </c>
      <c r="I155" s="962">
        <f>SUM(K155:M155)</f>
        <v>1500</v>
      </c>
      <c r="J155" s="139"/>
      <c r="K155" s="132">
        <v>1500</v>
      </c>
      <c r="L155" s="132"/>
      <c r="M155" s="132"/>
      <c r="N155" s="139"/>
      <c r="O155" s="740"/>
      <c r="Q155" s="135"/>
      <c r="R155"/>
      <c r="S155"/>
      <c r="T155"/>
      <c r="U155"/>
      <c r="V155"/>
      <c r="W155"/>
      <c r="X155"/>
      <c r="Y155"/>
    </row>
    <row r="156" spans="1:25" s="45" customFormat="1" x14ac:dyDescent="0.2">
      <c r="A156" s="736"/>
      <c r="B156" s="9" t="s">
        <v>608</v>
      </c>
      <c r="C156" s="123"/>
      <c r="D156" s="240"/>
      <c r="E156" s="240"/>
      <c r="F156" s="439" t="s">
        <v>381</v>
      </c>
      <c r="G156" s="123" t="s">
        <v>169</v>
      </c>
      <c r="H156" s="124" t="s">
        <v>263</v>
      </c>
      <c r="I156" s="979">
        <f>SUM(K156:M156)</f>
        <v>0</v>
      </c>
      <c r="J156" s="327"/>
      <c r="K156" s="687"/>
      <c r="L156" s="402"/>
      <c r="M156" s="402"/>
      <c r="N156" s="139"/>
      <c r="P156" s="45" t="s">
        <v>671</v>
      </c>
      <c r="Q156" s="135"/>
      <c r="R156"/>
      <c r="S156"/>
      <c r="T156"/>
      <c r="U156"/>
      <c r="V156"/>
      <c r="W156"/>
      <c r="X156"/>
      <c r="Y156"/>
    </row>
    <row r="157" spans="1:25" s="45" customFormat="1" ht="24" x14ac:dyDescent="0.2">
      <c r="A157" s="736"/>
      <c r="B157" s="9" t="s">
        <v>608</v>
      </c>
      <c r="C157" s="118"/>
      <c r="D157" s="239"/>
      <c r="E157" s="239"/>
      <c r="F157" s="439" t="s">
        <v>381</v>
      </c>
      <c r="G157" s="118" t="s">
        <v>169</v>
      </c>
      <c r="H157" s="242" t="s">
        <v>914</v>
      </c>
      <c r="I157" s="963">
        <f t="shared" ref="I157:I199" si="8">SUM(K157:M157)</f>
        <v>400</v>
      </c>
      <c r="J157" s="139"/>
      <c r="K157" s="136">
        <v>400</v>
      </c>
      <c r="L157" s="132"/>
      <c r="M157" s="132"/>
      <c r="N157" s="139"/>
      <c r="O157" s="740"/>
      <c r="Q157" s="135"/>
      <c r="R157"/>
      <c r="S157"/>
      <c r="T157"/>
      <c r="U157"/>
      <c r="V157"/>
      <c r="W157"/>
      <c r="X157"/>
      <c r="Y157"/>
    </row>
    <row r="158" spans="1:25" s="45" customFormat="1" x14ac:dyDescent="0.2">
      <c r="A158" s="736"/>
      <c r="B158" s="9" t="s">
        <v>608</v>
      </c>
      <c r="C158" s="118"/>
      <c r="D158" s="239"/>
      <c r="E158" s="239"/>
      <c r="F158" s="439" t="s">
        <v>381</v>
      </c>
      <c r="G158" s="118" t="s">
        <v>169</v>
      </c>
      <c r="H158" s="630" t="s">
        <v>717</v>
      </c>
      <c r="I158" s="963">
        <f t="shared" si="8"/>
        <v>300</v>
      </c>
      <c r="J158" s="139"/>
      <c r="K158" s="132">
        <v>300</v>
      </c>
      <c r="L158" s="132"/>
      <c r="M158" s="132"/>
      <c r="N158" s="139"/>
      <c r="O158" s="740"/>
      <c r="Q158" s="135"/>
      <c r="R158"/>
      <c r="S158"/>
      <c r="T158"/>
      <c r="U158"/>
      <c r="V158"/>
      <c r="W158"/>
      <c r="X158"/>
      <c r="Y158"/>
    </row>
    <row r="159" spans="1:25" s="45" customFormat="1" x14ac:dyDescent="0.2">
      <c r="A159" s="736"/>
      <c r="B159" s="9" t="s">
        <v>608</v>
      </c>
      <c r="C159" s="118"/>
      <c r="D159" s="239"/>
      <c r="E159" s="239"/>
      <c r="F159" s="439" t="s">
        <v>381</v>
      </c>
      <c r="G159" s="118" t="s">
        <v>169</v>
      </c>
      <c r="H159" s="630" t="s">
        <v>1146</v>
      </c>
      <c r="I159" s="963">
        <f>SUM(K159:M159)</f>
        <v>400</v>
      </c>
      <c r="J159" s="139"/>
      <c r="K159" s="132">
        <v>400</v>
      </c>
      <c r="L159" s="132"/>
      <c r="M159" s="132"/>
      <c r="N159" s="139"/>
      <c r="O159" s="740"/>
      <c r="Q159" s="135"/>
      <c r="R159"/>
      <c r="S159"/>
      <c r="T159"/>
      <c r="U159"/>
      <c r="V159"/>
      <c r="W159"/>
      <c r="X159"/>
      <c r="Y159"/>
    </row>
    <row r="160" spans="1:25" s="45" customFormat="1" x14ac:dyDescent="0.2">
      <c r="A160" s="736"/>
      <c r="B160" s="9" t="s">
        <v>608</v>
      </c>
      <c r="C160" s="118"/>
      <c r="D160" s="239"/>
      <c r="E160" s="239"/>
      <c r="F160" s="439" t="s">
        <v>381</v>
      </c>
      <c r="G160" s="118" t="s">
        <v>169</v>
      </c>
      <c r="H160" s="630" t="s">
        <v>915</v>
      </c>
      <c r="I160" s="963">
        <f t="shared" si="8"/>
        <v>500</v>
      </c>
      <c r="J160" s="139"/>
      <c r="K160" s="132">
        <v>500</v>
      </c>
      <c r="L160" s="132"/>
      <c r="M160" s="132"/>
      <c r="N160" s="139"/>
      <c r="O160" s="740"/>
      <c r="Q160" s="135"/>
      <c r="R160"/>
      <c r="S160"/>
      <c r="T160"/>
      <c r="U160"/>
      <c r="V160"/>
      <c r="W160"/>
      <c r="X160"/>
      <c r="Y160"/>
    </row>
    <row r="161" spans="1:25" s="45" customFormat="1" x14ac:dyDescent="0.2">
      <c r="A161" s="736"/>
      <c r="B161" s="9" t="s">
        <v>608</v>
      </c>
      <c r="C161" s="118"/>
      <c r="D161" s="239"/>
      <c r="E161" s="239"/>
      <c r="F161" s="439" t="s">
        <v>381</v>
      </c>
      <c r="G161" s="118" t="s">
        <v>169</v>
      </c>
      <c r="H161" s="630" t="s">
        <v>916</v>
      </c>
      <c r="I161" s="963">
        <f t="shared" si="8"/>
        <v>1000</v>
      </c>
      <c r="J161" s="139"/>
      <c r="K161" s="132">
        <v>1000</v>
      </c>
      <c r="L161" s="132"/>
      <c r="M161" s="132"/>
      <c r="N161" s="139"/>
      <c r="O161" s="740"/>
      <c r="Q161" s="135"/>
      <c r="R161"/>
      <c r="S161"/>
      <c r="T161"/>
      <c r="U161"/>
      <c r="V161"/>
      <c r="W161"/>
      <c r="X161"/>
      <c r="Y161"/>
    </row>
    <row r="162" spans="1:25" s="45" customFormat="1" ht="24" x14ac:dyDescent="0.2">
      <c r="A162" s="736"/>
      <c r="B162" s="9" t="s">
        <v>608</v>
      </c>
      <c r="C162" s="118"/>
      <c r="D162" s="239"/>
      <c r="E162" s="239"/>
      <c r="F162" s="439" t="s">
        <v>381</v>
      </c>
      <c r="G162" s="118" t="s">
        <v>169</v>
      </c>
      <c r="H162" s="242" t="s">
        <v>917</v>
      </c>
      <c r="I162" s="963">
        <f t="shared" si="8"/>
        <v>2500</v>
      </c>
      <c r="J162" s="139"/>
      <c r="K162" s="132">
        <v>2500</v>
      </c>
      <c r="L162" s="132"/>
      <c r="M162" s="132"/>
      <c r="N162" s="139"/>
      <c r="O162" s="740"/>
      <c r="Q162" s="135"/>
      <c r="R162"/>
      <c r="S162"/>
      <c r="T162"/>
      <c r="U162"/>
      <c r="V162"/>
      <c r="W162"/>
      <c r="X162"/>
      <c r="Y162"/>
    </row>
    <row r="163" spans="1:25" s="45" customFormat="1" ht="24" x14ac:dyDescent="0.2">
      <c r="A163" s="736"/>
      <c r="B163" s="9" t="s">
        <v>608</v>
      </c>
      <c r="C163" s="118"/>
      <c r="D163" s="239"/>
      <c r="E163" s="239"/>
      <c r="F163" s="439" t="s">
        <v>381</v>
      </c>
      <c r="G163" s="118" t="s">
        <v>169</v>
      </c>
      <c r="H163" s="242" t="s">
        <v>918</v>
      </c>
      <c r="I163" s="963">
        <f t="shared" si="8"/>
        <v>3000</v>
      </c>
      <c r="J163" s="139"/>
      <c r="K163" s="132">
        <v>3000</v>
      </c>
      <c r="L163" s="132"/>
      <c r="M163" s="132"/>
      <c r="N163" s="139"/>
      <c r="P163" s="45" t="s">
        <v>919</v>
      </c>
      <c r="Q163" s="135"/>
      <c r="R163"/>
      <c r="S163"/>
      <c r="T163"/>
      <c r="U163"/>
      <c r="V163"/>
      <c r="W163"/>
      <c r="X163"/>
      <c r="Y163"/>
    </row>
    <row r="164" spans="1:25" s="45" customFormat="1" x14ac:dyDescent="0.2">
      <c r="A164" s="736"/>
      <c r="B164" s="9" t="s">
        <v>608</v>
      </c>
      <c r="C164" s="249"/>
      <c r="D164" s="754"/>
      <c r="E164" s="754"/>
      <c r="F164" s="444" t="s">
        <v>381</v>
      </c>
      <c r="G164" s="249" t="s">
        <v>169</v>
      </c>
      <c r="H164" s="755" t="s">
        <v>718</v>
      </c>
      <c r="I164" s="973">
        <f t="shared" si="8"/>
        <v>200</v>
      </c>
      <c r="J164" s="139"/>
      <c r="K164" s="276">
        <v>200</v>
      </c>
      <c r="L164" s="276"/>
      <c r="M164" s="276"/>
      <c r="N164" s="139"/>
      <c r="Q164" s="135"/>
      <c r="R164"/>
      <c r="S164"/>
      <c r="T164"/>
      <c r="U164"/>
      <c r="V164"/>
      <c r="W164"/>
      <c r="X164"/>
      <c r="Y164"/>
    </row>
    <row r="165" spans="1:25" s="45" customFormat="1" ht="12.75" thickBot="1" x14ac:dyDescent="0.25">
      <c r="A165" s="736"/>
      <c r="B165" s="9" t="s">
        <v>608</v>
      </c>
      <c r="C165" s="756"/>
      <c r="D165" s="757"/>
      <c r="E165" s="757"/>
      <c r="F165" s="758" t="s">
        <v>381</v>
      </c>
      <c r="G165" s="756" t="s">
        <v>169</v>
      </c>
      <c r="H165" s="759" t="s">
        <v>920</v>
      </c>
      <c r="I165" s="978">
        <f>SUM(K165:M165)</f>
        <v>2000</v>
      </c>
      <c r="J165" s="637"/>
      <c r="K165" s="636">
        <v>2000</v>
      </c>
      <c r="L165" s="636"/>
      <c r="M165" s="636"/>
      <c r="N165" s="139"/>
      <c r="P165" s="45" t="s">
        <v>921</v>
      </c>
      <c r="Q165" s="135"/>
      <c r="R165"/>
      <c r="S165"/>
      <c r="T165"/>
      <c r="U165"/>
      <c r="V165"/>
      <c r="W165"/>
      <c r="X165"/>
      <c r="Y165"/>
    </row>
    <row r="166" spans="1:25" s="45" customFormat="1" ht="13.5" thickTop="1" thickBot="1" x14ac:dyDescent="0.25">
      <c r="A166" s="736"/>
      <c r="B166" s="9"/>
      <c r="C166" s="244"/>
      <c r="D166" s="760"/>
      <c r="E166" s="760"/>
      <c r="F166" s="761" t="s">
        <v>381</v>
      </c>
      <c r="G166" s="244" t="s">
        <v>169</v>
      </c>
      <c r="H166" s="762" t="s">
        <v>922</v>
      </c>
      <c r="I166" s="969">
        <f>SUM(K166:M166)</f>
        <v>10000</v>
      </c>
      <c r="J166" s="428"/>
      <c r="K166" s="431">
        <v>10000</v>
      </c>
      <c r="L166" s="431"/>
      <c r="M166" s="431"/>
      <c r="N166" s="139"/>
      <c r="O166" s="740"/>
      <c r="Q166" s="135"/>
      <c r="R166"/>
      <c r="S166"/>
      <c r="T166"/>
      <c r="U166"/>
      <c r="V166"/>
      <c r="W166"/>
      <c r="X166"/>
      <c r="Y166"/>
    </row>
    <row r="167" spans="1:25" s="45" customFormat="1" ht="12.75" thickTop="1" x14ac:dyDescent="0.2">
      <c r="A167" s="736"/>
      <c r="B167" s="9" t="s">
        <v>330</v>
      </c>
      <c r="C167" s="231"/>
      <c r="D167" s="231"/>
      <c r="E167" s="231"/>
      <c r="F167" s="440" t="s">
        <v>375</v>
      </c>
      <c r="G167" s="231" t="s">
        <v>596</v>
      </c>
      <c r="H167" s="232" t="s">
        <v>453</v>
      </c>
      <c r="I167" s="976">
        <f>SUM(K167:M167)</f>
        <v>14500</v>
      </c>
      <c r="J167" s="139"/>
      <c r="K167" s="233">
        <v>14500</v>
      </c>
      <c r="L167" s="233"/>
      <c r="M167" s="233"/>
      <c r="N167" s="139"/>
      <c r="O167" s="740"/>
      <c r="Q167" s="135"/>
      <c r="R167"/>
      <c r="S167"/>
      <c r="T167"/>
      <c r="U167"/>
      <c r="V167"/>
      <c r="W167"/>
      <c r="X167"/>
      <c r="Y167"/>
    </row>
    <row r="168" spans="1:25" s="45" customFormat="1" ht="43.15" customHeight="1" x14ac:dyDescent="0.2">
      <c r="A168" s="736"/>
      <c r="B168" s="9" t="s">
        <v>330</v>
      </c>
      <c r="C168" s="118"/>
      <c r="D168" s="118"/>
      <c r="E168" s="118"/>
      <c r="F168" s="439" t="s">
        <v>375</v>
      </c>
      <c r="G168" s="231" t="s">
        <v>596</v>
      </c>
      <c r="H168" s="133" t="s">
        <v>438</v>
      </c>
      <c r="I168" s="958">
        <f t="shared" si="8"/>
        <v>20000</v>
      </c>
      <c r="J168" s="139"/>
      <c r="K168" s="132">
        <v>20000</v>
      </c>
      <c r="L168" s="132"/>
      <c r="M168" s="132"/>
      <c r="N168" s="139"/>
      <c r="O168" s="740"/>
      <c r="Q168" s="135"/>
      <c r="R168"/>
      <c r="S168"/>
      <c r="T168"/>
      <c r="U168"/>
      <c r="V168"/>
      <c r="W168"/>
      <c r="X168"/>
      <c r="Y168"/>
    </row>
    <row r="169" spans="1:25" s="45" customFormat="1" ht="24" x14ac:dyDescent="0.2">
      <c r="A169" s="736"/>
      <c r="B169" s="9" t="s">
        <v>330</v>
      </c>
      <c r="C169" s="118"/>
      <c r="D169" s="118"/>
      <c r="E169" s="118"/>
      <c r="F169" s="439" t="s">
        <v>375</v>
      </c>
      <c r="G169" s="231" t="s">
        <v>596</v>
      </c>
      <c r="H169" s="133" t="s">
        <v>708</v>
      </c>
      <c r="I169" s="958">
        <f t="shared" si="8"/>
        <v>5500</v>
      </c>
      <c r="J169" s="139"/>
      <c r="K169" s="132">
        <f>1500+4000</f>
        <v>5500</v>
      </c>
      <c r="L169" s="132"/>
      <c r="M169" s="132"/>
      <c r="N169" s="139"/>
      <c r="O169" s="740"/>
      <c r="Q169" s="135"/>
      <c r="R169"/>
      <c r="S169"/>
      <c r="T169"/>
      <c r="U169"/>
      <c r="V169"/>
      <c r="W169"/>
      <c r="X169"/>
      <c r="Y169"/>
    </row>
    <row r="170" spans="1:25" s="45" customFormat="1" x14ac:dyDescent="0.2">
      <c r="A170" s="736"/>
      <c r="B170" s="9"/>
      <c r="C170" s="118"/>
      <c r="D170" s="118"/>
      <c r="E170" s="118"/>
      <c r="F170" s="439" t="s">
        <v>375</v>
      </c>
      <c r="G170" s="231" t="s">
        <v>596</v>
      </c>
      <c r="H170" s="133" t="s">
        <v>926</v>
      </c>
      <c r="I170" s="977">
        <f t="shared" si="8"/>
        <v>30000</v>
      </c>
      <c r="J170" s="139"/>
      <c r="K170" s="136">
        <v>30000</v>
      </c>
      <c r="L170" s="132"/>
      <c r="M170" s="132"/>
      <c r="N170" s="139"/>
      <c r="P170" s="45" t="s">
        <v>927</v>
      </c>
      <c r="Q170" s="135"/>
      <c r="R170"/>
      <c r="S170"/>
      <c r="T170"/>
      <c r="U170"/>
      <c r="V170"/>
      <c r="W170"/>
      <c r="X170"/>
      <c r="Y170"/>
    </row>
    <row r="171" spans="1:25" s="45" customFormat="1" x14ac:dyDescent="0.2">
      <c r="A171" s="736"/>
      <c r="B171" s="9" t="s">
        <v>330</v>
      </c>
      <c r="C171" s="118"/>
      <c r="D171" s="118"/>
      <c r="E171" s="118"/>
      <c r="F171" s="439" t="s">
        <v>375</v>
      </c>
      <c r="G171" s="231" t="s">
        <v>596</v>
      </c>
      <c r="H171" s="133" t="s">
        <v>928</v>
      </c>
      <c r="I171" s="977">
        <f t="shared" si="8"/>
        <v>15000</v>
      </c>
      <c r="J171" s="139"/>
      <c r="K171" s="136">
        <v>15000</v>
      </c>
      <c r="L171" s="132"/>
      <c r="M171" s="132"/>
      <c r="N171" s="139"/>
      <c r="P171" s="45" t="s">
        <v>929</v>
      </c>
      <c r="Q171" s="135"/>
      <c r="R171"/>
      <c r="S171"/>
      <c r="T171"/>
      <c r="U171"/>
      <c r="V171"/>
      <c r="W171"/>
      <c r="X171"/>
      <c r="Y171"/>
    </row>
    <row r="172" spans="1:25" s="45" customFormat="1" x14ac:dyDescent="0.2">
      <c r="A172" s="736"/>
      <c r="B172" s="9"/>
      <c r="C172" s="118"/>
      <c r="D172" s="118"/>
      <c r="E172" s="118"/>
      <c r="F172" s="439" t="s">
        <v>375</v>
      </c>
      <c r="G172" s="231" t="s">
        <v>596</v>
      </c>
      <c r="H172" s="945" t="s">
        <v>364</v>
      </c>
      <c r="I172" s="977">
        <f t="shared" si="8"/>
        <v>150000</v>
      </c>
      <c r="J172" s="229"/>
      <c r="K172" s="946">
        <f>168000-28000+10000</f>
        <v>150000</v>
      </c>
      <c r="L172" s="132"/>
      <c r="M172" s="132"/>
      <c r="N172" s="139"/>
      <c r="P172" s="45" t="s">
        <v>930</v>
      </c>
      <c r="Q172" s="135"/>
      <c r="R172"/>
      <c r="S172"/>
      <c r="T172"/>
      <c r="U172"/>
      <c r="V172"/>
      <c r="W172"/>
      <c r="X172"/>
      <c r="Y172"/>
    </row>
    <row r="173" spans="1:25" s="45" customFormat="1" x14ac:dyDescent="0.2">
      <c r="A173" s="736"/>
      <c r="B173" s="9"/>
      <c r="C173" s="118"/>
      <c r="D173" s="118"/>
      <c r="E173" s="118"/>
      <c r="F173" s="439" t="s">
        <v>375</v>
      </c>
      <c r="G173" s="231" t="s">
        <v>596</v>
      </c>
      <c r="H173" s="133" t="s">
        <v>673</v>
      </c>
      <c r="I173" s="977">
        <f t="shared" si="8"/>
        <v>1500</v>
      </c>
      <c r="J173" s="139"/>
      <c r="K173" s="136">
        <v>1500</v>
      </c>
      <c r="L173" s="132"/>
      <c r="M173" s="132"/>
      <c r="N173" s="139"/>
      <c r="Q173" s="135"/>
      <c r="R173"/>
      <c r="S173"/>
      <c r="T173"/>
      <c r="U173"/>
      <c r="V173"/>
      <c r="W173"/>
      <c r="X173"/>
      <c r="Y173"/>
    </row>
    <row r="174" spans="1:25" s="45" customFormat="1" x14ac:dyDescent="0.2">
      <c r="A174" s="736"/>
      <c r="B174" s="9" t="s">
        <v>330</v>
      </c>
      <c r="C174" s="123"/>
      <c r="D174" s="123"/>
      <c r="E174" s="123"/>
      <c r="F174" s="439" t="s">
        <v>375</v>
      </c>
      <c r="G174" s="243" t="s">
        <v>596</v>
      </c>
      <c r="H174" s="814" t="s">
        <v>263</v>
      </c>
      <c r="I174" s="241"/>
      <c r="J174" s="403"/>
      <c r="K174" s="687"/>
      <c r="L174" s="402"/>
      <c r="M174" s="402"/>
      <c r="N174" s="139"/>
      <c r="Q174" s="135"/>
      <c r="R174"/>
      <c r="S174"/>
      <c r="T174"/>
      <c r="U174"/>
      <c r="V174"/>
      <c r="W174"/>
      <c r="X174"/>
      <c r="Y174"/>
    </row>
    <row r="175" spans="1:25" s="45" customFormat="1" x14ac:dyDescent="0.2">
      <c r="A175" s="736"/>
      <c r="B175" s="9" t="s">
        <v>330</v>
      </c>
      <c r="C175" s="118"/>
      <c r="D175" s="118"/>
      <c r="E175" s="118"/>
      <c r="F175" s="439" t="s">
        <v>375</v>
      </c>
      <c r="G175" s="231" t="s">
        <v>596</v>
      </c>
      <c r="H175" s="630" t="s">
        <v>674</v>
      </c>
      <c r="I175" s="958">
        <f t="shared" si="8"/>
        <v>800</v>
      </c>
      <c r="J175" s="139"/>
      <c r="K175" s="132">
        <v>800</v>
      </c>
      <c r="L175" s="132"/>
      <c r="M175" s="132"/>
      <c r="N175" s="139"/>
      <c r="Q175" s="135"/>
      <c r="R175"/>
      <c r="S175"/>
      <c r="T175"/>
      <c r="U175"/>
      <c r="V175"/>
      <c r="W175"/>
      <c r="X175"/>
      <c r="Y175"/>
    </row>
    <row r="176" spans="1:25" s="45" customFormat="1" x14ac:dyDescent="0.2">
      <c r="A176" s="736"/>
      <c r="B176" s="9" t="s">
        <v>330</v>
      </c>
      <c r="C176" s="118"/>
      <c r="D176" s="118"/>
      <c r="E176" s="118"/>
      <c r="F176" s="439" t="s">
        <v>375</v>
      </c>
      <c r="G176" s="231" t="s">
        <v>596</v>
      </c>
      <c r="H176" s="630" t="s">
        <v>931</v>
      </c>
      <c r="I176" s="958">
        <f t="shared" si="8"/>
        <v>1200</v>
      </c>
      <c r="J176" s="139"/>
      <c r="K176" s="132">
        <v>1200</v>
      </c>
      <c r="L176" s="132"/>
      <c r="M176" s="132"/>
      <c r="N176" s="139"/>
      <c r="P176" s="45" t="s">
        <v>932</v>
      </c>
      <c r="Q176" s="135"/>
      <c r="R176"/>
      <c r="S176"/>
      <c r="T176"/>
      <c r="U176"/>
      <c r="V176"/>
      <c r="W176"/>
      <c r="X176"/>
      <c r="Y176"/>
    </row>
    <row r="177" spans="1:25" s="45" customFormat="1" ht="24" x14ac:dyDescent="0.2">
      <c r="A177" s="736"/>
      <c r="B177" s="9" t="s">
        <v>330</v>
      </c>
      <c r="C177" s="118"/>
      <c r="D177" s="118"/>
      <c r="E177" s="118"/>
      <c r="F177" s="439" t="s">
        <v>375</v>
      </c>
      <c r="G177" s="231" t="s">
        <v>596</v>
      </c>
      <c r="H177" s="242" t="s">
        <v>933</v>
      </c>
      <c r="I177" s="958">
        <f t="shared" si="8"/>
        <v>1200</v>
      </c>
      <c r="J177" s="139"/>
      <c r="K177" s="132">
        <v>1200</v>
      </c>
      <c r="L177" s="132"/>
      <c r="M177" s="132"/>
      <c r="N177" s="139"/>
      <c r="P177" s="45" t="s">
        <v>934</v>
      </c>
      <c r="Q177" s="135"/>
      <c r="R177"/>
      <c r="S177"/>
      <c r="T177"/>
      <c r="U177"/>
      <c r="V177"/>
      <c r="W177"/>
      <c r="X177"/>
      <c r="Y177"/>
    </row>
    <row r="178" spans="1:25" s="45" customFormat="1" ht="24" x14ac:dyDescent="0.2">
      <c r="A178" s="736"/>
      <c r="B178" s="9" t="s">
        <v>330</v>
      </c>
      <c r="C178" s="118"/>
      <c r="D178" s="118"/>
      <c r="E178" s="118"/>
      <c r="F178" s="439" t="s">
        <v>375</v>
      </c>
      <c r="G178" s="231" t="s">
        <v>596</v>
      </c>
      <c r="H178" s="242" t="s">
        <v>935</v>
      </c>
      <c r="I178" s="958">
        <f t="shared" si="8"/>
        <v>300</v>
      </c>
      <c r="J178" s="139"/>
      <c r="K178" s="132">
        <v>300</v>
      </c>
      <c r="L178" s="132"/>
      <c r="M178" s="132"/>
      <c r="N178" s="139"/>
      <c r="Q178" s="135"/>
      <c r="R178"/>
      <c r="S178"/>
      <c r="T178"/>
      <c r="U178"/>
      <c r="V178"/>
      <c r="W178"/>
      <c r="X178"/>
      <c r="Y178"/>
    </row>
    <row r="179" spans="1:25" s="45" customFormat="1" x14ac:dyDescent="0.2">
      <c r="A179" s="736"/>
      <c r="B179" s="9"/>
      <c r="C179" s="118"/>
      <c r="D179" s="118"/>
      <c r="E179" s="118"/>
      <c r="F179" s="439" t="s">
        <v>375</v>
      </c>
      <c r="G179" s="231" t="s">
        <v>596</v>
      </c>
      <c r="H179" s="630" t="s">
        <v>936</v>
      </c>
      <c r="I179" s="958">
        <f t="shared" si="8"/>
        <v>1200</v>
      </c>
      <c r="J179" s="139"/>
      <c r="K179" s="132">
        <v>1200</v>
      </c>
      <c r="L179" s="132"/>
      <c r="M179" s="132"/>
      <c r="N179" s="139"/>
      <c r="P179" s="45" t="s">
        <v>937</v>
      </c>
      <c r="Q179" s="135"/>
      <c r="R179"/>
      <c r="S179"/>
      <c r="T179"/>
      <c r="U179"/>
      <c r="V179"/>
      <c r="W179"/>
      <c r="X179"/>
      <c r="Y179"/>
    </row>
    <row r="180" spans="1:25" s="45" customFormat="1" x14ac:dyDescent="0.2">
      <c r="A180" s="736"/>
      <c r="B180" s="9"/>
      <c r="C180" s="118"/>
      <c r="D180" s="118"/>
      <c r="E180" s="118"/>
      <c r="F180" s="439" t="s">
        <v>375</v>
      </c>
      <c r="G180" s="231" t="s">
        <v>596</v>
      </c>
      <c r="H180" s="630" t="s">
        <v>938</v>
      </c>
      <c r="I180" s="958">
        <f t="shared" si="8"/>
        <v>600</v>
      </c>
      <c r="J180" s="139"/>
      <c r="K180" s="132">
        <v>600</v>
      </c>
      <c r="L180" s="132"/>
      <c r="M180" s="132"/>
      <c r="N180" s="139"/>
      <c r="Q180" s="135"/>
      <c r="R180"/>
      <c r="S180"/>
      <c r="T180"/>
      <c r="U180"/>
      <c r="V180"/>
      <c r="W180"/>
      <c r="X180"/>
      <c r="Y180"/>
    </row>
    <row r="181" spans="1:25" s="45" customFormat="1" x14ac:dyDescent="0.2">
      <c r="A181" s="736"/>
      <c r="B181" s="9" t="s">
        <v>330</v>
      </c>
      <c r="C181" s="118"/>
      <c r="D181" s="118"/>
      <c r="E181" s="118"/>
      <c r="F181" s="439" t="s">
        <v>375</v>
      </c>
      <c r="G181" s="231" t="s">
        <v>596</v>
      </c>
      <c r="H181" s="630" t="s">
        <v>581</v>
      </c>
      <c r="I181" s="958">
        <f t="shared" si="8"/>
        <v>800</v>
      </c>
      <c r="J181" s="139"/>
      <c r="K181" s="132">
        <v>800</v>
      </c>
      <c r="L181" s="132"/>
      <c r="M181" s="132"/>
      <c r="N181" s="139"/>
      <c r="Q181" s="135"/>
      <c r="R181"/>
      <c r="S181"/>
      <c r="T181"/>
      <c r="U181"/>
      <c r="V181"/>
      <c r="W181"/>
      <c r="X181"/>
      <c r="Y181"/>
    </row>
    <row r="182" spans="1:25" s="45" customFormat="1" x14ac:dyDescent="0.2">
      <c r="A182" s="736"/>
      <c r="B182" s="9" t="s">
        <v>330</v>
      </c>
      <c r="C182" s="118"/>
      <c r="D182" s="118"/>
      <c r="E182" s="118"/>
      <c r="F182" s="439" t="s">
        <v>375</v>
      </c>
      <c r="G182" s="231" t="s">
        <v>596</v>
      </c>
      <c r="H182" s="630" t="s">
        <v>939</v>
      </c>
      <c r="I182" s="958">
        <f t="shared" si="8"/>
        <v>700</v>
      </c>
      <c r="J182" s="139"/>
      <c r="K182" s="132">
        <v>700</v>
      </c>
      <c r="L182" s="132"/>
      <c r="M182" s="132"/>
      <c r="N182" s="139"/>
      <c r="Q182" s="135"/>
      <c r="R182"/>
      <c r="S182"/>
      <c r="T182"/>
      <c r="U182"/>
      <c r="V182"/>
      <c r="W182"/>
      <c r="X182"/>
      <c r="Y182"/>
    </row>
    <row r="183" spans="1:25" s="45" customFormat="1" ht="13.15" customHeight="1" x14ac:dyDescent="0.2">
      <c r="A183" s="736"/>
      <c r="B183" s="9" t="s">
        <v>330</v>
      </c>
      <c r="C183" s="118"/>
      <c r="D183" s="118"/>
      <c r="E183" s="118"/>
      <c r="F183" s="439" t="s">
        <v>375</v>
      </c>
      <c r="G183" s="231" t="s">
        <v>596</v>
      </c>
      <c r="H183" s="630" t="s">
        <v>940</v>
      </c>
      <c r="I183" s="958">
        <f t="shared" si="8"/>
        <v>1000</v>
      </c>
      <c r="J183" s="139"/>
      <c r="K183" s="132">
        <v>1000</v>
      </c>
      <c r="L183" s="132"/>
      <c r="M183" s="132"/>
      <c r="N183" s="139"/>
      <c r="P183" s="62" t="s">
        <v>941</v>
      </c>
      <c r="Q183" s="135"/>
      <c r="R183"/>
      <c r="S183"/>
      <c r="T183"/>
      <c r="U183"/>
      <c r="V183"/>
      <c r="W183"/>
      <c r="X183"/>
      <c r="Y183"/>
    </row>
    <row r="184" spans="1:25" x14ac:dyDescent="0.2">
      <c r="B184" s="9" t="s">
        <v>330</v>
      </c>
      <c r="C184" s="118"/>
      <c r="D184" s="118"/>
      <c r="E184" s="118"/>
      <c r="F184" s="439" t="s">
        <v>375</v>
      </c>
      <c r="G184" s="231" t="s">
        <v>596</v>
      </c>
      <c r="H184" s="630" t="s">
        <v>942</v>
      </c>
      <c r="I184" s="958">
        <f t="shared" si="8"/>
        <v>600</v>
      </c>
      <c r="J184" s="139"/>
      <c r="K184" s="132">
        <v>600</v>
      </c>
      <c r="L184" s="132"/>
      <c r="M184" s="132"/>
      <c r="N184" s="139"/>
      <c r="O184" s="740"/>
    </row>
    <row r="185" spans="1:25" ht="12.75" thickBot="1" x14ac:dyDescent="0.25">
      <c r="B185" s="9" t="s">
        <v>330</v>
      </c>
      <c r="C185" s="230"/>
      <c r="D185" s="230"/>
      <c r="E185" s="230"/>
      <c r="F185" s="441" t="s">
        <v>375</v>
      </c>
      <c r="G185" s="244" t="s">
        <v>596</v>
      </c>
      <c r="H185" s="629" t="s">
        <v>580</v>
      </c>
      <c r="I185" s="972">
        <f t="shared" si="8"/>
        <v>800</v>
      </c>
      <c r="J185" s="428"/>
      <c r="K185" s="427">
        <v>800</v>
      </c>
      <c r="L185" s="427"/>
      <c r="M185" s="427"/>
      <c r="N185" s="139"/>
      <c r="O185" s="740"/>
    </row>
    <row r="186" spans="1:25" ht="24.75" thickTop="1" x14ac:dyDescent="0.2">
      <c r="B186" s="9" t="s">
        <v>607</v>
      </c>
      <c r="C186" s="231"/>
      <c r="D186" s="231"/>
      <c r="E186" s="231"/>
      <c r="F186" s="440" t="s">
        <v>236</v>
      </c>
      <c r="G186" s="270" t="s">
        <v>237</v>
      </c>
      <c r="H186" s="659" t="s">
        <v>675</v>
      </c>
      <c r="I186" s="967">
        <f>K186</f>
        <v>23000</v>
      </c>
      <c r="J186" s="139"/>
      <c r="K186" s="275">
        <v>23000</v>
      </c>
      <c r="L186" s="233"/>
      <c r="M186" s="233"/>
      <c r="N186" s="139"/>
      <c r="O186" s="740"/>
      <c r="P186" s="235"/>
    </row>
    <row r="187" spans="1:25" ht="24" x14ac:dyDescent="0.2">
      <c r="B187" s="9" t="s">
        <v>607</v>
      </c>
      <c r="C187" s="118"/>
      <c r="D187" s="118"/>
      <c r="E187" s="118"/>
      <c r="F187" s="439" t="s">
        <v>236</v>
      </c>
      <c r="G187" s="118" t="s">
        <v>237</v>
      </c>
      <c r="H187" s="659" t="s">
        <v>677</v>
      </c>
      <c r="I187" s="977">
        <f t="shared" ref="I187:I192" si="9">SUM(K187:M187)</f>
        <v>2320</v>
      </c>
      <c r="J187" s="139"/>
      <c r="K187" s="132">
        <v>2320</v>
      </c>
      <c r="L187" s="132"/>
      <c r="M187" s="132"/>
      <c r="N187" s="139"/>
      <c r="O187" s="740"/>
      <c r="P187" s="234"/>
    </row>
    <row r="188" spans="1:25" x14ac:dyDescent="0.2">
      <c r="B188" s="9" t="s">
        <v>607</v>
      </c>
      <c r="C188" s="118"/>
      <c r="D188" s="118"/>
      <c r="E188" s="118"/>
      <c r="F188" s="439" t="s">
        <v>236</v>
      </c>
      <c r="G188" s="118" t="s">
        <v>237</v>
      </c>
      <c r="H188" s="658" t="s">
        <v>676</v>
      </c>
      <c r="I188" s="958">
        <f t="shared" si="9"/>
        <v>39800</v>
      </c>
      <c r="J188" s="139"/>
      <c r="K188" s="132">
        <v>39800</v>
      </c>
      <c r="L188" s="125"/>
      <c r="M188" s="125"/>
      <c r="N188" s="139"/>
      <c r="O188" s="767"/>
      <c r="P188" s="236"/>
    </row>
    <row r="189" spans="1:25" ht="24.75" thickBot="1" x14ac:dyDescent="0.25">
      <c r="B189" s="9" t="s">
        <v>607</v>
      </c>
      <c r="C189" s="248"/>
      <c r="D189" s="248"/>
      <c r="E189" s="248"/>
      <c r="F189" s="441" t="s">
        <v>236</v>
      </c>
      <c r="G189" s="248" t="s">
        <v>237</v>
      </c>
      <c r="H189" s="634" t="s">
        <v>441</v>
      </c>
      <c r="I189" s="972">
        <f t="shared" si="9"/>
        <v>2000</v>
      </c>
      <c r="J189" s="428"/>
      <c r="K189" s="427">
        <v>2000</v>
      </c>
      <c r="L189" s="427"/>
      <c r="M189" s="427"/>
      <c r="N189" s="139"/>
      <c r="O189" s="740"/>
      <c r="P189" s="237"/>
    </row>
    <row r="190" spans="1:25" ht="24.75" thickTop="1" x14ac:dyDescent="0.2">
      <c r="B190" s="9" t="s">
        <v>607</v>
      </c>
      <c r="C190" s="118"/>
      <c r="D190" s="118"/>
      <c r="E190" s="118"/>
      <c r="F190" s="439" t="s">
        <v>594</v>
      </c>
      <c r="G190" s="118" t="s">
        <v>595</v>
      </c>
      <c r="H190" s="140" t="s">
        <v>1010</v>
      </c>
      <c r="I190" s="958">
        <f t="shared" si="9"/>
        <v>74550</v>
      </c>
      <c r="J190" s="139"/>
      <c r="K190" s="910">
        <v>44130</v>
      </c>
      <c r="L190" s="132">
        <v>30420</v>
      </c>
      <c r="M190" s="132"/>
      <c r="N190" s="139"/>
      <c r="O190" s="740"/>
      <c r="P190" s="234"/>
    </row>
    <row r="191" spans="1:25" ht="24" x14ac:dyDescent="0.2">
      <c r="B191" s="9" t="s">
        <v>607</v>
      </c>
      <c r="C191" s="118"/>
      <c r="D191" s="118"/>
      <c r="E191" s="118"/>
      <c r="F191" s="439" t="s">
        <v>594</v>
      </c>
      <c r="G191" s="118" t="s">
        <v>595</v>
      </c>
      <c r="H191" s="140" t="s">
        <v>1011</v>
      </c>
      <c r="I191" s="958">
        <f t="shared" si="9"/>
        <v>26262.751410000001</v>
      </c>
      <c r="J191" s="139"/>
      <c r="K191" s="132">
        <v>26262.751410000001</v>
      </c>
      <c r="L191" s="132"/>
      <c r="M191" s="132"/>
      <c r="N191" s="139"/>
      <c r="O191" s="740"/>
      <c r="P191" s="234"/>
    </row>
    <row r="192" spans="1:25" ht="12.75" thickBot="1" x14ac:dyDescent="0.25">
      <c r="B192" s="9" t="s">
        <v>607</v>
      </c>
      <c r="C192" s="230"/>
      <c r="D192" s="230"/>
      <c r="E192" s="230"/>
      <c r="F192" s="441" t="s">
        <v>594</v>
      </c>
      <c r="G192" s="230" t="s">
        <v>595</v>
      </c>
      <c r="H192" s="634" t="s">
        <v>680</v>
      </c>
      <c r="I192" s="972">
        <f t="shared" si="9"/>
        <v>4000</v>
      </c>
      <c r="J192" s="428"/>
      <c r="K192" s="427">
        <v>4000</v>
      </c>
      <c r="L192" s="427"/>
      <c r="M192" s="427"/>
      <c r="N192" s="139"/>
      <c r="O192" s="740"/>
      <c r="P192" s="234"/>
    </row>
    <row r="193" spans="1:25" s="45" customFormat="1" ht="24.75" thickTop="1" x14ac:dyDescent="0.2">
      <c r="A193" s="736"/>
      <c r="B193" s="9" t="s">
        <v>607</v>
      </c>
      <c r="C193" s="231"/>
      <c r="D193" s="231"/>
      <c r="E193" s="231"/>
      <c r="F193" s="440">
        <v>1010</v>
      </c>
      <c r="G193" s="231" t="s">
        <v>176</v>
      </c>
      <c r="H193" s="232" t="s">
        <v>1122</v>
      </c>
      <c r="I193" s="976">
        <f t="shared" si="8"/>
        <v>19000</v>
      </c>
      <c r="J193" s="139"/>
      <c r="K193" s="233">
        <v>19000</v>
      </c>
      <c r="L193" s="233"/>
      <c r="M193" s="233"/>
      <c r="N193" s="139"/>
      <c r="O193" s="740"/>
      <c r="Q193" s="135"/>
      <c r="R193"/>
      <c r="S193"/>
      <c r="T193"/>
      <c r="U193"/>
      <c r="V193"/>
      <c r="W193"/>
      <c r="X193"/>
      <c r="Y193"/>
    </row>
    <row r="194" spans="1:25" s="45" customFormat="1" x14ac:dyDescent="0.2">
      <c r="A194" s="736"/>
      <c r="B194" s="9"/>
      <c r="C194" s="118"/>
      <c r="D194" s="118"/>
      <c r="E194" s="118"/>
      <c r="F194" s="439">
        <v>1010</v>
      </c>
      <c r="G194" s="231" t="s">
        <v>176</v>
      </c>
      <c r="H194" s="133" t="s">
        <v>585</v>
      </c>
      <c r="I194" s="958">
        <f t="shared" si="8"/>
        <v>25830</v>
      </c>
      <c r="J194" s="139"/>
      <c r="K194" s="136">
        <v>25830</v>
      </c>
      <c r="L194" s="132"/>
      <c r="M194" s="132"/>
      <c r="N194" s="139"/>
      <c r="P194" s="45" t="s">
        <v>722</v>
      </c>
      <c r="Q194" s="135"/>
      <c r="R194"/>
      <c r="S194"/>
      <c r="T194"/>
      <c r="U194"/>
      <c r="V194"/>
      <c r="W194"/>
      <c r="X194"/>
      <c r="Y194"/>
    </row>
    <row r="195" spans="1:25" s="45" customFormat="1" ht="22.15" customHeight="1" x14ac:dyDescent="0.2">
      <c r="A195" s="736"/>
      <c r="B195" s="9"/>
      <c r="C195" s="118"/>
      <c r="D195" s="118"/>
      <c r="E195" s="118"/>
      <c r="F195" s="439">
        <v>1010</v>
      </c>
      <c r="G195" s="231" t="s">
        <v>176</v>
      </c>
      <c r="H195" s="133" t="s">
        <v>505</v>
      </c>
      <c r="I195" s="958">
        <f t="shared" si="8"/>
        <v>167400</v>
      </c>
      <c r="J195" s="139"/>
      <c r="K195" s="1005">
        <v>167400</v>
      </c>
      <c r="L195" s="132"/>
      <c r="M195" s="132"/>
      <c r="N195" s="139"/>
      <c r="O195" s="740"/>
      <c r="Q195" s="135"/>
      <c r="R195"/>
      <c r="S195"/>
      <c r="T195"/>
      <c r="U195"/>
      <c r="V195"/>
      <c r="W195"/>
      <c r="X195"/>
      <c r="Y195"/>
    </row>
    <row r="196" spans="1:25" s="45" customFormat="1" ht="23.45" customHeight="1" x14ac:dyDescent="0.2">
      <c r="A196" s="736"/>
      <c r="B196" s="9"/>
      <c r="C196" s="118"/>
      <c r="D196" s="118"/>
      <c r="E196" s="118"/>
      <c r="F196" s="439">
        <v>1010</v>
      </c>
      <c r="G196" s="231" t="s">
        <v>176</v>
      </c>
      <c r="H196" s="133" t="s">
        <v>586</v>
      </c>
      <c r="I196" s="958">
        <f t="shared" si="8"/>
        <v>50000</v>
      </c>
      <c r="J196" s="139"/>
      <c r="K196" s="1005">
        <v>50000</v>
      </c>
      <c r="L196" s="132"/>
      <c r="M196" s="132"/>
      <c r="N196" s="139"/>
      <c r="O196" s="740"/>
      <c r="Q196" s="135"/>
      <c r="R196"/>
      <c r="S196"/>
      <c r="T196"/>
      <c r="U196"/>
      <c r="V196"/>
      <c r="W196"/>
      <c r="X196"/>
      <c r="Y196"/>
    </row>
    <row r="197" spans="1:25" s="45" customFormat="1" ht="27" customHeight="1" x14ac:dyDescent="0.2">
      <c r="A197" s="736"/>
      <c r="B197" s="9"/>
      <c r="C197" s="118"/>
      <c r="D197" s="118"/>
      <c r="E197" s="118"/>
      <c r="F197" s="439">
        <v>1010</v>
      </c>
      <c r="G197" s="231" t="s">
        <v>176</v>
      </c>
      <c r="H197" s="133" t="s">
        <v>975</v>
      </c>
      <c r="I197" s="958">
        <f t="shared" si="8"/>
        <v>10000</v>
      </c>
      <c r="J197" s="139"/>
      <c r="K197" s="132">
        <v>10000</v>
      </c>
      <c r="L197" s="132"/>
      <c r="M197" s="132"/>
      <c r="N197" s="139"/>
      <c r="O197" s="740"/>
      <c r="Q197" s="135"/>
      <c r="R197"/>
      <c r="S197"/>
      <c r="T197"/>
      <c r="U197"/>
      <c r="V197"/>
      <c r="W197"/>
      <c r="X197"/>
      <c r="Y197"/>
    </row>
    <row r="198" spans="1:25" s="45" customFormat="1" ht="24" customHeight="1" x14ac:dyDescent="0.2">
      <c r="A198" s="736"/>
      <c r="B198" s="9"/>
      <c r="C198" s="118"/>
      <c r="D198" s="118"/>
      <c r="E198" s="118"/>
      <c r="F198" s="439">
        <v>1010</v>
      </c>
      <c r="G198" s="231" t="s">
        <v>176</v>
      </c>
      <c r="H198" s="133" t="s">
        <v>723</v>
      </c>
      <c r="I198" s="958">
        <f t="shared" si="8"/>
        <v>1200</v>
      </c>
      <c r="J198" s="139"/>
      <c r="K198" s="132">
        <v>1200</v>
      </c>
      <c r="L198" s="132"/>
      <c r="M198" s="132"/>
      <c r="N198" s="139"/>
      <c r="O198" s="740"/>
      <c r="Q198" s="135"/>
      <c r="R198"/>
      <c r="S198"/>
      <c r="T198"/>
      <c r="U198"/>
      <c r="V198"/>
      <c r="W198"/>
      <c r="X198"/>
      <c r="Y198"/>
    </row>
    <row r="199" spans="1:25" s="45" customFormat="1" x14ac:dyDescent="0.2">
      <c r="A199" s="736"/>
      <c r="B199" s="9"/>
      <c r="C199" s="118"/>
      <c r="D199" s="118"/>
      <c r="E199" s="118"/>
      <c r="F199" s="439">
        <v>1010</v>
      </c>
      <c r="G199" s="231" t="s">
        <v>176</v>
      </c>
      <c r="H199" s="133" t="s">
        <v>976</v>
      </c>
      <c r="I199" s="958">
        <f t="shared" si="8"/>
        <v>180000</v>
      </c>
      <c r="J199" s="139"/>
      <c r="K199" s="1005">
        <v>180000</v>
      </c>
      <c r="L199" s="132"/>
      <c r="M199" s="132"/>
      <c r="N199" s="139"/>
      <c r="O199" s="740"/>
      <c r="Q199" s="135"/>
      <c r="R199"/>
      <c r="S199"/>
      <c r="T199"/>
      <c r="U199"/>
      <c r="V199"/>
      <c r="W199"/>
      <c r="X199"/>
      <c r="Y199"/>
    </row>
    <row r="200" spans="1:25" x14ac:dyDescent="0.2">
      <c r="D200" s="56"/>
      <c r="E200" s="56"/>
      <c r="F200" s="371"/>
      <c r="G200" s="121"/>
      <c r="H200" s="245" t="s">
        <v>491</v>
      </c>
      <c r="I200" s="246">
        <f>SUM(I130:I199)</f>
        <v>1422550.75141</v>
      </c>
      <c r="J200" s="167"/>
      <c r="K200" s="246">
        <f>SUM(K130:K199)</f>
        <v>1392130.75141</v>
      </c>
      <c r="L200" s="246">
        <f>SUM(L130:L199)</f>
        <v>30420</v>
      </c>
      <c r="M200" s="246">
        <f>SUM(M130:M199)</f>
        <v>0</v>
      </c>
      <c r="N200" s="139"/>
      <c r="O200" s="45"/>
    </row>
    <row r="201" spans="1:25" x14ac:dyDescent="0.2">
      <c r="D201" s="56"/>
      <c r="E201" s="56"/>
      <c r="F201" s="371"/>
      <c r="G201" s="121"/>
      <c r="H201" s="172"/>
      <c r="I201" s="363"/>
      <c r="J201" s="172"/>
      <c r="K201" s="172"/>
      <c r="L201" s="172"/>
      <c r="M201" s="172"/>
      <c r="N201" s="139"/>
      <c r="O201" s="172"/>
    </row>
    <row r="202" spans="1:25" hidden="1" outlineLevel="1" x14ac:dyDescent="0.2">
      <c r="B202" s="216" t="s">
        <v>608</v>
      </c>
      <c r="D202" s="56"/>
      <c r="E202" s="56"/>
      <c r="F202" s="371"/>
      <c r="G202" s="121"/>
      <c r="H202" s="245"/>
      <c r="I202" s="246">
        <f>SUMIF($B$130:$B$199,$B202,I$130:I$199)</f>
        <v>238300</v>
      </c>
      <c r="J202" s="167"/>
      <c r="K202" s="246">
        <f t="shared" ref="K202:M204" si="10">SUMIF($B$130:$B$199,$B202,K$130:K$199)</f>
        <v>238300</v>
      </c>
      <c r="L202" s="246">
        <f t="shared" si="10"/>
        <v>0</v>
      </c>
      <c r="M202" s="246">
        <f t="shared" si="10"/>
        <v>0</v>
      </c>
      <c r="N202" s="139"/>
      <c r="O202" s="763"/>
      <c r="Q202" s="11"/>
    </row>
    <row r="203" spans="1:25" hidden="1" outlineLevel="1" x14ac:dyDescent="0.2">
      <c r="B203" s="216" t="s">
        <v>330</v>
      </c>
      <c r="D203" s="56"/>
      <c r="E203" s="56"/>
      <c r="F203" s="371"/>
      <c r="G203" s="121"/>
      <c r="H203" s="245"/>
      <c r="I203" s="246">
        <f>SUMIF($B$130:$B$199,$B203,I$130:I$199)</f>
        <v>70400</v>
      </c>
      <c r="J203" s="167"/>
      <c r="K203" s="246">
        <f t="shared" si="10"/>
        <v>70400</v>
      </c>
      <c r="L203" s="246">
        <f t="shared" si="10"/>
        <v>0</v>
      </c>
      <c r="M203" s="246">
        <f t="shared" si="10"/>
        <v>0</v>
      </c>
      <c r="N203" s="139"/>
      <c r="O203" s="763"/>
      <c r="Q203" s="11"/>
    </row>
    <row r="204" spans="1:25" hidden="1" outlineLevel="1" x14ac:dyDescent="0.2">
      <c r="B204" s="216" t="s">
        <v>607</v>
      </c>
      <c r="D204" s="56"/>
      <c r="E204" s="56"/>
      <c r="F204" s="371"/>
      <c r="G204" s="121"/>
      <c r="H204" s="245"/>
      <c r="I204" s="246">
        <f>SUMIF($B$130:$B$199,$B204,I$130:I$199)</f>
        <v>454620.75141000003</v>
      </c>
      <c r="J204" s="167"/>
      <c r="K204" s="246">
        <f t="shared" si="10"/>
        <v>424200.75141000003</v>
      </c>
      <c r="L204" s="246">
        <f t="shared" si="10"/>
        <v>30420</v>
      </c>
      <c r="M204" s="246">
        <f t="shared" si="10"/>
        <v>0</v>
      </c>
      <c r="N204" s="139"/>
      <c r="O204" s="763"/>
      <c r="Q204" s="11"/>
    </row>
    <row r="205" spans="1:25" collapsed="1" x14ac:dyDescent="0.2">
      <c r="D205" s="56"/>
      <c r="E205" s="56"/>
      <c r="F205" s="371"/>
      <c r="G205" s="121"/>
      <c r="H205" s="172"/>
      <c r="I205" s="363"/>
      <c r="J205" s="172"/>
      <c r="K205" s="184"/>
      <c r="L205" s="172"/>
      <c r="M205" s="172"/>
      <c r="N205" s="139"/>
      <c r="O205" s="172"/>
    </row>
    <row r="206" spans="1:25" x14ac:dyDescent="0.2">
      <c r="F206" s="175" t="s">
        <v>598</v>
      </c>
      <c r="H206" s="8"/>
      <c r="I206" s="105"/>
      <c r="J206" s="139"/>
      <c r="K206" s="105"/>
      <c r="L206" s="105"/>
      <c r="M206" s="105"/>
      <c r="N206" s="139"/>
      <c r="O206" s="105"/>
      <c r="P206" s="234"/>
    </row>
    <row r="207" spans="1:25" ht="12" customHeight="1" x14ac:dyDescent="0.2">
      <c r="C207" s="1093" t="s">
        <v>301</v>
      </c>
      <c r="D207" s="1093" t="s">
        <v>259</v>
      </c>
      <c r="E207" s="1093" t="s">
        <v>260</v>
      </c>
      <c r="F207" s="1093" t="s">
        <v>459</v>
      </c>
      <c r="G207" s="1093" t="s">
        <v>443</v>
      </c>
      <c r="H207" s="1096" t="s">
        <v>444</v>
      </c>
      <c r="I207" s="1095" t="s">
        <v>345</v>
      </c>
      <c r="J207" s="165"/>
      <c r="K207" s="1106" t="s">
        <v>450</v>
      </c>
      <c r="L207" s="1106"/>
      <c r="M207" s="1106"/>
      <c r="N207" s="139"/>
      <c r="O207" s="45"/>
    </row>
    <row r="208" spans="1:25" ht="24" x14ac:dyDescent="0.2">
      <c r="C208" s="1096"/>
      <c r="D208" s="1096"/>
      <c r="E208" s="1096"/>
      <c r="F208" s="1096"/>
      <c r="G208" s="1096"/>
      <c r="H208" s="1097"/>
      <c r="I208" s="1105"/>
      <c r="J208" s="165"/>
      <c r="K208" s="372" t="s">
        <v>229</v>
      </c>
      <c r="L208" s="372" t="s">
        <v>344</v>
      </c>
      <c r="M208" s="373" t="s">
        <v>305</v>
      </c>
      <c r="N208" s="139"/>
      <c r="O208" s="45"/>
    </row>
    <row r="209" spans="1:20" ht="64.150000000000006" customHeight="1" x14ac:dyDescent="0.2">
      <c r="A209" s="729">
        <v>1</v>
      </c>
      <c r="B209" s="9"/>
      <c r="C209" s="118"/>
      <c r="D209" s="119"/>
      <c r="E209" s="119"/>
      <c r="F209" s="442" t="s">
        <v>1133</v>
      </c>
      <c r="G209" s="118" t="s">
        <v>227</v>
      </c>
      <c r="H209" s="232" t="s">
        <v>1165</v>
      </c>
      <c r="I209" s="959">
        <f t="shared" ref="I209:I215" si="11">SUM(K209:M209)</f>
        <v>10000</v>
      </c>
      <c r="J209" s="432"/>
      <c r="K209" s="937">
        <v>10000</v>
      </c>
      <c r="L209" s="425"/>
      <c r="M209" s="425"/>
      <c r="N209" s="139"/>
      <c r="O209" s="765"/>
      <c r="P209" s="214" t="s">
        <v>1120</v>
      </c>
      <c r="Q209"/>
    </row>
    <row r="210" spans="1:20" ht="15.6" customHeight="1" x14ac:dyDescent="0.2">
      <c r="A210" s="729">
        <v>1</v>
      </c>
      <c r="B210" s="9"/>
      <c r="C210" s="118"/>
      <c r="D210" s="119"/>
      <c r="E210" s="119"/>
      <c r="F210" s="442" t="s">
        <v>1133</v>
      </c>
      <c r="G210" s="118" t="s">
        <v>227</v>
      </c>
      <c r="H210" s="232" t="s">
        <v>1301</v>
      </c>
      <c r="I210" s="959">
        <f t="shared" si="11"/>
        <v>20000</v>
      </c>
      <c r="J210" s="432"/>
      <c r="K210" s="938">
        <v>20000</v>
      </c>
      <c r="L210" s="425"/>
      <c r="M210" s="425"/>
      <c r="N210" s="139"/>
      <c r="O210" s="837" t="s">
        <v>1285</v>
      </c>
      <c r="P210" s="214"/>
      <c r="Q210"/>
    </row>
    <row r="211" spans="1:20" ht="64.150000000000006" hidden="1" customHeight="1" x14ac:dyDescent="0.2">
      <c r="A211" s="729">
        <v>2</v>
      </c>
      <c r="B211" s="9"/>
      <c r="C211" s="118"/>
      <c r="D211" s="119"/>
      <c r="E211" s="119"/>
      <c r="F211" s="442" t="s">
        <v>700</v>
      </c>
      <c r="G211" s="118" t="s">
        <v>341</v>
      </c>
      <c r="H211" s="232" t="s">
        <v>669</v>
      </c>
      <c r="I211" s="278">
        <f>SUM(K211:M211)</f>
        <v>30000</v>
      </c>
      <c r="J211" s="432"/>
      <c r="K211" s="425">
        <v>30000</v>
      </c>
      <c r="L211" s="425"/>
      <c r="M211" s="425"/>
      <c r="N211" s="139"/>
      <c r="O211" s="765"/>
      <c r="P211" s="214" t="s">
        <v>1120</v>
      </c>
      <c r="Q211"/>
    </row>
    <row r="212" spans="1:20" ht="24" x14ac:dyDescent="0.2">
      <c r="A212" s="729">
        <v>1</v>
      </c>
      <c r="B212" s="9" t="s">
        <v>607</v>
      </c>
      <c r="C212" s="118"/>
      <c r="D212" s="119"/>
      <c r="E212" s="119"/>
      <c r="F212" s="443" t="s">
        <v>216</v>
      </c>
      <c r="G212" s="118" t="s">
        <v>207</v>
      </c>
      <c r="H212" s="133" t="s">
        <v>255</v>
      </c>
      <c r="I212" s="962">
        <f t="shared" si="11"/>
        <v>2000</v>
      </c>
      <c r="J212" s="432"/>
      <c r="K212" s="937">
        <v>2000</v>
      </c>
      <c r="L212" s="425"/>
      <c r="M212" s="425"/>
      <c r="N212" s="139"/>
      <c r="O212" s="765"/>
      <c r="P212" s="214"/>
      <c r="Q212" s="214"/>
      <c r="R212" s="214"/>
      <c r="S212" s="214"/>
      <c r="T212" s="214"/>
    </row>
    <row r="213" spans="1:20" ht="18.600000000000001" customHeight="1" x14ac:dyDescent="0.2">
      <c r="A213" s="729">
        <v>1</v>
      </c>
      <c r="B213" s="9" t="s">
        <v>607</v>
      </c>
      <c r="C213" s="118"/>
      <c r="D213" s="119"/>
      <c r="E213" s="119"/>
      <c r="F213" s="443" t="s">
        <v>216</v>
      </c>
      <c r="G213" s="118" t="s">
        <v>207</v>
      </c>
      <c r="H213" s="133" t="s">
        <v>894</v>
      </c>
      <c r="I213" s="962">
        <f t="shared" si="11"/>
        <v>4000</v>
      </c>
      <c r="J213" s="432"/>
      <c r="K213" s="937">
        <v>4000</v>
      </c>
      <c r="L213" s="425"/>
      <c r="M213" s="425"/>
      <c r="N213" s="139"/>
      <c r="O213" s="765"/>
      <c r="P213" s="214" t="s">
        <v>1275</v>
      </c>
      <c r="Q213"/>
    </row>
    <row r="214" spans="1:20" ht="18.600000000000001" hidden="1" customHeight="1" x14ac:dyDescent="0.2">
      <c r="A214" s="729">
        <v>3</v>
      </c>
      <c r="B214" s="9"/>
      <c r="C214" s="231"/>
      <c r="D214" s="626"/>
      <c r="E214" s="626"/>
      <c r="F214" s="815" t="s">
        <v>997</v>
      </c>
      <c r="G214" s="231" t="s">
        <v>373</v>
      </c>
      <c r="H214" s="626" t="s">
        <v>897</v>
      </c>
      <c r="I214" s="279">
        <f t="shared" si="11"/>
        <v>0</v>
      </c>
      <c r="J214" s="627"/>
      <c r="K214" s="425">
        <f>10000-10000</f>
        <v>0</v>
      </c>
      <c r="L214" s="426"/>
      <c r="M214" s="426"/>
      <c r="N214" s="139"/>
      <c r="O214" s="765"/>
      <c r="P214" s="214"/>
      <c r="Q214"/>
    </row>
    <row r="215" spans="1:20" ht="46.5" customHeight="1" x14ac:dyDescent="0.2">
      <c r="A215" s="915">
        <v>1</v>
      </c>
      <c r="B215" s="9"/>
      <c r="C215" s="231"/>
      <c r="D215" s="626"/>
      <c r="E215" s="626"/>
      <c r="F215" s="443" t="s">
        <v>997</v>
      </c>
      <c r="G215" s="231" t="s">
        <v>373</v>
      </c>
      <c r="H215" s="232" t="s">
        <v>898</v>
      </c>
      <c r="I215" s="962">
        <f t="shared" si="11"/>
        <v>0</v>
      </c>
      <c r="J215" s="890"/>
      <c r="K215" s="914">
        <f>25500-25500</f>
        <v>0</v>
      </c>
      <c r="L215" s="713"/>
      <c r="M215" s="713"/>
      <c r="N215" s="139"/>
      <c r="O215" s="837" t="s">
        <v>1286</v>
      </c>
      <c r="P215" s="112"/>
      <c r="Q215"/>
    </row>
    <row r="216" spans="1:20" ht="15.6" customHeight="1" x14ac:dyDescent="0.2">
      <c r="A216" s="915">
        <v>1</v>
      </c>
      <c r="B216" s="9"/>
      <c r="C216" s="231"/>
      <c r="D216" s="626"/>
      <c r="E216" s="626"/>
      <c r="F216" s="443" t="s">
        <v>997</v>
      </c>
      <c r="G216" s="231" t="s">
        <v>373</v>
      </c>
      <c r="H216" s="232" t="s">
        <v>1284</v>
      </c>
      <c r="I216" s="962">
        <f>SUM(K216:M216)</f>
        <v>0</v>
      </c>
      <c r="J216" s="890"/>
      <c r="K216" s="950">
        <f>200000+50000-250000</f>
        <v>0</v>
      </c>
      <c r="L216" s="713"/>
      <c r="M216" s="713"/>
      <c r="N216" s="139"/>
      <c r="O216" s="837" t="s">
        <v>1285</v>
      </c>
      <c r="P216" s="112"/>
      <c r="Q216"/>
    </row>
    <row r="217" spans="1:20" ht="15.6" customHeight="1" x14ac:dyDescent="0.2">
      <c r="A217" s="915">
        <v>1</v>
      </c>
      <c r="B217" s="231"/>
      <c r="C217" s="626"/>
      <c r="D217" s="626"/>
      <c r="E217" s="443"/>
      <c r="F217" s="443" t="s">
        <v>997</v>
      </c>
      <c r="G217" s="231" t="s">
        <v>373</v>
      </c>
      <c r="H217" s="232" t="s">
        <v>1370</v>
      </c>
      <c r="I217" s="962">
        <f>SUM(K217:M217)</f>
        <v>40000</v>
      </c>
      <c r="J217" s="890"/>
      <c r="K217" s="950">
        <v>40000</v>
      </c>
      <c r="L217" s="765"/>
      <c r="M217" s="765"/>
      <c r="N217" s="139"/>
      <c r="O217" s="837"/>
      <c r="P217" s="112"/>
      <c r="Q217"/>
    </row>
    <row r="218" spans="1:20" ht="15.6" customHeight="1" x14ac:dyDescent="0.2">
      <c r="A218" s="915">
        <v>1</v>
      </c>
      <c r="B218"/>
      <c r="C218" s="626"/>
      <c r="D218" s="626"/>
      <c r="E218" s="951"/>
      <c r="F218" s="442" t="s">
        <v>700</v>
      </c>
      <c r="G218" s="118" t="s">
        <v>341</v>
      </c>
      <c r="H218" s="232" t="s">
        <v>1371</v>
      </c>
      <c r="I218" s="961">
        <f>SUM(K218:M218)</f>
        <v>40000</v>
      </c>
      <c r="J218" s="890"/>
      <c r="K218" s="952">
        <v>40000</v>
      </c>
      <c r="L218" s="765"/>
      <c r="M218" s="765"/>
      <c r="N218" s="139"/>
      <c r="O218" s="837"/>
      <c r="P218" s="112"/>
      <c r="Q218"/>
    </row>
    <row r="219" spans="1:20" ht="15.6" customHeight="1" x14ac:dyDescent="0.2">
      <c r="A219" s="915">
        <v>1</v>
      </c>
      <c r="B219"/>
      <c r="C219" s="626"/>
      <c r="D219" s="626"/>
      <c r="E219" s="951"/>
      <c r="F219" s="439" t="s">
        <v>218</v>
      </c>
      <c r="G219" s="137" t="s">
        <v>589</v>
      </c>
      <c r="H219" s="232" t="s">
        <v>1372</v>
      </c>
      <c r="I219" s="962">
        <f>SUM(K219:M219)</f>
        <v>100000</v>
      </c>
      <c r="J219" s="890"/>
      <c r="K219" s="952">
        <v>100000</v>
      </c>
      <c r="L219" s="765"/>
      <c r="M219" s="765"/>
      <c r="N219" s="139"/>
      <c r="O219" s="837"/>
      <c r="P219" s="112"/>
      <c r="Q219"/>
    </row>
    <row r="220" spans="1:20" ht="15.6" customHeight="1" x14ac:dyDescent="0.2">
      <c r="A220" s="915">
        <v>1</v>
      </c>
      <c r="B220" s="9"/>
      <c r="C220" s="231"/>
      <c r="D220" s="626"/>
      <c r="E220" s="626"/>
      <c r="F220" s="439" t="s">
        <v>218</v>
      </c>
      <c r="G220" s="137" t="s">
        <v>589</v>
      </c>
      <c r="H220" s="232" t="s">
        <v>1292</v>
      </c>
      <c r="I220" s="962">
        <f>SUM(K220:M220)</f>
        <v>20000</v>
      </c>
      <c r="J220" s="890"/>
      <c r="K220" s="922">
        <v>20000</v>
      </c>
      <c r="L220" s="765"/>
      <c r="M220" s="765"/>
      <c r="N220" s="139"/>
      <c r="O220" s="837" t="s">
        <v>1285</v>
      </c>
      <c r="P220" s="112"/>
      <c r="Q220"/>
    </row>
    <row r="221" spans="1:20" ht="78.75" x14ac:dyDescent="0.2">
      <c r="A221" s="956">
        <v>1</v>
      </c>
      <c r="B221" s="9"/>
      <c r="C221" s="270"/>
      <c r="D221" s="270"/>
      <c r="E221" s="270"/>
      <c r="F221" s="439" t="s">
        <v>218</v>
      </c>
      <c r="G221" s="137" t="s">
        <v>589</v>
      </c>
      <c r="H221" s="232" t="s">
        <v>903</v>
      </c>
      <c r="I221" s="963">
        <f>K221+L221</f>
        <v>4000</v>
      </c>
      <c r="J221" s="139"/>
      <c r="K221" s="955">
        <v>4000</v>
      </c>
      <c r="L221" s="677"/>
      <c r="M221" s="666"/>
      <c r="N221" s="139"/>
      <c r="O221" s="740"/>
      <c r="P221" s="214" t="s">
        <v>1150</v>
      </c>
    </row>
    <row r="222" spans="1:20" ht="101.25" hidden="1" x14ac:dyDescent="0.2">
      <c r="A222" s="733">
        <v>2</v>
      </c>
      <c r="B222" s="9"/>
      <c r="C222" s="270"/>
      <c r="D222" s="270"/>
      <c r="E222" s="270"/>
      <c r="F222" s="439" t="s">
        <v>218</v>
      </c>
      <c r="G222" s="137" t="s">
        <v>589</v>
      </c>
      <c r="H222" s="232" t="s">
        <v>904</v>
      </c>
      <c r="I222" s="425">
        <f>K222+L222</f>
        <v>13500</v>
      </c>
      <c r="J222" s="139"/>
      <c r="K222" s="911">
        <v>13500</v>
      </c>
      <c r="L222" s="677"/>
      <c r="M222" s="666"/>
      <c r="N222" s="139"/>
      <c r="O222" s="740"/>
      <c r="P222" s="214" t="s">
        <v>1151</v>
      </c>
    </row>
    <row r="223" spans="1:20" ht="24" x14ac:dyDescent="0.2">
      <c r="A223" s="733">
        <v>1</v>
      </c>
      <c r="B223" s="9"/>
      <c r="C223" s="270"/>
      <c r="D223" s="270"/>
      <c r="E223" s="270"/>
      <c r="F223" s="439" t="s">
        <v>219</v>
      </c>
      <c r="G223" s="137" t="s">
        <v>452</v>
      </c>
      <c r="H223" s="232" t="s">
        <v>954</v>
      </c>
      <c r="I223" s="963">
        <f>K223+L223</f>
        <v>2700</v>
      </c>
      <c r="J223" s="139"/>
      <c r="K223" s="911">
        <v>2700</v>
      </c>
      <c r="L223" s="139"/>
      <c r="M223" s="740"/>
      <c r="N223" s="139"/>
      <c r="O223" s="740"/>
      <c r="P223" s="214" t="s">
        <v>955</v>
      </c>
    </row>
    <row r="224" spans="1:20" hidden="1" x14ac:dyDescent="0.2">
      <c r="A224" s="729">
        <v>2</v>
      </c>
      <c r="B224" s="9" t="s">
        <v>330</v>
      </c>
      <c r="C224" s="137"/>
      <c r="D224" s="137"/>
      <c r="E224" s="137"/>
      <c r="F224" s="439" t="s">
        <v>219</v>
      </c>
      <c r="G224" s="137" t="s">
        <v>452</v>
      </c>
      <c r="H224" s="133" t="s">
        <v>1166</v>
      </c>
      <c r="I224" s="132">
        <f t="shared" ref="I224:I233" si="12">SUM(K224:M224)</f>
        <v>20000</v>
      </c>
      <c r="J224" s="139"/>
      <c r="K224" s="911">
        <v>20000</v>
      </c>
      <c r="L224" s="233"/>
      <c r="M224" s="233"/>
      <c r="N224" s="139"/>
      <c r="O224" s="740"/>
      <c r="P224" s="217" t="s">
        <v>1167</v>
      </c>
    </row>
    <row r="225" spans="1:20" ht="13.15" hidden="1" customHeight="1" x14ac:dyDescent="0.2">
      <c r="A225" s="733">
        <v>2</v>
      </c>
      <c r="B225" s="9"/>
      <c r="C225" s="137"/>
      <c r="D225" s="137"/>
      <c r="E225" s="137"/>
      <c r="F225" s="439" t="s">
        <v>219</v>
      </c>
      <c r="G225" s="137" t="s">
        <v>452</v>
      </c>
      <c r="H225" s="133" t="s">
        <v>907</v>
      </c>
      <c r="I225" s="276">
        <f t="shared" si="12"/>
        <v>4000</v>
      </c>
      <c r="J225" s="139"/>
      <c r="K225" s="132">
        <v>4000</v>
      </c>
      <c r="L225" s="276"/>
      <c r="M225" s="276"/>
      <c r="N225" s="139"/>
      <c r="O225" s="740"/>
      <c r="P225" s="214" t="s">
        <v>999</v>
      </c>
    </row>
    <row r="226" spans="1:20" s="9" customFormat="1" ht="12.6" customHeight="1" x14ac:dyDescent="0.2">
      <c r="A226" s="733">
        <v>1</v>
      </c>
      <c r="C226" s="137"/>
      <c r="D226" s="137"/>
      <c r="E226" s="137"/>
      <c r="F226" s="439" t="s">
        <v>219</v>
      </c>
      <c r="G226" s="137" t="s">
        <v>452</v>
      </c>
      <c r="H226" s="133" t="s">
        <v>1157</v>
      </c>
      <c r="I226" s="971">
        <f t="shared" si="12"/>
        <v>200000</v>
      </c>
      <c r="J226" s="433"/>
      <c r="K226" s="912">
        <v>200000</v>
      </c>
      <c r="L226" s="377"/>
      <c r="M226" s="377"/>
      <c r="N226" s="139"/>
      <c r="O226" s="766"/>
      <c r="P226" s="214"/>
      <c r="Q226" s="146"/>
      <c r="T226"/>
    </row>
    <row r="227" spans="1:20" s="9" customFormat="1" ht="12.6" customHeight="1" x14ac:dyDescent="0.2">
      <c r="A227" s="733">
        <v>1</v>
      </c>
      <c r="C227" s="137"/>
      <c r="D227" s="137"/>
      <c r="E227" s="137"/>
      <c r="F227" s="439" t="s">
        <v>706</v>
      </c>
      <c r="G227" s="137" t="s">
        <v>452</v>
      </c>
      <c r="H227" s="268" t="s">
        <v>1294</v>
      </c>
      <c r="I227" s="971">
        <f>SUM(K227:M227)</f>
        <v>0</v>
      </c>
      <c r="J227" s="433"/>
      <c r="K227" s="947">
        <f>50000+30000-80000</f>
        <v>0</v>
      </c>
      <c r="L227" s="377"/>
      <c r="M227" s="377"/>
      <c r="N227" s="139"/>
      <c r="O227" s="925" t="s">
        <v>1285</v>
      </c>
      <c r="P227" s="214"/>
      <c r="Q227" s="146"/>
      <c r="T227"/>
    </row>
    <row r="228" spans="1:20" s="9" customFormat="1" ht="12.6" customHeight="1" x14ac:dyDescent="0.2">
      <c r="A228" s="733">
        <v>1</v>
      </c>
      <c r="C228" s="137"/>
      <c r="D228" s="137"/>
      <c r="E228" s="137"/>
      <c r="F228" s="439" t="s">
        <v>706</v>
      </c>
      <c r="G228" s="137" t="s">
        <v>452</v>
      </c>
      <c r="H228" s="268" t="s">
        <v>1365</v>
      </c>
      <c r="I228" s="971">
        <f>SUM(K228:M228)</f>
        <v>10000</v>
      </c>
      <c r="J228" s="433"/>
      <c r="K228" s="947">
        <v>10000</v>
      </c>
      <c r="L228" s="377"/>
      <c r="M228" s="377"/>
      <c r="N228" s="139"/>
      <c r="O228" s="925"/>
      <c r="P228" s="214"/>
      <c r="Q228" s="146"/>
      <c r="T228"/>
    </row>
    <row r="229" spans="1:20" s="9" customFormat="1" ht="12.6" customHeight="1" x14ac:dyDescent="0.2">
      <c r="A229" s="733">
        <v>1</v>
      </c>
      <c r="C229" s="137"/>
      <c r="D229" s="137"/>
      <c r="E229" s="137"/>
      <c r="F229" s="439" t="s">
        <v>219</v>
      </c>
      <c r="G229" s="137" t="s">
        <v>452</v>
      </c>
      <c r="H229" s="268" t="s">
        <v>1364</v>
      </c>
      <c r="I229" s="971">
        <f t="shared" si="12"/>
        <v>50000</v>
      </c>
      <c r="J229" s="433"/>
      <c r="K229" s="924">
        <v>50000</v>
      </c>
      <c r="L229" s="377"/>
      <c r="M229" s="377"/>
      <c r="N229" s="139"/>
      <c r="O229" s="925" t="s">
        <v>1285</v>
      </c>
      <c r="P229" s="214"/>
      <c r="Q229" s="146"/>
      <c r="T229"/>
    </row>
    <row r="230" spans="1:20" s="9" customFormat="1" ht="13.15" hidden="1" customHeight="1" thickBot="1" x14ac:dyDescent="0.25">
      <c r="A230" s="733">
        <v>2</v>
      </c>
      <c r="C230" s="137"/>
      <c r="D230" s="137"/>
      <c r="E230" s="137"/>
      <c r="F230" s="444" t="s">
        <v>706</v>
      </c>
      <c r="G230" s="280" t="s">
        <v>452</v>
      </c>
      <c r="H230" s="268" t="s">
        <v>1000</v>
      </c>
      <c r="I230" s="836">
        <f t="shared" si="12"/>
        <v>62000</v>
      </c>
      <c r="J230" s="433"/>
      <c r="K230" s="792">
        <v>62000</v>
      </c>
      <c r="L230" s="377"/>
      <c r="M230" s="377"/>
      <c r="N230" s="139"/>
      <c r="O230" s="766"/>
      <c r="P230" s="214"/>
      <c r="Q230" s="146"/>
      <c r="T230"/>
    </row>
    <row r="231" spans="1:20" s="9" customFormat="1" ht="25.9" hidden="1" customHeight="1" x14ac:dyDescent="0.2">
      <c r="A231" s="729">
        <v>2</v>
      </c>
      <c r="C231" s="137"/>
      <c r="D231" s="137"/>
      <c r="E231" s="387"/>
      <c r="F231" s="793" t="s">
        <v>706</v>
      </c>
      <c r="G231" s="720" t="s">
        <v>452</v>
      </c>
      <c r="H231" s="721" t="s">
        <v>1001</v>
      </c>
      <c r="I231" s="851">
        <f t="shared" si="12"/>
        <v>850000</v>
      </c>
      <c r="J231" s="697"/>
      <c r="K231" s="794">
        <v>850000</v>
      </c>
      <c r="L231" s="257"/>
      <c r="M231" s="377"/>
      <c r="N231" s="139"/>
      <c r="O231" s="766"/>
      <c r="P231" s="214"/>
      <c r="Q231" s="146"/>
      <c r="T231"/>
    </row>
    <row r="232" spans="1:20" s="9" customFormat="1" ht="24" hidden="1" x14ac:dyDescent="0.2">
      <c r="A232" s="733">
        <v>2</v>
      </c>
      <c r="C232" s="280"/>
      <c r="D232" s="280"/>
      <c r="E232" s="789"/>
      <c r="F232" s="795" t="s">
        <v>706</v>
      </c>
      <c r="G232" s="280" t="s">
        <v>452</v>
      </c>
      <c r="H232" s="268" t="s">
        <v>1002</v>
      </c>
      <c r="I232" s="425">
        <f t="shared" si="12"/>
        <v>12000</v>
      </c>
      <c r="J232" s="215"/>
      <c r="K232" s="913">
        <v>12000</v>
      </c>
      <c r="L232" s="790"/>
      <c r="M232" s="405"/>
      <c r="N232" s="139"/>
      <c r="O232" s="769"/>
      <c r="P232" s="214"/>
      <c r="Q232" s="146"/>
      <c r="T232"/>
    </row>
    <row r="233" spans="1:20" s="9" customFormat="1" ht="24.75" hidden="1" thickBot="1" x14ac:dyDescent="0.25">
      <c r="A233" s="733">
        <v>2</v>
      </c>
      <c r="C233" s="280"/>
      <c r="D233" s="280"/>
      <c r="E233" s="789"/>
      <c r="F233" s="724" t="s">
        <v>706</v>
      </c>
      <c r="G233" s="699" t="s">
        <v>452</v>
      </c>
      <c r="H233" s="725" t="s">
        <v>1003</v>
      </c>
      <c r="I233" s="852">
        <f t="shared" si="12"/>
        <v>5000</v>
      </c>
      <c r="J233" s="727"/>
      <c r="K233" s="796">
        <v>5000</v>
      </c>
      <c r="L233" s="791"/>
      <c r="M233" s="276"/>
      <c r="N233" s="139"/>
      <c r="O233" s="740"/>
      <c r="P233" s="214"/>
      <c r="Q233" s="146"/>
      <c r="T233"/>
    </row>
    <row r="234" spans="1:20" ht="13.15" customHeight="1" x14ac:dyDescent="0.2">
      <c r="A234" s="733">
        <v>1</v>
      </c>
      <c r="B234" s="9"/>
      <c r="C234" s="280"/>
      <c r="D234" s="280"/>
      <c r="E234" s="280"/>
      <c r="F234" s="444" t="s">
        <v>381</v>
      </c>
      <c r="G234" s="280" t="s">
        <v>169</v>
      </c>
      <c r="H234" s="268" t="s">
        <v>923</v>
      </c>
      <c r="I234" s="973">
        <f>SUM(K234:M234)</f>
        <v>7000</v>
      </c>
      <c r="J234" s="139"/>
      <c r="K234" s="277">
        <v>7000</v>
      </c>
      <c r="L234" s="276"/>
      <c r="M234" s="276"/>
      <c r="N234" s="139"/>
      <c r="O234" s="740"/>
      <c r="P234" s="633" t="s">
        <v>924</v>
      </c>
    </row>
    <row r="235" spans="1:20" ht="25.9" hidden="1" customHeight="1" thickBot="1" x14ac:dyDescent="0.25">
      <c r="A235" s="733">
        <v>2</v>
      </c>
      <c r="B235" s="9"/>
      <c r="C235" s="280"/>
      <c r="D235" s="280"/>
      <c r="E235" s="280"/>
      <c r="F235" s="441" t="s">
        <v>381</v>
      </c>
      <c r="G235" s="248" t="s">
        <v>169</v>
      </c>
      <c r="H235" s="629" t="s">
        <v>1147</v>
      </c>
      <c r="I235" s="686">
        <f>SUM(K235:M235)</f>
        <v>2840</v>
      </c>
      <c r="J235" s="428"/>
      <c r="K235" s="429">
        <f>3020-180</f>
        <v>2840</v>
      </c>
      <c r="L235" s="427"/>
      <c r="M235" s="427"/>
      <c r="N235" s="139"/>
      <c r="O235" s="740"/>
      <c r="P235" s="633" t="s">
        <v>925</v>
      </c>
    </row>
    <row r="236" spans="1:20" ht="24" x14ac:dyDescent="0.2">
      <c r="A236" s="733">
        <v>1</v>
      </c>
      <c r="B236" s="9" t="s">
        <v>330</v>
      </c>
      <c r="C236" s="118"/>
      <c r="D236" s="118"/>
      <c r="E236" s="118"/>
      <c r="F236" s="439" t="s">
        <v>375</v>
      </c>
      <c r="G236" s="118" t="s">
        <v>596</v>
      </c>
      <c r="H236" s="133" t="s">
        <v>943</v>
      </c>
      <c r="I236" s="971">
        <f>SUM(K236:M236)</f>
        <v>11266</v>
      </c>
      <c r="J236" s="892"/>
      <c r="K236" s="912">
        <v>11266</v>
      </c>
      <c r="L236" s="377"/>
      <c r="M236" s="377"/>
      <c r="N236" s="139"/>
      <c r="O236" s="766"/>
      <c r="P236" s="235" t="s">
        <v>944</v>
      </c>
      <c r="Q236"/>
    </row>
    <row r="237" spans="1:20" ht="48" hidden="1" x14ac:dyDescent="0.2">
      <c r="A237" s="729">
        <v>2</v>
      </c>
      <c r="B237" s="9"/>
      <c r="C237" s="118"/>
      <c r="D237" s="118"/>
      <c r="E237" s="118"/>
      <c r="F237" s="439" t="s">
        <v>374</v>
      </c>
      <c r="G237" s="118" t="s">
        <v>455</v>
      </c>
      <c r="H237" s="133" t="s">
        <v>716</v>
      </c>
      <c r="I237" s="132">
        <f>K237</f>
        <v>4000</v>
      </c>
      <c r="J237" s="406"/>
      <c r="K237" s="136">
        <v>4000</v>
      </c>
      <c r="L237" s="404"/>
      <c r="M237" s="404"/>
      <c r="N237" s="139"/>
      <c r="O237" s="769"/>
      <c r="P237" s="235"/>
      <c r="Q237"/>
    </row>
    <row r="238" spans="1:20" ht="24" hidden="1" x14ac:dyDescent="0.2">
      <c r="A238" s="729">
        <v>2</v>
      </c>
      <c r="B238" s="9"/>
      <c r="C238" s="118"/>
      <c r="D238" s="118"/>
      <c r="E238" s="118"/>
      <c r="F238" s="439" t="s">
        <v>1158</v>
      </c>
      <c r="G238" s="118" t="s">
        <v>579</v>
      </c>
      <c r="H238" s="133" t="s">
        <v>945</v>
      </c>
      <c r="I238" s="132">
        <f>K238</f>
        <v>2500</v>
      </c>
      <c r="J238" s="406"/>
      <c r="K238" s="136">
        <v>2500</v>
      </c>
      <c r="L238" s="404"/>
      <c r="M238" s="404"/>
      <c r="N238" s="139"/>
      <c r="O238" s="769"/>
      <c r="P238" s="235"/>
      <c r="Q238"/>
    </row>
    <row r="239" spans="1:20" x14ac:dyDescent="0.2">
      <c r="A239" s="729">
        <v>1</v>
      </c>
      <c r="B239" s="9"/>
      <c r="C239" s="118"/>
      <c r="D239" s="118"/>
      <c r="E239" s="118"/>
      <c r="F239" s="439" t="s">
        <v>1158</v>
      </c>
      <c r="G239" s="118" t="s">
        <v>579</v>
      </c>
      <c r="H239" s="133" t="s">
        <v>578</v>
      </c>
      <c r="I239" s="958">
        <f>K239</f>
        <v>5000</v>
      </c>
      <c r="J239" s="406"/>
      <c r="K239" s="136">
        <v>5000</v>
      </c>
      <c r="L239" s="404"/>
      <c r="M239" s="404"/>
      <c r="N239" s="139"/>
      <c r="O239" s="769"/>
      <c r="P239" s="235"/>
      <c r="Q239"/>
    </row>
    <row r="240" spans="1:20" ht="12" customHeight="1" x14ac:dyDescent="0.2">
      <c r="A240" s="729">
        <v>1</v>
      </c>
      <c r="B240" s="9" t="s">
        <v>607</v>
      </c>
      <c r="C240" s="118"/>
      <c r="D240" s="118"/>
      <c r="E240" s="118"/>
      <c r="F240" s="439" t="s">
        <v>221</v>
      </c>
      <c r="G240" s="137" t="s">
        <v>173</v>
      </c>
      <c r="H240" s="133" t="s">
        <v>456</v>
      </c>
      <c r="I240" s="958">
        <f>SUM(K240:M240)</f>
        <v>6000</v>
      </c>
      <c r="J240" s="893"/>
      <c r="K240" s="917">
        <f>4000+2000</f>
        <v>6000</v>
      </c>
      <c r="L240" s="399"/>
      <c r="M240" s="399"/>
      <c r="N240" s="139"/>
      <c r="O240" s="923" t="s">
        <v>1293</v>
      </c>
    </row>
    <row r="241" spans="1:23" ht="25.9" hidden="1" customHeight="1" x14ac:dyDescent="0.2">
      <c r="A241" s="729">
        <v>2</v>
      </c>
      <c r="B241" s="9" t="s">
        <v>330</v>
      </c>
      <c r="C241" s="118"/>
      <c r="D241" s="118"/>
      <c r="E241" s="118"/>
      <c r="F241" s="439" t="s">
        <v>338</v>
      </c>
      <c r="G241" s="118" t="s">
        <v>306</v>
      </c>
      <c r="H241" s="133" t="s">
        <v>1251</v>
      </c>
      <c r="I241" s="132">
        <f>SUM(K241:M241)</f>
        <v>89000</v>
      </c>
      <c r="J241" s="434"/>
      <c r="K241" s="136">
        <v>89000</v>
      </c>
      <c r="L241" s="132"/>
      <c r="M241" s="132"/>
      <c r="N241" s="139"/>
      <c r="O241" s="740"/>
      <c r="P241" s="235"/>
      <c r="Q241"/>
    </row>
    <row r="242" spans="1:23" ht="12" hidden="1" customHeight="1" x14ac:dyDescent="0.2">
      <c r="A242" s="729">
        <v>2</v>
      </c>
      <c r="B242" s="9"/>
      <c r="C242" s="118"/>
      <c r="D242" s="118"/>
      <c r="E242" s="118"/>
      <c r="F242" s="439" t="s">
        <v>338</v>
      </c>
      <c r="G242" s="118" t="s">
        <v>306</v>
      </c>
      <c r="H242" s="133" t="s">
        <v>1148</v>
      </c>
      <c r="I242" s="132">
        <f>SUM(K242:M242)</f>
        <v>16000</v>
      </c>
      <c r="J242" s="434"/>
      <c r="K242" s="136">
        <v>16000</v>
      </c>
      <c r="L242" s="132"/>
      <c r="M242" s="132"/>
      <c r="N242" s="139"/>
      <c r="O242" s="740"/>
      <c r="P242" s="235"/>
      <c r="Q242"/>
    </row>
    <row r="243" spans="1:23" ht="12" customHeight="1" x14ac:dyDescent="0.2">
      <c r="A243" s="729">
        <v>1</v>
      </c>
      <c r="B243" s="9" t="s">
        <v>330</v>
      </c>
      <c r="C243" s="118"/>
      <c r="D243" s="118"/>
      <c r="E243" s="118"/>
      <c r="F243" s="446" t="s">
        <v>1131</v>
      </c>
      <c r="G243" s="269" t="s">
        <v>306</v>
      </c>
      <c r="H243" s="352" t="s">
        <v>1129</v>
      </c>
      <c r="I243" s="982">
        <f>SUM(K243:M243)</f>
        <v>9300</v>
      </c>
      <c r="J243" s="835"/>
      <c r="K243" s="299">
        <v>9300</v>
      </c>
      <c r="L243" s="353"/>
      <c r="M243" s="353"/>
      <c r="N243" s="139"/>
      <c r="O243" s="740"/>
      <c r="P243" s="235" t="s">
        <v>1130</v>
      </c>
      <c r="Q243"/>
    </row>
    <row r="244" spans="1:23" ht="29.25" hidden="1" customHeight="1" x14ac:dyDescent="0.2">
      <c r="A244" s="729">
        <v>2</v>
      </c>
      <c r="B244" s="9"/>
      <c r="C244" s="118"/>
      <c r="D244" s="118"/>
      <c r="E244" s="239"/>
      <c r="F244" s="833" t="s">
        <v>1004</v>
      </c>
      <c r="G244" s="231" t="s">
        <v>1005</v>
      </c>
      <c r="H244" s="232" t="s">
        <v>947</v>
      </c>
      <c r="I244" s="233">
        <f t="shared" ref="I244:I258" si="13">SUM(K244:M244)</f>
        <v>1494</v>
      </c>
      <c r="J244" s="430"/>
      <c r="K244" s="275">
        <v>1494</v>
      </c>
      <c r="L244" s="233"/>
      <c r="M244" s="834"/>
      <c r="N244" s="139"/>
      <c r="O244" s="740"/>
      <c r="P244" s="235"/>
      <c r="Q244"/>
    </row>
    <row r="245" spans="1:23" ht="14.25" hidden="1" customHeight="1" x14ac:dyDescent="0.2">
      <c r="A245" s="729">
        <v>2</v>
      </c>
      <c r="B245" s="9"/>
      <c r="C245" s="118"/>
      <c r="D245" s="118"/>
      <c r="E245" s="239"/>
      <c r="F245" s="797" t="s">
        <v>1004</v>
      </c>
      <c r="G245" s="118" t="s">
        <v>1005</v>
      </c>
      <c r="H245" s="133" t="s">
        <v>946</v>
      </c>
      <c r="I245" s="132">
        <f t="shared" si="13"/>
        <v>127</v>
      </c>
      <c r="J245" s="434"/>
      <c r="K245" s="136">
        <v>127</v>
      </c>
      <c r="L245" s="132"/>
      <c r="M245" s="799"/>
      <c r="N245" s="139"/>
      <c r="O245" s="740"/>
      <c r="P245" s="235"/>
      <c r="Q245"/>
    </row>
    <row r="246" spans="1:23" ht="22.15" hidden="1" customHeight="1" x14ac:dyDescent="0.2">
      <c r="A246" s="729">
        <v>2</v>
      </c>
      <c r="B246" s="9"/>
      <c r="C246" s="118"/>
      <c r="D246" s="118"/>
      <c r="E246" s="239"/>
      <c r="F246" s="797" t="s">
        <v>1004</v>
      </c>
      <c r="G246" s="118" t="s">
        <v>1005</v>
      </c>
      <c r="H246" s="133" t="s">
        <v>948</v>
      </c>
      <c r="I246" s="132">
        <f t="shared" si="13"/>
        <v>897</v>
      </c>
      <c r="J246" s="434"/>
      <c r="K246" s="136">
        <v>897</v>
      </c>
      <c r="L246" s="132"/>
      <c r="M246" s="799"/>
      <c r="N246" s="139"/>
      <c r="O246" s="740"/>
      <c r="P246" s="235"/>
      <c r="Q246"/>
    </row>
    <row r="247" spans="1:23" ht="23.25" hidden="1" customHeight="1" x14ac:dyDescent="0.2">
      <c r="A247" s="729">
        <v>2</v>
      </c>
      <c r="B247" s="9"/>
      <c r="C247" s="118"/>
      <c r="D247" s="118"/>
      <c r="E247" s="239"/>
      <c r="F247" s="797" t="s">
        <v>1004</v>
      </c>
      <c r="G247" s="118" t="s">
        <v>1005</v>
      </c>
      <c r="H247" s="133" t="s">
        <v>949</v>
      </c>
      <c r="I247" s="132">
        <f t="shared" si="13"/>
        <v>955</v>
      </c>
      <c r="J247" s="434"/>
      <c r="K247" s="136">
        <v>955</v>
      </c>
      <c r="L247" s="132"/>
      <c r="M247" s="799"/>
      <c r="N247" s="139"/>
      <c r="O247" s="740"/>
      <c r="P247" s="235"/>
      <c r="Q247"/>
    </row>
    <row r="248" spans="1:23" ht="23.25" hidden="1" customHeight="1" x14ac:dyDescent="0.2">
      <c r="A248" s="729">
        <v>2</v>
      </c>
      <c r="B248" s="9"/>
      <c r="C248" s="118"/>
      <c r="D248" s="118"/>
      <c r="E248" s="239"/>
      <c r="F248" s="797" t="s">
        <v>1004</v>
      </c>
      <c r="G248" s="118" t="s">
        <v>1005</v>
      </c>
      <c r="H248" s="133" t="s">
        <v>950</v>
      </c>
      <c r="I248" s="132">
        <f t="shared" si="13"/>
        <v>1139</v>
      </c>
      <c r="J248" s="434"/>
      <c r="K248" s="136">
        <v>1139</v>
      </c>
      <c r="L248" s="132"/>
      <c r="M248" s="799"/>
      <c r="N248" s="139"/>
      <c r="O248" s="740"/>
      <c r="P248" s="235"/>
      <c r="Q248"/>
    </row>
    <row r="249" spans="1:23" ht="22.15" hidden="1" customHeight="1" x14ac:dyDescent="0.2">
      <c r="A249" s="729">
        <v>2</v>
      </c>
      <c r="B249" s="9"/>
      <c r="C249" s="118"/>
      <c r="D249" s="118"/>
      <c r="E249" s="239"/>
      <c r="F249" s="797" t="s">
        <v>1004</v>
      </c>
      <c r="G249" s="118" t="s">
        <v>1005</v>
      </c>
      <c r="H249" s="133" t="s">
        <v>951</v>
      </c>
      <c r="I249" s="132">
        <f t="shared" si="13"/>
        <v>1771.44</v>
      </c>
      <c r="J249" s="434"/>
      <c r="K249" s="136">
        <v>1771.44</v>
      </c>
      <c r="L249" s="132"/>
      <c r="M249" s="799"/>
      <c r="N249" s="139"/>
      <c r="O249" s="740"/>
      <c r="P249" s="235"/>
      <c r="Q249"/>
    </row>
    <row r="250" spans="1:23" ht="26.25" customHeight="1" thickBot="1" x14ac:dyDescent="0.25">
      <c r="A250" s="729">
        <v>1</v>
      </c>
      <c r="B250" s="9"/>
      <c r="C250" s="118"/>
      <c r="D250" s="118"/>
      <c r="E250" s="239"/>
      <c r="F250" s="724" t="s">
        <v>349</v>
      </c>
      <c r="G250" s="798" t="s">
        <v>1005</v>
      </c>
      <c r="H250" s="725" t="s">
        <v>952</v>
      </c>
      <c r="I250" s="980">
        <f t="shared" si="13"/>
        <v>3700</v>
      </c>
      <c r="J250" s="631"/>
      <c r="K250" s="800">
        <v>3700</v>
      </c>
      <c r="L250" s="632"/>
      <c r="M250" s="726"/>
      <c r="N250" s="139"/>
      <c r="O250" s="740"/>
      <c r="P250" s="235"/>
      <c r="Q250"/>
    </row>
    <row r="251" spans="1:23" ht="26.25" customHeight="1" x14ac:dyDescent="0.2">
      <c r="A251" s="915">
        <v>1</v>
      </c>
      <c r="B251" s="9"/>
      <c r="C251" s="118"/>
      <c r="D251" s="118"/>
      <c r="E251" s="239"/>
      <c r="F251" s="806" t="s">
        <v>1279</v>
      </c>
      <c r="G251" s="807" t="s">
        <v>1005</v>
      </c>
      <c r="H251" s="808" t="s">
        <v>1186</v>
      </c>
      <c r="I251" s="990">
        <f t="shared" si="13"/>
        <v>0</v>
      </c>
      <c r="J251" s="809"/>
      <c r="K251" s="914">
        <f>20000-20000</f>
        <v>0</v>
      </c>
      <c r="L251" s="810"/>
      <c r="M251" s="811"/>
      <c r="N251" s="139"/>
      <c r="O251" s="837" t="s">
        <v>1286</v>
      </c>
      <c r="P251" s="235"/>
      <c r="Q251"/>
    </row>
    <row r="252" spans="1:23" x14ac:dyDescent="0.2">
      <c r="A252" s="729">
        <v>1</v>
      </c>
      <c r="B252" s="9"/>
      <c r="C252" s="118"/>
      <c r="D252" s="118"/>
      <c r="E252" s="118"/>
      <c r="F252" s="440" t="s">
        <v>709</v>
      </c>
      <c r="G252" s="270" t="s">
        <v>460</v>
      </c>
      <c r="H252" s="232" t="s">
        <v>1006</v>
      </c>
      <c r="I252" s="976">
        <f t="shared" si="13"/>
        <v>40000</v>
      </c>
      <c r="J252" s="430"/>
      <c r="K252" s="233">
        <v>40000</v>
      </c>
      <c r="L252" s="233"/>
      <c r="M252" s="233"/>
      <c r="N252" s="139"/>
      <c r="O252" s="740"/>
      <c r="P252" s="235"/>
    </row>
    <row r="253" spans="1:23" s="9" customFormat="1" ht="24" x14ac:dyDescent="0.2">
      <c r="A253" s="916">
        <v>1</v>
      </c>
      <c r="C253" s="137"/>
      <c r="D253" s="137"/>
      <c r="E253" s="137"/>
      <c r="F253" s="439" t="s">
        <v>709</v>
      </c>
      <c r="G253" s="137" t="s">
        <v>460</v>
      </c>
      <c r="H253" s="133" t="s">
        <v>1007</v>
      </c>
      <c r="I253" s="977">
        <f t="shared" si="13"/>
        <v>70000</v>
      </c>
      <c r="J253" s="434"/>
      <c r="K253" s="953">
        <f>210000-210000+70000</f>
        <v>70000</v>
      </c>
      <c r="L253" s="132"/>
      <c r="M253" s="132"/>
      <c r="N253" s="139"/>
      <c r="O253" s="837" t="s">
        <v>1373</v>
      </c>
      <c r="P253" s="235"/>
      <c r="Q253" s="135"/>
      <c r="R253"/>
      <c r="S253"/>
      <c r="T253"/>
      <c r="U253"/>
      <c r="V253"/>
      <c r="W253"/>
    </row>
    <row r="254" spans="1:23" x14ac:dyDescent="0.2">
      <c r="A254" s="729">
        <v>1</v>
      </c>
      <c r="B254" s="9"/>
      <c r="C254" s="118"/>
      <c r="D254" s="118"/>
      <c r="E254" s="118"/>
      <c r="F254" s="444" t="s">
        <v>710</v>
      </c>
      <c r="G254" s="280" t="s">
        <v>711</v>
      </c>
      <c r="H254" s="268" t="s">
        <v>953</v>
      </c>
      <c r="I254" s="981">
        <f t="shared" si="13"/>
        <v>7000</v>
      </c>
      <c r="J254" s="717"/>
      <c r="K254" s="276">
        <v>7000</v>
      </c>
      <c r="L254" s="276"/>
      <c r="M254" s="276"/>
      <c r="N254" s="139"/>
      <c r="O254" s="740"/>
      <c r="P254" s="235"/>
      <c r="Q254" s="146"/>
      <c r="R254" s="9"/>
      <c r="S254" s="9"/>
      <c r="U254" s="9"/>
      <c r="V254" s="9"/>
      <c r="W254" s="9"/>
    </row>
    <row r="255" spans="1:23" ht="19.149999999999999" hidden="1" customHeight="1" x14ac:dyDescent="0.2">
      <c r="A255" s="729">
        <v>2</v>
      </c>
      <c r="B255" s="9"/>
      <c r="C255" s="118"/>
      <c r="D255" s="118"/>
      <c r="E255" s="239"/>
      <c r="F255" s="719" t="s">
        <v>710</v>
      </c>
      <c r="G255" s="720" t="s">
        <v>711</v>
      </c>
      <c r="H255" s="721" t="s">
        <v>1144</v>
      </c>
      <c r="I255" s="891">
        <f t="shared" si="13"/>
        <v>28000</v>
      </c>
      <c r="J255" s="722"/>
      <c r="K255" s="698">
        <v>28000</v>
      </c>
      <c r="L255" s="698"/>
      <c r="M255" s="723"/>
      <c r="N255" s="139"/>
      <c r="O255" s="740"/>
      <c r="P255" s="235" t="s">
        <v>1145</v>
      </c>
      <c r="Q255" s="146"/>
      <c r="R255" s="9"/>
      <c r="S255" s="9"/>
      <c r="U255" s="9"/>
      <c r="V255" s="9"/>
      <c r="W255" s="9"/>
    </row>
    <row r="256" spans="1:23" ht="19.149999999999999" hidden="1" customHeight="1" thickBot="1" x14ac:dyDescent="0.25">
      <c r="A256" s="729">
        <v>2</v>
      </c>
      <c r="B256" s="9"/>
      <c r="C256" s="118"/>
      <c r="D256" s="118"/>
      <c r="E256" s="239"/>
      <c r="F256" s="724" t="s">
        <v>712</v>
      </c>
      <c r="G256" s="699" t="s">
        <v>711</v>
      </c>
      <c r="H256" s="725" t="s">
        <v>1143</v>
      </c>
      <c r="I256" s="800">
        <f t="shared" si="13"/>
        <v>25000</v>
      </c>
      <c r="J256" s="631"/>
      <c r="K256" s="632">
        <v>25000</v>
      </c>
      <c r="L256" s="632"/>
      <c r="M256" s="726"/>
      <c r="N256" s="139"/>
      <c r="O256" s="740"/>
      <c r="P256" s="235"/>
      <c r="Q256" s="146"/>
      <c r="R256" s="9"/>
      <c r="S256" s="9"/>
      <c r="U256" s="9"/>
      <c r="V256" s="9"/>
      <c r="W256" s="9"/>
    </row>
    <row r="257" spans="1:23" ht="15" hidden="1" customHeight="1" x14ac:dyDescent="0.2">
      <c r="A257" s="729">
        <v>2</v>
      </c>
      <c r="B257" s="9"/>
      <c r="C257" s="118"/>
      <c r="D257" s="118"/>
      <c r="E257" s="118"/>
      <c r="F257" s="440" t="s">
        <v>712</v>
      </c>
      <c r="G257" s="270" t="s">
        <v>711</v>
      </c>
      <c r="H257" s="232" t="s">
        <v>1008</v>
      </c>
      <c r="I257" s="275">
        <f t="shared" si="13"/>
        <v>91031</v>
      </c>
      <c r="J257" s="430"/>
      <c r="K257" s="233">
        <v>91031</v>
      </c>
      <c r="L257" s="718"/>
      <c r="M257" s="718"/>
      <c r="N257" s="139"/>
      <c r="O257" s="769"/>
      <c r="P257" s="265"/>
      <c r="Q257" s="146"/>
      <c r="R257" s="9"/>
      <c r="S257" s="9"/>
      <c r="U257" s="9"/>
      <c r="V257" s="9"/>
      <c r="W257" s="9"/>
    </row>
    <row r="258" spans="1:23" ht="36" x14ac:dyDescent="0.2">
      <c r="A258" s="729">
        <v>1</v>
      </c>
      <c r="B258" s="9"/>
      <c r="C258" s="118"/>
      <c r="D258" s="118"/>
      <c r="E258" s="118"/>
      <c r="F258" s="439" t="s">
        <v>712</v>
      </c>
      <c r="G258" s="137" t="s">
        <v>711</v>
      </c>
      <c r="H258" s="133" t="s">
        <v>1009</v>
      </c>
      <c r="I258" s="977">
        <f t="shared" si="13"/>
        <v>6000</v>
      </c>
      <c r="J258" s="434"/>
      <c r="K258" s="132">
        <v>6000</v>
      </c>
      <c r="L258" s="404"/>
      <c r="M258" s="404"/>
      <c r="N258" s="139"/>
      <c r="O258" s="769"/>
      <c r="P258" s="265"/>
      <c r="Q258" s="146"/>
      <c r="R258" s="9"/>
      <c r="S258" s="9"/>
      <c r="U258" s="9"/>
      <c r="V258" s="9"/>
      <c r="W258" s="9"/>
    </row>
    <row r="259" spans="1:23" x14ac:dyDescent="0.2">
      <c r="A259" s="729">
        <v>1</v>
      </c>
      <c r="B259" s="9"/>
      <c r="C259" s="118"/>
      <c r="D259" s="118"/>
      <c r="E259" s="118"/>
      <c r="F259" s="439" t="s">
        <v>236</v>
      </c>
      <c r="G259" s="118" t="s">
        <v>237</v>
      </c>
      <c r="H259" s="658" t="s">
        <v>1182</v>
      </c>
      <c r="I259" s="958">
        <f t="shared" ref="I259:I264" si="14">K259</f>
        <v>3921</v>
      </c>
      <c r="J259" s="406"/>
      <c r="K259" s="132">
        <v>3921</v>
      </c>
      <c r="L259" s="404"/>
      <c r="M259" s="404"/>
      <c r="N259" s="139"/>
      <c r="O259" s="769"/>
      <c r="P259" s="3"/>
      <c r="Q259"/>
    </row>
    <row r="260" spans="1:23" ht="24" hidden="1" x14ac:dyDescent="0.2">
      <c r="A260" s="729">
        <v>2</v>
      </c>
      <c r="B260" s="9"/>
      <c r="C260" s="118"/>
      <c r="D260" s="118"/>
      <c r="E260" s="118"/>
      <c r="F260" s="439" t="s">
        <v>236</v>
      </c>
      <c r="G260" s="118" t="s">
        <v>237</v>
      </c>
      <c r="H260" s="658" t="s">
        <v>1127</v>
      </c>
      <c r="I260" s="132">
        <f t="shared" si="14"/>
        <v>11200</v>
      </c>
      <c r="J260" s="406"/>
      <c r="K260" s="132">
        <v>11200</v>
      </c>
      <c r="L260" s="404"/>
      <c r="M260" s="404"/>
      <c r="N260" s="139"/>
      <c r="O260" s="769"/>
      <c r="P260" s="3"/>
      <c r="Q260"/>
    </row>
    <row r="261" spans="1:23" x14ac:dyDescent="0.2">
      <c r="A261" s="954">
        <v>1</v>
      </c>
      <c r="B261" s="9"/>
      <c r="C261" s="118"/>
      <c r="D261" s="118"/>
      <c r="E261" s="118"/>
      <c r="F261" s="439" t="s">
        <v>236</v>
      </c>
      <c r="G261" s="118" t="s">
        <v>237</v>
      </c>
      <c r="H261" s="658" t="s">
        <v>1139</v>
      </c>
      <c r="I261" s="958">
        <f t="shared" si="14"/>
        <v>6150</v>
      </c>
      <c r="J261" s="406"/>
      <c r="K261" s="953">
        <v>6150</v>
      </c>
      <c r="L261" s="404"/>
      <c r="M261" s="404"/>
      <c r="N261" s="139"/>
      <c r="O261" s="769"/>
      <c r="P261" s="3"/>
      <c r="Q261"/>
    </row>
    <row r="262" spans="1:23" x14ac:dyDescent="0.2">
      <c r="A262" s="729">
        <v>1</v>
      </c>
      <c r="B262" s="9"/>
      <c r="C262" s="118"/>
      <c r="D262" s="118"/>
      <c r="E262" s="118"/>
      <c r="F262" s="439" t="s">
        <v>236</v>
      </c>
      <c r="G262" s="118" t="s">
        <v>237</v>
      </c>
      <c r="H262" s="658" t="s">
        <v>1281</v>
      </c>
      <c r="I262" s="958">
        <f t="shared" si="14"/>
        <v>6000</v>
      </c>
      <c r="J262" s="406"/>
      <c r="K262" s="132">
        <v>6000</v>
      </c>
      <c r="L262" s="404"/>
      <c r="M262" s="404"/>
      <c r="N262" s="139"/>
      <c r="O262" s="769"/>
      <c r="P262" s="3"/>
      <c r="Q262"/>
    </row>
    <row r="263" spans="1:23" x14ac:dyDescent="0.2">
      <c r="A263" s="729">
        <v>1</v>
      </c>
      <c r="B263" s="9"/>
      <c r="C263" s="118"/>
      <c r="D263" s="118"/>
      <c r="E263" s="118"/>
      <c r="F263" s="439" t="s">
        <v>236</v>
      </c>
      <c r="G263" s="118" t="s">
        <v>237</v>
      </c>
      <c r="H263" s="658" t="s">
        <v>1140</v>
      </c>
      <c r="I263" s="958">
        <f t="shared" si="14"/>
        <v>2000</v>
      </c>
      <c r="J263" s="406"/>
      <c r="K263" s="132">
        <v>2000</v>
      </c>
      <c r="L263" s="404"/>
      <c r="M263" s="404"/>
      <c r="N263" s="139"/>
      <c r="O263" s="769"/>
      <c r="P263" s="3"/>
      <c r="Q263"/>
    </row>
    <row r="264" spans="1:23" ht="24" x14ac:dyDescent="0.2">
      <c r="A264" s="729">
        <v>1</v>
      </c>
      <c r="B264" s="9"/>
      <c r="C264" s="118"/>
      <c r="D264" s="118"/>
      <c r="E264" s="118"/>
      <c r="F264" s="439" t="s">
        <v>837</v>
      </c>
      <c r="G264" s="118" t="s">
        <v>1256</v>
      </c>
      <c r="H264" s="658" t="s">
        <v>1257</v>
      </c>
      <c r="I264" s="958">
        <f t="shared" si="14"/>
        <v>11388</v>
      </c>
      <c r="J264" s="406"/>
      <c r="K264" s="132">
        <v>11388</v>
      </c>
      <c r="L264" s="404"/>
      <c r="M264" s="404"/>
      <c r="N264" s="139"/>
      <c r="O264" s="769"/>
      <c r="P264" s="3"/>
      <c r="Q264"/>
    </row>
    <row r="265" spans="1:23" ht="24.75" customHeight="1" x14ac:dyDescent="0.2">
      <c r="A265" s="729">
        <v>1</v>
      </c>
      <c r="B265" s="9"/>
      <c r="C265" s="118"/>
      <c r="D265" s="118"/>
      <c r="E265" s="118"/>
      <c r="F265" s="439" t="s">
        <v>594</v>
      </c>
      <c r="G265" s="118" t="s">
        <v>595</v>
      </c>
      <c r="H265" s="140" t="s">
        <v>1012</v>
      </c>
      <c r="I265" s="958">
        <f>SUM(K265:M265)</f>
        <v>2800</v>
      </c>
      <c r="J265" s="434"/>
      <c r="K265" s="132">
        <v>2800</v>
      </c>
      <c r="L265" s="132"/>
      <c r="M265" s="132"/>
      <c r="N265" s="139"/>
      <c r="O265" s="740"/>
      <c r="P265" s="234"/>
    </row>
    <row r="266" spans="1:23" ht="13.5" customHeight="1" x14ac:dyDescent="0.2">
      <c r="A266" s="729">
        <v>1</v>
      </c>
      <c r="B266" s="9"/>
      <c r="C266" s="118"/>
      <c r="D266" s="118"/>
      <c r="E266" s="118"/>
      <c r="F266" s="439" t="s">
        <v>223</v>
      </c>
      <c r="G266" s="137" t="s">
        <v>208</v>
      </c>
      <c r="H266" s="140" t="s">
        <v>981</v>
      </c>
      <c r="I266" s="958">
        <f>SUM(K266:M266)</f>
        <v>47290.9</v>
      </c>
      <c r="J266" s="434"/>
      <c r="K266" s="917">
        <v>47290.9</v>
      </c>
      <c r="L266" s="132"/>
      <c r="M266" s="132"/>
      <c r="N266" s="139"/>
      <c r="O266" s="740"/>
      <c r="P266" s="212" t="s">
        <v>1168</v>
      </c>
    </row>
    <row r="267" spans="1:23" x14ac:dyDescent="0.2">
      <c r="A267" s="729">
        <v>1</v>
      </c>
      <c r="B267" s="9"/>
      <c r="C267" s="118"/>
      <c r="D267" s="118"/>
      <c r="E267" s="118"/>
      <c r="F267" s="439" t="s">
        <v>223</v>
      </c>
      <c r="G267" s="118" t="s">
        <v>208</v>
      </c>
      <c r="H267" s="140" t="s">
        <v>956</v>
      </c>
      <c r="I267" s="958">
        <f>K267</f>
        <v>1521</v>
      </c>
      <c r="J267" s="406"/>
      <c r="K267" s="136">
        <v>1521</v>
      </c>
      <c r="L267" s="404"/>
      <c r="M267" s="404"/>
      <c r="N267" s="139"/>
      <c r="O267" s="769"/>
      <c r="P267" s="3"/>
      <c r="Q267"/>
    </row>
    <row r="268" spans="1:23" x14ac:dyDescent="0.2">
      <c r="A268" s="729">
        <v>1</v>
      </c>
      <c r="B268" s="9"/>
      <c r="C268" s="118"/>
      <c r="D268" s="118"/>
      <c r="E268" s="118"/>
      <c r="F268" s="439" t="s">
        <v>223</v>
      </c>
      <c r="G268" s="118" t="s">
        <v>208</v>
      </c>
      <c r="H268" s="140" t="s">
        <v>957</v>
      </c>
      <c r="I268" s="958">
        <f>K268</f>
        <v>7048.333333333333</v>
      </c>
      <c r="J268" s="406"/>
      <c r="K268" s="136">
        <f>21145/3</f>
        <v>7048.333333333333</v>
      </c>
      <c r="L268" s="404"/>
      <c r="M268" s="404"/>
      <c r="N268" s="139"/>
      <c r="O268" s="769"/>
      <c r="P268" s="3"/>
      <c r="Q268"/>
    </row>
    <row r="269" spans="1:23" hidden="1" x14ac:dyDescent="0.2">
      <c r="A269" s="729">
        <v>2</v>
      </c>
      <c r="B269" s="9"/>
      <c r="C269" s="118"/>
      <c r="D269" s="118"/>
      <c r="E269" s="118"/>
      <c r="F269" s="439" t="s">
        <v>223</v>
      </c>
      <c r="G269" s="118" t="s">
        <v>208</v>
      </c>
      <c r="H269" s="133" t="s">
        <v>1013</v>
      </c>
      <c r="I269" s="132">
        <f t="shared" ref="I269:I318" si="15">SUM(K269:M269)</f>
        <v>8682</v>
      </c>
      <c r="J269" s="434"/>
      <c r="K269" s="136">
        <v>8682</v>
      </c>
      <c r="L269" s="132"/>
      <c r="M269" s="132"/>
      <c r="N269" s="139"/>
      <c r="O269" s="740"/>
      <c r="P269" s="3"/>
    </row>
    <row r="270" spans="1:23" x14ac:dyDescent="0.2">
      <c r="A270" s="729">
        <v>1</v>
      </c>
      <c r="B270" s="9"/>
      <c r="C270" s="118"/>
      <c r="D270" s="118"/>
      <c r="E270" s="118"/>
      <c r="F270" s="439" t="s">
        <v>223</v>
      </c>
      <c r="G270" s="118" t="s">
        <v>208</v>
      </c>
      <c r="H270" s="133" t="s">
        <v>958</v>
      </c>
      <c r="I270" s="958">
        <f t="shared" si="15"/>
        <v>4250.3</v>
      </c>
      <c r="J270" s="434"/>
      <c r="K270" s="136">
        <v>4250.3</v>
      </c>
      <c r="L270" s="132"/>
      <c r="M270" s="132"/>
      <c r="N270" s="139"/>
      <c r="O270" s="740" t="s">
        <v>1183</v>
      </c>
      <c r="P270" s="3"/>
    </row>
    <row r="271" spans="1:23" x14ac:dyDescent="0.2">
      <c r="A271" s="729">
        <v>1</v>
      </c>
      <c r="B271" s="9"/>
      <c r="C271" s="118"/>
      <c r="D271" s="118"/>
      <c r="E271" s="118"/>
      <c r="F271" s="439" t="s">
        <v>223</v>
      </c>
      <c r="G271" s="118" t="s">
        <v>208</v>
      </c>
      <c r="H271" s="133" t="s">
        <v>959</v>
      </c>
      <c r="I271" s="958">
        <f t="shared" si="15"/>
        <v>2831</v>
      </c>
      <c r="J271" s="434"/>
      <c r="K271" s="136">
        <v>2831</v>
      </c>
      <c r="L271" s="132"/>
      <c r="M271" s="132"/>
      <c r="N271" s="139"/>
      <c r="O271" s="740" t="s">
        <v>1183</v>
      </c>
      <c r="P271" s="3"/>
    </row>
    <row r="272" spans="1:23" x14ac:dyDescent="0.2">
      <c r="A272" s="729">
        <v>1</v>
      </c>
      <c r="B272" s="9"/>
      <c r="C272" s="118"/>
      <c r="D272" s="118"/>
      <c r="E272" s="118"/>
      <c r="F272" s="439" t="s">
        <v>223</v>
      </c>
      <c r="G272" s="118" t="s">
        <v>208</v>
      </c>
      <c r="H272" s="133" t="s">
        <v>963</v>
      </c>
      <c r="I272" s="958">
        <f t="shared" si="15"/>
        <v>4250.3</v>
      </c>
      <c r="J272" s="434"/>
      <c r="K272" s="136">
        <v>4250.3</v>
      </c>
      <c r="L272" s="132"/>
      <c r="M272" s="132"/>
      <c r="N272" s="139"/>
      <c r="O272" s="740" t="s">
        <v>1183</v>
      </c>
      <c r="P272" s="3"/>
    </row>
    <row r="273" spans="1:20" x14ac:dyDescent="0.2">
      <c r="A273" s="729">
        <v>1</v>
      </c>
      <c r="B273" s="9"/>
      <c r="C273" s="118"/>
      <c r="D273" s="118"/>
      <c r="E273" s="118"/>
      <c r="F273" s="439" t="s">
        <v>223</v>
      </c>
      <c r="G273" s="118" t="s">
        <v>208</v>
      </c>
      <c r="H273" s="133" t="s">
        <v>964</v>
      </c>
      <c r="I273" s="958">
        <f t="shared" si="15"/>
        <v>2831</v>
      </c>
      <c r="J273" s="434"/>
      <c r="K273" s="136">
        <v>2831</v>
      </c>
      <c r="L273" s="132"/>
      <c r="M273" s="132"/>
      <c r="N273" s="139"/>
      <c r="O273" s="740" t="s">
        <v>1183</v>
      </c>
      <c r="P273" s="3"/>
    </row>
    <row r="274" spans="1:20" x14ac:dyDescent="0.2">
      <c r="A274" s="729">
        <v>1</v>
      </c>
      <c r="B274" s="9"/>
      <c r="C274" s="118"/>
      <c r="D274" s="118"/>
      <c r="E274" s="118"/>
      <c r="F274" s="439" t="s">
        <v>223</v>
      </c>
      <c r="G274" s="118" t="s">
        <v>208</v>
      </c>
      <c r="H274" s="133" t="s">
        <v>960</v>
      </c>
      <c r="I274" s="958">
        <f t="shared" si="15"/>
        <v>2384</v>
      </c>
      <c r="J274" s="434"/>
      <c r="K274" s="136">
        <v>2384</v>
      </c>
      <c r="L274" s="132"/>
      <c r="M274" s="132"/>
      <c r="N274" s="139"/>
      <c r="O274" s="740" t="s">
        <v>1183</v>
      </c>
      <c r="P274" s="3"/>
    </row>
    <row r="275" spans="1:20" x14ac:dyDescent="0.2">
      <c r="A275" s="729">
        <v>1</v>
      </c>
      <c r="B275" s="9"/>
      <c r="C275" s="118"/>
      <c r="D275" s="118"/>
      <c r="E275" s="118"/>
      <c r="F275" s="439" t="s">
        <v>223</v>
      </c>
      <c r="G275" s="118" t="s">
        <v>208</v>
      </c>
      <c r="H275" s="133" t="s">
        <v>961</v>
      </c>
      <c r="I275" s="958">
        <f t="shared" si="15"/>
        <v>2384</v>
      </c>
      <c r="J275" s="434"/>
      <c r="K275" s="136">
        <v>2384</v>
      </c>
      <c r="L275" s="132"/>
      <c r="M275" s="132"/>
      <c r="N275" s="139"/>
      <c r="O275" s="740" t="s">
        <v>1183</v>
      </c>
      <c r="P275" s="3"/>
    </row>
    <row r="276" spans="1:20" x14ac:dyDescent="0.2">
      <c r="A276" s="729">
        <v>1</v>
      </c>
      <c r="B276" s="9"/>
      <c r="C276" s="118"/>
      <c r="D276" s="118"/>
      <c r="E276" s="118"/>
      <c r="F276" s="439" t="s">
        <v>223</v>
      </c>
      <c r="G276" s="118" t="s">
        <v>208</v>
      </c>
      <c r="H276" s="133" t="s">
        <v>962</v>
      </c>
      <c r="I276" s="958">
        <f t="shared" si="15"/>
        <v>1192</v>
      </c>
      <c r="J276" s="434"/>
      <c r="K276" s="136">
        <v>1192</v>
      </c>
      <c r="L276" s="132"/>
      <c r="M276" s="132"/>
      <c r="N276" s="139"/>
      <c r="O276" s="740" t="s">
        <v>1183</v>
      </c>
      <c r="P276" s="3"/>
    </row>
    <row r="277" spans="1:20" ht="24" x14ac:dyDescent="0.2">
      <c r="A277" s="954">
        <v>1</v>
      </c>
      <c r="B277" s="9"/>
      <c r="C277" s="118"/>
      <c r="D277" s="118"/>
      <c r="E277" s="118"/>
      <c r="F277" s="439" t="s">
        <v>223</v>
      </c>
      <c r="G277" s="118" t="s">
        <v>208</v>
      </c>
      <c r="H277" s="133" t="s">
        <v>977</v>
      </c>
      <c r="I277" s="958">
        <f t="shared" si="15"/>
        <v>35000</v>
      </c>
      <c r="J277" s="434"/>
      <c r="K277" s="953">
        <v>35000</v>
      </c>
      <c r="L277" s="132"/>
      <c r="M277" s="132"/>
      <c r="N277" s="139"/>
      <c r="O277" s="740"/>
      <c r="P277" s="3"/>
    </row>
    <row r="278" spans="1:20" x14ac:dyDescent="0.2">
      <c r="A278" s="729">
        <v>1</v>
      </c>
      <c r="B278" s="9"/>
      <c r="C278" s="118"/>
      <c r="D278" s="118"/>
      <c r="E278" s="118"/>
      <c r="F278" s="439" t="s">
        <v>223</v>
      </c>
      <c r="G278" s="118" t="s">
        <v>208</v>
      </c>
      <c r="H278" s="133" t="s">
        <v>681</v>
      </c>
      <c r="I278" s="958">
        <f t="shared" si="15"/>
        <v>5000</v>
      </c>
      <c r="J278" s="434"/>
      <c r="K278" s="136">
        <v>5000</v>
      </c>
      <c r="L278" s="132"/>
      <c r="M278" s="132"/>
      <c r="N278" s="139"/>
      <c r="O278" s="740"/>
      <c r="P278" s="3"/>
    </row>
    <row r="279" spans="1:20" ht="24" x14ac:dyDescent="0.2">
      <c r="A279" s="729">
        <v>1</v>
      </c>
      <c r="B279" s="9"/>
      <c r="C279" s="118"/>
      <c r="D279" s="118"/>
      <c r="E279" s="118"/>
      <c r="F279" s="439" t="s">
        <v>223</v>
      </c>
      <c r="G279" s="118" t="s">
        <v>208</v>
      </c>
      <c r="H279" s="133" t="s">
        <v>965</v>
      </c>
      <c r="I279" s="958">
        <f t="shared" si="15"/>
        <v>16000</v>
      </c>
      <c r="J279" s="406"/>
      <c r="K279" s="1004">
        <v>16000</v>
      </c>
      <c r="L279" s="404"/>
      <c r="M279" s="404"/>
      <c r="N279" s="139"/>
      <c r="O279" s="769"/>
      <c r="P279" s="3"/>
    </row>
    <row r="280" spans="1:20" ht="24" x14ac:dyDescent="0.2">
      <c r="A280" s="729">
        <v>1</v>
      </c>
      <c r="B280" s="9"/>
      <c r="C280" s="118"/>
      <c r="D280" s="118"/>
      <c r="E280" s="118"/>
      <c r="F280" s="439" t="s">
        <v>223</v>
      </c>
      <c r="G280" s="118" t="s">
        <v>208</v>
      </c>
      <c r="H280" s="133" t="s">
        <v>1172</v>
      </c>
      <c r="I280" s="958">
        <f t="shared" si="15"/>
        <v>20400</v>
      </c>
      <c r="J280" s="434"/>
      <c r="K280" s="1004">
        <f>32400-12000</f>
        <v>20400</v>
      </c>
      <c r="L280" s="132"/>
      <c r="M280" s="132"/>
      <c r="N280" s="139"/>
      <c r="O280" s="740"/>
      <c r="P280" s="3"/>
    </row>
    <row r="281" spans="1:20" hidden="1" x14ac:dyDescent="0.2">
      <c r="A281" s="729">
        <v>2</v>
      </c>
      <c r="B281" s="9"/>
      <c r="C281" s="118"/>
      <c r="D281" s="118"/>
      <c r="E281" s="118"/>
      <c r="F281" s="439" t="s">
        <v>223</v>
      </c>
      <c r="G281" s="118" t="s">
        <v>208</v>
      </c>
      <c r="H281" s="133" t="s">
        <v>966</v>
      </c>
      <c r="I281" s="132">
        <f t="shared" si="15"/>
        <v>6000</v>
      </c>
      <c r="J281" s="434"/>
      <c r="K281" s="953">
        <f>9000-3000</f>
        <v>6000</v>
      </c>
      <c r="L281" s="132"/>
      <c r="M281" s="132"/>
      <c r="N281" s="139"/>
      <c r="O281" s="740"/>
      <c r="P281" s="3"/>
    </row>
    <row r="282" spans="1:20" ht="24" hidden="1" x14ac:dyDescent="0.2">
      <c r="A282" s="729">
        <v>2</v>
      </c>
      <c r="B282" s="9"/>
      <c r="C282" s="118"/>
      <c r="D282" s="118"/>
      <c r="E282" s="118"/>
      <c r="F282" s="439" t="s">
        <v>713</v>
      </c>
      <c r="G282" s="137" t="s">
        <v>208</v>
      </c>
      <c r="H282" s="133" t="s">
        <v>1014</v>
      </c>
      <c r="I282" s="132">
        <f t="shared" si="15"/>
        <v>390000</v>
      </c>
      <c r="J282" s="434"/>
      <c r="K282" s="136">
        <v>390000</v>
      </c>
      <c r="L282" s="136"/>
      <c r="M282" s="136"/>
      <c r="N282" s="139"/>
      <c r="O282" s="139"/>
      <c r="Q282" s="45"/>
      <c r="R282" s="45"/>
      <c r="S282" s="45"/>
      <c r="T282" s="45"/>
    </row>
    <row r="283" spans="1:20" ht="25.5" hidden="1" customHeight="1" x14ac:dyDescent="0.2">
      <c r="A283" s="729">
        <v>2</v>
      </c>
      <c r="B283" s="9"/>
      <c r="C283" s="118"/>
      <c r="D283" s="118"/>
      <c r="E283" s="118"/>
      <c r="F283" s="439" t="s">
        <v>713</v>
      </c>
      <c r="G283" s="137" t="s">
        <v>208</v>
      </c>
      <c r="H283" s="133" t="s">
        <v>1015</v>
      </c>
      <c r="I283" s="132">
        <f t="shared" si="15"/>
        <v>27000</v>
      </c>
      <c r="J283" s="434"/>
      <c r="K283" s="136">
        <v>27000</v>
      </c>
      <c r="L283" s="132"/>
      <c r="M283" s="132"/>
      <c r="N283" s="139"/>
      <c r="O283" s="740"/>
      <c r="Q283" s="45"/>
      <c r="R283" s="45"/>
      <c r="S283" s="45"/>
      <c r="T283" s="45"/>
    </row>
    <row r="284" spans="1:20" ht="24" x14ac:dyDescent="0.2">
      <c r="A284" s="729">
        <v>1</v>
      </c>
      <c r="B284" s="9"/>
      <c r="C284" s="118"/>
      <c r="D284" s="118"/>
      <c r="E284" s="118"/>
      <c r="F284" s="439" t="s">
        <v>713</v>
      </c>
      <c r="G284" s="137" t="s">
        <v>208</v>
      </c>
      <c r="H284" s="133" t="s">
        <v>1016</v>
      </c>
      <c r="I284" s="958">
        <f t="shared" si="15"/>
        <v>65000</v>
      </c>
      <c r="J284" s="434"/>
      <c r="K284" s="1004">
        <v>65000</v>
      </c>
      <c r="L284" s="132"/>
      <c r="M284" s="132"/>
      <c r="N284" s="139"/>
      <c r="O284" s="740"/>
      <c r="Q284" s="45"/>
      <c r="R284" s="45"/>
      <c r="S284" s="45"/>
      <c r="T284" s="45"/>
    </row>
    <row r="285" spans="1:20" ht="13.9" customHeight="1" x14ac:dyDescent="0.2">
      <c r="A285" s="729">
        <v>1</v>
      </c>
      <c r="B285" s="9"/>
      <c r="C285" s="118"/>
      <c r="D285" s="118"/>
      <c r="E285" s="118"/>
      <c r="F285" s="439" t="s">
        <v>713</v>
      </c>
      <c r="G285" s="137" t="s">
        <v>208</v>
      </c>
      <c r="H285" s="133" t="s">
        <v>686</v>
      </c>
      <c r="I285" s="958">
        <f t="shared" si="15"/>
        <v>30000</v>
      </c>
      <c r="J285" s="434"/>
      <c r="K285" s="1004">
        <v>30000</v>
      </c>
      <c r="L285" s="132"/>
      <c r="M285" s="132"/>
      <c r="N285" s="139"/>
      <c r="O285" s="740"/>
      <c r="Q285" s="45"/>
      <c r="R285" s="45"/>
      <c r="S285" s="45"/>
      <c r="T285" s="45"/>
    </row>
    <row r="286" spans="1:20" hidden="1" x14ac:dyDescent="0.2">
      <c r="A286" s="729">
        <v>2</v>
      </c>
      <c r="B286" s="9"/>
      <c r="C286" s="118"/>
      <c r="D286" s="118"/>
      <c r="E286" s="118"/>
      <c r="F286" s="439" t="s">
        <v>713</v>
      </c>
      <c r="G286" s="137" t="s">
        <v>208</v>
      </c>
      <c r="H286" s="133" t="s">
        <v>1017</v>
      </c>
      <c r="I286" s="132">
        <f t="shared" si="15"/>
        <v>30000</v>
      </c>
      <c r="J286" s="434"/>
      <c r="K286" s="136">
        <v>30000</v>
      </c>
      <c r="L286" s="132"/>
      <c r="M286" s="132"/>
      <c r="N286" s="139"/>
      <c r="O286" s="740"/>
      <c r="P286" s="45" t="s">
        <v>1019</v>
      </c>
      <c r="Q286" s="45"/>
      <c r="R286" s="45"/>
      <c r="S286" s="45"/>
      <c r="T286" s="45"/>
    </row>
    <row r="287" spans="1:20" ht="14.25" customHeight="1" x14ac:dyDescent="0.2">
      <c r="A287" s="729">
        <v>1</v>
      </c>
      <c r="B287" s="9"/>
      <c r="C287" s="118"/>
      <c r="D287" s="118"/>
      <c r="E287" s="118"/>
      <c r="F287" s="439" t="s">
        <v>713</v>
      </c>
      <c r="G287" s="137" t="s">
        <v>208</v>
      </c>
      <c r="H287" s="133" t="s">
        <v>1018</v>
      </c>
      <c r="I287" s="958">
        <f t="shared" si="15"/>
        <v>11000</v>
      </c>
      <c r="J287" s="434"/>
      <c r="K287" s="1004">
        <v>11000</v>
      </c>
      <c r="L287" s="132"/>
      <c r="M287" s="132"/>
      <c r="N287" s="139"/>
      <c r="O287" s="740"/>
      <c r="P287" s="45" t="s">
        <v>1020</v>
      </c>
      <c r="Q287" s="45"/>
      <c r="R287" s="45"/>
      <c r="S287" s="45"/>
      <c r="T287" s="45"/>
    </row>
    <row r="288" spans="1:20" ht="14.25" customHeight="1" x14ac:dyDescent="0.2">
      <c r="A288" s="729">
        <v>1</v>
      </c>
      <c r="B288" s="9"/>
      <c r="C288" s="118"/>
      <c r="D288" s="118"/>
      <c r="E288" s="118"/>
      <c r="F288" s="439" t="s">
        <v>713</v>
      </c>
      <c r="G288" s="137" t="s">
        <v>208</v>
      </c>
      <c r="H288" s="133" t="s">
        <v>1128</v>
      </c>
      <c r="I288" s="958">
        <f t="shared" si="15"/>
        <v>25000</v>
      </c>
      <c r="J288" s="434"/>
      <c r="K288" s="1004">
        <v>25000</v>
      </c>
      <c r="L288" s="132"/>
      <c r="M288" s="132"/>
      <c r="N288" s="139"/>
      <c r="O288" s="740"/>
      <c r="P288" s="62"/>
      <c r="Q288" s="6"/>
      <c r="R288" s="6"/>
      <c r="S288" s="6"/>
      <c r="T288" s="6"/>
    </row>
    <row r="289" spans="1:23" s="9" customFormat="1" ht="36.6" hidden="1" customHeight="1" x14ac:dyDescent="0.2">
      <c r="A289" s="733">
        <v>2</v>
      </c>
      <c r="B289" s="9" t="s">
        <v>608</v>
      </c>
      <c r="C289" s="383"/>
      <c r="D289" s="129"/>
      <c r="E289" s="138"/>
      <c r="F289" s="438" t="s">
        <v>704</v>
      </c>
      <c r="G289" s="137" t="s">
        <v>589</v>
      </c>
      <c r="H289" s="119" t="s">
        <v>1154</v>
      </c>
      <c r="I289" s="425">
        <f t="shared" si="15"/>
        <v>850000</v>
      </c>
      <c r="J289" s="213"/>
      <c r="K289" s="162">
        <v>850000</v>
      </c>
      <c r="L289" s="132">
        <v>0</v>
      </c>
      <c r="M289" s="162">
        <v>0</v>
      </c>
      <c r="N289" s="139"/>
      <c r="O289" s="764"/>
      <c r="P289" s="3"/>
      <c r="Q289" s="381"/>
      <c r="R289" s="120"/>
      <c r="S289" s="120"/>
      <c r="T289" s="120"/>
      <c r="U289" s="120"/>
      <c r="V289" s="120"/>
      <c r="W289" s="120"/>
    </row>
    <row r="290" spans="1:23" s="9" customFormat="1" ht="15" customHeight="1" x14ac:dyDescent="0.2">
      <c r="A290" s="733">
        <v>1</v>
      </c>
      <c r="C290" s="383"/>
      <c r="D290" s="129"/>
      <c r="E290" s="138"/>
      <c r="F290" s="439" t="s">
        <v>224</v>
      </c>
      <c r="G290" s="118" t="s">
        <v>461</v>
      </c>
      <c r="H290" s="133" t="s">
        <v>981</v>
      </c>
      <c r="I290" s="963">
        <f t="shared" si="15"/>
        <v>29177.199999999997</v>
      </c>
      <c r="J290" s="229"/>
      <c r="K290" s="162">
        <v>29177.199999999997</v>
      </c>
      <c r="L290" s="132"/>
      <c r="M290" s="162"/>
      <c r="N290" s="139"/>
      <c r="O290" s="764"/>
      <c r="P290" s="3"/>
      <c r="Q290" s="381"/>
      <c r="R290" s="120"/>
      <c r="S290" s="120"/>
      <c r="T290" s="120"/>
      <c r="U290" s="120"/>
      <c r="V290" s="120"/>
      <c r="W290" s="120"/>
    </row>
    <row r="291" spans="1:23" x14ac:dyDescent="0.2">
      <c r="A291" s="729">
        <v>1</v>
      </c>
      <c r="B291" s="9"/>
      <c r="C291" s="118"/>
      <c r="D291" s="118"/>
      <c r="E291" s="118"/>
      <c r="F291" s="439" t="s">
        <v>224</v>
      </c>
      <c r="G291" s="118" t="s">
        <v>461</v>
      </c>
      <c r="H291" s="133" t="s">
        <v>967</v>
      </c>
      <c r="I291" s="958">
        <f t="shared" si="15"/>
        <v>1680</v>
      </c>
      <c r="J291" s="406"/>
      <c r="K291" s="136">
        <v>1680</v>
      </c>
      <c r="L291" s="404"/>
      <c r="M291" s="404"/>
      <c r="N291" s="139"/>
      <c r="O291" s="769"/>
      <c r="P291" s="75"/>
    </row>
    <row r="292" spans="1:23" x14ac:dyDescent="0.2">
      <c r="A292" s="729">
        <v>1</v>
      </c>
      <c r="B292" s="9"/>
      <c r="C292" s="118"/>
      <c r="D292" s="118"/>
      <c r="E292" s="118"/>
      <c r="F292" s="439" t="s">
        <v>224</v>
      </c>
      <c r="G292" s="118" t="s">
        <v>461</v>
      </c>
      <c r="H292" s="133" t="s">
        <v>968</v>
      </c>
      <c r="I292" s="958">
        <f t="shared" si="15"/>
        <v>600</v>
      </c>
      <c r="J292" s="406"/>
      <c r="K292" s="136">
        <v>600</v>
      </c>
      <c r="L292" s="404"/>
      <c r="M292" s="404"/>
      <c r="N292" s="139"/>
      <c r="O292" s="769"/>
      <c r="P292" s="3"/>
      <c r="Q292"/>
    </row>
    <row r="293" spans="1:23" x14ac:dyDescent="0.2">
      <c r="A293" s="729">
        <v>1</v>
      </c>
      <c r="B293" s="9"/>
      <c r="C293" s="118"/>
      <c r="D293" s="118"/>
      <c r="E293" s="118"/>
      <c r="F293" s="439" t="s">
        <v>224</v>
      </c>
      <c r="G293" s="118" t="s">
        <v>461</v>
      </c>
      <c r="H293" s="133" t="s">
        <v>969</v>
      </c>
      <c r="I293" s="958">
        <f t="shared" si="15"/>
        <v>600</v>
      </c>
      <c r="J293" s="406"/>
      <c r="K293" s="136">
        <v>600</v>
      </c>
      <c r="L293" s="404"/>
      <c r="M293" s="404"/>
      <c r="N293" s="139"/>
      <c r="O293" s="769"/>
      <c r="P293" s="3"/>
    </row>
    <row r="294" spans="1:23" x14ac:dyDescent="0.2">
      <c r="A294" s="729">
        <v>1</v>
      </c>
      <c r="B294" s="9"/>
      <c r="C294" s="118"/>
      <c r="D294" s="118"/>
      <c r="E294" s="118"/>
      <c r="F294" s="439" t="s">
        <v>224</v>
      </c>
      <c r="G294" s="118" t="s">
        <v>461</v>
      </c>
      <c r="H294" s="133" t="s">
        <v>970</v>
      </c>
      <c r="I294" s="958">
        <f t="shared" si="15"/>
        <v>2150</v>
      </c>
      <c r="J294" s="406"/>
      <c r="K294" s="136">
        <v>2150</v>
      </c>
      <c r="L294" s="404"/>
      <c r="M294" s="404"/>
      <c r="N294" s="139"/>
      <c r="O294" s="769"/>
      <c r="P294" s="3"/>
    </row>
    <row r="295" spans="1:23" ht="78.75" hidden="1" x14ac:dyDescent="0.2">
      <c r="A295" s="729">
        <v>2</v>
      </c>
      <c r="B295" s="9"/>
      <c r="C295" s="118"/>
      <c r="D295" s="118"/>
      <c r="E295" s="118"/>
      <c r="F295" s="439" t="s">
        <v>224</v>
      </c>
      <c r="G295" s="118" t="s">
        <v>461</v>
      </c>
      <c r="H295" s="133" t="s">
        <v>971</v>
      </c>
      <c r="I295" s="132">
        <f t="shared" si="15"/>
        <v>4000</v>
      </c>
      <c r="J295" s="406"/>
      <c r="K295" s="136">
        <v>4000</v>
      </c>
      <c r="L295" s="404"/>
      <c r="M295" s="404"/>
      <c r="N295" s="139"/>
      <c r="O295" s="769"/>
      <c r="P295" s="214" t="s">
        <v>972</v>
      </c>
      <c r="Q295"/>
    </row>
    <row r="296" spans="1:23" ht="22.5" x14ac:dyDescent="0.2">
      <c r="A296" s="729">
        <v>1</v>
      </c>
      <c r="B296" s="9"/>
      <c r="C296" s="118"/>
      <c r="D296" s="118"/>
      <c r="E296" s="118"/>
      <c r="F296" s="439" t="s">
        <v>224</v>
      </c>
      <c r="G296" s="118" t="s">
        <v>461</v>
      </c>
      <c r="H296" s="133" t="s">
        <v>1276</v>
      </c>
      <c r="I296" s="958">
        <f t="shared" si="15"/>
        <v>10000</v>
      </c>
      <c r="J296" s="406"/>
      <c r="K296" s="832">
        <v>10000</v>
      </c>
      <c r="L296" s="404"/>
      <c r="M296" s="404"/>
      <c r="N296" s="139"/>
      <c r="O296" s="769"/>
      <c r="P296" s="62" t="s">
        <v>973</v>
      </c>
    </row>
    <row r="297" spans="1:23" s="9" customFormat="1" ht="15" customHeight="1" x14ac:dyDescent="0.2">
      <c r="A297" s="733">
        <v>1</v>
      </c>
      <c r="C297" s="383"/>
      <c r="D297" s="129"/>
      <c r="E297" s="138"/>
      <c r="F297" s="439" t="s">
        <v>225</v>
      </c>
      <c r="G297" s="118" t="s">
        <v>1123</v>
      </c>
      <c r="H297" s="133" t="s">
        <v>981</v>
      </c>
      <c r="I297" s="963">
        <f>SUM(K297:M297)</f>
        <v>13577.9</v>
      </c>
      <c r="J297" s="229"/>
      <c r="K297" s="162">
        <v>13577.9</v>
      </c>
      <c r="L297" s="132"/>
      <c r="M297" s="162"/>
      <c r="N297" s="139"/>
      <c r="O297" s="764"/>
      <c r="P297" s="3"/>
      <c r="Q297" s="381"/>
      <c r="R297" s="120"/>
      <c r="S297" s="120"/>
      <c r="T297" s="120"/>
      <c r="U297" s="120"/>
      <c r="V297" s="120"/>
      <c r="W297" s="120"/>
    </row>
    <row r="298" spans="1:23" ht="72" x14ac:dyDescent="0.2">
      <c r="A298" s="729">
        <v>1</v>
      </c>
      <c r="B298" s="9"/>
      <c r="C298" s="118"/>
      <c r="D298" s="118"/>
      <c r="E298" s="118"/>
      <c r="F298" s="439" t="s">
        <v>225</v>
      </c>
      <c r="G298" s="118" t="s">
        <v>1123</v>
      </c>
      <c r="H298" s="133" t="s">
        <v>974</v>
      </c>
      <c r="I298" s="958">
        <f t="shared" si="15"/>
        <v>7950</v>
      </c>
      <c r="J298" s="406"/>
      <c r="K298" s="136">
        <v>7950</v>
      </c>
      <c r="L298" s="404"/>
      <c r="M298" s="404"/>
      <c r="N298" s="139"/>
      <c r="O298" s="769"/>
      <c r="P298" s="62" t="s">
        <v>973</v>
      </c>
    </row>
    <row r="299" spans="1:23" hidden="1" x14ac:dyDescent="0.2">
      <c r="A299" s="729">
        <v>2</v>
      </c>
      <c r="B299" s="9"/>
      <c r="C299" s="118"/>
      <c r="D299" s="118"/>
      <c r="E299" s="118"/>
      <c r="F299" s="439" t="s">
        <v>246</v>
      </c>
      <c r="G299" s="118" t="s">
        <v>597</v>
      </c>
      <c r="H299" s="133" t="s">
        <v>1021</v>
      </c>
      <c r="I299" s="132">
        <f t="shared" si="15"/>
        <v>8889</v>
      </c>
      <c r="J299" s="434"/>
      <c r="K299" s="136">
        <v>8889</v>
      </c>
      <c r="L299" s="132"/>
      <c r="M299" s="132"/>
      <c r="N299" s="139"/>
      <c r="O299" s="740"/>
      <c r="Q299"/>
    </row>
    <row r="300" spans="1:23" ht="16.5" customHeight="1" x14ac:dyDescent="0.2">
      <c r="A300" s="729">
        <v>1</v>
      </c>
      <c r="B300" s="9"/>
      <c r="C300" s="118"/>
      <c r="D300" s="118"/>
      <c r="E300" s="118"/>
      <c r="F300" s="439" t="s">
        <v>246</v>
      </c>
      <c r="G300" s="118" t="s">
        <v>597</v>
      </c>
      <c r="H300" s="133" t="s">
        <v>1149</v>
      </c>
      <c r="I300" s="958">
        <f t="shared" si="15"/>
        <v>5700</v>
      </c>
      <c r="J300" s="406"/>
      <c r="K300" s="136">
        <f>5700</f>
        <v>5700</v>
      </c>
      <c r="L300" s="404"/>
      <c r="M300" s="404"/>
      <c r="N300" s="139"/>
      <c r="O300" s="769"/>
      <c r="Q300"/>
    </row>
    <row r="301" spans="1:23" ht="16.5" customHeight="1" x14ac:dyDescent="0.2">
      <c r="A301" s="729">
        <v>1</v>
      </c>
      <c r="B301" s="9"/>
      <c r="C301" s="118"/>
      <c r="D301" s="118"/>
      <c r="E301" s="118"/>
      <c r="F301" s="439" t="s">
        <v>246</v>
      </c>
      <c r="G301" s="118" t="s">
        <v>597</v>
      </c>
      <c r="H301" s="133" t="s">
        <v>978</v>
      </c>
      <c r="I301" s="958">
        <f t="shared" si="15"/>
        <v>1200</v>
      </c>
      <c r="J301" s="406"/>
      <c r="K301" s="136">
        <v>1200</v>
      </c>
      <c r="L301" s="404"/>
      <c r="M301" s="404"/>
      <c r="N301" s="139"/>
      <c r="O301" s="769"/>
      <c r="Q301"/>
    </row>
    <row r="302" spans="1:23" ht="16.5" customHeight="1" x14ac:dyDescent="0.2">
      <c r="A302" s="729">
        <v>1</v>
      </c>
      <c r="B302" s="9"/>
      <c r="C302" s="118"/>
      <c r="D302" s="118"/>
      <c r="E302" s="118"/>
      <c r="F302" s="439" t="s">
        <v>246</v>
      </c>
      <c r="G302" s="118" t="s">
        <v>597</v>
      </c>
      <c r="H302" s="133" t="s">
        <v>979</v>
      </c>
      <c r="I302" s="958">
        <f t="shared" si="15"/>
        <v>500</v>
      </c>
      <c r="J302" s="406"/>
      <c r="K302" s="136">
        <v>500</v>
      </c>
      <c r="L302" s="404"/>
      <c r="M302" s="404"/>
      <c r="N302" s="139"/>
      <c r="O302" s="769"/>
      <c r="Q302"/>
    </row>
    <row r="303" spans="1:23" ht="16.5" customHeight="1" x14ac:dyDescent="0.2">
      <c r="A303" s="729">
        <v>1</v>
      </c>
      <c r="B303" s="9"/>
      <c r="C303" s="118"/>
      <c r="D303" s="118"/>
      <c r="E303" s="118"/>
      <c r="F303" s="439" t="s">
        <v>246</v>
      </c>
      <c r="G303" s="118" t="s">
        <v>597</v>
      </c>
      <c r="H303" s="133" t="s">
        <v>980</v>
      </c>
      <c r="I303" s="958">
        <f t="shared" si="15"/>
        <v>1500</v>
      </c>
      <c r="J303" s="406"/>
      <c r="K303" s="136">
        <v>1500</v>
      </c>
      <c r="L303" s="404"/>
      <c r="M303" s="404"/>
      <c r="N303" s="139"/>
      <c r="O303" s="769"/>
      <c r="Q303"/>
    </row>
    <row r="304" spans="1:23" ht="16.5" customHeight="1" x14ac:dyDescent="0.2">
      <c r="A304" s="729">
        <v>1</v>
      </c>
      <c r="B304" s="9"/>
      <c r="C304" s="118"/>
      <c r="D304" s="118"/>
      <c r="E304" s="118"/>
      <c r="F304" s="439" t="s">
        <v>714</v>
      </c>
      <c r="G304" s="118" t="s">
        <v>597</v>
      </c>
      <c r="H304" s="133" t="s">
        <v>1022</v>
      </c>
      <c r="I304" s="958">
        <f t="shared" si="15"/>
        <v>8100</v>
      </c>
      <c r="J304" s="406"/>
      <c r="K304" s="136">
        <v>8100</v>
      </c>
      <c r="L304" s="404"/>
      <c r="M304" s="404"/>
      <c r="N304" s="139"/>
      <c r="O304" s="769"/>
      <c r="Q304"/>
    </row>
    <row r="305" spans="1:20" hidden="1" x14ac:dyDescent="0.2">
      <c r="A305" s="729">
        <v>3</v>
      </c>
      <c r="B305" s="9"/>
      <c r="C305" s="118"/>
      <c r="D305" s="118"/>
      <c r="E305" s="118"/>
      <c r="F305" s="439" t="s">
        <v>714</v>
      </c>
      <c r="G305" s="118" t="s">
        <v>597</v>
      </c>
      <c r="H305" s="133" t="s">
        <v>1023</v>
      </c>
      <c r="I305" s="132">
        <f t="shared" si="15"/>
        <v>20000</v>
      </c>
      <c r="J305" s="434"/>
      <c r="K305" s="132">
        <v>20000</v>
      </c>
      <c r="L305" s="132"/>
      <c r="M305" s="132"/>
      <c r="N305" s="139"/>
      <c r="O305" s="740"/>
      <c r="P305" s="113"/>
      <c r="Q305"/>
    </row>
    <row r="306" spans="1:20" x14ac:dyDescent="0.2">
      <c r="A306" s="729">
        <v>1</v>
      </c>
      <c r="B306" s="9"/>
      <c r="C306" s="118"/>
      <c r="D306" s="118"/>
      <c r="E306" s="118"/>
      <c r="F306" s="439" t="s">
        <v>335</v>
      </c>
      <c r="G306" s="137" t="s">
        <v>667</v>
      </c>
      <c r="H306" s="133" t="s">
        <v>981</v>
      </c>
      <c r="I306" s="958">
        <f t="shared" si="15"/>
        <v>30315.200000000001</v>
      </c>
      <c r="J306" s="434"/>
      <c r="K306" s="132">
        <v>30315.200000000001</v>
      </c>
      <c r="L306" s="132"/>
      <c r="M306" s="132"/>
      <c r="N306" s="139"/>
      <c r="O306" s="740"/>
      <c r="P306" s="45" t="s">
        <v>986</v>
      </c>
      <c r="Q306"/>
    </row>
    <row r="307" spans="1:20" ht="24" x14ac:dyDescent="0.2">
      <c r="A307" s="729">
        <v>1</v>
      </c>
      <c r="B307" s="9"/>
      <c r="C307" s="118"/>
      <c r="D307" s="118"/>
      <c r="E307" s="118"/>
      <c r="F307" s="439" t="s">
        <v>335</v>
      </c>
      <c r="G307" s="137" t="s">
        <v>667</v>
      </c>
      <c r="H307" s="133" t="s">
        <v>982</v>
      </c>
      <c r="I307" s="958">
        <f t="shared" si="15"/>
        <v>21096</v>
      </c>
      <c r="J307" s="434"/>
      <c r="K307" s="132">
        <v>21096</v>
      </c>
      <c r="L307" s="132"/>
      <c r="M307" s="132"/>
      <c r="N307" s="139"/>
      <c r="O307" s="740"/>
      <c r="P307" s="45" t="s">
        <v>986</v>
      </c>
      <c r="Q307"/>
    </row>
    <row r="308" spans="1:20" ht="19.899999999999999" customHeight="1" x14ac:dyDescent="0.2">
      <c r="A308" s="729">
        <v>1</v>
      </c>
      <c r="B308" s="9"/>
      <c r="C308" s="118"/>
      <c r="D308" s="118"/>
      <c r="E308" s="118"/>
      <c r="F308" s="439" t="s">
        <v>335</v>
      </c>
      <c r="G308" s="137" t="s">
        <v>667</v>
      </c>
      <c r="H308" s="133" t="s">
        <v>983</v>
      </c>
      <c r="I308" s="958">
        <f t="shared" si="15"/>
        <v>3404</v>
      </c>
      <c r="J308" s="434"/>
      <c r="K308" s="132">
        <v>3404</v>
      </c>
      <c r="L308" s="132"/>
      <c r="M308" s="132"/>
      <c r="N308" s="139"/>
      <c r="O308" s="740"/>
      <c r="P308" s="45" t="s">
        <v>986</v>
      </c>
      <c r="Q308"/>
    </row>
    <row r="309" spans="1:20" x14ac:dyDescent="0.2">
      <c r="A309" s="729">
        <v>1</v>
      </c>
      <c r="B309" s="9"/>
      <c r="C309" s="118"/>
      <c r="D309" s="118"/>
      <c r="E309" s="118"/>
      <c r="F309" s="439" t="s">
        <v>335</v>
      </c>
      <c r="G309" s="137" t="s">
        <v>667</v>
      </c>
      <c r="H309" s="133" t="s">
        <v>984</v>
      </c>
      <c r="I309" s="958">
        <f t="shared" si="15"/>
        <v>15293.600000000002</v>
      </c>
      <c r="J309" s="434"/>
      <c r="K309" s="132">
        <v>15293.600000000002</v>
      </c>
      <c r="L309" s="132"/>
      <c r="M309" s="132"/>
      <c r="N309" s="139"/>
      <c r="O309" s="740"/>
      <c r="P309" s="45" t="s">
        <v>986</v>
      </c>
    </row>
    <row r="310" spans="1:20" hidden="1" x14ac:dyDescent="0.2">
      <c r="A310" s="729">
        <v>2</v>
      </c>
      <c r="B310" s="9"/>
      <c r="C310" s="118"/>
      <c r="D310" s="118"/>
      <c r="E310" s="118"/>
      <c r="F310" s="439" t="s">
        <v>335</v>
      </c>
      <c r="G310" s="137" t="s">
        <v>667</v>
      </c>
      <c r="H310" s="133" t="s">
        <v>985</v>
      </c>
      <c r="I310" s="132">
        <f t="shared" si="15"/>
        <v>4162</v>
      </c>
      <c r="J310" s="434"/>
      <c r="K310" s="132">
        <v>4162</v>
      </c>
      <c r="L310" s="132"/>
      <c r="M310" s="132"/>
      <c r="N310" s="139"/>
      <c r="O310" s="740"/>
      <c r="P310" s="45" t="s">
        <v>986</v>
      </c>
    </row>
    <row r="311" spans="1:20" hidden="1" x14ac:dyDescent="0.2">
      <c r="A311" s="729">
        <v>2</v>
      </c>
      <c r="B311" s="9"/>
      <c r="C311" s="118"/>
      <c r="D311" s="118"/>
      <c r="E311" s="118"/>
      <c r="F311" s="439" t="s">
        <v>335</v>
      </c>
      <c r="G311" s="137" t="s">
        <v>667</v>
      </c>
      <c r="H311" s="133" t="s">
        <v>1024</v>
      </c>
      <c r="I311" s="132">
        <f t="shared" si="15"/>
        <v>7000</v>
      </c>
      <c r="J311" s="434"/>
      <c r="K311" s="132">
        <v>7000</v>
      </c>
      <c r="L311" s="132"/>
      <c r="M311" s="132"/>
      <c r="N311" s="139"/>
      <c r="O311" s="740"/>
      <c r="P311" s="45" t="s">
        <v>987</v>
      </c>
    </row>
    <row r="312" spans="1:20" ht="10.5" customHeight="1" x14ac:dyDescent="0.2">
      <c r="A312" s="729">
        <v>1</v>
      </c>
      <c r="B312" s="9"/>
      <c r="C312" s="118"/>
      <c r="D312" s="118"/>
      <c r="E312" s="118"/>
      <c r="F312" s="439" t="s">
        <v>335</v>
      </c>
      <c r="G312" s="137" t="s">
        <v>667</v>
      </c>
      <c r="H312" s="133" t="s">
        <v>988</v>
      </c>
      <c r="I312" s="958">
        <f t="shared" si="15"/>
        <v>32618</v>
      </c>
      <c r="J312" s="434"/>
      <c r="K312" s="132">
        <v>32618</v>
      </c>
      <c r="L312" s="132"/>
      <c r="M312" s="132"/>
      <c r="N312" s="139"/>
      <c r="O312" s="740"/>
      <c r="P312" s="2" t="s">
        <v>986</v>
      </c>
      <c r="Q312"/>
    </row>
    <row r="313" spans="1:20" ht="10.5" customHeight="1" x14ac:dyDescent="0.2">
      <c r="A313" s="729">
        <v>1</v>
      </c>
      <c r="B313" s="9"/>
      <c r="C313" s="118"/>
      <c r="D313" s="118"/>
      <c r="E313" s="118"/>
      <c r="F313" s="439" t="s">
        <v>335</v>
      </c>
      <c r="G313" s="137" t="s">
        <v>667</v>
      </c>
      <c r="H313" s="133" t="s">
        <v>989</v>
      </c>
      <c r="I313" s="958">
        <f t="shared" si="15"/>
        <v>5465</v>
      </c>
      <c r="J313" s="434"/>
      <c r="K313" s="132">
        <v>5465</v>
      </c>
      <c r="L313" s="132"/>
      <c r="M313" s="132"/>
      <c r="N313" s="139"/>
      <c r="O313" s="740"/>
      <c r="P313" s="2" t="s">
        <v>986</v>
      </c>
      <c r="Q313"/>
    </row>
    <row r="314" spans="1:20" ht="10.5" hidden="1" customHeight="1" x14ac:dyDescent="0.2">
      <c r="A314" s="729">
        <v>3</v>
      </c>
      <c r="B314" s="9"/>
      <c r="C314" s="118"/>
      <c r="D314" s="118"/>
      <c r="E314" s="118"/>
      <c r="F314" s="439" t="s">
        <v>335</v>
      </c>
      <c r="G314" s="137" t="s">
        <v>667</v>
      </c>
      <c r="H314" s="133" t="s">
        <v>990</v>
      </c>
      <c r="I314" s="132">
        <f t="shared" si="15"/>
        <v>10916</v>
      </c>
      <c r="J314" s="434"/>
      <c r="K314" s="132">
        <v>10916</v>
      </c>
      <c r="L314" s="132"/>
      <c r="M314" s="132"/>
      <c r="N314" s="139"/>
      <c r="O314" s="740"/>
      <c r="P314" s="2" t="s">
        <v>986</v>
      </c>
      <c r="Q314"/>
    </row>
    <row r="315" spans="1:20" ht="10.5" hidden="1" customHeight="1" x14ac:dyDescent="0.2">
      <c r="A315" s="729">
        <v>3</v>
      </c>
      <c r="B315" s="9"/>
      <c r="C315" s="118"/>
      <c r="D315" s="118"/>
      <c r="E315" s="118"/>
      <c r="F315" s="439" t="s">
        <v>335</v>
      </c>
      <c r="G315" s="137" t="s">
        <v>667</v>
      </c>
      <c r="H315" s="133" t="s">
        <v>991</v>
      </c>
      <c r="I315" s="132">
        <f t="shared" si="15"/>
        <v>15947</v>
      </c>
      <c r="J315" s="434"/>
      <c r="K315" s="132">
        <v>15947</v>
      </c>
      <c r="L315" s="132"/>
      <c r="M315" s="132"/>
      <c r="N315" s="139"/>
      <c r="O315" s="740"/>
      <c r="P315" s="2" t="s">
        <v>986</v>
      </c>
      <c r="Q315"/>
    </row>
    <row r="316" spans="1:20" ht="10.5" hidden="1" customHeight="1" x14ac:dyDescent="0.2">
      <c r="A316" s="729">
        <v>2</v>
      </c>
      <c r="B316" s="9"/>
      <c r="C316" s="118"/>
      <c r="D316" s="118"/>
      <c r="E316" s="118"/>
      <c r="F316" s="439" t="s">
        <v>335</v>
      </c>
      <c r="G316" s="137" t="s">
        <v>667</v>
      </c>
      <c r="H316" s="133" t="s">
        <v>992</v>
      </c>
      <c r="I316" s="132">
        <f t="shared" si="15"/>
        <v>1200</v>
      </c>
      <c r="J316" s="434"/>
      <c r="K316" s="132">
        <v>1200</v>
      </c>
      <c r="L316" s="132"/>
      <c r="M316" s="132"/>
      <c r="N316" s="139"/>
      <c r="O316" s="740"/>
      <c r="P316" s="2" t="s">
        <v>986</v>
      </c>
      <c r="Q316"/>
    </row>
    <row r="317" spans="1:20" ht="10.5" customHeight="1" x14ac:dyDescent="0.2">
      <c r="A317" s="729">
        <v>1</v>
      </c>
      <c r="B317" s="9"/>
      <c r="C317" s="118"/>
      <c r="D317" s="118"/>
      <c r="E317" s="118"/>
      <c r="F317" s="439" t="s">
        <v>335</v>
      </c>
      <c r="G317" s="137" t="s">
        <v>667</v>
      </c>
      <c r="H317" s="133" t="s">
        <v>1366</v>
      </c>
      <c r="I317" s="958">
        <f t="shared" si="15"/>
        <v>50000</v>
      </c>
      <c r="J317" s="434"/>
      <c r="K317" s="946">
        <v>50000</v>
      </c>
      <c r="L317" s="132"/>
      <c r="M317" s="132"/>
      <c r="N317" s="139"/>
      <c r="O317" s="740"/>
      <c r="P317" s="2"/>
      <c r="Q317"/>
    </row>
    <row r="318" spans="1:20" ht="10.5" customHeight="1" x14ac:dyDescent="0.2">
      <c r="A318" s="729">
        <v>1</v>
      </c>
      <c r="B318" s="9"/>
      <c r="C318" s="118"/>
      <c r="D318" s="118"/>
      <c r="E318" s="118"/>
      <c r="F318" s="439" t="s">
        <v>1124</v>
      </c>
      <c r="G318" s="137" t="s">
        <v>1125</v>
      </c>
      <c r="H318" s="133" t="s">
        <v>895</v>
      </c>
      <c r="I318" s="958">
        <f t="shared" si="15"/>
        <v>6500</v>
      </c>
      <c r="J318" s="434"/>
      <c r="K318" s="132">
        <v>6500</v>
      </c>
      <c r="L318" s="132"/>
      <c r="M318" s="132"/>
      <c r="N318" s="139"/>
      <c r="O318" s="740"/>
      <c r="P318" s="2" t="s">
        <v>896</v>
      </c>
      <c r="Q318"/>
    </row>
    <row r="319" spans="1:20" x14ac:dyDescent="0.2">
      <c r="B319" s="9"/>
      <c r="C319" s="123"/>
      <c r="D319" s="123"/>
      <c r="E319" s="123"/>
      <c r="F319" s="180"/>
      <c r="G319" s="180"/>
      <c r="H319" s="124" t="s">
        <v>464</v>
      </c>
      <c r="I319" s="957"/>
      <c r="J319" s="374"/>
      <c r="K319" s="687"/>
      <c r="L319" s="241"/>
      <c r="M319" s="241"/>
      <c r="N319" s="139"/>
      <c r="O319" s="740"/>
      <c r="Q319"/>
    </row>
    <row r="320" spans="1:20" s="9" customFormat="1" ht="12.75" thickBot="1" x14ac:dyDescent="0.25">
      <c r="A320" s="729">
        <v>1</v>
      </c>
      <c r="C320" s="384"/>
      <c r="D320" s="384"/>
      <c r="E320" s="384"/>
      <c r="F320" s="384" t="s">
        <v>1376</v>
      </c>
      <c r="G320" s="384" t="s">
        <v>719</v>
      </c>
      <c r="H320" s="635" t="s">
        <v>1025</v>
      </c>
      <c r="I320" s="1006">
        <f t="shared" ref="I320:I362" si="16">SUM(K320:M320)</f>
        <v>50000</v>
      </c>
      <c r="J320" s="637"/>
      <c r="K320" s="636">
        <v>50000</v>
      </c>
      <c r="L320" s="416"/>
      <c r="M320" s="416"/>
      <c r="N320" s="139"/>
      <c r="O320" s="770"/>
      <c r="P320" s="2"/>
      <c r="T320"/>
    </row>
    <row r="321" spans="1:20" s="9" customFormat="1" ht="24.75" thickTop="1" x14ac:dyDescent="0.2">
      <c r="A321" s="733">
        <v>1</v>
      </c>
      <c r="C321" s="639"/>
      <c r="D321" s="639"/>
      <c r="E321" s="639"/>
      <c r="F321" s="639" t="s">
        <v>1376</v>
      </c>
      <c r="G321" s="639" t="s">
        <v>1026</v>
      </c>
      <c r="H321" s="640" t="s">
        <v>1252</v>
      </c>
      <c r="I321" s="1007">
        <f t="shared" si="16"/>
        <v>31400</v>
      </c>
      <c r="J321" s="642"/>
      <c r="K321" s="641">
        <v>31400</v>
      </c>
      <c r="L321" s="643"/>
      <c r="M321" s="643"/>
      <c r="N321" s="139"/>
      <c r="O321" s="770"/>
      <c r="P321" s="2" t="s">
        <v>1188</v>
      </c>
      <c r="T321"/>
    </row>
    <row r="322" spans="1:20" s="9" customFormat="1" ht="24.75" thickBot="1" x14ac:dyDescent="0.25">
      <c r="A322" s="733">
        <v>1</v>
      </c>
      <c r="C322" s="386"/>
      <c r="D322" s="386"/>
      <c r="E322" s="386"/>
      <c r="F322" s="386" t="s">
        <v>1376</v>
      </c>
      <c r="G322" s="386" t="s">
        <v>1026</v>
      </c>
      <c r="H322" s="638" t="s">
        <v>1253</v>
      </c>
      <c r="I322" s="1008">
        <f t="shared" si="16"/>
        <v>8300</v>
      </c>
      <c r="J322" s="428"/>
      <c r="K322" s="431">
        <v>8300</v>
      </c>
      <c r="L322" s="415"/>
      <c r="M322" s="415"/>
      <c r="N322" s="139"/>
      <c r="O322" s="770"/>
      <c r="P322" s="2" t="s">
        <v>1189</v>
      </c>
      <c r="T322"/>
    </row>
    <row r="323" spans="1:20" s="9" customFormat="1" ht="24.75" thickTop="1" x14ac:dyDescent="0.2">
      <c r="A323" s="733">
        <v>1</v>
      </c>
      <c r="C323" s="270"/>
      <c r="D323" s="270"/>
      <c r="E323" s="270"/>
      <c r="F323" s="270" t="s">
        <v>1378</v>
      </c>
      <c r="G323" s="270" t="s">
        <v>720</v>
      </c>
      <c r="H323" s="737" t="s">
        <v>1155</v>
      </c>
      <c r="I323" s="1011">
        <f t="shared" si="16"/>
        <v>50000</v>
      </c>
      <c r="J323" s="430"/>
      <c r="K323" s="275">
        <v>50000</v>
      </c>
      <c r="L323" s="400"/>
      <c r="M323" s="400"/>
      <c r="N323" s="139"/>
      <c r="O323" s="768"/>
      <c r="P323" s="2"/>
      <c r="T323"/>
    </row>
    <row r="324" spans="1:20" s="9" customFormat="1" x14ac:dyDescent="0.2">
      <c r="A324" s="733">
        <v>1</v>
      </c>
      <c r="C324" s="270"/>
      <c r="D324" s="270"/>
      <c r="E324" s="270"/>
      <c r="F324" s="270" t="s">
        <v>1378</v>
      </c>
      <c r="G324" s="270" t="s">
        <v>720</v>
      </c>
      <c r="H324" s="737" t="s">
        <v>1027</v>
      </c>
      <c r="I324" s="1011">
        <f t="shared" si="16"/>
        <v>195000</v>
      </c>
      <c r="J324" s="430"/>
      <c r="K324" s="136">
        <f>195000</f>
        <v>195000</v>
      </c>
      <c r="L324" s="400"/>
      <c r="M324" s="400"/>
      <c r="N324" s="139"/>
      <c r="O324" s="768"/>
      <c r="P324" s="2" t="s">
        <v>1156</v>
      </c>
      <c r="T324"/>
    </row>
    <row r="325" spans="1:20" s="9" customFormat="1" ht="24" x14ac:dyDescent="0.2">
      <c r="A325" s="733">
        <v>1</v>
      </c>
      <c r="C325" s="137"/>
      <c r="D325" s="137"/>
      <c r="E325" s="137"/>
      <c r="F325" s="137" t="s">
        <v>1378</v>
      </c>
      <c r="G325" s="137" t="s">
        <v>720</v>
      </c>
      <c r="H325" s="133" t="s">
        <v>1028</v>
      </c>
      <c r="I325" s="977">
        <f t="shared" si="16"/>
        <v>90000</v>
      </c>
      <c r="J325" s="434"/>
      <c r="K325" s="136">
        <v>90000</v>
      </c>
      <c r="L325" s="399"/>
      <c r="M325" s="399"/>
      <c r="N325" s="139"/>
      <c r="O325" s="768"/>
      <c r="P325" s="2"/>
      <c r="T325"/>
    </row>
    <row r="326" spans="1:20" s="9" customFormat="1" ht="24" hidden="1" x14ac:dyDescent="0.2">
      <c r="A326" s="733">
        <v>2</v>
      </c>
      <c r="C326" s="667"/>
      <c r="D326" s="667"/>
      <c r="E326" s="667"/>
      <c r="F326" s="667" t="s">
        <v>1378</v>
      </c>
      <c r="G326" s="667" t="s">
        <v>720</v>
      </c>
      <c r="H326" s="668" t="s">
        <v>1029</v>
      </c>
      <c r="I326" s="670">
        <f t="shared" si="16"/>
        <v>142500</v>
      </c>
      <c r="J326" s="669"/>
      <c r="K326" s="670">
        <v>142500</v>
      </c>
      <c r="L326" s="671"/>
      <c r="M326" s="671"/>
      <c r="N326" s="139"/>
      <c r="O326" s="768"/>
      <c r="P326" s="2"/>
      <c r="T326"/>
    </row>
    <row r="327" spans="1:20" s="9" customFormat="1" ht="24" hidden="1" x14ac:dyDescent="0.2">
      <c r="A327" s="733">
        <v>2</v>
      </c>
      <c r="C327" s="672"/>
      <c r="D327" s="672"/>
      <c r="E327" s="672"/>
      <c r="F327" s="672" t="s">
        <v>1378</v>
      </c>
      <c r="G327" s="672" t="s">
        <v>720</v>
      </c>
      <c r="H327" s="673" t="s">
        <v>1030</v>
      </c>
      <c r="I327" s="675">
        <f t="shared" si="16"/>
        <v>120000</v>
      </c>
      <c r="J327" s="674"/>
      <c r="K327" s="675">
        <v>120000</v>
      </c>
      <c r="L327" s="676"/>
      <c r="M327" s="676"/>
      <c r="N327" s="139"/>
      <c r="O327" s="768"/>
      <c r="P327" s="2"/>
      <c r="T327"/>
    </row>
    <row r="328" spans="1:20" s="9" customFormat="1" ht="24" hidden="1" x14ac:dyDescent="0.2">
      <c r="A328" s="733">
        <v>2</v>
      </c>
      <c r="C328" s="270"/>
      <c r="D328" s="270"/>
      <c r="E328" s="270"/>
      <c r="F328" s="270" t="s">
        <v>1378</v>
      </c>
      <c r="G328" s="270" t="s">
        <v>720</v>
      </c>
      <c r="H328" s="232" t="s">
        <v>1190</v>
      </c>
      <c r="I328" s="275">
        <f t="shared" si="16"/>
        <v>240000</v>
      </c>
      <c r="J328" s="430"/>
      <c r="K328" s="275">
        <v>240000</v>
      </c>
      <c r="L328" s="400"/>
      <c r="M328" s="400"/>
      <c r="N328" s="139"/>
      <c r="O328" s="768"/>
      <c r="P328" s="2"/>
      <c r="T328"/>
    </row>
    <row r="329" spans="1:20" s="9" customFormat="1" ht="24" hidden="1" x14ac:dyDescent="0.2">
      <c r="A329" s="733">
        <v>2</v>
      </c>
      <c r="C329" s="137"/>
      <c r="D329" s="137"/>
      <c r="E329" s="137"/>
      <c r="F329" s="137" t="s">
        <v>1378</v>
      </c>
      <c r="G329" s="137" t="s">
        <v>720</v>
      </c>
      <c r="H329" s="133" t="s">
        <v>1031</v>
      </c>
      <c r="I329" s="136">
        <f t="shared" si="16"/>
        <v>85000</v>
      </c>
      <c r="J329" s="434"/>
      <c r="K329" s="136">
        <v>85000</v>
      </c>
      <c r="L329" s="399"/>
      <c r="M329" s="399"/>
      <c r="N329" s="139"/>
      <c r="O329" s="768"/>
      <c r="P329" s="2"/>
      <c r="T329"/>
    </row>
    <row r="330" spans="1:20" s="9" customFormat="1" ht="24" hidden="1" x14ac:dyDescent="0.2">
      <c r="A330" s="733">
        <v>2</v>
      </c>
      <c r="C330" s="667"/>
      <c r="D330" s="667"/>
      <c r="E330" s="667"/>
      <c r="F330" s="667" t="s">
        <v>1378</v>
      </c>
      <c r="G330" s="667" t="s">
        <v>720</v>
      </c>
      <c r="H330" s="668" t="s">
        <v>1032</v>
      </c>
      <c r="I330" s="670">
        <f t="shared" si="16"/>
        <v>35000</v>
      </c>
      <c r="J330" s="669"/>
      <c r="K330" s="670">
        <v>35000</v>
      </c>
      <c r="L330" s="671"/>
      <c r="M330" s="671"/>
      <c r="N330" s="139"/>
      <c r="O330" s="768"/>
      <c r="P330" s="2"/>
      <c r="T330"/>
    </row>
    <row r="331" spans="1:20" s="9" customFormat="1" ht="24" hidden="1" x14ac:dyDescent="0.2">
      <c r="A331" s="733">
        <v>2</v>
      </c>
      <c r="C331" s="749"/>
      <c r="D331" s="749"/>
      <c r="E331" s="749"/>
      <c r="F331" s="749" t="s">
        <v>1378</v>
      </c>
      <c r="G331" s="749" t="s">
        <v>720</v>
      </c>
      <c r="H331" s="750" t="s">
        <v>1033</v>
      </c>
      <c r="I331" s="804">
        <f t="shared" si="16"/>
        <v>25000</v>
      </c>
      <c r="J331" s="674"/>
      <c r="K331" s="804">
        <v>25000</v>
      </c>
      <c r="L331" s="805"/>
      <c r="M331" s="805"/>
      <c r="N331" s="139"/>
      <c r="O331" s="768"/>
      <c r="P331" s="2"/>
      <c r="T331"/>
    </row>
    <row r="332" spans="1:20" s="9" customFormat="1" ht="24" x14ac:dyDescent="0.2">
      <c r="A332" s="733">
        <v>1</v>
      </c>
      <c r="C332" s="667"/>
      <c r="D332" s="667"/>
      <c r="E332" s="667"/>
      <c r="F332" s="749" t="s">
        <v>1378</v>
      </c>
      <c r="G332" s="749" t="s">
        <v>720</v>
      </c>
      <c r="H332" s="668" t="s">
        <v>1191</v>
      </c>
      <c r="I332" s="991">
        <f t="shared" si="16"/>
        <v>2833</v>
      </c>
      <c r="J332" s="669"/>
      <c r="K332" s="670">
        <v>2833</v>
      </c>
      <c r="L332" s="671"/>
      <c r="M332" s="671"/>
      <c r="N332" s="139"/>
      <c r="O332" s="768" t="s">
        <v>1192</v>
      </c>
      <c r="P332" s="2"/>
      <c r="T332"/>
    </row>
    <row r="333" spans="1:20" s="9" customFormat="1" ht="24" x14ac:dyDescent="0.2">
      <c r="A333" s="733">
        <v>1</v>
      </c>
      <c r="C333" s="667"/>
      <c r="D333" s="667"/>
      <c r="E333" s="667"/>
      <c r="F333" s="749" t="s">
        <v>1378</v>
      </c>
      <c r="G333" s="749" t="s">
        <v>720</v>
      </c>
      <c r="H333" s="668" t="s">
        <v>728</v>
      </c>
      <c r="I333" s="991">
        <f t="shared" si="16"/>
        <v>4000</v>
      </c>
      <c r="J333" s="669"/>
      <c r="K333" s="670">
        <v>4000</v>
      </c>
      <c r="L333" s="671"/>
      <c r="M333" s="671"/>
      <c r="N333" s="139"/>
      <c r="O333" s="768" t="s">
        <v>1193</v>
      </c>
      <c r="P333" s="2"/>
      <c r="T333"/>
    </row>
    <row r="334" spans="1:20" s="9" customFormat="1" ht="15" hidden="1" customHeight="1" x14ac:dyDescent="0.2">
      <c r="A334" s="733">
        <v>2</v>
      </c>
      <c r="C334" s="749"/>
      <c r="D334" s="749"/>
      <c r="E334" s="749"/>
      <c r="F334" s="749" t="s">
        <v>1378</v>
      </c>
      <c r="G334" s="749" t="s">
        <v>720</v>
      </c>
      <c r="H334" s="750" t="s">
        <v>1034</v>
      </c>
      <c r="I334" s="804">
        <f>SUM(K334:M334)</f>
        <v>8000</v>
      </c>
      <c r="J334" s="674"/>
      <c r="K334" s="804">
        <v>8000</v>
      </c>
      <c r="L334" s="805"/>
      <c r="M334" s="805"/>
      <c r="N334" s="139"/>
      <c r="O334" s="768"/>
      <c r="P334" s="2"/>
      <c r="T334"/>
    </row>
    <row r="335" spans="1:20" s="9" customFormat="1" ht="15" customHeight="1" x14ac:dyDescent="0.2">
      <c r="A335" s="733">
        <v>1</v>
      </c>
      <c r="C335" s="667"/>
      <c r="D335" s="667"/>
      <c r="E335" s="667"/>
      <c r="F335" s="749" t="s">
        <v>1378</v>
      </c>
      <c r="G335" s="749" t="s">
        <v>720</v>
      </c>
      <c r="H335" s="668" t="s">
        <v>1300</v>
      </c>
      <c r="I335" s="1012">
        <f>SUM(K335:M335)</f>
        <v>15000</v>
      </c>
      <c r="J335" s="669"/>
      <c r="K335" s="927">
        <v>15000</v>
      </c>
      <c r="L335" s="671"/>
      <c r="M335" s="671"/>
      <c r="N335" s="139"/>
      <c r="O335" s="837" t="s">
        <v>1285</v>
      </c>
      <c r="P335" s="2"/>
      <c r="T335"/>
    </row>
    <row r="336" spans="1:20" s="9" customFormat="1" ht="13.9" customHeight="1" x14ac:dyDescent="0.2">
      <c r="A336" s="916">
        <v>1</v>
      </c>
      <c r="C336" s="749"/>
      <c r="D336" s="749"/>
      <c r="E336" s="749"/>
      <c r="F336" s="749" t="s">
        <v>1378</v>
      </c>
      <c r="G336" s="749" t="s">
        <v>720</v>
      </c>
      <c r="H336" s="750" t="s">
        <v>1037</v>
      </c>
      <c r="I336" s="1013">
        <f>SUM(K336:M336)</f>
        <v>0</v>
      </c>
      <c r="J336" s="996"/>
      <c r="K336" s="997">
        <f>113000-113000</f>
        <v>0</v>
      </c>
      <c r="L336" s="998"/>
      <c r="M336" s="998"/>
      <c r="N336" s="139"/>
      <c r="O336" s="837" t="s">
        <v>1287</v>
      </c>
      <c r="P336" s="2"/>
      <c r="T336"/>
    </row>
    <row r="337" spans="1:20" s="9" customFormat="1" ht="13.9" customHeight="1" thickBot="1" x14ac:dyDescent="0.25">
      <c r="A337" s="916">
        <v>1</v>
      </c>
      <c r="C337" s="384"/>
      <c r="D337" s="384"/>
      <c r="E337" s="384"/>
      <c r="F337" s="384" t="s">
        <v>1378</v>
      </c>
      <c r="G337" s="384" t="s">
        <v>720</v>
      </c>
      <c r="H337" s="635" t="s">
        <v>1354</v>
      </c>
      <c r="I337" s="1006">
        <f>SUM(K337:M337)</f>
        <v>160000</v>
      </c>
      <c r="J337" s="894"/>
      <c r="K337" s="918">
        <f>100000+60000</f>
        <v>160000</v>
      </c>
      <c r="L337" s="416"/>
      <c r="M337" s="416"/>
      <c r="N337" s="139"/>
      <c r="O337" s="837"/>
      <c r="P337" s="2"/>
      <c r="T337"/>
    </row>
    <row r="338" spans="1:20" s="9" customFormat="1" ht="24.75" thickTop="1" x14ac:dyDescent="0.2">
      <c r="A338" s="733">
        <v>1</v>
      </c>
      <c r="C338" s="270"/>
      <c r="D338" s="270"/>
      <c r="E338" s="270"/>
      <c r="F338" s="270" t="s">
        <v>1376</v>
      </c>
      <c r="G338" s="270" t="s">
        <v>721</v>
      </c>
      <c r="H338" s="232" t="s">
        <v>1036</v>
      </c>
      <c r="I338" s="1009">
        <f t="shared" si="16"/>
        <v>30000</v>
      </c>
      <c r="J338" s="376"/>
      <c r="K338" s="233">
        <v>30000</v>
      </c>
      <c r="L338" s="417"/>
      <c r="M338" s="417"/>
      <c r="N338" s="139"/>
      <c r="O338" s="770"/>
      <c r="P338" s="2"/>
      <c r="T338"/>
    </row>
    <row r="339" spans="1:20" s="9" customFormat="1" ht="24.6" hidden="1" customHeight="1" x14ac:dyDescent="0.2">
      <c r="A339" s="733">
        <v>2</v>
      </c>
      <c r="C339" s="137"/>
      <c r="D339" s="137"/>
      <c r="E339" s="137"/>
      <c r="F339" s="137" t="s">
        <v>1376</v>
      </c>
      <c r="G339" s="118" t="s">
        <v>721</v>
      </c>
      <c r="H339" s="133" t="s">
        <v>1169</v>
      </c>
      <c r="I339" s="132">
        <f>K339</f>
        <v>22000</v>
      </c>
      <c r="J339" s="418"/>
      <c r="K339" s="132">
        <v>22000</v>
      </c>
      <c r="L339" s="267"/>
      <c r="M339" s="267"/>
      <c r="N339" s="139"/>
      <c r="O339" s="770"/>
      <c r="P339" s="2"/>
      <c r="T339"/>
    </row>
    <row r="340" spans="1:20" s="9" customFormat="1" ht="15.75" customHeight="1" x14ac:dyDescent="0.2">
      <c r="A340" s="733">
        <v>1</v>
      </c>
      <c r="C340" s="137"/>
      <c r="D340" s="137"/>
      <c r="E340" s="137"/>
      <c r="F340" s="137" t="s">
        <v>1376</v>
      </c>
      <c r="G340" s="118" t="s">
        <v>721</v>
      </c>
      <c r="H340" s="133" t="s">
        <v>1170</v>
      </c>
      <c r="I340" s="1010">
        <f>K340</f>
        <v>22000</v>
      </c>
      <c r="J340" s="418"/>
      <c r="K340" s="132">
        <v>22000</v>
      </c>
      <c r="L340" s="267"/>
      <c r="M340" s="267"/>
      <c r="N340" s="139"/>
      <c r="O340" s="770"/>
      <c r="P340" s="2"/>
      <c r="T340"/>
    </row>
    <row r="341" spans="1:20" s="9" customFormat="1" x14ac:dyDescent="0.2">
      <c r="A341" s="733">
        <v>1</v>
      </c>
      <c r="C341" s="137"/>
      <c r="D341" s="137"/>
      <c r="E341" s="137"/>
      <c r="F341" s="137" t="s">
        <v>1376</v>
      </c>
      <c r="G341" s="118" t="s">
        <v>721</v>
      </c>
      <c r="H341" s="133" t="s">
        <v>1038</v>
      </c>
      <c r="I341" s="1010">
        <f t="shared" ref="I341:I346" si="17">K341</f>
        <v>15000</v>
      </c>
      <c r="J341" s="418"/>
      <c r="K341" s="132">
        <v>15000</v>
      </c>
      <c r="L341" s="267"/>
      <c r="M341" s="267"/>
      <c r="N341" s="139"/>
      <c r="O341" s="770"/>
      <c r="P341" s="2"/>
      <c r="T341"/>
    </row>
    <row r="342" spans="1:20" s="9" customFormat="1" x14ac:dyDescent="0.2">
      <c r="A342" s="733">
        <v>1</v>
      </c>
      <c r="C342" s="137"/>
      <c r="D342" s="137"/>
      <c r="E342" s="137"/>
      <c r="F342" s="137" t="s">
        <v>1376</v>
      </c>
      <c r="G342" s="118" t="s">
        <v>721</v>
      </c>
      <c r="H342" s="133" t="s">
        <v>1195</v>
      </c>
      <c r="I342" s="1010">
        <f>K342</f>
        <v>15000</v>
      </c>
      <c r="J342" s="418"/>
      <c r="K342" s="132">
        <v>15000</v>
      </c>
      <c r="L342" s="267"/>
      <c r="M342" s="267"/>
      <c r="N342" s="139"/>
      <c r="O342" s="770"/>
      <c r="P342" s="2"/>
      <c r="T342"/>
    </row>
    <row r="343" spans="1:20" s="9" customFormat="1" x14ac:dyDescent="0.2">
      <c r="A343" s="733">
        <v>1</v>
      </c>
      <c r="C343" s="137"/>
      <c r="D343" s="137"/>
      <c r="E343" s="137"/>
      <c r="F343" s="137" t="s">
        <v>1376</v>
      </c>
      <c r="G343" s="118" t="s">
        <v>721</v>
      </c>
      <c r="H343" s="133" t="s">
        <v>1196</v>
      </c>
      <c r="I343" s="1010">
        <f>K343</f>
        <v>4400</v>
      </c>
      <c r="J343" s="418"/>
      <c r="K343" s="132">
        <v>4400</v>
      </c>
      <c r="L343" s="267"/>
      <c r="M343" s="267"/>
      <c r="N343" s="139"/>
      <c r="O343" s="770"/>
      <c r="P343" s="2"/>
      <c r="T343"/>
    </row>
    <row r="344" spans="1:20" s="9" customFormat="1" hidden="1" x14ac:dyDescent="0.2">
      <c r="A344" s="733">
        <v>2</v>
      </c>
      <c r="C344" s="137"/>
      <c r="D344" s="137"/>
      <c r="E344" s="137"/>
      <c r="F344" s="137" t="s">
        <v>1376</v>
      </c>
      <c r="G344" s="118" t="s">
        <v>721</v>
      </c>
      <c r="H344" s="133" t="s">
        <v>1039</v>
      </c>
      <c r="I344" s="132">
        <f t="shared" si="17"/>
        <v>30000</v>
      </c>
      <c r="J344" s="418"/>
      <c r="K344" s="132">
        <v>30000</v>
      </c>
      <c r="L344" s="267"/>
      <c r="M344" s="267"/>
      <c r="N344" s="139"/>
      <c r="O344" s="770"/>
      <c r="P344" s="2"/>
      <c r="T344"/>
    </row>
    <row r="345" spans="1:20" s="9" customFormat="1" hidden="1" x14ac:dyDescent="0.2">
      <c r="A345" s="733">
        <v>2</v>
      </c>
      <c r="C345" s="137">
        <v>1</v>
      </c>
      <c r="D345" s="137"/>
      <c r="E345" s="137"/>
      <c r="F345" s="137" t="s">
        <v>1376</v>
      </c>
      <c r="G345" s="118" t="s">
        <v>721</v>
      </c>
      <c r="H345" s="133" t="s">
        <v>1040</v>
      </c>
      <c r="I345" s="132">
        <f t="shared" si="17"/>
        <v>50000</v>
      </c>
      <c r="J345" s="418"/>
      <c r="K345" s="132">
        <v>50000</v>
      </c>
      <c r="L345" s="267"/>
      <c r="M345" s="267"/>
      <c r="N345" s="139"/>
      <c r="O345" s="770"/>
      <c r="P345" s="2"/>
      <c r="T345"/>
    </row>
    <row r="346" spans="1:20" s="9" customFormat="1" ht="24" x14ac:dyDescent="0.2">
      <c r="A346" s="733">
        <v>1</v>
      </c>
      <c r="C346" s="137"/>
      <c r="D346" s="137"/>
      <c r="E346" s="137"/>
      <c r="F346" s="137" t="s">
        <v>1376</v>
      </c>
      <c r="G346" s="118" t="s">
        <v>721</v>
      </c>
      <c r="H346" s="133" t="s">
        <v>1041</v>
      </c>
      <c r="I346" s="1010">
        <f t="shared" si="17"/>
        <v>40000</v>
      </c>
      <c r="J346" s="418"/>
      <c r="K346" s="132">
        <v>40000</v>
      </c>
      <c r="L346" s="267"/>
      <c r="M346" s="267"/>
      <c r="N346" s="139"/>
      <c r="O346" s="770"/>
      <c r="P346" s="2"/>
      <c r="T346"/>
    </row>
    <row r="347" spans="1:20" s="9" customFormat="1" ht="24" hidden="1" x14ac:dyDescent="0.2">
      <c r="A347" s="733">
        <v>2</v>
      </c>
      <c r="C347" s="137"/>
      <c r="D347" s="137"/>
      <c r="E347" s="137"/>
      <c r="F347" s="137" t="s">
        <v>1376</v>
      </c>
      <c r="G347" s="118" t="s">
        <v>721</v>
      </c>
      <c r="H347" s="133" t="s">
        <v>1042</v>
      </c>
      <c r="I347" s="132">
        <f t="shared" si="16"/>
        <v>30000</v>
      </c>
      <c r="J347" s="418"/>
      <c r="K347" s="132">
        <v>30000</v>
      </c>
      <c r="L347" s="267"/>
      <c r="M347" s="267"/>
      <c r="N347" s="139"/>
      <c r="O347" s="770"/>
      <c r="P347" s="2"/>
      <c r="T347"/>
    </row>
    <row r="348" spans="1:20" s="9" customFormat="1" hidden="1" x14ac:dyDescent="0.2">
      <c r="A348" s="733">
        <v>2</v>
      </c>
      <c r="C348" s="137">
        <v>1</v>
      </c>
      <c r="D348" s="137"/>
      <c r="E348" s="137"/>
      <c r="F348" s="137" t="s">
        <v>1376</v>
      </c>
      <c r="G348" s="118" t="s">
        <v>721</v>
      </c>
      <c r="H348" s="133" t="s">
        <v>1043</v>
      </c>
      <c r="I348" s="132">
        <f t="shared" si="16"/>
        <v>16000</v>
      </c>
      <c r="J348" s="418"/>
      <c r="K348" s="132">
        <v>16000</v>
      </c>
      <c r="L348" s="267"/>
      <c r="M348" s="267"/>
      <c r="N348" s="139"/>
      <c r="O348" s="770"/>
      <c r="P348" s="2"/>
      <c r="T348"/>
    </row>
    <row r="349" spans="1:20" s="9" customFormat="1" x14ac:dyDescent="0.2">
      <c r="A349" s="733">
        <v>1</v>
      </c>
      <c r="C349" s="137"/>
      <c r="D349" s="137"/>
      <c r="E349" s="137"/>
      <c r="F349" s="137" t="s">
        <v>1376</v>
      </c>
      <c r="G349" s="118" t="s">
        <v>721</v>
      </c>
      <c r="H349" s="133" t="s">
        <v>1044</v>
      </c>
      <c r="I349" s="1010">
        <f t="shared" si="16"/>
        <v>8000</v>
      </c>
      <c r="J349" s="418"/>
      <c r="K349" s="132">
        <v>8000</v>
      </c>
      <c r="L349" s="267"/>
      <c r="M349" s="267"/>
      <c r="N349" s="139"/>
      <c r="O349" s="770"/>
      <c r="P349" s="2"/>
      <c r="T349"/>
    </row>
    <row r="350" spans="1:20" s="9" customFormat="1" x14ac:dyDescent="0.2">
      <c r="A350" s="733">
        <v>1</v>
      </c>
      <c r="C350" s="137"/>
      <c r="D350" s="137"/>
      <c r="E350" s="137"/>
      <c r="F350" s="137" t="s">
        <v>1376</v>
      </c>
      <c r="G350" s="118" t="s">
        <v>721</v>
      </c>
      <c r="H350" s="738" t="s">
        <v>1045</v>
      </c>
      <c r="I350" s="1010">
        <f t="shared" si="16"/>
        <v>12500</v>
      </c>
      <c r="J350" s="418"/>
      <c r="K350" s="132">
        <v>12500</v>
      </c>
      <c r="L350" s="267"/>
      <c r="M350" s="267"/>
      <c r="N350" s="139"/>
      <c r="O350" s="770"/>
      <c r="P350" s="2"/>
      <c r="T350"/>
    </row>
    <row r="351" spans="1:20" s="9" customFormat="1" x14ac:dyDescent="0.2">
      <c r="A351" s="733">
        <v>1</v>
      </c>
      <c r="C351" s="137"/>
      <c r="D351" s="137"/>
      <c r="E351" s="137"/>
      <c r="F351" s="137" t="s">
        <v>1376</v>
      </c>
      <c r="G351" s="118" t="s">
        <v>721</v>
      </c>
      <c r="H351" s="738" t="s">
        <v>1046</v>
      </c>
      <c r="I351" s="1010">
        <f t="shared" si="16"/>
        <v>7000</v>
      </c>
      <c r="J351" s="418"/>
      <c r="K351" s="132">
        <v>7000</v>
      </c>
      <c r="L351" s="267"/>
      <c r="M351" s="267"/>
      <c r="N351" s="139"/>
      <c r="O351" s="770"/>
      <c r="P351" s="2"/>
      <c r="T351"/>
    </row>
    <row r="352" spans="1:20" s="9" customFormat="1" x14ac:dyDescent="0.2">
      <c r="A352" s="733">
        <v>1</v>
      </c>
      <c r="C352" s="280"/>
      <c r="D352" s="280"/>
      <c r="E352" s="280"/>
      <c r="F352" s="280" t="s">
        <v>1376</v>
      </c>
      <c r="G352" s="249" t="s">
        <v>721</v>
      </c>
      <c r="H352" s="739" t="s">
        <v>1047</v>
      </c>
      <c r="I352" s="1010">
        <f t="shared" si="16"/>
        <v>5200</v>
      </c>
      <c r="J352" s="420"/>
      <c r="K352" s="276">
        <v>5200</v>
      </c>
      <c r="L352" s="419"/>
      <c r="M352" s="419"/>
      <c r="N352" s="139"/>
      <c r="O352" s="770"/>
      <c r="P352" s="2"/>
      <c r="T352"/>
    </row>
    <row r="353" spans="1:20" s="9" customFormat="1" x14ac:dyDescent="0.2">
      <c r="A353" s="733">
        <v>1</v>
      </c>
      <c r="C353" s="280"/>
      <c r="D353" s="280"/>
      <c r="E353" s="280"/>
      <c r="F353" s="280" t="s">
        <v>1376</v>
      </c>
      <c r="G353" s="249" t="s">
        <v>721</v>
      </c>
      <c r="H353" s="268" t="s">
        <v>1331</v>
      </c>
      <c r="I353" s="958">
        <f t="shared" si="16"/>
        <v>190000</v>
      </c>
      <c r="J353" s="420"/>
      <c r="K353" s="926">
        <v>190000</v>
      </c>
      <c r="L353" s="419"/>
      <c r="M353" s="419"/>
      <c r="N353" s="139"/>
      <c r="O353" s="837" t="s">
        <v>1285</v>
      </c>
      <c r="P353" s="2"/>
      <c r="T353"/>
    </row>
    <row r="354" spans="1:20" s="9" customFormat="1" x14ac:dyDescent="0.2">
      <c r="A354" s="733">
        <v>1</v>
      </c>
      <c r="B354" s="280"/>
      <c r="C354" s="280"/>
      <c r="D354" s="280"/>
      <c r="E354" s="280"/>
      <c r="F354" s="280" t="s">
        <v>1376</v>
      </c>
      <c r="G354" s="249" t="s">
        <v>721</v>
      </c>
      <c r="H354" s="268" t="s">
        <v>1355</v>
      </c>
      <c r="I354" s="958">
        <f t="shared" si="16"/>
        <v>10000</v>
      </c>
      <c r="J354" s="420"/>
      <c r="K354" s="940">
        <f>75000-10000-55000</f>
        <v>10000</v>
      </c>
      <c r="L354" s="419"/>
      <c r="M354" s="419"/>
      <c r="N354" s="139"/>
      <c r="O354" s="837" t="s">
        <v>1357</v>
      </c>
      <c r="P354" s="2"/>
      <c r="T354"/>
    </row>
    <row r="355" spans="1:20" s="9" customFormat="1" x14ac:dyDescent="0.2">
      <c r="A355" s="733">
        <v>1</v>
      </c>
      <c r="C355" s="280"/>
      <c r="D355" s="280"/>
      <c r="E355" s="280"/>
      <c r="F355" s="994" t="s">
        <v>218</v>
      </c>
      <c r="G355" s="994" t="s">
        <v>218</v>
      </c>
      <c r="H355" s="133" t="s">
        <v>1295</v>
      </c>
      <c r="I355" s="958">
        <f t="shared" si="16"/>
        <v>50000</v>
      </c>
      <c r="J355" s="420"/>
      <c r="K355" s="926">
        <v>50000</v>
      </c>
      <c r="L355" s="419"/>
      <c r="M355" s="419"/>
      <c r="N355" s="139"/>
      <c r="O355" s="837" t="s">
        <v>1285</v>
      </c>
      <c r="P355" s="2"/>
      <c r="T355"/>
    </row>
    <row r="356" spans="1:20" s="9" customFormat="1" ht="24" x14ac:dyDescent="0.2">
      <c r="A356" s="733">
        <v>1</v>
      </c>
      <c r="C356" s="280"/>
      <c r="D356" s="280"/>
      <c r="E356" s="280"/>
      <c r="F356" s="280" t="s">
        <v>1376</v>
      </c>
      <c r="G356" s="249" t="s">
        <v>721</v>
      </c>
      <c r="H356" s="133" t="s">
        <v>1296</v>
      </c>
      <c r="I356" s="958">
        <f t="shared" si="16"/>
        <v>25000</v>
      </c>
      <c r="J356" s="420"/>
      <c r="K356" s="926">
        <f>10000+15000</f>
        <v>25000</v>
      </c>
      <c r="L356" s="419"/>
      <c r="M356" s="419"/>
      <c r="N356" s="139"/>
      <c r="O356" s="837" t="s">
        <v>1285</v>
      </c>
      <c r="P356" s="2"/>
      <c r="T356"/>
    </row>
    <row r="357" spans="1:20" s="9" customFormat="1" x14ac:dyDescent="0.2">
      <c r="A357" s="733">
        <v>1</v>
      </c>
      <c r="C357" s="280"/>
      <c r="D357" s="280"/>
      <c r="E357" s="280"/>
      <c r="F357" s="280" t="s">
        <v>1376</v>
      </c>
      <c r="G357" s="249" t="s">
        <v>721</v>
      </c>
      <c r="H357" s="133" t="s">
        <v>1297</v>
      </c>
      <c r="I357" s="958">
        <f t="shared" si="16"/>
        <v>20000</v>
      </c>
      <c r="J357" s="420"/>
      <c r="K357" s="926">
        <v>20000</v>
      </c>
      <c r="L357" s="419"/>
      <c r="M357" s="419"/>
      <c r="N357" s="139"/>
      <c r="O357" s="837" t="s">
        <v>1285</v>
      </c>
      <c r="P357" s="2"/>
      <c r="T357"/>
    </row>
    <row r="358" spans="1:20" s="9" customFormat="1" x14ac:dyDescent="0.2">
      <c r="A358" s="733">
        <v>1</v>
      </c>
      <c r="C358" s="280"/>
      <c r="D358" s="280"/>
      <c r="E358" s="280"/>
      <c r="F358" s="995" t="s">
        <v>381</v>
      </c>
      <c r="G358" s="995" t="s">
        <v>381</v>
      </c>
      <c r="H358" s="133" t="s">
        <v>1340</v>
      </c>
      <c r="I358" s="958">
        <f t="shared" si="16"/>
        <v>25000</v>
      </c>
      <c r="J358" s="420"/>
      <c r="K358" s="926">
        <v>25000</v>
      </c>
      <c r="L358" s="419"/>
      <c r="M358" s="419"/>
      <c r="N358" s="139"/>
      <c r="O358" s="837" t="s">
        <v>1285</v>
      </c>
      <c r="P358" s="2"/>
      <c r="T358"/>
    </row>
    <row r="359" spans="1:20" s="9" customFormat="1" hidden="1" x14ac:dyDescent="0.2">
      <c r="A359" s="733">
        <v>2</v>
      </c>
      <c r="C359" s="137"/>
      <c r="D359" s="137"/>
      <c r="E359" s="137"/>
      <c r="F359" s="137" t="s">
        <v>297</v>
      </c>
      <c r="G359" s="118" t="s">
        <v>721</v>
      </c>
      <c r="H359" s="133" t="s">
        <v>1048</v>
      </c>
      <c r="I359" s="132">
        <f t="shared" si="16"/>
        <v>80000</v>
      </c>
      <c r="J359" s="418"/>
      <c r="K359" s="132">
        <v>80000</v>
      </c>
      <c r="L359" s="267"/>
      <c r="M359" s="267"/>
      <c r="N359" s="139"/>
      <c r="O359" s="770"/>
      <c r="P359" s="2"/>
      <c r="T359"/>
    </row>
    <row r="360" spans="1:20" s="9" customFormat="1" ht="24.75" hidden="1" thickBot="1" x14ac:dyDescent="0.25">
      <c r="A360" s="733">
        <v>2</v>
      </c>
      <c r="C360" s="248"/>
      <c r="D360" s="248"/>
      <c r="E360" s="248"/>
      <c r="F360" s="248" t="s">
        <v>297</v>
      </c>
      <c r="G360" s="230" t="s">
        <v>721</v>
      </c>
      <c r="H360" s="629" t="s">
        <v>1049</v>
      </c>
      <c r="I360" s="427">
        <f t="shared" si="16"/>
        <v>16000</v>
      </c>
      <c r="J360" s="422"/>
      <c r="K360" s="427">
        <v>16000</v>
      </c>
      <c r="L360" s="812"/>
      <c r="M360" s="812"/>
      <c r="N360" s="139"/>
      <c r="O360" s="770"/>
      <c r="P360" s="2"/>
      <c r="T360"/>
    </row>
    <row r="361" spans="1:20" s="9" customFormat="1" ht="22.5" x14ac:dyDescent="0.2">
      <c r="A361" s="733">
        <v>1</v>
      </c>
      <c r="C361" s="270"/>
      <c r="D361" s="270"/>
      <c r="E361" s="270"/>
      <c r="F361" s="270" t="s">
        <v>1380</v>
      </c>
      <c r="G361" s="231" t="s">
        <v>1050</v>
      </c>
      <c r="H361" s="232" t="s">
        <v>683</v>
      </c>
      <c r="I361" s="1011">
        <f t="shared" si="16"/>
        <v>25000</v>
      </c>
      <c r="J361" s="430"/>
      <c r="K361" s="275">
        <v>25000</v>
      </c>
      <c r="L361" s="401"/>
      <c r="M361" s="401"/>
      <c r="N361" s="139"/>
      <c r="O361" s="290"/>
      <c r="P361" s="265" t="s">
        <v>1054</v>
      </c>
      <c r="T361"/>
    </row>
    <row r="362" spans="1:20" s="9" customFormat="1" ht="22.5" x14ac:dyDescent="0.2">
      <c r="A362" s="733">
        <v>1</v>
      </c>
      <c r="C362" s="137"/>
      <c r="D362" s="387"/>
      <c r="E362" s="665"/>
      <c r="F362" s="665" t="s">
        <v>1380</v>
      </c>
      <c r="G362" s="661" t="s">
        <v>1050</v>
      </c>
      <c r="H362" s="662" t="s">
        <v>1053</v>
      </c>
      <c r="I362" s="1014">
        <f t="shared" si="16"/>
        <v>25000</v>
      </c>
      <c r="J362" s="677"/>
      <c r="K362" s="666">
        <v>25000</v>
      </c>
      <c r="L362" s="258"/>
      <c r="M362" s="399"/>
      <c r="N362" s="139"/>
      <c r="O362" s="768"/>
      <c r="P362" s="265" t="s">
        <v>1056</v>
      </c>
      <c r="T362"/>
    </row>
    <row r="363" spans="1:20" x14ac:dyDescent="0.2">
      <c r="A363" s="733"/>
      <c r="B363" s="9"/>
      <c r="C363" s="123"/>
      <c r="D363" s="123"/>
      <c r="E363" s="123"/>
      <c r="F363" s="445"/>
      <c r="G363" s="180"/>
      <c r="H363" s="124" t="s">
        <v>465</v>
      </c>
      <c r="I363" s="957"/>
      <c r="J363" s="247"/>
      <c r="K363" s="687"/>
      <c r="L363" s="241"/>
      <c r="M363" s="241"/>
      <c r="N363" s="139"/>
      <c r="O363" s="768"/>
      <c r="P363" s="2"/>
      <c r="Q363"/>
    </row>
    <row r="364" spans="1:20" x14ac:dyDescent="0.2">
      <c r="A364" s="733">
        <v>1</v>
      </c>
      <c r="B364" s="9"/>
      <c r="C364" s="9"/>
      <c r="D364" s="118"/>
      <c r="E364" s="118"/>
      <c r="F364" s="137" t="s">
        <v>1379</v>
      </c>
      <c r="G364" s="118" t="s">
        <v>297</v>
      </c>
      <c r="H364" s="652" t="s">
        <v>1094</v>
      </c>
      <c r="I364" s="1005">
        <f t="shared" ref="I364:I387" si="18">SUM(K364:M364)</f>
        <v>34000</v>
      </c>
      <c r="J364" s="139"/>
      <c r="K364" s="132">
        <v>34000</v>
      </c>
      <c r="L364" s="399"/>
      <c r="M364" s="399"/>
      <c r="N364" s="139"/>
      <c r="O364" s="768"/>
      <c r="P364" s="2" t="s">
        <v>1109</v>
      </c>
      <c r="Q364"/>
    </row>
    <row r="365" spans="1:20" x14ac:dyDescent="0.2">
      <c r="A365" s="733">
        <v>1</v>
      </c>
      <c r="B365" s="9"/>
      <c r="C365" s="9"/>
      <c r="D365" s="118"/>
      <c r="E365" s="118"/>
      <c r="F365" s="137" t="s">
        <v>1379</v>
      </c>
      <c r="G365" s="118" t="s">
        <v>297</v>
      </c>
      <c r="H365" s="653" t="s">
        <v>1095</v>
      </c>
      <c r="I365" s="1005">
        <f t="shared" si="18"/>
        <v>65000</v>
      </c>
      <c r="J365" s="139"/>
      <c r="K365" s="132">
        <v>65000</v>
      </c>
      <c r="L365" s="399"/>
      <c r="M365" s="399"/>
      <c r="N365" s="139"/>
      <c r="O365" s="768"/>
      <c r="P365" s="2" t="s">
        <v>1109</v>
      </c>
      <c r="Q365"/>
    </row>
    <row r="366" spans="1:20" x14ac:dyDescent="0.2">
      <c r="A366" s="733">
        <v>1</v>
      </c>
      <c r="B366" s="9"/>
      <c r="C366" s="9"/>
      <c r="D366" s="118"/>
      <c r="E366" s="118"/>
      <c r="F366" s="137" t="s">
        <v>1379</v>
      </c>
      <c r="G366" s="118" t="s">
        <v>297</v>
      </c>
      <c r="H366" s="653" t="s">
        <v>1096</v>
      </c>
      <c r="I366" s="1005">
        <f t="shared" si="18"/>
        <v>34000</v>
      </c>
      <c r="J366" s="139"/>
      <c r="K366" s="132">
        <v>34000</v>
      </c>
      <c r="L366" s="399"/>
      <c r="M366" s="399"/>
      <c r="N366" s="139"/>
      <c r="O366" s="768"/>
      <c r="P366" s="2" t="s">
        <v>1109</v>
      </c>
      <c r="Q366"/>
    </row>
    <row r="367" spans="1:20" x14ac:dyDescent="0.2">
      <c r="A367" s="733">
        <v>1</v>
      </c>
      <c r="B367" s="9"/>
      <c r="C367" s="9"/>
      <c r="D367" s="118"/>
      <c r="E367" s="118"/>
      <c r="F367" s="137" t="s">
        <v>1379</v>
      </c>
      <c r="G367" s="118" t="s">
        <v>297</v>
      </c>
      <c r="H367" s="652" t="s">
        <v>1097</v>
      </c>
      <c r="I367" s="1005">
        <f t="shared" si="18"/>
        <v>33000</v>
      </c>
      <c r="J367" s="139"/>
      <c r="K367" s="132">
        <v>33000</v>
      </c>
      <c r="L367" s="399"/>
      <c r="M367" s="399"/>
      <c r="N367" s="139"/>
      <c r="O367" s="768"/>
      <c r="P367" s="2" t="s">
        <v>1109</v>
      </c>
      <c r="Q367"/>
    </row>
    <row r="368" spans="1:20" ht="22.5" x14ac:dyDescent="0.2">
      <c r="A368" s="733">
        <v>1</v>
      </c>
      <c r="B368" s="9"/>
      <c r="C368" s="9"/>
      <c r="D368" s="118"/>
      <c r="E368" s="118"/>
      <c r="F368" s="137" t="s">
        <v>1379</v>
      </c>
      <c r="G368" s="118" t="s">
        <v>297</v>
      </c>
      <c r="H368" s="678" t="s">
        <v>1098</v>
      </c>
      <c r="I368" s="1005">
        <f t="shared" si="18"/>
        <v>40000</v>
      </c>
      <c r="J368" s="139"/>
      <c r="K368" s="132">
        <v>40000</v>
      </c>
      <c r="L368" s="399"/>
      <c r="M368" s="399"/>
      <c r="N368" s="139"/>
      <c r="O368" s="768"/>
      <c r="P368" s="2" t="s">
        <v>1109</v>
      </c>
      <c r="Q368"/>
    </row>
    <row r="369" spans="1:20" ht="21" customHeight="1" x14ac:dyDescent="0.2">
      <c r="A369" s="733">
        <v>1</v>
      </c>
      <c r="B369" s="9"/>
      <c r="C369" s="9"/>
      <c r="D369" s="118"/>
      <c r="E369" s="118"/>
      <c r="F369" s="137" t="s">
        <v>1379</v>
      </c>
      <c r="G369" s="118" t="s">
        <v>297</v>
      </c>
      <c r="H369" s="679" t="s">
        <v>1099</v>
      </c>
      <c r="I369" s="1005">
        <f t="shared" si="18"/>
        <v>20000</v>
      </c>
      <c r="J369" s="139"/>
      <c r="K369" s="132">
        <v>20000</v>
      </c>
      <c r="L369" s="399"/>
      <c r="M369" s="399"/>
      <c r="N369" s="139"/>
      <c r="O369" s="768"/>
      <c r="P369" s="2" t="s">
        <v>1109</v>
      </c>
      <c r="Q369"/>
    </row>
    <row r="370" spans="1:20" ht="20.45" customHeight="1" x14ac:dyDescent="0.2">
      <c r="A370" s="733">
        <v>1</v>
      </c>
      <c r="B370" s="9"/>
      <c r="C370" s="118"/>
      <c r="D370" s="118"/>
      <c r="E370" s="118"/>
      <c r="F370" s="439" t="s">
        <v>1379</v>
      </c>
      <c r="G370" s="118" t="s">
        <v>297</v>
      </c>
      <c r="H370" s="679" t="s">
        <v>1289</v>
      </c>
      <c r="I370" s="1005">
        <f t="shared" si="18"/>
        <v>175000</v>
      </c>
      <c r="J370" s="139"/>
      <c r="K370" s="917">
        <f>550000-375000</f>
        <v>175000</v>
      </c>
      <c r="L370" s="132"/>
      <c r="M370" s="399"/>
      <c r="N370" s="139"/>
      <c r="O370" s="768"/>
      <c r="P370" s="919" t="s">
        <v>1290</v>
      </c>
    </row>
    <row r="371" spans="1:20" ht="12.75" customHeight="1" x14ac:dyDescent="0.2">
      <c r="A371" s="733">
        <v>1</v>
      </c>
      <c r="B371" s="9"/>
      <c r="C371" s="118"/>
      <c r="D371" s="118"/>
      <c r="E371" s="118"/>
      <c r="F371" s="439" t="s">
        <v>1379</v>
      </c>
      <c r="G371" s="118" t="s">
        <v>297</v>
      </c>
      <c r="H371" s="678" t="s">
        <v>1255</v>
      </c>
      <c r="I371" s="1005">
        <f t="shared" si="18"/>
        <v>350000</v>
      </c>
      <c r="J371" s="139"/>
      <c r="K371" s="136">
        <f>1000000/2-150000</f>
        <v>350000</v>
      </c>
      <c r="L371" s="132"/>
      <c r="M371" s="399"/>
      <c r="N371" s="139"/>
      <c r="O371" s="768"/>
      <c r="P371" s="2" t="s">
        <v>672</v>
      </c>
    </row>
    <row r="372" spans="1:20" ht="23.45" customHeight="1" x14ac:dyDescent="0.2">
      <c r="A372" s="733">
        <v>1</v>
      </c>
      <c r="B372" s="9"/>
      <c r="C372" s="118"/>
      <c r="D372" s="118"/>
      <c r="E372" s="118"/>
      <c r="F372" s="439" t="s">
        <v>1379</v>
      </c>
      <c r="G372" s="118" t="s">
        <v>297</v>
      </c>
      <c r="H372" s="678" t="s">
        <v>1102</v>
      </c>
      <c r="I372" s="1005">
        <f t="shared" si="18"/>
        <v>150000</v>
      </c>
      <c r="J372" s="139"/>
      <c r="K372" s="136">
        <v>150000</v>
      </c>
      <c r="L372" s="132"/>
      <c r="M372" s="125"/>
      <c r="N372" s="139"/>
      <c r="O372" s="767"/>
      <c r="P372" s="2" t="s">
        <v>1112</v>
      </c>
    </row>
    <row r="373" spans="1:20" ht="25.15" customHeight="1" x14ac:dyDescent="0.2">
      <c r="A373" s="733">
        <v>1</v>
      </c>
      <c r="B373" s="9"/>
      <c r="C373" s="118"/>
      <c r="D373" s="118"/>
      <c r="E373" s="118"/>
      <c r="F373" s="439" t="s">
        <v>1379</v>
      </c>
      <c r="G373" s="118" t="s">
        <v>297</v>
      </c>
      <c r="H373" s="678" t="s">
        <v>1103</v>
      </c>
      <c r="I373" s="1005">
        <f t="shared" si="18"/>
        <v>130000</v>
      </c>
      <c r="J373" s="139"/>
      <c r="K373" s="136">
        <v>130000</v>
      </c>
      <c r="L373" s="132"/>
      <c r="M373" s="404"/>
      <c r="N373" s="139"/>
      <c r="O373" s="769"/>
      <c r="P373" s="2" t="s">
        <v>1112</v>
      </c>
    </row>
    <row r="374" spans="1:20" ht="23.45" customHeight="1" x14ac:dyDescent="0.2">
      <c r="A374" s="733">
        <v>1</v>
      </c>
      <c r="B374" s="9"/>
      <c r="C374" s="118"/>
      <c r="D374" s="118"/>
      <c r="E374" s="118"/>
      <c r="F374" s="439" t="s">
        <v>1379</v>
      </c>
      <c r="G374" s="118" t="s">
        <v>297</v>
      </c>
      <c r="H374" s="678" t="s">
        <v>1104</v>
      </c>
      <c r="I374" s="1005">
        <f t="shared" si="18"/>
        <v>60000</v>
      </c>
      <c r="J374" s="139"/>
      <c r="K374" s="136">
        <v>60000</v>
      </c>
      <c r="L374" s="132"/>
      <c r="M374" s="404"/>
      <c r="N374" s="139"/>
      <c r="O374" s="769"/>
      <c r="P374" s="2" t="s">
        <v>1113</v>
      </c>
    </row>
    <row r="375" spans="1:20" ht="12" customHeight="1" x14ac:dyDescent="0.2">
      <c r="A375" s="733">
        <v>1</v>
      </c>
      <c r="B375" s="9"/>
      <c r="C375" s="118"/>
      <c r="D375" s="118"/>
      <c r="E375" s="118"/>
      <c r="F375" s="439" t="s">
        <v>1379</v>
      </c>
      <c r="G375" s="118" t="s">
        <v>297</v>
      </c>
      <c r="H375" s="678" t="s">
        <v>604</v>
      </c>
      <c r="I375" s="1005">
        <f t="shared" si="18"/>
        <v>30000</v>
      </c>
      <c r="J375" s="139"/>
      <c r="K375" s="136">
        <v>30000</v>
      </c>
      <c r="L375" s="132"/>
      <c r="M375" s="404"/>
      <c r="N375" s="139"/>
      <c r="O375" s="769"/>
      <c r="P375" s="2" t="s">
        <v>1114</v>
      </c>
    </row>
    <row r="376" spans="1:20" ht="27" customHeight="1" x14ac:dyDescent="0.2">
      <c r="A376" s="733">
        <v>1</v>
      </c>
      <c r="B376" s="9"/>
      <c r="C376" s="118"/>
      <c r="D376" s="118"/>
      <c r="E376" s="118"/>
      <c r="F376" s="439" t="s">
        <v>1379</v>
      </c>
      <c r="G376" s="118" t="s">
        <v>297</v>
      </c>
      <c r="H376" s="678" t="s">
        <v>1105</v>
      </c>
      <c r="I376" s="1005">
        <f t="shared" si="18"/>
        <v>160000</v>
      </c>
      <c r="J376" s="139"/>
      <c r="K376" s="136">
        <v>160000</v>
      </c>
      <c r="L376" s="132"/>
      <c r="M376" s="404"/>
      <c r="N376" s="139"/>
      <c r="O376" s="769"/>
      <c r="P376" s="2" t="s">
        <v>1115</v>
      </c>
    </row>
    <row r="377" spans="1:20" ht="16.149999999999999" customHeight="1" x14ac:dyDescent="0.2">
      <c r="A377" s="733">
        <v>1</v>
      </c>
      <c r="B377" s="9"/>
      <c r="C377" s="118"/>
      <c r="D377" s="118"/>
      <c r="E377" s="118"/>
      <c r="F377" s="439" t="s">
        <v>1379</v>
      </c>
      <c r="G377" s="118" t="s">
        <v>297</v>
      </c>
      <c r="H377" s="680" t="s">
        <v>1353</v>
      </c>
      <c r="I377" s="958">
        <f t="shared" si="18"/>
        <v>50000</v>
      </c>
      <c r="J377" s="139"/>
      <c r="K377" s="917">
        <v>50000</v>
      </c>
      <c r="L377" s="132"/>
      <c r="M377" s="404"/>
      <c r="N377" s="139"/>
      <c r="O377" s="837" t="s">
        <v>1285</v>
      </c>
      <c r="P377" s="2"/>
    </row>
    <row r="378" spans="1:20" ht="25.15" customHeight="1" x14ac:dyDescent="0.2">
      <c r="A378" s="733">
        <v>1</v>
      </c>
      <c r="B378" s="9"/>
      <c r="C378" s="249"/>
      <c r="D378" s="249"/>
      <c r="E378" s="249"/>
      <c r="F378" s="993" t="s">
        <v>380</v>
      </c>
      <c r="G378" s="993" t="s">
        <v>380</v>
      </c>
      <c r="H378" s="680" t="s">
        <v>1356</v>
      </c>
      <c r="I378" s="958">
        <f t="shared" si="18"/>
        <v>5000</v>
      </c>
      <c r="J378" s="139"/>
      <c r="K378" s="926">
        <v>5000</v>
      </c>
      <c r="L378" s="276"/>
      <c r="M378" s="405"/>
      <c r="N378" s="139"/>
      <c r="O378" s="837" t="s">
        <v>1285</v>
      </c>
      <c r="P378" s="2"/>
    </row>
    <row r="379" spans="1:20" s="9" customFormat="1" ht="22.5" x14ac:dyDescent="0.2">
      <c r="A379" s="733">
        <v>1</v>
      </c>
      <c r="C379" s="280"/>
      <c r="D379" s="280"/>
      <c r="E379" s="280"/>
      <c r="F379" s="280" t="s">
        <v>1379</v>
      </c>
      <c r="G379" s="249" t="s">
        <v>721</v>
      </c>
      <c r="H379" s="678" t="s">
        <v>1299</v>
      </c>
      <c r="I379" s="958">
        <f t="shared" si="18"/>
        <v>30000</v>
      </c>
      <c r="J379" s="420"/>
      <c r="K379" s="926">
        <f>10000+20000</f>
        <v>30000</v>
      </c>
      <c r="L379" s="419"/>
      <c r="M379" s="419"/>
      <c r="N379" s="139"/>
      <c r="O379" s="837" t="s">
        <v>1285</v>
      </c>
      <c r="P379" s="2"/>
      <c r="T379"/>
    </row>
    <row r="380" spans="1:20" ht="25.5" hidden="1" customHeight="1" x14ac:dyDescent="0.2">
      <c r="A380" s="733">
        <v>2</v>
      </c>
      <c r="B380" s="9"/>
      <c r="C380" s="118"/>
      <c r="D380" s="118"/>
      <c r="E380" s="118"/>
      <c r="F380" s="439" t="s">
        <v>297</v>
      </c>
      <c r="G380" s="118" t="s">
        <v>297</v>
      </c>
      <c r="H380" s="680" t="s">
        <v>1106</v>
      </c>
      <c r="I380" s="132">
        <f t="shared" si="18"/>
        <v>95000</v>
      </c>
      <c r="J380" s="139"/>
      <c r="K380" s="136">
        <v>95000</v>
      </c>
      <c r="L380" s="132"/>
      <c r="M380" s="125"/>
      <c r="N380" s="139"/>
      <c r="O380" s="767"/>
      <c r="P380" s="2" t="s">
        <v>1116</v>
      </c>
    </row>
    <row r="381" spans="1:20" ht="27.6" hidden="1" customHeight="1" x14ac:dyDescent="0.2">
      <c r="A381" s="733">
        <v>2</v>
      </c>
      <c r="B381" s="9"/>
      <c r="C381" s="118"/>
      <c r="D381" s="118"/>
      <c r="E381" s="118"/>
      <c r="F381" s="439" t="s">
        <v>297</v>
      </c>
      <c r="G381" s="118" t="s">
        <v>297</v>
      </c>
      <c r="H381" s="678" t="s">
        <v>1107</v>
      </c>
      <c r="I381" s="132">
        <f t="shared" si="18"/>
        <v>250000</v>
      </c>
      <c r="J381" s="139"/>
      <c r="K381" s="136">
        <v>250000</v>
      </c>
      <c r="L381" s="132"/>
      <c r="M381" s="399"/>
      <c r="N381" s="139"/>
      <c r="O381" s="768"/>
      <c r="P381" s="2" t="s">
        <v>1117</v>
      </c>
    </row>
    <row r="382" spans="1:20" ht="18" hidden="1" customHeight="1" x14ac:dyDescent="0.2">
      <c r="A382" s="733">
        <v>2</v>
      </c>
      <c r="B382" s="9"/>
      <c r="C382" s="118"/>
      <c r="D382" s="118"/>
      <c r="E382" s="118"/>
      <c r="F382" s="439" t="s">
        <v>297</v>
      </c>
      <c r="G382" s="118" t="s">
        <v>297</v>
      </c>
      <c r="H382" s="656" t="s">
        <v>1108</v>
      </c>
      <c r="I382" s="132">
        <f t="shared" si="18"/>
        <v>20000</v>
      </c>
      <c r="J382" s="139"/>
      <c r="K382" s="132">
        <v>20000</v>
      </c>
      <c r="L382" s="132"/>
      <c r="M382" s="399"/>
      <c r="N382" s="139"/>
      <c r="O382" s="768"/>
      <c r="P382" s="2" t="s">
        <v>1109</v>
      </c>
      <c r="Q382"/>
    </row>
    <row r="383" spans="1:20" x14ac:dyDescent="0.2">
      <c r="A383" s="733">
        <v>1</v>
      </c>
      <c r="B383" s="9"/>
      <c r="C383" s="118"/>
      <c r="D383" s="118"/>
      <c r="E383" s="118"/>
      <c r="F383" s="439" t="s">
        <v>1379</v>
      </c>
      <c r="G383" s="118" t="s">
        <v>297</v>
      </c>
      <c r="H383" s="681" t="s">
        <v>1198</v>
      </c>
      <c r="I383" s="1005">
        <f t="shared" si="18"/>
        <v>50000</v>
      </c>
      <c r="J383" s="139"/>
      <c r="K383" s="136">
        <v>50000</v>
      </c>
      <c r="L383" s="132"/>
      <c r="M383" s="404"/>
      <c r="N383" s="139"/>
      <c r="O383" s="769"/>
      <c r="P383" s="2" t="s">
        <v>1109</v>
      </c>
    </row>
    <row r="384" spans="1:20" ht="22.5" x14ac:dyDescent="0.2">
      <c r="A384" s="733">
        <v>1</v>
      </c>
      <c r="B384" s="9"/>
      <c r="C384" s="118"/>
      <c r="D384" s="118"/>
      <c r="E384" s="118"/>
      <c r="F384" s="439" t="s">
        <v>1379</v>
      </c>
      <c r="G384" s="118" t="s">
        <v>297</v>
      </c>
      <c r="H384" s="681" t="s">
        <v>1199</v>
      </c>
      <c r="I384" s="1005">
        <f t="shared" si="18"/>
        <v>96000</v>
      </c>
      <c r="J384" s="139"/>
      <c r="K384" s="136">
        <f>100000-4000</f>
        <v>96000</v>
      </c>
      <c r="L384" s="132"/>
      <c r="M384" s="404"/>
      <c r="N384" s="139"/>
      <c r="O384" s="769"/>
      <c r="P384" s="2" t="s">
        <v>1109</v>
      </c>
    </row>
    <row r="385" spans="1:17" ht="22.5" x14ac:dyDescent="0.2">
      <c r="A385" s="733">
        <v>1</v>
      </c>
      <c r="B385" s="9"/>
      <c r="C385" s="118"/>
      <c r="D385" s="118"/>
      <c r="E385" s="118"/>
      <c r="F385" s="439" t="s">
        <v>1379</v>
      </c>
      <c r="G385" s="118" t="s">
        <v>297</v>
      </c>
      <c r="H385" s="818" t="s">
        <v>1254</v>
      </c>
      <c r="I385" s="1005">
        <f t="shared" si="18"/>
        <v>45000</v>
      </c>
      <c r="J385" s="139"/>
      <c r="K385" s="132">
        <v>45000</v>
      </c>
      <c r="L385" s="132"/>
      <c r="M385" s="404"/>
      <c r="N385" s="139"/>
      <c r="O385" s="769"/>
      <c r="P385" s="2" t="s">
        <v>1109</v>
      </c>
    </row>
    <row r="386" spans="1:17" ht="28.15" customHeight="1" x14ac:dyDescent="0.2">
      <c r="A386" s="733">
        <v>1</v>
      </c>
      <c r="B386" s="9"/>
      <c r="C386" s="118"/>
      <c r="D386" s="118"/>
      <c r="E386" s="118"/>
      <c r="F386" s="439" t="s">
        <v>297</v>
      </c>
      <c r="G386" s="118" t="s">
        <v>297</v>
      </c>
      <c r="H386" s="657" t="s">
        <v>822</v>
      </c>
      <c r="I386" s="125">
        <f t="shared" si="18"/>
        <v>0</v>
      </c>
      <c r="J386" s="139"/>
      <c r="K386" s="136"/>
      <c r="L386" s="953">
        <f>1100000-1100000</f>
        <v>0</v>
      </c>
      <c r="M386" s="404"/>
      <c r="N386" s="139"/>
      <c r="O386" s="769"/>
      <c r="P386" s="2" t="s">
        <v>684</v>
      </c>
      <c r="Q386"/>
    </row>
    <row r="387" spans="1:17" x14ac:dyDescent="0.2">
      <c r="A387" s="733">
        <v>1</v>
      </c>
      <c r="B387" s="9"/>
      <c r="C387" s="118"/>
      <c r="D387" s="118"/>
      <c r="E387" s="118"/>
      <c r="F387" s="439" t="s">
        <v>297</v>
      </c>
      <c r="G387" s="118" t="s">
        <v>297</v>
      </c>
      <c r="H387" s="682" t="s">
        <v>1119</v>
      </c>
      <c r="I387" s="125">
        <f t="shared" si="18"/>
        <v>0</v>
      </c>
      <c r="J387" s="139"/>
      <c r="K387" s="132"/>
      <c r="L387" s="953">
        <f>2000000-2000000</f>
        <v>0</v>
      </c>
      <c r="M387" s="399"/>
      <c r="N387" s="139"/>
      <c r="O387" s="768"/>
      <c r="P387" s="2" t="s">
        <v>684</v>
      </c>
    </row>
    <row r="388" spans="1:17" x14ac:dyDescent="0.2">
      <c r="A388" s="733"/>
      <c r="C388" s="118"/>
      <c r="D388" s="118"/>
      <c r="E388" s="118"/>
      <c r="F388" s="439" t="s">
        <v>297</v>
      </c>
      <c r="G388" s="445" t="s">
        <v>297</v>
      </c>
      <c r="H388" s="655"/>
      <c r="I388" s="132">
        <f>SUM(K388:M388)</f>
        <v>0</v>
      </c>
      <c r="J388" s="290"/>
      <c r="K388" s="132"/>
      <c r="L388" s="399"/>
      <c r="M388" s="399"/>
      <c r="N388" s="139"/>
      <c r="O388" s="768"/>
      <c r="P388" s="2"/>
      <c r="Q388"/>
    </row>
    <row r="389" spans="1:17" x14ac:dyDescent="0.2">
      <c r="A389" s="733"/>
      <c r="C389" s="118"/>
      <c r="D389" s="118"/>
      <c r="E389" s="118"/>
      <c r="F389" s="439" t="s">
        <v>297</v>
      </c>
      <c r="G389" s="445" t="s">
        <v>297</v>
      </c>
      <c r="H389" s="654"/>
      <c r="I389" s="132">
        <f>SUM(K389:M389)</f>
        <v>0</v>
      </c>
      <c r="J389" s="290"/>
      <c r="K389" s="132"/>
      <c r="L389" s="399"/>
      <c r="M389" s="399"/>
      <c r="N389" s="139"/>
      <c r="O389" s="768"/>
      <c r="P389" s="2"/>
    </row>
    <row r="390" spans="1:17" x14ac:dyDescent="0.2">
      <c r="A390" s="733"/>
      <c r="C390" s="118"/>
      <c r="D390" s="118"/>
      <c r="E390" s="118"/>
      <c r="F390" s="439" t="s">
        <v>297</v>
      </c>
      <c r="G390" s="445" t="s">
        <v>297</v>
      </c>
      <c r="H390" s="654"/>
      <c r="I390" s="132">
        <f>SUM(K390:M390)</f>
        <v>0</v>
      </c>
      <c r="J390" s="290"/>
      <c r="K390" s="132"/>
      <c r="L390" s="399"/>
      <c r="M390" s="399"/>
      <c r="N390" s="139"/>
      <c r="O390" s="768"/>
      <c r="P390" s="2"/>
      <c r="Q390"/>
    </row>
    <row r="391" spans="1:17" x14ac:dyDescent="0.2">
      <c r="A391" s="733"/>
      <c r="C391" s="118"/>
      <c r="D391" s="118"/>
      <c r="E391" s="118"/>
      <c r="F391" s="439" t="s">
        <v>297</v>
      </c>
      <c r="G391" s="445" t="s">
        <v>297</v>
      </c>
      <c r="H391" s="408"/>
      <c r="I391" s="132">
        <f>SUM(K391:M391)</f>
        <v>0</v>
      </c>
      <c r="J391" s="215"/>
      <c r="K391" s="136"/>
      <c r="L391" s="407"/>
      <c r="M391" s="407"/>
      <c r="N391" s="139"/>
      <c r="O391" s="215"/>
      <c r="P391" s="2"/>
      <c r="Q391"/>
    </row>
    <row r="392" spans="1:17" x14ac:dyDescent="0.2">
      <c r="C392" s="118"/>
      <c r="D392" s="118"/>
      <c r="E392" s="118"/>
      <c r="F392" s="137" t="s">
        <v>297</v>
      </c>
      <c r="G392" s="445" t="s">
        <v>297</v>
      </c>
      <c r="H392" s="178"/>
      <c r="I392" s="132">
        <f>SUM(K392:M392)</f>
        <v>0</v>
      </c>
      <c r="J392" s="229"/>
      <c r="K392" s="132"/>
      <c r="L392" s="125"/>
      <c r="M392" s="125"/>
      <c r="N392" s="139"/>
      <c r="O392" s="215"/>
      <c r="P392" s="2"/>
      <c r="Q392"/>
    </row>
    <row r="393" spans="1:17" x14ac:dyDescent="0.2">
      <c r="H393" s="130" t="s">
        <v>458</v>
      </c>
      <c r="I393" s="168">
        <f>SUM(I209:I392)</f>
        <v>7844418.1733333338</v>
      </c>
      <c r="J393" s="139">
        <f>SUM(J209:J390)</f>
        <v>0</v>
      </c>
      <c r="K393" s="168">
        <f>SUM(K209:K392)</f>
        <v>7844418.1733333338</v>
      </c>
      <c r="L393" s="168">
        <f>SUM(L209:L392)</f>
        <v>0</v>
      </c>
      <c r="M393" s="163">
        <f>SUM(M209:M392)</f>
        <v>0</v>
      </c>
      <c r="N393" s="139"/>
      <c r="O393" s="215"/>
      <c r="P393" s="2"/>
      <c r="Q393"/>
    </row>
    <row r="394" spans="1:17" x14ac:dyDescent="0.2">
      <c r="H394" s="272"/>
      <c r="I394" s="222"/>
      <c r="J394" s="139"/>
      <c r="K394" s="222"/>
      <c r="L394" s="222"/>
      <c r="M394" s="164"/>
      <c r="N394" s="139"/>
      <c r="O394" s="215"/>
      <c r="P394" s="2"/>
    </row>
    <row r="395" spans="1:17" ht="24" x14ac:dyDescent="0.2">
      <c r="H395" s="272" t="s">
        <v>609</v>
      </c>
      <c r="I395" s="152" t="s">
        <v>345</v>
      </c>
      <c r="J395" s="139"/>
      <c r="K395" s="152" t="s">
        <v>229</v>
      </c>
      <c r="L395" s="152" t="s">
        <v>344</v>
      </c>
      <c r="M395" s="166" t="s">
        <v>305</v>
      </c>
      <c r="N395" s="139"/>
      <c r="O395" s="215"/>
      <c r="P395" s="2"/>
    </row>
    <row r="396" spans="1:17" x14ac:dyDescent="0.2">
      <c r="A396" s="729">
        <v>1</v>
      </c>
      <c r="H396" s="272">
        <v>1</v>
      </c>
      <c r="I396" s="388">
        <f>SUMIF($A$209:$A$392,$A396,I$209:I$392)</f>
        <v>3923667.7333333334</v>
      </c>
      <c r="J396" s="139"/>
      <c r="K396" s="388">
        <f t="shared" ref="K396:M397" si="19">SUMIF($A$209:$A$392,$A396,K$209:K$392)</f>
        <v>3923667.7333333334</v>
      </c>
      <c r="L396" s="388">
        <f t="shared" si="19"/>
        <v>0</v>
      </c>
      <c r="M396" s="388">
        <f t="shared" si="19"/>
        <v>0</v>
      </c>
      <c r="N396" s="139"/>
      <c r="O396" s="215"/>
      <c r="P396" s="2"/>
    </row>
    <row r="397" spans="1:17" x14ac:dyDescent="0.2">
      <c r="A397" s="729">
        <v>2</v>
      </c>
      <c r="H397" s="272">
        <v>2</v>
      </c>
      <c r="I397" s="281">
        <f>SUMIF($A$209:$A$392,$A397,I$209:I$392)</f>
        <v>3873887.44</v>
      </c>
      <c r="J397" s="139"/>
      <c r="K397" s="281">
        <f t="shared" si="19"/>
        <v>3873887.44</v>
      </c>
      <c r="L397" s="281">
        <f t="shared" si="19"/>
        <v>0</v>
      </c>
      <c r="M397" s="281">
        <f t="shared" si="19"/>
        <v>0</v>
      </c>
      <c r="N397" s="139"/>
      <c r="O397" s="215"/>
      <c r="P397" s="2"/>
    </row>
    <row r="398" spans="1:17" x14ac:dyDescent="0.2">
      <c r="H398">
        <v>3</v>
      </c>
      <c r="I398" s="76">
        <f>I393-I396-I397</f>
        <v>46863.000000000466</v>
      </c>
      <c r="K398" s="217">
        <f>K393-K396-K397</f>
        <v>46863.000000000466</v>
      </c>
      <c r="L398" s="217">
        <f>L393-L396-L397</f>
        <v>0</v>
      </c>
      <c r="M398" s="217">
        <f>M393-M396-M397</f>
        <v>0</v>
      </c>
      <c r="N398" s="139"/>
      <c r="O398" s="215"/>
      <c r="P398" s="2"/>
    </row>
    <row r="399" spans="1:17" x14ac:dyDescent="0.2">
      <c r="I399" s="76"/>
      <c r="K399" s="217"/>
      <c r="L399" s="217"/>
      <c r="M399" s="217"/>
      <c r="N399" s="139"/>
      <c r="O399" s="215"/>
      <c r="P399" s="2"/>
    </row>
    <row r="400" spans="1:17" x14ac:dyDescent="0.2">
      <c r="A400" s="733">
        <v>1</v>
      </c>
      <c r="B400" s="118"/>
      <c r="C400" s="118"/>
      <c r="D400" s="118"/>
      <c r="E400" s="439"/>
      <c r="F400" s="439" t="s">
        <v>297</v>
      </c>
      <c r="G400" s="118" t="s">
        <v>297</v>
      </c>
      <c r="H400" s="657" t="s">
        <v>822</v>
      </c>
      <c r="I400" s="125">
        <v>1100000</v>
      </c>
      <c r="J400" s="139"/>
      <c r="K400" s="136"/>
      <c r="L400" s="132">
        <v>1100000</v>
      </c>
      <c r="M400" s="404"/>
      <c r="N400" s="139"/>
      <c r="O400" s="215"/>
      <c r="P400" s="2"/>
    </row>
    <row r="401" spans="1:16" x14ac:dyDescent="0.2">
      <c r="A401" s="733">
        <v>1</v>
      </c>
      <c r="B401" s="118"/>
      <c r="C401" s="118"/>
      <c r="D401" s="118"/>
      <c r="E401" s="439"/>
      <c r="F401" s="439" t="s">
        <v>297</v>
      </c>
      <c r="G401" s="118" t="s">
        <v>297</v>
      </c>
      <c r="H401" s="682" t="s">
        <v>1119</v>
      </c>
      <c r="I401" s="125">
        <v>2000000</v>
      </c>
      <c r="J401" s="139"/>
      <c r="K401" s="132"/>
      <c r="L401" s="132">
        <v>2000000</v>
      </c>
      <c r="M401" s="399"/>
      <c r="N401" s="139"/>
      <c r="O401" s="215"/>
      <c r="P401" s="2"/>
    </row>
    <row r="402" spans="1:16" x14ac:dyDescent="0.2">
      <c r="I402" s="76"/>
      <c r="K402" s="217"/>
      <c r="L402" s="217"/>
      <c r="M402" s="217"/>
      <c r="N402" s="139"/>
      <c r="O402" s="215"/>
      <c r="P402" s="2"/>
    </row>
    <row r="403" spans="1:16" ht="22.5" x14ac:dyDescent="0.2">
      <c r="F403" s="175" t="s">
        <v>1260</v>
      </c>
      <c r="I403" s="76" t="s">
        <v>327</v>
      </c>
      <c r="K403" s="218" t="s">
        <v>1305</v>
      </c>
      <c r="L403" s="76" t="s">
        <v>277</v>
      </c>
      <c r="M403" s="217"/>
      <c r="N403" s="139"/>
      <c r="O403" s="215"/>
      <c r="P403" s="2"/>
    </row>
    <row r="404" spans="1:16" x14ac:dyDescent="0.2">
      <c r="C404">
        <v>1</v>
      </c>
      <c r="F404" s="9" t="s">
        <v>1307</v>
      </c>
      <c r="H404" t="s">
        <v>1306</v>
      </c>
      <c r="I404" s="76">
        <v>50000</v>
      </c>
      <c r="K404" s="76">
        <v>50000</v>
      </c>
      <c r="L404" s="76">
        <f>I404-K404</f>
        <v>0</v>
      </c>
      <c r="M404" s="217"/>
      <c r="N404" s="139"/>
      <c r="O404" s="215"/>
      <c r="P404" s="2"/>
    </row>
    <row r="405" spans="1:16" ht="45" x14ac:dyDescent="0.2">
      <c r="C405">
        <v>2</v>
      </c>
      <c r="F405" s="9" t="s">
        <v>589</v>
      </c>
      <c r="H405" t="s">
        <v>1308</v>
      </c>
      <c r="I405" s="76">
        <v>0</v>
      </c>
      <c r="K405" s="76">
        <v>321863</v>
      </c>
      <c r="L405" s="76">
        <f>I405-K405</f>
        <v>-321863</v>
      </c>
      <c r="M405" s="217"/>
      <c r="N405" s="139"/>
      <c r="O405" s="215"/>
      <c r="P405" s="265" t="s">
        <v>1309</v>
      </c>
    </row>
    <row r="406" spans="1:16" x14ac:dyDescent="0.2">
      <c r="C406">
        <v>3</v>
      </c>
      <c r="F406" s="9" t="s">
        <v>1310</v>
      </c>
      <c r="H406" t="s">
        <v>1312</v>
      </c>
      <c r="I406" s="76">
        <v>140000</v>
      </c>
      <c r="K406" s="76">
        <v>168000</v>
      </c>
      <c r="L406" s="76">
        <f t="shared" ref="L406:L429" si="20">I406-K406</f>
        <v>-28000</v>
      </c>
      <c r="M406" s="217"/>
      <c r="N406" s="139"/>
      <c r="O406" s="215"/>
      <c r="P406" s="2"/>
    </row>
    <row r="407" spans="1:16" x14ac:dyDescent="0.2">
      <c r="C407">
        <v>4</v>
      </c>
      <c r="F407" s="9" t="s">
        <v>1311</v>
      </c>
      <c r="H407" t="s">
        <v>1135</v>
      </c>
      <c r="I407" s="76">
        <v>140000</v>
      </c>
      <c r="K407" s="76">
        <v>168000</v>
      </c>
      <c r="L407" s="76">
        <f t="shared" si="20"/>
        <v>-28000</v>
      </c>
      <c r="M407" s="217"/>
      <c r="N407" s="139"/>
      <c r="O407" s="215"/>
      <c r="P407" s="2"/>
    </row>
    <row r="408" spans="1:16" x14ac:dyDescent="0.2">
      <c r="C408">
        <v>5</v>
      </c>
      <c r="F408" s="9" t="s">
        <v>1313</v>
      </c>
      <c r="H408" t="s">
        <v>1314</v>
      </c>
      <c r="I408" s="76">
        <v>0</v>
      </c>
      <c r="K408" s="76">
        <v>25000</v>
      </c>
      <c r="L408" s="76">
        <f t="shared" si="20"/>
        <v>-25000</v>
      </c>
      <c r="M408" s="217"/>
      <c r="N408" s="139"/>
      <c r="O408" s="215"/>
      <c r="P408" s="2"/>
    </row>
    <row r="409" spans="1:16" x14ac:dyDescent="0.2">
      <c r="C409">
        <v>6</v>
      </c>
      <c r="F409" s="9" t="s">
        <v>1315</v>
      </c>
      <c r="H409" t="s">
        <v>1316</v>
      </c>
      <c r="I409" s="76">
        <v>200000</v>
      </c>
      <c r="K409" s="76">
        <v>0</v>
      </c>
      <c r="L409" s="76">
        <f t="shared" si="20"/>
        <v>200000</v>
      </c>
      <c r="M409" s="217"/>
      <c r="N409" s="139"/>
      <c r="O409" s="215"/>
      <c r="P409" s="2"/>
    </row>
    <row r="410" spans="1:16" x14ac:dyDescent="0.2">
      <c r="C410">
        <v>7</v>
      </c>
      <c r="F410" s="9" t="s">
        <v>1317</v>
      </c>
      <c r="H410" t="s">
        <v>1318</v>
      </c>
      <c r="I410" s="76">
        <v>0</v>
      </c>
      <c r="K410" s="76">
        <v>20000</v>
      </c>
      <c r="L410" s="76">
        <f t="shared" si="20"/>
        <v>-20000</v>
      </c>
      <c r="M410" s="217"/>
      <c r="N410" s="139"/>
      <c r="O410" s="215"/>
      <c r="P410" s="2"/>
    </row>
    <row r="411" spans="1:16" x14ac:dyDescent="0.2">
      <c r="C411">
        <v>8</v>
      </c>
      <c r="F411" s="9" t="s">
        <v>297</v>
      </c>
      <c r="H411" t="s">
        <v>1319</v>
      </c>
      <c r="I411" s="76">
        <v>0</v>
      </c>
      <c r="K411" s="76">
        <v>210000</v>
      </c>
      <c r="L411" s="76">
        <f t="shared" si="20"/>
        <v>-210000</v>
      </c>
      <c r="M411" s="217"/>
      <c r="N411" s="139"/>
      <c r="O411" s="215"/>
      <c r="P411" s="2"/>
    </row>
    <row r="412" spans="1:16" ht="105" customHeight="1" x14ac:dyDescent="0.2">
      <c r="C412">
        <v>9</v>
      </c>
      <c r="F412" s="9" t="s">
        <v>1320</v>
      </c>
      <c r="H412" s="6" t="s">
        <v>1321</v>
      </c>
      <c r="I412" s="76">
        <v>0</v>
      </c>
      <c r="K412" s="76">
        <v>113000</v>
      </c>
      <c r="L412" s="76">
        <f t="shared" si="20"/>
        <v>-113000</v>
      </c>
      <c r="M412" s="217"/>
      <c r="N412" s="139"/>
      <c r="O412" s="215"/>
      <c r="P412" s="265" t="s">
        <v>1322</v>
      </c>
    </row>
    <row r="413" spans="1:16" ht="24" x14ac:dyDescent="0.2">
      <c r="C413">
        <v>10</v>
      </c>
      <c r="F413" s="9" t="s">
        <v>297</v>
      </c>
      <c r="H413" s="6" t="s">
        <v>1323</v>
      </c>
      <c r="I413" s="76">
        <v>175000</v>
      </c>
      <c r="K413" s="76">
        <v>550000</v>
      </c>
      <c r="L413" s="76">
        <f t="shared" si="20"/>
        <v>-375000</v>
      </c>
      <c r="M413" s="217"/>
      <c r="N413" s="139"/>
      <c r="O413" s="215"/>
      <c r="P413" s="2"/>
    </row>
    <row r="414" spans="1:16" x14ac:dyDescent="0.2">
      <c r="C414">
        <v>11</v>
      </c>
      <c r="F414" s="9" t="s">
        <v>1288</v>
      </c>
      <c r="H414" t="s">
        <v>1324</v>
      </c>
      <c r="I414" s="76">
        <v>124488</v>
      </c>
      <c r="K414" s="76">
        <v>114488</v>
      </c>
      <c r="L414" s="76">
        <f t="shared" si="20"/>
        <v>10000</v>
      </c>
      <c r="M414" s="217"/>
      <c r="N414" s="139"/>
      <c r="O414" s="215"/>
      <c r="P414" s="2"/>
    </row>
    <row r="415" spans="1:16" ht="56.25" x14ac:dyDescent="0.2">
      <c r="C415">
        <v>12</v>
      </c>
      <c r="F415" s="9" t="s">
        <v>589</v>
      </c>
      <c r="H415" t="s">
        <v>1325</v>
      </c>
      <c r="I415" s="76">
        <v>20000</v>
      </c>
      <c r="K415" s="76"/>
      <c r="L415" s="76">
        <f t="shared" si="20"/>
        <v>20000</v>
      </c>
      <c r="M415" s="217"/>
      <c r="N415" s="139"/>
      <c r="O415" s="215"/>
      <c r="P415" s="265" t="s">
        <v>1326</v>
      </c>
    </row>
    <row r="416" spans="1:16" x14ac:dyDescent="0.2">
      <c r="C416">
        <v>13</v>
      </c>
      <c r="F416" s="9" t="s">
        <v>1327</v>
      </c>
      <c r="H416" t="s">
        <v>1328</v>
      </c>
      <c r="I416" s="76">
        <v>6000</v>
      </c>
      <c r="K416" s="76">
        <v>4000</v>
      </c>
      <c r="L416" s="76">
        <f t="shared" si="20"/>
        <v>2000</v>
      </c>
      <c r="M416" s="217"/>
      <c r="N416" s="139"/>
      <c r="O416" s="215"/>
      <c r="P416" s="2"/>
    </row>
    <row r="417" spans="3:16" ht="33.75" x14ac:dyDescent="0.2">
      <c r="C417">
        <v>14</v>
      </c>
      <c r="F417" s="9" t="s">
        <v>1329</v>
      </c>
      <c r="H417" t="s">
        <v>1330</v>
      </c>
      <c r="I417" s="929">
        <f>50000+30000</f>
        <v>80000</v>
      </c>
      <c r="K417" s="76">
        <v>0</v>
      </c>
      <c r="L417" s="76">
        <f t="shared" si="20"/>
        <v>80000</v>
      </c>
      <c r="M417" s="217"/>
      <c r="N417" s="139"/>
      <c r="O417" s="215"/>
      <c r="P417" s="265" t="s">
        <v>1349</v>
      </c>
    </row>
    <row r="418" spans="3:16" ht="33.75" x14ac:dyDescent="0.2">
      <c r="C418">
        <v>15</v>
      </c>
      <c r="F418" s="9" t="s">
        <v>297</v>
      </c>
      <c r="H418" t="s">
        <v>1331</v>
      </c>
      <c r="I418" s="929">
        <f>90000+100000</f>
        <v>190000</v>
      </c>
      <c r="K418" s="76"/>
      <c r="L418" s="76">
        <f t="shared" si="20"/>
        <v>190000</v>
      </c>
      <c r="M418" s="217"/>
      <c r="N418" s="139"/>
      <c r="O418" s="215"/>
      <c r="P418" s="265" t="s">
        <v>1350</v>
      </c>
    </row>
    <row r="419" spans="3:16" ht="45" x14ac:dyDescent="0.2">
      <c r="C419">
        <v>16</v>
      </c>
      <c r="F419" s="9" t="s">
        <v>1332</v>
      </c>
      <c r="H419" t="s">
        <v>1295</v>
      </c>
      <c r="I419" s="76">
        <v>50000</v>
      </c>
      <c r="K419" s="76"/>
      <c r="L419" s="76">
        <f t="shared" si="20"/>
        <v>50000</v>
      </c>
      <c r="M419" s="217"/>
      <c r="N419" s="139"/>
      <c r="O419" s="215"/>
      <c r="P419" s="265" t="s">
        <v>1333</v>
      </c>
    </row>
    <row r="420" spans="3:16" ht="22.5" x14ac:dyDescent="0.2">
      <c r="C420">
        <v>17</v>
      </c>
      <c r="F420" s="9" t="s">
        <v>297</v>
      </c>
      <c r="H420" t="s">
        <v>1355</v>
      </c>
      <c r="I420" s="929">
        <f>75000-10000-55000</f>
        <v>10000</v>
      </c>
      <c r="K420" s="76"/>
      <c r="L420" s="76">
        <f>I420-K420</f>
        <v>10000</v>
      </c>
      <c r="M420" s="217"/>
      <c r="N420" s="139"/>
      <c r="O420" s="215"/>
      <c r="P420" s="265" t="s">
        <v>1351</v>
      </c>
    </row>
    <row r="421" spans="3:16" ht="90" x14ac:dyDescent="0.2">
      <c r="C421">
        <v>18</v>
      </c>
      <c r="F421" s="9" t="s">
        <v>589</v>
      </c>
      <c r="H421" s="6" t="s">
        <v>1296</v>
      </c>
      <c r="I421" s="76">
        <v>10000</v>
      </c>
      <c r="K421" s="76"/>
      <c r="L421" s="76">
        <f t="shared" si="20"/>
        <v>10000</v>
      </c>
      <c r="M421" s="217"/>
      <c r="N421" s="139"/>
      <c r="O421" s="215"/>
      <c r="P421" s="265" t="s">
        <v>1334</v>
      </c>
    </row>
    <row r="422" spans="3:16" ht="45" x14ac:dyDescent="0.2">
      <c r="C422">
        <v>19</v>
      </c>
      <c r="F422" s="9" t="s">
        <v>1335</v>
      </c>
      <c r="H422" t="s">
        <v>1297</v>
      </c>
      <c r="I422" s="76">
        <v>20000</v>
      </c>
      <c r="K422" s="76"/>
      <c r="L422" s="76">
        <f t="shared" si="20"/>
        <v>20000</v>
      </c>
      <c r="M422" s="217"/>
      <c r="N422" s="139"/>
      <c r="O422" s="215"/>
      <c r="P422" s="265" t="s">
        <v>1336</v>
      </c>
    </row>
    <row r="423" spans="3:16" x14ac:dyDescent="0.2">
      <c r="C423">
        <v>20</v>
      </c>
      <c r="F423" s="9" t="s">
        <v>297</v>
      </c>
      <c r="H423" t="s">
        <v>1298</v>
      </c>
      <c r="I423" s="76">
        <v>50000</v>
      </c>
      <c r="K423" s="76"/>
      <c r="L423" s="76">
        <f t="shared" si="20"/>
        <v>50000</v>
      </c>
      <c r="M423" s="217"/>
      <c r="N423" s="139"/>
      <c r="O423" s="215"/>
      <c r="P423" s="2"/>
    </row>
    <row r="424" spans="3:16" x14ac:dyDescent="0.2">
      <c r="C424">
        <v>21</v>
      </c>
      <c r="F424" s="9" t="s">
        <v>1288</v>
      </c>
      <c r="H424" t="s">
        <v>1337</v>
      </c>
      <c r="I424" s="76">
        <v>50000</v>
      </c>
      <c r="K424" s="76"/>
      <c r="L424" s="76">
        <f t="shared" si="20"/>
        <v>50000</v>
      </c>
      <c r="M424" s="217"/>
      <c r="N424" s="139"/>
      <c r="O424" s="215"/>
      <c r="P424" s="265" t="s">
        <v>1338</v>
      </c>
    </row>
    <row r="425" spans="3:16" ht="24" x14ac:dyDescent="0.2">
      <c r="C425">
        <v>22</v>
      </c>
      <c r="F425" s="9" t="s">
        <v>297</v>
      </c>
      <c r="H425" s="6" t="s">
        <v>1339</v>
      </c>
      <c r="I425" s="929">
        <f>10000+20000</f>
        <v>30000</v>
      </c>
      <c r="K425" s="76"/>
      <c r="L425" s="76">
        <f t="shared" si="20"/>
        <v>30000</v>
      </c>
      <c r="M425" s="217"/>
      <c r="N425" s="139"/>
      <c r="O425" s="215"/>
      <c r="P425" s="265" t="s">
        <v>1352</v>
      </c>
    </row>
    <row r="426" spans="3:16" ht="56.25" x14ac:dyDescent="0.2">
      <c r="C426">
        <v>23</v>
      </c>
      <c r="F426" s="9" t="s">
        <v>1341</v>
      </c>
      <c r="H426" t="s">
        <v>1340</v>
      </c>
      <c r="I426" s="76">
        <v>25000</v>
      </c>
      <c r="K426" s="76"/>
      <c r="L426" s="76">
        <f t="shared" si="20"/>
        <v>25000</v>
      </c>
      <c r="M426" s="217"/>
      <c r="N426" s="139"/>
      <c r="O426" s="215"/>
      <c r="P426" s="265" t="s">
        <v>1342</v>
      </c>
    </row>
    <row r="427" spans="3:16" ht="22.5" x14ac:dyDescent="0.2">
      <c r="C427">
        <v>24</v>
      </c>
      <c r="F427" s="9" t="s">
        <v>297</v>
      </c>
      <c r="H427" t="s">
        <v>1300</v>
      </c>
      <c r="I427" s="76">
        <v>15000</v>
      </c>
      <c r="K427" s="76"/>
      <c r="L427" s="76">
        <f t="shared" si="20"/>
        <v>15000</v>
      </c>
      <c r="M427" s="217"/>
      <c r="N427" s="139"/>
      <c r="O427" s="215"/>
      <c r="P427" s="265" t="s">
        <v>1343</v>
      </c>
    </row>
    <row r="428" spans="3:16" x14ac:dyDescent="0.2">
      <c r="C428">
        <v>25</v>
      </c>
      <c r="F428" s="9" t="s">
        <v>646</v>
      </c>
      <c r="H428" t="s">
        <v>1301</v>
      </c>
      <c r="I428" s="76">
        <v>20000</v>
      </c>
      <c r="K428" s="76"/>
      <c r="L428" s="76">
        <f t="shared" si="20"/>
        <v>20000</v>
      </c>
      <c r="M428" s="217"/>
      <c r="N428" s="139"/>
      <c r="O428" s="215"/>
      <c r="P428" s="2"/>
    </row>
    <row r="429" spans="3:16" x14ac:dyDescent="0.2">
      <c r="C429">
        <v>26</v>
      </c>
      <c r="F429" s="9" t="s">
        <v>1344</v>
      </c>
      <c r="H429" t="s">
        <v>1345</v>
      </c>
      <c r="I429" s="929">
        <f>61803-2499</f>
        <v>59304</v>
      </c>
      <c r="K429" s="76"/>
      <c r="L429" s="76">
        <f t="shared" si="20"/>
        <v>59304</v>
      </c>
      <c r="M429" s="217"/>
      <c r="N429" s="139"/>
      <c r="O429" s="215"/>
      <c r="P429" s="10" t="s">
        <v>1346</v>
      </c>
    </row>
    <row r="430" spans="3:16" x14ac:dyDescent="0.2">
      <c r="F430" s="9"/>
      <c r="I430" s="930"/>
      <c r="K430" s="930"/>
      <c r="L430" s="930">
        <f>SUM(L404:L429)</f>
        <v>-279559</v>
      </c>
      <c r="M430" s="217"/>
      <c r="N430" s="139"/>
      <c r="O430" s="215"/>
      <c r="P430" s="2"/>
    </row>
    <row r="431" spans="3:16" ht="12.75" thickBot="1" x14ac:dyDescent="0.25">
      <c r="F431" s="9"/>
      <c r="I431" s="76"/>
      <c r="K431" s="76"/>
      <c r="L431" s="76"/>
      <c r="M431" s="217"/>
      <c r="N431" s="139"/>
      <c r="O431" s="215"/>
      <c r="P431" s="2"/>
    </row>
    <row r="432" spans="3:16" ht="12.75" thickBot="1" x14ac:dyDescent="0.25">
      <c r="G432" s="820" t="s">
        <v>301</v>
      </c>
      <c r="H432" s="821" t="s">
        <v>1210</v>
      </c>
      <c r="I432" s="822" t="s">
        <v>679</v>
      </c>
      <c r="N432" s="139"/>
      <c r="O432" s="215"/>
      <c r="P432" s="2"/>
    </row>
    <row r="433" spans="1:25" s="45" customFormat="1" ht="60" x14ac:dyDescent="0.2">
      <c r="A433" s="736"/>
      <c r="B433" s="300"/>
      <c r="C433"/>
      <c r="D433"/>
      <c r="E433"/>
      <c r="F433" s="8"/>
      <c r="G433" s="823">
        <v>1</v>
      </c>
      <c r="H433" s="824" t="s">
        <v>1211</v>
      </c>
      <c r="I433" s="825" t="s">
        <v>1212</v>
      </c>
      <c r="J433"/>
      <c r="K433" s="11"/>
      <c r="L433"/>
      <c r="M433" s="7"/>
      <c r="N433" s="139"/>
      <c r="O433" s="7"/>
      <c r="P433" s="2"/>
      <c r="Q433" s="135"/>
      <c r="R433"/>
      <c r="S433"/>
      <c r="T433"/>
      <c r="U433"/>
      <c r="V433"/>
      <c r="W433"/>
      <c r="X433"/>
      <c r="Y433"/>
    </row>
    <row r="434" spans="1:25" ht="48" x14ac:dyDescent="0.2">
      <c r="G434" s="714">
        <v>2</v>
      </c>
      <c r="H434" s="826" t="s">
        <v>1213</v>
      </c>
      <c r="I434" s="827" t="s">
        <v>1214</v>
      </c>
      <c r="N434" s="139"/>
      <c r="P434" s="2"/>
    </row>
    <row r="435" spans="1:25" x14ac:dyDescent="0.2">
      <c r="G435" s="714">
        <v>3</v>
      </c>
      <c r="H435" s="826" t="s">
        <v>1215</v>
      </c>
      <c r="I435" s="828" t="s">
        <v>1216</v>
      </c>
      <c r="N435" s="139"/>
      <c r="P435" s="2"/>
    </row>
    <row r="436" spans="1:25" ht="96" x14ac:dyDescent="0.2">
      <c r="G436" s="714">
        <v>4</v>
      </c>
      <c r="H436" s="826" t="s">
        <v>1217</v>
      </c>
      <c r="I436" s="829" t="s">
        <v>1218</v>
      </c>
      <c r="N436" s="139"/>
      <c r="P436" s="2"/>
    </row>
    <row r="437" spans="1:25" ht="72" x14ac:dyDescent="0.2">
      <c r="G437" s="714">
        <v>5</v>
      </c>
      <c r="H437" s="826" t="s">
        <v>1219</v>
      </c>
      <c r="I437" s="829" t="s">
        <v>1220</v>
      </c>
      <c r="N437" s="139"/>
      <c r="P437" s="2"/>
    </row>
    <row r="438" spans="1:25" ht="24" x14ac:dyDescent="0.2">
      <c r="G438" s="714">
        <v>6</v>
      </c>
      <c r="H438" s="826" t="s">
        <v>1221</v>
      </c>
      <c r="I438" s="827" t="s">
        <v>1222</v>
      </c>
      <c r="N438" s="139"/>
      <c r="P438" s="2"/>
    </row>
    <row r="439" spans="1:25" ht="24" x14ac:dyDescent="0.2">
      <c r="G439" s="714">
        <v>7</v>
      </c>
      <c r="H439" s="826" t="s">
        <v>1223</v>
      </c>
      <c r="I439" s="660" t="s">
        <v>1224</v>
      </c>
      <c r="N439" s="139"/>
      <c r="P439" s="2"/>
    </row>
    <row r="440" spans="1:25" ht="24" x14ac:dyDescent="0.2">
      <c r="G440" s="714">
        <v>8</v>
      </c>
      <c r="H440" s="826" t="s">
        <v>1225</v>
      </c>
      <c r="I440" s="660" t="s">
        <v>1224</v>
      </c>
      <c r="N440" s="139"/>
      <c r="P440" s="2"/>
    </row>
    <row r="441" spans="1:25" ht="24" x14ac:dyDescent="0.2">
      <c r="G441" s="714">
        <v>9</v>
      </c>
      <c r="H441" s="826" t="s">
        <v>1226</v>
      </c>
      <c r="I441" s="660" t="s">
        <v>1224</v>
      </c>
      <c r="N441" s="139"/>
      <c r="P441" s="2"/>
    </row>
    <row r="442" spans="1:25" ht="36" x14ac:dyDescent="0.2">
      <c r="G442" s="714">
        <v>10</v>
      </c>
      <c r="H442" s="826" t="s">
        <v>1227</v>
      </c>
      <c r="I442" s="660" t="s">
        <v>1224</v>
      </c>
      <c r="N442" s="139"/>
      <c r="P442" s="2"/>
    </row>
    <row r="443" spans="1:25" ht="24" x14ac:dyDescent="0.2">
      <c r="G443" s="714">
        <v>11</v>
      </c>
      <c r="H443" s="826" t="s">
        <v>1228</v>
      </c>
      <c r="I443" s="661"/>
      <c r="N443" s="139"/>
      <c r="P443" s="2"/>
    </row>
    <row r="444" spans="1:25" ht="24" x14ac:dyDescent="0.2">
      <c r="G444" s="714">
        <v>12</v>
      </c>
      <c r="H444" s="826" t="s">
        <v>1229</v>
      </c>
      <c r="I444" s="660" t="s">
        <v>1224</v>
      </c>
      <c r="N444" s="139"/>
    </row>
    <row r="445" spans="1:25" ht="24" x14ac:dyDescent="0.2">
      <c r="G445" s="714">
        <v>13</v>
      </c>
      <c r="H445" s="826" t="s">
        <v>1230</v>
      </c>
      <c r="I445" s="660" t="s">
        <v>1224</v>
      </c>
      <c r="N445" s="139"/>
    </row>
    <row r="446" spans="1:25" ht="48" x14ac:dyDescent="0.2">
      <c r="G446" s="714">
        <v>14</v>
      </c>
      <c r="H446" s="826" t="s">
        <v>1231</v>
      </c>
      <c r="I446" s="828" t="s">
        <v>1216</v>
      </c>
      <c r="N446" s="139"/>
    </row>
    <row r="447" spans="1:25" ht="24" x14ac:dyDescent="0.2">
      <c r="G447" s="714">
        <v>15</v>
      </c>
      <c r="H447" s="826" t="s">
        <v>1232</v>
      </c>
      <c r="I447" s="660" t="s">
        <v>1224</v>
      </c>
    </row>
    <row r="448" spans="1:25" ht="24" x14ac:dyDescent="0.2">
      <c r="G448" s="714">
        <v>16</v>
      </c>
      <c r="H448" s="826" t="s">
        <v>1233</v>
      </c>
      <c r="I448" s="660" t="s">
        <v>1224</v>
      </c>
    </row>
    <row r="449" spans="1:17" ht="24" x14ac:dyDescent="0.2">
      <c r="G449" s="714">
        <v>17</v>
      </c>
      <c r="H449" s="826" t="s">
        <v>1234</v>
      </c>
      <c r="I449" s="827" t="s">
        <v>1222</v>
      </c>
    </row>
    <row r="450" spans="1:17" ht="36" x14ac:dyDescent="0.2">
      <c r="G450" s="714">
        <v>18</v>
      </c>
      <c r="H450" s="826" t="s">
        <v>1235</v>
      </c>
      <c r="I450" s="828" t="s">
        <v>1236</v>
      </c>
    </row>
    <row r="451" spans="1:17" ht="120" x14ac:dyDescent="0.2">
      <c r="G451" s="714">
        <v>19</v>
      </c>
      <c r="H451" s="826" t="s">
        <v>1237</v>
      </c>
      <c r="I451" s="829" t="s">
        <v>1238</v>
      </c>
    </row>
    <row r="452" spans="1:17" x14ac:dyDescent="0.2">
      <c r="G452" s="714">
        <v>20</v>
      </c>
      <c r="H452" s="826" t="s">
        <v>1239</v>
      </c>
      <c r="I452" s="830" t="s">
        <v>1240</v>
      </c>
    </row>
    <row r="453" spans="1:17" ht="36" x14ac:dyDescent="0.2">
      <c r="G453" s="714">
        <v>21</v>
      </c>
      <c r="H453" s="826" t="s">
        <v>1241</v>
      </c>
      <c r="I453" s="827" t="s">
        <v>1242</v>
      </c>
    </row>
    <row r="454" spans="1:17" ht="24" x14ac:dyDescent="0.2">
      <c r="G454" s="714">
        <v>22</v>
      </c>
      <c r="H454" s="826" t="s">
        <v>1243</v>
      </c>
      <c r="I454" s="828" t="s">
        <v>1216</v>
      </c>
    </row>
    <row r="455" spans="1:17" ht="24" x14ac:dyDescent="0.2">
      <c r="G455" s="714">
        <v>23</v>
      </c>
      <c r="H455" s="826" t="s">
        <v>1244</v>
      </c>
      <c r="I455" s="660" t="s">
        <v>1224</v>
      </c>
    </row>
    <row r="456" spans="1:17" ht="24" x14ac:dyDescent="0.2">
      <c r="G456" s="714">
        <v>24</v>
      </c>
      <c r="H456" s="826" t="s">
        <v>1245</v>
      </c>
      <c r="I456" s="660" t="s">
        <v>1224</v>
      </c>
    </row>
    <row r="457" spans="1:17" ht="24" x14ac:dyDescent="0.2">
      <c r="G457" s="714">
        <v>25</v>
      </c>
      <c r="H457" s="826" t="s">
        <v>1246</v>
      </c>
      <c r="I457" s="660" t="s">
        <v>1224</v>
      </c>
    </row>
    <row r="458" spans="1:17" ht="24" x14ac:dyDescent="0.2">
      <c r="G458" s="714">
        <v>26</v>
      </c>
      <c r="H458" s="826" t="s">
        <v>1247</v>
      </c>
      <c r="I458" s="660" t="s">
        <v>1224</v>
      </c>
    </row>
    <row r="459" spans="1:17" ht="24" x14ac:dyDescent="0.2">
      <c r="G459" s="714">
        <v>27</v>
      </c>
      <c r="H459" s="826" t="s">
        <v>1248</v>
      </c>
      <c r="I459" s="660" t="s">
        <v>1224</v>
      </c>
    </row>
    <row r="460" spans="1:17" ht="60" x14ac:dyDescent="0.2">
      <c r="G460" s="714">
        <v>28</v>
      </c>
      <c r="H460" s="826" t="s">
        <v>1249</v>
      </c>
      <c r="I460" s="829" t="s">
        <v>1250</v>
      </c>
    </row>
    <row r="462" spans="1:17" x14ac:dyDescent="0.2">
      <c r="I462" s="76"/>
      <c r="K462" s="217"/>
      <c r="L462" s="217"/>
      <c r="M462" s="217"/>
      <c r="N462" s="139"/>
      <c r="O462" s="215"/>
      <c r="P462" s="2"/>
    </row>
    <row r="463" spans="1:17" s="176" customFormat="1" ht="3.6" customHeight="1" x14ac:dyDescent="0.2">
      <c r="A463" s="729"/>
      <c r="B463" s="301"/>
      <c r="F463" s="8"/>
      <c r="I463" s="688"/>
      <c r="M463" s="177"/>
      <c r="N463" s="139"/>
      <c r="O463" s="215"/>
      <c r="P463" s="2"/>
      <c r="Q463" s="135"/>
    </row>
    <row r="464" spans="1:17" x14ac:dyDescent="0.2">
      <c r="F464" s="175" t="s">
        <v>603</v>
      </c>
      <c r="I464" s="9"/>
      <c r="N464" s="139"/>
      <c r="O464" s="215"/>
      <c r="P464" s="2"/>
    </row>
    <row r="465" spans="1:20" ht="24" customHeight="1" x14ac:dyDescent="0.2">
      <c r="C465" s="1103" t="s">
        <v>301</v>
      </c>
      <c r="D465" s="1103" t="s">
        <v>259</v>
      </c>
      <c r="E465" s="1103" t="s">
        <v>260</v>
      </c>
      <c r="F465" s="1107" t="s">
        <v>459</v>
      </c>
      <c r="G465" s="1103" t="s">
        <v>443</v>
      </c>
      <c r="H465" s="1108" t="s">
        <v>444</v>
      </c>
      <c r="I465" s="1104" t="s">
        <v>345</v>
      </c>
      <c r="J465" s="165"/>
      <c r="K465" s="1102" t="s">
        <v>450</v>
      </c>
      <c r="L465" s="1102"/>
      <c r="M465" s="1102"/>
      <c r="N465" s="139"/>
      <c r="O465" s="215"/>
      <c r="P465" s="2"/>
    </row>
    <row r="466" spans="1:20" ht="29.25" customHeight="1" x14ac:dyDescent="0.2">
      <c r="C466" s="1103"/>
      <c r="D466" s="1103"/>
      <c r="E466" s="1103"/>
      <c r="F466" s="1107"/>
      <c r="G466" s="1103"/>
      <c r="H466" s="1109"/>
      <c r="I466" s="1104"/>
      <c r="J466" s="165"/>
      <c r="K466" s="173" t="s">
        <v>229</v>
      </c>
      <c r="L466" s="173" t="s">
        <v>344</v>
      </c>
      <c r="M466" s="174" t="s">
        <v>305</v>
      </c>
      <c r="N466" s="139"/>
      <c r="O466" s="215"/>
      <c r="P466" s="2"/>
    </row>
    <row r="467" spans="1:20" s="9" customFormat="1" ht="12.75" thickBot="1" x14ac:dyDescent="0.25">
      <c r="A467" s="733"/>
      <c r="C467" s="248"/>
      <c r="D467" s="248"/>
      <c r="E467" s="248"/>
      <c r="F467" s="248"/>
      <c r="G467" s="248"/>
      <c r="H467" s="629"/>
      <c r="I467" s="689">
        <f>SUM(K467:M467)</f>
        <v>0</v>
      </c>
      <c r="J467" s="422"/>
      <c r="K467" s="429"/>
      <c r="L467" s="421"/>
      <c r="M467" s="421"/>
      <c r="N467" s="139"/>
      <c r="O467" s="215"/>
      <c r="P467" s="2"/>
      <c r="T467"/>
    </row>
    <row r="468" spans="1:20" s="9" customFormat="1" ht="12.75" thickTop="1" x14ac:dyDescent="0.2">
      <c r="A468" s="733"/>
      <c r="B468" s="300" t="s">
        <v>608</v>
      </c>
      <c r="C468" s="137"/>
      <c r="D468" s="137"/>
      <c r="E468" s="137"/>
      <c r="F468" s="445"/>
      <c r="G468" s="137"/>
      <c r="H468" s="133"/>
      <c r="I468" s="136">
        <f>SUM(K468:M468)</f>
        <v>0</v>
      </c>
      <c r="J468" s="139"/>
      <c r="K468" s="136"/>
      <c r="L468" s="132"/>
      <c r="M468" s="132"/>
      <c r="N468" s="139"/>
      <c r="O468" s="215"/>
      <c r="P468" s="2"/>
      <c r="Q468" s="146"/>
      <c r="T468"/>
    </row>
    <row r="469" spans="1:20" x14ac:dyDescent="0.2">
      <c r="I469" s="168">
        <f>SUM(I467:I468)</f>
        <v>0</v>
      </c>
      <c r="J469" s="139"/>
      <c r="K469" s="168">
        <f>SUM(K467:K468)</f>
        <v>0</v>
      </c>
      <c r="L469" s="168"/>
      <c r="M469" s="168"/>
      <c r="N469" s="139"/>
      <c r="O469" s="215"/>
      <c r="P469" s="2"/>
    </row>
    <row r="470" spans="1:20" x14ac:dyDescent="0.2">
      <c r="A470" s="729" t="s">
        <v>608</v>
      </c>
      <c r="I470" s="222"/>
      <c r="J470" s="139"/>
      <c r="K470" s="222"/>
      <c r="L470" s="222"/>
      <c r="M470" s="222"/>
      <c r="N470" s="139"/>
      <c r="O470" s="215"/>
      <c r="P470" s="2"/>
    </row>
  </sheetData>
  <autoFilter ref="A208:Y393" xr:uid="{34A192B1-81F0-4FC0-97F9-946F07D61EF1}">
    <filterColumn colId="0">
      <filters blank="1">
        <filter val="1"/>
      </filters>
    </filterColumn>
  </autoFilter>
  <mergeCells count="39">
    <mergeCell ref="C97:C98"/>
    <mergeCell ref="O97:O98"/>
    <mergeCell ref="K465:M465"/>
    <mergeCell ref="H38:H39"/>
    <mergeCell ref="G465:G466"/>
    <mergeCell ref="I465:I466"/>
    <mergeCell ref="I207:I208"/>
    <mergeCell ref="K128:M128"/>
    <mergeCell ref="C465:C466"/>
    <mergeCell ref="D465:D466"/>
    <mergeCell ref="E465:E466"/>
    <mergeCell ref="F465:F466"/>
    <mergeCell ref="H465:H466"/>
    <mergeCell ref="C207:C208"/>
    <mergeCell ref="K207:M207"/>
    <mergeCell ref="C128:C129"/>
    <mergeCell ref="H128:H129"/>
    <mergeCell ref="I128:I129"/>
    <mergeCell ref="D207:D208"/>
    <mergeCell ref="E207:E208"/>
    <mergeCell ref="F207:F208"/>
    <mergeCell ref="G207:G208"/>
    <mergeCell ref="H207:H208"/>
    <mergeCell ref="O58:O59"/>
    <mergeCell ref="O105:O111"/>
    <mergeCell ref="O38:O39"/>
    <mergeCell ref="B38:B39"/>
    <mergeCell ref="B128:B129"/>
    <mergeCell ref="I38:I39"/>
    <mergeCell ref="D128:D129"/>
    <mergeCell ref="E128:E129"/>
    <mergeCell ref="F128:F129"/>
    <mergeCell ref="C38:C39"/>
    <mergeCell ref="D38:D39"/>
    <mergeCell ref="E38:E39"/>
    <mergeCell ref="F38:F39"/>
    <mergeCell ref="G38:G39"/>
    <mergeCell ref="G128:G129"/>
    <mergeCell ref="K38:M38"/>
  </mergeCells>
  <phoneticPr fontId="83" type="noConversion"/>
  <pageMargins left="0.25" right="0.25" top="0.75" bottom="0.75" header="0.3" footer="0.3"/>
  <pageSetup paperSize="9" scale="10" orientation="portrait" r:id="rId1"/>
  <rowBreaks count="3" manualBreakCount="3">
    <brk id="37" max="16383" man="1"/>
    <brk id="126" max="16383" man="1"/>
    <brk id="397"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0">
    <tabColor rgb="FF92D050"/>
  </sheetPr>
  <dimension ref="A1:V321"/>
  <sheetViews>
    <sheetView zoomScale="106" zoomScaleNormal="106" zoomScaleSheetLayoutView="80" workbookViewId="0">
      <pane xSplit="4" ySplit="5" topLeftCell="E6" activePane="bottomRight" state="frozen"/>
      <selection activeCell="C1" sqref="C1"/>
      <selection pane="topRight" activeCell="E1" sqref="E1"/>
      <selection pane="bottomLeft" activeCell="C6" sqref="C6"/>
      <selection pane="bottomRight" activeCell="L43" sqref="L43"/>
    </sheetView>
  </sheetViews>
  <sheetFormatPr defaultRowHeight="15" outlineLevelRow="1" outlineLevelCol="2" x14ac:dyDescent="0.25"/>
  <cols>
    <col min="1" max="1" width="7.85546875" style="12" hidden="1" customWidth="1" outlineLevel="2"/>
    <col min="2" max="2" width="11.42578125" style="12" hidden="1" customWidth="1" outlineLevel="2"/>
    <col min="3" max="3" width="15" style="14" customWidth="1" collapsed="1"/>
    <col min="4" max="4" width="44" style="13" customWidth="1"/>
    <col min="5" max="5" width="14.85546875" style="110" customWidth="1"/>
    <col min="6" max="6" width="14.85546875" style="110" customWidth="1" collapsed="1"/>
    <col min="7" max="7" width="14.85546875" style="12" customWidth="1"/>
    <col min="8" max="8" width="50.85546875" style="1" customWidth="1" collapsed="1"/>
    <col min="9" max="9" width="14.85546875" style="12" customWidth="1" outlineLevel="1" collapsed="1"/>
    <col min="10" max="10" width="14.85546875" style="587" customWidth="1" outlineLevel="1" collapsed="1"/>
    <col min="11" max="11" width="45.85546875" style="12" customWidth="1" outlineLevel="1" collapsed="1"/>
    <col min="12" max="12" width="9.140625" style="12" bestFit="1" customWidth="1"/>
    <col min="13" max="13" width="12" style="12" bestFit="1" customWidth="1"/>
    <col min="14" max="14" width="11.7109375" style="12" bestFit="1" customWidth="1"/>
    <col min="15" max="16" width="9.140625" style="12" bestFit="1" customWidth="1"/>
    <col min="17" max="177" width="9" style="12"/>
    <col min="178" max="179" width="0" style="12" hidden="1" customWidth="1"/>
    <col min="180" max="180" width="13.7109375" style="12" customWidth="1"/>
    <col min="181" max="181" width="52.85546875" style="12" customWidth="1"/>
    <col min="182" max="221" width="0" style="12" hidden="1" customWidth="1"/>
    <col min="222" max="223" width="14.85546875" style="12" customWidth="1"/>
    <col min="224" max="225" width="0" style="12" hidden="1" customWidth="1"/>
    <col min="226" max="226" width="14.85546875" style="12" customWidth="1"/>
    <col min="227" max="228" width="0" style="12" hidden="1" customWidth="1"/>
    <col min="229" max="229" width="14.85546875" style="12" customWidth="1"/>
    <col min="230" max="231" width="0" style="12" hidden="1" customWidth="1"/>
    <col min="232" max="232" width="14.85546875" style="12" customWidth="1"/>
    <col min="233" max="234" width="0" style="12" hidden="1" customWidth="1"/>
    <col min="235" max="235" width="14.85546875" style="12" customWidth="1"/>
    <col min="236" max="237" width="0" style="12" hidden="1" customWidth="1"/>
    <col min="238" max="239" width="14.85546875" style="12" customWidth="1"/>
    <col min="240" max="240" width="44.42578125" style="12" customWidth="1"/>
    <col min="241" max="245" width="14.85546875" style="12" customWidth="1"/>
    <col min="246" max="246" width="63.85546875" style="12" customWidth="1"/>
    <col min="247" max="247" width="13.28515625" style="12" customWidth="1"/>
    <col min="248" max="433" width="9" style="12"/>
    <col min="434" max="435" width="0" style="12" hidden="1" customWidth="1"/>
    <col min="436" max="436" width="13.7109375" style="12" customWidth="1"/>
    <col min="437" max="437" width="52.85546875" style="12" customWidth="1"/>
    <col min="438" max="477" width="0" style="12" hidden="1" customWidth="1"/>
    <col min="478" max="479" width="14.85546875" style="12" customWidth="1"/>
    <col min="480" max="481" width="0" style="12" hidden="1" customWidth="1"/>
    <col min="482" max="482" width="14.85546875" style="12" customWidth="1"/>
    <col min="483" max="484" width="0" style="12" hidden="1" customWidth="1"/>
    <col min="485" max="485" width="14.85546875" style="12" customWidth="1"/>
    <col min="486" max="487" width="0" style="12" hidden="1" customWidth="1"/>
    <col min="488" max="488" width="14.85546875" style="12" customWidth="1"/>
    <col min="489" max="490" width="0" style="12" hidden="1" customWidth="1"/>
    <col min="491" max="491" width="14.85546875" style="12" customWidth="1"/>
    <col min="492" max="493" width="0" style="12" hidden="1" customWidth="1"/>
    <col min="494" max="495" width="14.85546875" style="12" customWidth="1"/>
    <col min="496" max="496" width="44.42578125" style="12" customWidth="1"/>
    <col min="497" max="501" width="14.85546875" style="12" customWidth="1"/>
    <col min="502" max="502" width="63.85546875" style="12" customWidth="1"/>
    <col min="503" max="503" width="13.28515625" style="12" customWidth="1"/>
    <col min="504" max="689" width="9" style="12"/>
    <col min="690" max="691" width="0" style="12" hidden="1" customWidth="1"/>
    <col min="692" max="692" width="13.7109375" style="12" customWidth="1"/>
    <col min="693" max="693" width="52.85546875" style="12" customWidth="1"/>
    <col min="694" max="733" width="0" style="12" hidden="1" customWidth="1"/>
    <col min="734" max="735" width="14.85546875" style="12" customWidth="1"/>
    <col min="736" max="737" width="0" style="12" hidden="1" customWidth="1"/>
    <col min="738" max="738" width="14.85546875" style="12" customWidth="1"/>
    <col min="739" max="740" width="0" style="12" hidden="1" customWidth="1"/>
    <col min="741" max="741" width="14.85546875" style="12" customWidth="1"/>
    <col min="742" max="743" width="0" style="12" hidden="1" customWidth="1"/>
    <col min="744" max="744" width="14.85546875" style="12" customWidth="1"/>
    <col min="745" max="746" width="0" style="12" hidden="1" customWidth="1"/>
    <col min="747" max="747" width="14.85546875" style="12" customWidth="1"/>
    <col min="748" max="749" width="0" style="12" hidden="1" customWidth="1"/>
    <col min="750" max="751" width="14.85546875" style="12" customWidth="1"/>
    <col min="752" max="752" width="44.42578125" style="12" customWidth="1"/>
    <col min="753" max="757" width="14.85546875" style="12" customWidth="1"/>
    <col min="758" max="758" width="63.85546875" style="12" customWidth="1"/>
    <col min="759" max="759" width="13.28515625" style="12" customWidth="1"/>
    <col min="760" max="945" width="9" style="12"/>
    <col min="946" max="947" width="0" style="12" hidden="1" customWidth="1"/>
    <col min="948" max="948" width="13.7109375" style="12" customWidth="1"/>
    <col min="949" max="949" width="52.85546875" style="12" customWidth="1"/>
    <col min="950" max="989" width="0" style="12" hidden="1" customWidth="1"/>
    <col min="990" max="991" width="14.85546875" style="12" customWidth="1"/>
    <col min="992" max="993" width="0" style="12" hidden="1" customWidth="1"/>
    <col min="994" max="994" width="14.85546875" style="12" customWidth="1"/>
    <col min="995" max="996" width="0" style="12" hidden="1" customWidth="1"/>
    <col min="997" max="997" width="14.85546875" style="12" customWidth="1"/>
    <col min="998" max="999" width="0" style="12" hidden="1" customWidth="1"/>
    <col min="1000" max="1000" width="14.85546875" style="12" customWidth="1"/>
    <col min="1001" max="1002" width="0" style="12" hidden="1" customWidth="1"/>
    <col min="1003" max="1003" width="14.85546875" style="12" customWidth="1"/>
    <col min="1004" max="1005" width="0" style="12" hidden="1" customWidth="1"/>
    <col min="1006" max="1007" width="14.85546875" style="12" customWidth="1"/>
    <col min="1008" max="1008" width="44.42578125" style="12" customWidth="1"/>
    <col min="1009" max="1013" width="14.85546875" style="12" customWidth="1"/>
    <col min="1014" max="1014" width="63.85546875" style="12" customWidth="1"/>
    <col min="1015" max="1015" width="13.28515625" style="12" customWidth="1"/>
    <col min="1016" max="1201" width="9" style="12"/>
    <col min="1202" max="1203" width="0" style="12" hidden="1" customWidth="1"/>
    <col min="1204" max="1204" width="13.7109375" style="12" customWidth="1"/>
    <col min="1205" max="1205" width="52.85546875" style="12" customWidth="1"/>
    <col min="1206" max="1245" width="0" style="12" hidden="1" customWidth="1"/>
    <col min="1246" max="1247" width="14.85546875" style="12" customWidth="1"/>
    <col min="1248" max="1249" width="0" style="12" hidden="1" customWidth="1"/>
    <col min="1250" max="1250" width="14.85546875" style="12" customWidth="1"/>
    <col min="1251" max="1252" width="0" style="12" hidden="1" customWidth="1"/>
    <col min="1253" max="1253" width="14.85546875" style="12" customWidth="1"/>
    <col min="1254" max="1255" width="0" style="12" hidden="1" customWidth="1"/>
    <col min="1256" max="1256" width="14.85546875" style="12" customWidth="1"/>
    <col min="1257" max="1258" width="0" style="12" hidden="1" customWidth="1"/>
    <col min="1259" max="1259" width="14.85546875" style="12" customWidth="1"/>
    <col min="1260" max="1261" width="0" style="12" hidden="1" customWidth="1"/>
    <col min="1262" max="1263" width="14.85546875" style="12" customWidth="1"/>
    <col min="1264" max="1264" width="44.42578125" style="12" customWidth="1"/>
    <col min="1265" max="1269" width="14.85546875" style="12" customWidth="1"/>
    <col min="1270" max="1270" width="63.85546875" style="12" customWidth="1"/>
    <col min="1271" max="1271" width="13.28515625" style="12" customWidth="1"/>
    <col min="1272" max="1457" width="9" style="12"/>
    <col min="1458" max="1459" width="0" style="12" hidden="1" customWidth="1"/>
    <col min="1460" max="1460" width="13.7109375" style="12" customWidth="1"/>
    <col min="1461" max="1461" width="52.85546875" style="12" customWidth="1"/>
    <col min="1462" max="1501" width="0" style="12" hidden="1" customWidth="1"/>
    <col min="1502" max="1503" width="14.85546875" style="12" customWidth="1"/>
    <col min="1504" max="1505" width="0" style="12" hidden="1" customWidth="1"/>
    <col min="1506" max="1506" width="14.85546875" style="12" customWidth="1"/>
    <col min="1507" max="1508" width="0" style="12" hidden="1" customWidth="1"/>
    <col min="1509" max="1509" width="14.85546875" style="12" customWidth="1"/>
    <col min="1510" max="1511" width="0" style="12" hidden="1" customWidth="1"/>
    <col min="1512" max="1512" width="14.85546875" style="12" customWidth="1"/>
    <col min="1513" max="1514" width="0" style="12" hidden="1" customWidth="1"/>
    <col min="1515" max="1515" width="14.85546875" style="12" customWidth="1"/>
    <col min="1516" max="1517" width="0" style="12" hidden="1" customWidth="1"/>
    <col min="1518" max="1519" width="14.85546875" style="12" customWidth="1"/>
    <col min="1520" max="1520" width="44.42578125" style="12" customWidth="1"/>
    <col min="1521" max="1525" width="14.85546875" style="12" customWidth="1"/>
    <col min="1526" max="1526" width="63.85546875" style="12" customWidth="1"/>
    <col min="1527" max="1527" width="13.28515625" style="12" customWidth="1"/>
    <col min="1528" max="1713" width="9" style="12"/>
    <col min="1714" max="1715" width="0" style="12" hidden="1" customWidth="1"/>
    <col min="1716" max="1716" width="13.7109375" style="12" customWidth="1"/>
    <col min="1717" max="1717" width="52.85546875" style="12" customWidth="1"/>
    <col min="1718" max="1757" width="0" style="12" hidden="1" customWidth="1"/>
    <col min="1758" max="1759" width="14.85546875" style="12" customWidth="1"/>
    <col min="1760" max="1761" width="0" style="12" hidden="1" customWidth="1"/>
    <col min="1762" max="1762" width="14.85546875" style="12" customWidth="1"/>
    <col min="1763" max="1764" width="0" style="12" hidden="1" customWidth="1"/>
    <col min="1765" max="1765" width="14.85546875" style="12" customWidth="1"/>
    <col min="1766" max="1767" width="0" style="12" hidden="1" customWidth="1"/>
    <col min="1768" max="1768" width="14.85546875" style="12" customWidth="1"/>
    <col min="1769" max="1770" width="0" style="12" hidden="1" customWidth="1"/>
    <col min="1771" max="1771" width="14.85546875" style="12" customWidth="1"/>
    <col min="1772" max="1773" width="0" style="12" hidden="1" customWidth="1"/>
    <col min="1774" max="1775" width="14.85546875" style="12" customWidth="1"/>
    <col min="1776" max="1776" width="44.42578125" style="12" customWidth="1"/>
    <col min="1777" max="1781" width="14.85546875" style="12" customWidth="1"/>
    <col min="1782" max="1782" width="63.85546875" style="12" customWidth="1"/>
    <col min="1783" max="1783" width="13.28515625" style="12" customWidth="1"/>
    <col min="1784" max="1969" width="9" style="12"/>
    <col min="1970" max="1971" width="0" style="12" hidden="1" customWidth="1"/>
    <col min="1972" max="1972" width="13.7109375" style="12" customWidth="1"/>
    <col min="1973" max="1973" width="52.85546875" style="12" customWidth="1"/>
    <col min="1974" max="2013" width="0" style="12" hidden="1" customWidth="1"/>
    <col min="2014" max="2015" width="14.85546875" style="12" customWidth="1"/>
    <col min="2016" max="2017" width="0" style="12" hidden="1" customWidth="1"/>
    <col min="2018" max="2018" width="14.85546875" style="12" customWidth="1"/>
    <col min="2019" max="2020" width="0" style="12" hidden="1" customWidth="1"/>
    <col min="2021" max="2021" width="14.85546875" style="12" customWidth="1"/>
    <col min="2022" max="2023" width="0" style="12" hidden="1" customWidth="1"/>
    <col min="2024" max="2024" width="14.85546875" style="12" customWidth="1"/>
    <col min="2025" max="2026" width="0" style="12" hidden="1" customWidth="1"/>
    <col min="2027" max="2027" width="14.85546875" style="12" customWidth="1"/>
    <col min="2028" max="2029" width="0" style="12" hidden="1" customWidth="1"/>
    <col min="2030" max="2031" width="14.85546875" style="12" customWidth="1"/>
    <col min="2032" max="2032" width="44.42578125" style="12" customWidth="1"/>
    <col min="2033" max="2037" width="14.85546875" style="12" customWidth="1"/>
    <col min="2038" max="2038" width="63.85546875" style="12" customWidth="1"/>
    <col min="2039" max="2039" width="13.28515625" style="12" customWidth="1"/>
    <col min="2040" max="2225" width="9" style="12"/>
    <col min="2226" max="2227" width="0" style="12" hidden="1" customWidth="1"/>
    <col min="2228" max="2228" width="13.7109375" style="12" customWidth="1"/>
    <col min="2229" max="2229" width="52.85546875" style="12" customWidth="1"/>
    <col min="2230" max="2269" width="0" style="12" hidden="1" customWidth="1"/>
    <col min="2270" max="2271" width="14.85546875" style="12" customWidth="1"/>
    <col min="2272" max="2273" width="0" style="12" hidden="1" customWidth="1"/>
    <col min="2274" max="2274" width="14.85546875" style="12" customWidth="1"/>
    <col min="2275" max="2276" width="0" style="12" hidden="1" customWidth="1"/>
    <col min="2277" max="2277" width="14.85546875" style="12" customWidth="1"/>
    <col min="2278" max="2279" width="0" style="12" hidden="1" customWidth="1"/>
    <col min="2280" max="2280" width="14.85546875" style="12" customWidth="1"/>
    <col min="2281" max="2282" width="0" style="12" hidden="1" customWidth="1"/>
    <col min="2283" max="2283" width="14.85546875" style="12" customWidth="1"/>
    <col min="2284" max="2285" width="0" style="12" hidden="1" customWidth="1"/>
    <col min="2286" max="2287" width="14.85546875" style="12" customWidth="1"/>
    <col min="2288" max="2288" width="44.42578125" style="12" customWidth="1"/>
    <col min="2289" max="2293" width="14.85546875" style="12" customWidth="1"/>
    <col min="2294" max="2294" width="63.85546875" style="12" customWidth="1"/>
    <col min="2295" max="2295" width="13.28515625" style="12" customWidth="1"/>
    <col min="2296" max="2481" width="9" style="12"/>
    <col min="2482" max="2483" width="0" style="12" hidden="1" customWidth="1"/>
    <col min="2484" max="2484" width="13.7109375" style="12" customWidth="1"/>
    <col min="2485" max="2485" width="52.85546875" style="12" customWidth="1"/>
    <col min="2486" max="2525" width="0" style="12" hidden="1" customWidth="1"/>
    <col min="2526" max="2527" width="14.85546875" style="12" customWidth="1"/>
    <col min="2528" max="2529" width="0" style="12" hidden="1" customWidth="1"/>
    <col min="2530" max="2530" width="14.85546875" style="12" customWidth="1"/>
    <col min="2531" max="2532" width="0" style="12" hidden="1" customWidth="1"/>
    <col min="2533" max="2533" width="14.85546875" style="12" customWidth="1"/>
    <col min="2534" max="2535" width="0" style="12" hidden="1" customWidth="1"/>
    <col min="2536" max="2536" width="14.85546875" style="12" customWidth="1"/>
    <col min="2537" max="2538" width="0" style="12" hidden="1" customWidth="1"/>
    <col min="2539" max="2539" width="14.85546875" style="12" customWidth="1"/>
    <col min="2540" max="2541" width="0" style="12" hidden="1" customWidth="1"/>
    <col min="2542" max="2543" width="14.85546875" style="12" customWidth="1"/>
    <col min="2544" max="2544" width="44.42578125" style="12" customWidth="1"/>
    <col min="2545" max="2549" width="14.85546875" style="12" customWidth="1"/>
    <col min="2550" max="2550" width="63.85546875" style="12" customWidth="1"/>
    <col min="2551" max="2551" width="13.28515625" style="12" customWidth="1"/>
    <col min="2552" max="2737" width="9" style="12"/>
    <col min="2738" max="2739" width="0" style="12" hidden="1" customWidth="1"/>
    <col min="2740" max="2740" width="13.7109375" style="12" customWidth="1"/>
    <col min="2741" max="2741" width="52.85546875" style="12" customWidth="1"/>
    <col min="2742" max="2781" width="0" style="12" hidden="1" customWidth="1"/>
    <col min="2782" max="2783" width="14.85546875" style="12" customWidth="1"/>
    <col min="2784" max="2785" width="0" style="12" hidden="1" customWidth="1"/>
    <col min="2786" max="2786" width="14.85546875" style="12" customWidth="1"/>
    <col min="2787" max="2788" width="0" style="12" hidden="1" customWidth="1"/>
    <col min="2789" max="2789" width="14.85546875" style="12" customWidth="1"/>
    <col min="2790" max="2791" width="0" style="12" hidden="1" customWidth="1"/>
    <col min="2792" max="2792" width="14.85546875" style="12" customWidth="1"/>
    <col min="2793" max="2794" width="0" style="12" hidden="1" customWidth="1"/>
    <col min="2795" max="2795" width="14.85546875" style="12" customWidth="1"/>
    <col min="2796" max="2797" width="0" style="12" hidden="1" customWidth="1"/>
    <col min="2798" max="2799" width="14.85546875" style="12" customWidth="1"/>
    <col min="2800" max="2800" width="44.42578125" style="12" customWidth="1"/>
    <col min="2801" max="2805" width="14.85546875" style="12" customWidth="1"/>
    <col min="2806" max="2806" width="63.85546875" style="12" customWidth="1"/>
    <col min="2807" max="2807" width="13.28515625" style="12" customWidth="1"/>
    <col min="2808" max="2993" width="9" style="12"/>
    <col min="2994" max="2995" width="0" style="12" hidden="1" customWidth="1"/>
    <col min="2996" max="2996" width="13.7109375" style="12" customWidth="1"/>
    <col min="2997" max="2997" width="52.85546875" style="12" customWidth="1"/>
    <col min="2998" max="3037" width="0" style="12" hidden="1" customWidth="1"/>
    <col min="3038" max="3039" width="14.85546875" style="12" customWidth="1"/>
    <col min="3040" max="3041" width="0" style="12" hidden="1" customWidth="1"/>
    <col min="3042" max="3042" width="14.85546875" style="12" customWidth="1"/>
    <col min="3043" max="3044" width="0" style="12" hidden="1" customWidth="1"/>
    <col min="3045" max="3045" width="14.85546875" style="12" customWidth="1"/>
    <col min="3046" max="3047" width="0" style="12" hidden="1" customWidth="1"/>
    <col min="3048" max="3048" width="14.85546875" style="12" customWidth="1"/>
    <col min="3049" max="3050" width="0" style="12" hidden="1" customWidth="1"/>
    <col min="3051" max="3051" width="14.85546875" style="12" customWidth="1"/>
    <col min="3052" max="3053" width="0" style="12" hidden="1" customWidth="1"/>
    <col min="3054" max="3055" width="14.85546875" style="12" customWidth="1"/>
    <col min="3056" max="3056" width="44.42578125" style="12" customWidth="1"/>
    <col min="3057" max="3061" width="14.85546875" style="12" customWidth="1"/>
    <col min="3062" max="3062" width="63.85546875" style="12" customWidth="1"/>
    <col min="3063" max="3063" width="13.28515625" style="12" customWidth="1"/>
    <col min="3064" max="3249" width="9" style="12"/>
    <col min="3250" max="3251" width="0" style="12" hidden="1" customWidth="1"/>
    <col min="3252" max="3252" width="13.7109375" style="12" customWidth="1"/>
    <col min="3253" max="3253" width="52.85546875" style="12" customWidth="1"/>
    <col min="3254" max="3293" width="0" style="12" hidden="1" customWidth="1"/>
    <col min="3294" max="3295" width="14.85546875" style="12" customWidth="1"/>
    <col min="3296" max="3297" width="0" style="12" hidden="1" customWidth="1"/>
    <col min="3298" max="3298" width="14.85546875" style="12" customWidth="1"/>
    <col min="3299" max="3300" width="0" style="12" hidden="1" customWidth="1"/>
    <col min="3301" max="3301" width="14.85546875" style="12" customWidth="1"/>
    <col min="3302" max="3303" width="0" style="12" hidden="1" customWidth="1"/>
    <col min="3304" max="3304" width="14.85546875" style="12" customWidth="1"/>
    <col min="3305" max="3306" width="0" style="12" hidden="1" customWidth="1"/>
    <col min="3307" max="3307" width="14.85546875" style="12" customWidth="1"/>
    <col min="3308" max="3309" width="0" style="12" hidden="1" customWidth="1"/>
    <col min="3310" max="3311" width="14.85546875" style="12" customWidth="1"/>
    <col min="3312" max="3312" width="44.42578125" style="12" customWidth="1"/>
    <col min="3313" max="3317" width="14.85546875" style="12" customWidth="1"/>
    <col min="3318" max="3318" width="63.85546875" style="12" customWidth="1"/>
    <col min="3319" max="3319" width="13.28515625" style="12" customWidth="1"/>
    <col min="3320" max="3505" width="9" style="12"/>
    <col min="3506" max="3507" width="0" style="12" hidden="1" customWidth="1"/>
    <col min="3508" max="3508" width="13.7109375" style="12" customWidth="1"/>
    <col min="3509" max="3509" width="52.85546875" style="12" customWidth="1"/>
    <col min="3510" max="3549" width="0" style="12" hidden="1" customWidth="1"/>
    <col min="3550" max="3551" width="14.85546875" style="12" customWidth="1"/>
    <col min="3552" max="3553" width="0" style="12" hidden="1" customWidth="1"/>
    <col min="3554" max="3554" width="14.85546875" style="12" customWidth="1"/>
    <col min="3555" max="3556" width="0" style="12" hidden="1" customWidth="1"/>
    <col min="3557" max="3557" width="14.85546875" style="12" customWidth="1"/>
    <col min="3558" max="3559" width="0" style="12" hidden="1" customWidth="1"/>
    <col min="3560" max="3560" width="14.85546875" style="12" customWidth="1"/>
    <col min="3561" max="3562" width="0" style="12" hidden="1" customWidth="1"/>
    <col min="3563" max="3563" width="14.85546875" style="12" customWidth="1"/>
    <col min="3564" max="3565" width="0" style="12" hidden="1" customWidth="1"/>
    <col min="3566" max="3567" width="14.85546875" style="12" customWidth="1"/>
    <col min="3568" max="3568" width="44.42578125" style="12" customWidth="1"/>
    <col min="3569" max="3573" width="14.85546875" style="12" customWidth="1"/>
    <col min="3574" max="3574" width="63.85546875" style="12" customWidth="1"/>
    <col min="3575" max="3575" width="13.28515625" style="12" customWidth="1"/>
    <col min="3576" max="3761" width="9" style="12"/>
    <col min="3762" max="3763" width="0" style="12" hidden="1" customWidth="1"/>
    <col min="3764" max="3764" width="13.7109375" style="12" customWidth="1"/>
    <col min="3765" max="3765" width="52.85546875" style="12" customWidth="1"/>
    <col min="3766" max="3805" width="0" style="12" hidden="1" customWidth="1"/>
    <col min="3806" max="3807" width="14.85546875" style="12" customWidth="1"/>
    <col min="3808" max="3809" width="0" style="12" hidden="1" customWidth="1"/>
    <col min="3810" max="3810" width="14.85546875" style="12" customWidth="1"/>
    <col min="3811" max="3812" width="0" style="12" hidden="1" customWidth="1"/>
    <col min="3813" max="3813" width="14.85546875" style="12" customWidth="1"/>
    <col min="3814" max="3815" width="0" style="12" hidden="1" customWidth="1"/>
    <col min="3816" max="3816" width="14.85546875" style="12" customWidth="1"/>
    <col min="3817" max="3818" width="0" style="12" hidden="1" customWidth="1"/>
    <col min="3819" max="3819" width="14.85546875" style="12" customWidth="1"/>
    <col min="3820" max="3821" width="0" style="12" hidden="1" customWidth="1"/>
    <col min="3822" max="3823" width="14.85546875" style="12" customWidth="1"/>
    <col min="3824" max="3824" width="44.42578125" style="12" customWidth="1"/>
    <col min="3825" max="3829" width="14.85546875" style="12" customWidth="1"/>
    <col min="3830" max="3830" width="63.85546875" style="12" customWidth="1"/>
    <col min="3831" max="3831" width="13.28515625" style="12" customWidth="1"/>
    <col min="3832" max="4017" width="9" style="12"/>
    <col min="4018" max="4019" width="0" style="12" hidden="1" customWidth="1"/>
    <col min="4020" max="4020" width="13.7109375" style="12" customWidth="1"/>
    <col min="4021" max="4021" width="52.85546875" style="12" customWidth="1"/>
    <col min="4022" max="4061" width="0" style="12" hidden="1" customWidth="1"/>
    <col min="4062" max="4063" width="14.85546875" style="12" customWidth="1"/>
    <col min="4064" max="4065" width="0" style="12" hidden="1" customWidth="1"/>
    <col min="4066" max="4066" width="14.85546875" style="12" customWidth="1"/>
    <col min="4067" max="4068" width="0" style="12" hidden="1" customWidth="1"/>
    <col min="4069" max="4069" width="14.85546875" style="12" customWidth="1"/>
    <col min="4070" max="4071" width="0" style="12" hidden="1" customWidth="1"/>
    <col min="4072" max="4072" width="14.85546875" style="12" customWidth="1"/>
    <col min="4073" max="4074" width="0" style="12" hidden="1" customWidth="1"/>
    <col min="4075" max="4075" width="14.85546875" style="12" customWidth="1"/>
    <col min="4076" max="4077" width="0" style="12" hidden="1" customWidth="1"/>
    <col min="4078" max="4079" width="14.85546875" style="12" customWidth="1"/>
    <col min="4080" max="4080" width="44.42578125" style="12" customWidth="1"/>
    <col min="4081" max="4085" width="14.85546875" style="12" customWidth="1"/>
    <col min="4086" max="4086" width="63.85546875" style="12" customWidth="1"/>
    <col min="4087" max="4087" width="13.28515625" style="12" customWidth="1"/>
    <col min="4088" max="4273" width="9" style="12"/>
    <col min="4274" max="4275" width="0" style="12" hidden="1" customWidth="1"/>
    <col min="4276" max="4276" width="13.7109375" style="12" customWidth="1"/>
    <col min="4277" max="4277" width="52.85546875" style="12" customWidth="1"/>
    <col min="4278" max="4317" width="0" style="12" hidden="1" customWidth="1"/>
    <col min="4318" max="4319" width="14.85546875" style="12" customWidth="1"/>
    <col min="4320" max="4321" width="0" style="12" hidden="1" customWidth="1"/>
    <col min="4322" max="4322" width="14.85546875" style="12" customWidth="1"/>
    <col min="4323" max="4324" width="0" style="12" hidden="1" customWidth="1"/>
    <col min="4325" max="4325" width="14.85546875" style="12" customWidth="1"/>
    <col min="4326" max="4327" width="0" style="12" hidden="1" customWidth="1"/>
    <col min="4328" max="4328" width="14.85546875" style="12" customWidth="1"/>
    <col min="4329" max="4330" width="0" style="12" hidden="1" customWidth="1"/>
    <col min="4331" max="4331" width="14.85546875" style="12" customWidth="1"/>
    <col min="4332" max="4333" width="0" style="12" hidden="1" customWidth="1"/>
    <col min="4334" max="4335" width="14.85546875" style="12" customWidth="1"/>
    <col min="4336" max="4336" width="44.42578125" style="12" customWidth="1"/>
    <col min="4337" max="4341" width="14.85546875" style="12" customWidth="1"/>
    <col min="4342" max="4342" width="63.85546875" style="12" customWidth="1"/>
    <col min="4343" max="4343" width="13.28515625" style="12" customWidth="1"/>
    <col min="4344" max="4529" width="9" style="12"/>
    <col min="4530" max="4531" width="0" style="12" hidden="1" customWidth="1"/>
    <col min="4532" max="4532" width="13.7109375" style="12" customWidth="1"/>
    <col min="4533" max="4533" width="52.85546875" style="12" customWidth="1"/>
    <col min="4534" max="4573" width="0" style="12" hidden="1" customWidth="1"/>
    <col min="4574" max="4575" width="14.85546875" style="12" customWidth="1"/>
    <col min="4576" max="4577" width="0" style="12" hidden="1" customWidth="1"/>
    <col min="4578" max="4578" width="14.85546875" style="12" customWidth="1"/>
    <col min="4579" max="4580" width="0" style="12" hidden="1" customWidth="1"/>
    <col min="4581" max="4581" width="14.85546875" style="12" customWidth="1"/>
    <col min="4582" max="4583" width="0" style="12" hidden="1" customWidth="1"/>
    <col min="4584" max="4584" width="14.85546875" style="12" customWidth="1"/>
    <col min="4585" max="4586" width="0" style="12" hidden="1" customWidth="1"/>
    <col min="4587" max="4587" width="14.85546875" style="12" customWidth="1"/>
    <col min="4588" max="4589" width="0" style="12" hidden="1" customWidth="1"/>
    <col min="4590" max="4591" width="14.85546875" style="12" customWidth="1"/>
    <col min="4592" max="4592" width="44.42578125" style="12" customWidth="1"/>
    <col min="4593" max="4597" width="14.85546875" style="12" customWidth="1"/>
    <col min="4598" max="4598" width="63.85546875" style="12" customWidth="1"/>
    <col min="4599" max="4599" width="13.28515625" style="12" customWidth="1"/>
    <col min="4600" max="4785" width="9" style="12"/>
    <col min="4786" max="4787" width="0" style="12" hidden="1" customWidth="1"/>
    <col min="4788" max="4788" width="13.7109375" style="12" customWidth="1"/>
    <col min="4789" max="4789" width="52.85546875" style="12" customWidth="1"/>
    <col min="4790" max="4829" width="0" style="12" hidden="1" customWidth="1"/>
    <col min="4830" max="4831" width="14.85546875" style="12" customWidth="1"/>
    <col min="4832" max="4833" width="0" style="12" hidden="1" customWidth="1"/>
    <col min="4834" max="4834" width="14.85546875" style="12" customWidth="1"/>
    <col min="4835" max="4836" width="0" style="12" hidden="1" customWidth="1"/>
    <col min="4837" max="4837" width="14.85546875" style="12" customWidth="1"/>
    <col min="4838" max="4839" width="0" style="12" hidden="1" customWidth="1"/>
    <col min="4840" max="4840" width="14.85546875" style="12" customWidth="1"/>
    <col min="4841" max="4842" width="0" style="12" hidden="1" customWidth="1"/>
    <col min="4843" max="4843" width="14.85546875" style="12" customWidth="1"/>
    <col min="4844" max="4845" width="0" style="12" hidden="1" customWidth="1"/>
    <col min="4846" max="4847" width="14.85546875" style="12" customWidth="1"/>
    <col min="4848" max="4848" width="44.42578125" style="12" customWidth="1"/>
    <col min="4849" max="4853" width="14.85546875" style="12" customWidth="1"/>
    <col min="4854" max="4854" width="63.85546875" style="12" customWidth="1"/>
    <col min="4855" max="4855" width="13.28515625" style="12" customWidth="1"/>
    <col min="4856" max="5041" width="9" style="12"/>
    <col min="5042" max="5043" width="0" style="12" hidden="1" customWidth="1"/>
    <col min="5044" max="5044" width="13.7109375" style="12" customWidth="1"/>
    <col min="5045" max="5045" width="52.85546875" style="12" customWidth="1"/>
    <col min="5046" max="5085" width="0" style="12" hidden="1" customWidth="1"/>
    <col min="5086" max="5087" width="14.85546875" style="12" customWidth="1"/>
    <col min="5088" max="5089" width="0" style="12" hidden="1" customWidth="1"/>
    <col min="5090" max="5090" width="14.85546875" style="12" customWidth="1"/>
    <col min="5091" max="5092" width="0" style="12" hidden="1" customWidth="1"/>
    <col min="5093" max="5093" width="14.85546875" style="12" customWidth="1"/>
    <col min="5094" max="5095" width="0" style="12" hidden="1" customWidth="1"/>
    <col min="5096" max="5096" width="14.85546875" style="12" customWidth="1"/>
    <col min="5097" max="5098" width="0" style="12" hidden="1" customWidth="1"/>
    <col min="5099" max="5099" width="14.85546875" style="12" customWidth="1"/>
    <col min="5100" max="5101" width="0" style="12" hidden="1" customWidth="1"/>
    <col min="5102" max="5103" width="14.85546875" style="12" customWidth="1"/>
    <col min="5104" max="5104" width="44.42578125" style="12" customWidth="1"/>
    <col min="5105" max="5109" width="14.85546875" style="12" customWidth="1"/>
    <col min="5110" max="5110" width="63.85546875" style="12" customWidth="1"/>
    <col min="5111" max="5111" width="13.28515625" style="12" customWidth="1"/>
    <col min="5112" max="5297" width="9" style="12"/>
    <col min="5298" max="5299" width="0" style="12" hidden="1" customWidth="1"/>
    <col min="5300" max="5300" width="13.7109375" style="12" customWidth="1"/>
    <col min="5301" max="5301" width="52.85546875" style="12" customWidth="1"/>
    <col min="5302" max="5341" width="0" style="12" hidden="1" customWidth="1"/>
    <col min="5342" max="5343" width="14.85546875" style="12" customWidth="1"/>
    <col min="5344" max="5345" width="0" style="12" hidden="1" customWidth="1"/>
    <col min="5346" max="5346" width="14.85546875" style="12" customWidth="1"/>
    <col min="5347" max="5348" width="0" style="12" hidden="1" customWidth="1"/>
    <col min="5349" max="5349" width="14.85546875" style="12" customWidth="1"/>
    <col min="5350" max="5351" width="0" style="12" hidden="1" customWidth="1"/>
    <col min="5352" max="5352" width="14.85546875" style="12" customWidth="1"/>
    <col min="5353" max="5354" width="0" style="12" hidden="1" customWidth="1"/>
    <col min="5355" max="5355" width="14.85546875" style="12" customWidth="1"/>
    <col min="5356" max="5357" width="0" style="12" hidden="1" customWidth="1"/>
    <col min="5358" max="5359" width="14.85546875" style="12" customWidth="1"/>
    <col min="5360" max="5360" width="44.42578125" style="12" customWidth="1"/>
    <col min="5361" max="5365" width="14.85546875" style="12" customWidth="1"/>
    <col min="5366" max="5366" width="63.85546875" style="12" customWidth="1"/>
    <col min="5367" max="5367" width="13.28515625" style="12" customWidth="1"/>
    <col min="5368" max="5553" width="9" style="12"/>
    <col min="5554" max="5555" width="0" style="12" hidden="1" customWidth="1"/>
    <col min="5556" max="5556" width="13.7109375" style="12" customWidth="1"/>
    <col min="5557" max="5557" width="52.85546875" style="12" customWidth="1"/>
    <col min="5558" max="5597" width="0" style="12" hidden="1" customWidth="1"/>
    <col min="5598" max="5599" width="14.85546875" style="12" customWidth="1"/>
    <col min="5600" max="5601" width="0" style="12" hidden="1" customWidth="1"/>
    <col min="5602" max="5602" width="14.85546875" style="12" customWidth="1"/>
    <col min="5603" max="5604" width="0" style="12" hidden="1" customWidth="1"/>
    <col min="5605" max="5605" width="14.85546875" style="12" customWidth="1"/>
    <col min="5606" max="5607" width="0" style="12" hidden="1" customWidth="1"/>
    <col min="5608" max="5608" width="14.85546875" style="12" customWidth="1"/>
    <col min="5609" max="5610" width="0" style="12" hidden="1" customWidth="1"/>
    <col min="5611" max="5611" width="14.85546875" style="12" customWidth="1"/>
    <col min="5612" max="5613" width="0" style="12" hidden="1" customWidth="1"/>
    <col min="5614" max="5615" width="14.85546875" style="12" customWidth="1"/>
    <col min="5616" max="5616" width="44.42578125" style="12" customWidth="1"/>
    <col min="5617" max="5621" width="14.85546875" style="12" customWidth="1"/>
    <col min="5622" max="5622" width="63.85546875" style="12" customWidth="1"/>
    <col min="5623" max="5623" width="13.28515625" style="12" customWidth="1"/>
    <col min="5624" max="5809" width="9" style="12"/>
    <col min="5810" max="5811" width="0" style="12" hidden="1" customWidth="1"/>
    <col min="5812" max="5812" width="13.7109375" style="12" customWidth="1"/>
    <col min="5813" max="5813" width="52.85546875" style="12" customWidth="1"/>
    <col min="5814" max="5853" width="0" style="12" hidden="1" customWidth="1"/>
    <col min="5854" max="5855" width="14.85546875" style="12" customWidth="1"/>
    <col min="5856" max="5857" width="0" style="12" hidden="1" customWidth="1"/>
    <col min="5858" max="5858" width="14.85546875" style="12" customWidth="1"/>
    <col min="5859" max="5860" width="0" style="12" hidden="1" customWidth="1"/>
    <col min="5861" max="5861" width="14.85546875" style="12" customWidth="1"/>
    <col min="5862" max="5863" width="0" style="12" hidden="1" customWidth="1"/>
    <col min="5864" max="5864" width="14.85546875" style="12" customWidth="1"/>
    <col min="5865" max="5866" width="0" style="12" hidden="1" customWidth="1"/>
    <col min="5867" max="5867" width="14.85546875" style="12" customWidth="1"/>
    <col min="5868" max="5869" width="0" style="12" hidden="1" customWidth="1"/>
    <col min="5870" max="5871" width="14.85546875" style="12" customWidth="1"/>
    <col min="5872" max="5872" width="44.42578125" style="12" customWidth="1"/>
    <col min="5873" max="5877" width="14.85546875" style="12" customWidth="1"/>
    <col min="5878" max="5878" width="63.85546875" style="12" customWidth="1"/>
    <col min="5879" max="5879" width="13.28515625" style="12" customWidth="1"/>
    <col min="5880" max="6065" width="9" style="12"/>
    <col min="6066" max="6067" width="0" style="12" hidden="1" customWidth="1"/>
    <col min="6068" max="6068" width="13.7109375" style="12" customWidth="1"/>
    <col min="6069" max="6069" width="52.85546875" style="12" customWidth="1"/>
    <col min="6070" max="6109" width="0" style="12" hidden="1" customWidth="1"/>
    <col min="6110" max="6111" width="14.85546875" style="12" customWidth="1"/>
    <col min="6112" max="6113" width="0" style="12" hidden="1" customWidth="1"/>
    <col min="6114" max="6114" width="14.85546875" style="12" customWidth="1"/>
    <col min="6115" max="6116" width="0" style="12" hidden="1" customWidth="1"/>
    <col min="6117" max="6117" width="14.85546875" style="12" customWidth="1"/>
    <col min="6118" max="6119" width="0" style="12" hidden="1" customWidth="1"/>
    <col min="6120" max="6120" width="14.85546875" style="12" customWidth="1"/>
    <col min="6121" max="6122" width="0" style="12" hidden="1" customWidth="1"/>
    <col min="6123" max="6123" width="14.85546875" style="12" customWidth="1"/>
    <col min="6124" max="6125" width="0" style="12" hidden="1" customWidth="1"/>
    <col min="6126" max="6127" width="14.85546875" style="12" customWidth="1"/>
    <col min="6128" max="6128" width="44.42578125" style="12" customWidth="1"/>
    <col min="6129" max="6133" width="14.85546875" style="12" customWidth="1"/>
    <col min="6134" max="6134" width="63.85546875" style="12" customWidth="1"/>
    <col min="6135" max="6135" width="13.28515625" style="12" customWidth="1"/>
    <col min="6136" max="6321" width="9" style="12"/>
    <col min="6322" max="6323" width="0" style="12" hidden="1" customWidth="1"/>
    <col min="6324" max="6324" width="13.7109375" style="12" customWidth="1"/>
    <col min="6325" max="6325" width="52.85546875" style="12" customWidth="1"/>
    <col min="6326" max="6365" width="0" style="12" hidden="1" customWidth="1"/>
    <col min="6366" max="6367" width="14.85546875" style="12" customWidth="1"/>
    <col min="6368" max="6369" width="0" style="12" hidden="1" customWidth="1"/>
    <col min="6370" max="6370" width="14.85546875" style="12" customWidth="1"/>
    <col min="6371" max="6372" width="0" style="12" hidden="1" customWidth="1"/>
    <col min="6373" max="6373" width="14.85546875" style="12" customWidth="1"/>
    <col min="6374" max="6375" width="0" style="12" hidden="1" customWidth="1"/>
    <col min="6376" max="6376" width="14.85546875" style="12" customWidth="1"/>
    <col min="6377" max="6378" width="0" style="12" hidden="1" customWidth="1"/>
    <col min="6379" max="6379" width="14.85546875" style="12" customWidth="1"/>
    <col min="6380" max="6381" width="0" style="12" hidden="1" customWidth="1"/>
    <col min="6382" max="6383" width="14.85546875" style="12" customWidth="1"/>
    <col min="6384" max="6384" width="44.42578125" style="12" customWidth="1"/>
    <col min="6385" max="6389" width="14.85546875" style="12" customWidth="1"/>
    <col min="6390" max="6390" width="63.85546875" style="12" customWidth="1"/>
    <col min="6391" max="6391" width="13.28515625" style="12" customWidth="1"/>
    <col min="6392" max="6577" width="9" style="12"/>
    <col min="6578" max="6579" width="0" style="12" hidden="1" customWidth="1"/>
    <col min="6580" max="6580" width="13.7109375" style="12" customWidth="1"/>
    <col min="6581" max="6581" width="52.85546875" style="12" customWidth="1"/>
    <col min="6582" max="6621" width="0" style="12" hidden="1" customWidth="1"/>
    <col min="6622" max="6623" width="14.85546875" style="12" customWidth="1"/>
    <col min="6624" max="6625" width="0" style="12" hidden="1" customWidth="1"/>
    <col min="6626" max="6626" width="14.85546875" style="12" customWidth="1"/>
    <col min="6627" max="6628" width="0" style="12" hidden="1" customWidth="1"/>
    <col min="6629" max="6629" width="14.85546875" style="12" customWidth="1"/>
    <col min="6630" max="6631" width="0" style="12" hidden="1" customWidth="1"/>
    <col min="6632" max="6632" width="14.85546875" style="12" customWidth="1"/>
    <col min="6633" max="6634" width="0" style="12" hidden="1" customWidth="1"/>
    <col min="6635" max="6635" width="14.85546875" style="12" customWidth="1"/>
    <col min="6636" max="6637" width="0" style="12" hidden="1" customWidth="1"/>
    <col min="6638" max="6639" width="14.85546875" style="12" customWidth="1"/>
    <col min="6640" max="6640" width="44.42578125" style="12" customWidth="1"/>
    <col min="6641" max="6645" width="14.85546875" style="12" customWidth="1"/>
    <col min="6646" max="6646" width="63.85546875" style="12" customWidth="1"/>
    <col min="6647" max="6647" width="13.28515625" style="12" customWidth="1"/>
    <col min="6648" max="6833" width="9" style="12"/>
    <col min="6834" max="6835" width="0" style="12" hidden="1" customWidth="1"/>
    <col min="6836" max="6836" width="13.7109375" style="12" customWidth="1"/>
    <col min="6837" max="6837" width="52.85546875" style="12" customWidth="1"/>
    <col min="6838" max="6877" width="0" style="12" hidden="1" customWidth="1"/>
    <col min="6878" max="6879" width="14.85546875" style="12" customWidth="1"/>
    <col min="6880" max="6881" width="0" style="12" hidden="1" customWidth="1"/>
    <col min="6882" max="6882" width="14.85546875" style="12" customWidth="1"/>
    <col min="6883" max="6884" width="0" style="12" hidden="1" customWidth="1"/>
    <col min="6885" max="6885" width="14.85546875" style="12" customWidth="1"/>
    <col min="6886" max="6887" width="0" style="12" hidden="1" customWidth="1"/>
    <col min="6888" max="6888" width="14.85546875" style="12" customWidth="1"/>
    <col min="6889" max="6890" width="0" style="12" hidden="1" customWidth="1"/>
    <col min="6891" max="6891" width="14.85546875" style="12" customWidth="1"/>
    <col min="6892" max="6893" width="0" style="12" hidden="1" customWidth="1"/>
    <col min="6894" max="6895" width="14.85546875" style="12" customWidth="1"/>
    <col min="6896" max="6896" width="44.42578125" style="12" customWidth="1"/>
    <col min="6897" max="6901" width="14.85546875" style="12" customWidth="1"/>
    <col min="6902" max="6902" width="63.85546875" style="12" customWidth="1"/>
    <col min="6903" max="6903" width="13.28515625" style="12" customWidth="1"/>
    <col min="6904" max="7089" width="9" style="12"/>
    <col min="7090" max="7091" width="0" style="12" hidden="1" customWidth="1"/>
    <col min="7092" max="7092" width="13.7109375" style="12" customWidth="1"/>
    <col min="7093" max="7093" width="52.85546875" style="12" customWidth="1"/>
    <col min="7094" max="7133" width="0" style="12" hidden="1" customWidth="1"/>
    <col min="7134" max="7135" width="14.85546875" style="12" customWidth="1"/>
    <col min="7136" max="7137" width="0" style="12" hidden="1" customWidth="1"/>
    <col min="7138" max="7138" width="14.85546875" style="12" customWidth="1"/>
    <col min="7139" max="7140" width="0" style="12" hidden="1" customWidth="1"/>
    <col min="7141" max="7141" width="14.85546875" style="12" customWidth="1"/>
    <col min="7142" max="7143" width="0" style="12" hidden="1" customWidth="1"/>
    <col min="7144" max="7144" width="14.85546875" style="12" customWidth="1"/>
    <col min="7145" max="7146" width="0" style="12" hidden="1" customWidth="1"/>
    <col min="7147" max="7147" width="14.85546875" style="12" customWidth="1"/>
    <col min="7148" max="7149" width="0" style="12" hidden="1" customWidth="1"/>
    <col min="7150" max="7151" width="14.85546875" style="12" customWidth="1"/>
    <col min="7152" max="7152" width="44.42578125" style="12" customWidth="1"/>
    <col min="7153" max="7157" width="14.85546875" style="12" customWidth="1"/>
    <col min="7158" max="7158" width="63.85546875" style="12" customWidth="1"/>
    <col min="7159" max="7159" width="13.28515625" style="12" customWidth="1"/>
    <col min="7160" max="7345" width="9" style="12"/>
    <col min="7346" max="7347" width="0" style="12" hidden="1" customWidth="1"/>
    <col min="7348" max="7348" width="13.7109375" style="12" customWidth="1"/>
    <col min="7349" max="7349" width="52.85546875" style="12" customWidth="1"/>
    <col min="7350" max="7389" width="0" style="12" hidden="1" customWidth="1"/>
    <col min="7390" max="7391" width="14.85546875" style="12" customWidth="1"/>
    <col min="7392" max="7393" width="0" style="12" hidden="1" customWidth="1"/>
    <col min="7394" max="7394" width="14.85546875" style="12" customWidth="1"/>
    <col min="7395" max="7396" width="0" style="12" hidden="1" customWidth="1"/>
    <col min="7397" max="7397" width="14.85546875" style="12" customWidth="1"/>
    <col min="7398" max="7399" width="0" style="12" hidden="1" customWidth="1"/>
    <col min="7400" max="7400" width="14.85546875" style="12" customWidth="1"/>
    <col min="7401" max="7402" width="0" style="12" hidden="1" customWidth="1"/>
    <col min="7403" max="7403" width="14.85546875" style="12" customWidth="1"/>
    <col min="7404" max="7405" width="0" style="12" hidden="1" customWidth="1"/>
    <col min="7406" max="7407" width="14.85546875" style="12" customWidth="1"/>
    <col min="7408" max="7408" width="44.42578125" style="12" customWidth="1"/>
    <col min="7409" max="7413" width="14.85546875" style="12" customWidth="1"/>
    <col min="7414" max="7414" width="63.85546875" style="12" customWidth="1"/>
    <col min="7415" max="7415" width="13.28515625" style="12" customWidth="1"/>
    <col min="7416" max="7601" width="9" style="12"/>
    <col min="7602" max="7603" width="0" style="12" hidden="1" customWidth="1"/>
    <col min="7604" max="7604" width="13.7109375" style="12" customWidth="1"/>
    <col min="7605" max="7605" width="52.85546875" style="12" customWidth="1"/>
    <col min="7606" max="7645" width="0" style="12" hidden="1" customWidth="1"/>
    <col min="7646" max="7647" width="14.85546875" style="12" customWidth="1"/>
    <col min="7648" max="7649" width="0" style="12" hidden="1" customWidth="1"/>
    <col min="7650" max="7650" width="14.85546875" style="12" customWidth="1"/>
    <col min="7651" max="7652" width="0" style="12" hidden="1" customWidth="1"/>
    <col min="7653" max="7653" width="14.85546875" style="12" customWidth="1"/>
    <col min="7654" max="7655" width="0" style="12" hidden="1" customWidth="1"/>
    <col min="7656" max="7656" width="14.85546875" style="12" customWidth="1"/>
    <col min="7657" max="7658" width="0" style="12" hidden="1" customWidth="1"/>
    <col min="7659" max="7659" width="14.85546875" style="12" customWidth="1"/>
    <col min="7660" max="7661" width="0" style="12" hidden="1" customWidth="1"/>
    <col min="7662" max="7663" width="14.85546875" style="12" customWidth="1"/>
    <col min="7664" max="7664" width="44.42578125" style="12" customWidth="1"/>
    <col min="7665" max="7669" width="14.85546875" style="12" customWidth="1"/>
    <col min="7670" max="7670" width="63.85546875" style="12" customWidth="1"/>
    <col min="7671" max="7671" width="13.28515625" style="12" customWidth="1"/>
    <col min="7672" max="7857" width="9" style="12"/>
    <col min="7858" max="7859" width="0" style="12" hidden="1" customWidth="1"/>
    <col min="7860" max="7860" width="13.7109375" style="12" customWidth="1"/>
    <col min="7861" max="7861" width="52.85546875" style="12" customWidth="1"/>
    <col min="7862" max="7901" width="0" style="12" hidden="1" customWidth="1"/>
    <col min="7902" max="7903" width="14.85546875" style="12" customWidth="1"/>
    <col min="7904" max="7905" width="0" style="12" hidden="1" customWidth="1"/>
    <col min="7906" max="7906" width="14.85546875" style="12" customWidth="1"/>
    <col min="7907" max="7908" width="0" style="12" hidden="1" customWidth="1"/>
    <col min="7909" max="7909" width="14.85546875" style="12" customWidth="1"/>
    <col min="7910" max="7911" width="0" style="12" hidden="1" customWidth="1"/>
    <col min="7912" max="7912" width="14.85546875" style="12" customWidth="1"/>
    <col min="7913" max="7914" width="0" style="12" hidden="1" customWidth="1"/>
    <col min="7915" max="7915" width="14.85546875" style="12" customWidth="1"/>
    <col min="7916" max="7917" width="0" style="12" hidden="1" customWidth="1"/>
    <col min="7918" max="7919" width="14.85546875" style="12" customWidth="1"/>
    <col min="7920" max="7920" width="44.42578125" style="12" customWidth="1"/>
    <col min="7921" max="7925" width="14.85546875" style="12" customWidth="1"/>
    <col min="7926" max="7926" width="63.85546875" style="12" customWidth="1"/>
    <col min="7927" max="7927" width="13.28515625" style="12" customWidth="1"/>
    <col min="7928" max="8113" width="9" style="12"/>
    <col min="8114" max="8115" width="0" style="12" hidden="1" customWidth="1"/>
    <col min="8116" max="8116" width="13.7109375" style="12" customWidth="1"/>
    <col min="8117" max="8117" width="52.85546875" style="12" customWidth="1"/>
    <col min="8118" max="8157" width="0" style="12" hidden="1" customWidth="1"/>
    <col min="8158" max="8159" width="14.85546875" style="12" customWidth="1"/>
    <col min="8160" max="8161" width="0" style="12" hidden="1" customWidth="1"/>
    <col min="8162" max="8162" width="14.85546875" style="12" customWidth="1"/>
    <col min="8163" max="8164" width="0" style="12" hidden="1" customWidth="1"/>
    <col min="8165" max="8165" width="14.85546875" style="12" customWidth="1"/>
    <col min="8166" max="8167" width="0" style="12" hidden="1" customWidth="1"/>
    <col min="8168" max="8168" width="14.85546875" style="12" customWidth="1"/>
    <col min="8169" max="8170" width="0" style="12" hidden="1" customWidth="1"/>
    <col min="8171" max="8171" width="14.85546875" style="12" customWidth="1"/>
    <col min="8172" max="8173" width="0" style="12" hidden="1" customWidth="1"/>
    <col min="8174" max="8175" width="14.85546875" style="12" customWidth="1"/>
    <col min="8176" max="8176" width="44.42578125" style="12" customWidth="1"/>
    <col min="8177" max="8181" width="14.85546875" style="12" customWidth="1"/>
    <col min="8182" max="8182" width="63.85546875" style="12" customWidth="1"/>
    <col min="8183" max="8183" width="13.28515625" style="12" customWidth="1"/>
    <col min="8184" max="8369" width="9" style="12"/>
    <col min="8370" max="8371" width="0" style="12" hidden="1" customWidth="1"/>
    <col min="8372" max="8372" width="13.7109375" style="12" customWidth="1"/>
    <col min="8373" max="8373" width="52.85546875" style="12" customWidth="1"/>
    <col min="8374" max="8413" width="0" style="12" hidden="1" customWidth="1"/>
    <col min="8414" max="8415" width="14.85546875" style="12" customWidth="1"/>
    <col min="8416" max="8417" width="0" style="12" hidden="1" customWidth="1"/>
    <col min="8418" max="8418" width="14.85546875" style="12" customWidth="1"/>
    <col min="8419" max="8420" width="0" style="12" hidden="1" customWidth="1"/>
    <col min="8421" max="8421" width="14.85546875" style="12" customWidth="1"/>
    <col min="8422" max="8423" width="0" style="12" hidden="1" customWidth="1"/>
    <col min="8424" max="8424" width="14.85546875" style="12" customWidth="1"/>
    <col min="8425" max="8426" width="0" style="12" hidden="1" customWidth="1"/>
    <col min="8427" max="8427" width="14.85546875" style="12" customWidth="1"/>
    <col min="8428" max="8429" width="0" style="12" hidden="1" customWidth="1"/>
    <col min="8430" max="8431" width="14.85546875" style="12" customWidth="1"/>
    <col min="8432" max="8432" width="44.42578125" style="12" customWidth="1"/>
    <col min="8433" max="8437" width="14.85546875" style="12" customWidth="1"/>
    <col min="8438" max="8438" width="63.85546875" style="12" customWidth="1"/>
    <col min="8439" max="8439" width="13.28515625" style="12" customWidth="1"/>
    <col min="8440" max="8625" width="9" style="12"/>
    <col min="8626" max="8627" width="0" style="12" hidden="1" customWidth="1"/>
    <col min="8628" max="8628" width="13.7109375" style="12" customWidth="1"/>
    <col min="8629" max="8629" width="52.85546875" style="12" customWidth="1"/>
    <col min="8630" max="8669" width="0" style="12" hidden="1" customWidth="1"/>
    <col min="8670" max="8671" width="14.85546875" style="12" customWidth="1"/>
    <col min="8672" max="8673" width="0" style="12" hidden="1" customWidth="1"/>
    <col min="8674" max="8674" width="14.85546875" style="12" customWidth="1"/>
    <col min="8675" max="8676" width="0" style="12" hidden="1" customWidth="1"/>
    <col min="8677" max="8677" width="14.85546875" style="12" customWidth="1"/>
    <col min="8678" max="8679" width="0" style="12" hidden="1" customWidth="1"/>
    <col min="8680" max="8680" width="14.85546875" style="12" customWidth="1"/>
    <col min="8681" max="8682" width="0" style="12" hidden="1" customWidth="1"/>
    <col min="8683" max="8683" width="14.85546875" style="12" customWidth="1"/>
    <col min="8684" max="8685" width="0" style="12" hidden="1" customWidth="1"/>
    <col min="8686" max="8687" width="14.85546875" style="12" customWidth="1"/>
    <col min="8688" max="8688" width="44.42578125" style="12" customWidth="1"/>
    <col min="8689" max="8693" width="14.85546875" style="12" customWidth="1"/>
    <col min="8694" max="8694" width="63.85546875" style="12" customWidth="1"/>
    <col min="8695" max="8695" width="13.28515625" style="12" customWidth="1"/>
    <col min="8696" max="8881" width="9" style="12"/>
    <col min="8882" max="8883" width="0" style="12" hidden="1" customWidth="1"/>
    <col min="8884" max="8884" width="13.7109375" style="12" customWidth="1"/>
    <col min="8885" max="8885" width="52.85546875" style="12" customWidth="1"/>
    <col min="8886" max="8925" width="0" style="12" hidden="1" customWidth="1"/>
    <col min="8926" max="8927" width="14.85546875" style="12" customWidth="1"/>
    <col min="8928" max="8929" width="0" style="12" hidden="1" customWidth="1"/>
    <col min="8930" max="8930" width="14.85546875" style="12" customWidth="1"/>
    <col min="8931" max="8932" width="0" style="12" hidden="1" customWidth="1"/>
    <col min="8933" max="8933" width="14.85546875" style="12" customWidth="1"/>
    <col min="8934" max="8935" width="0" style="12" hidden="1" customWidth="1"/>
    <col min="8936" max="8936" width="14.85546875" style="12" customWidth="1"/>
    <col min="8937" max="8938" width="0" style="12" hidden="1" customWidth="1"/>
    <col min="8939" max="8939" width="14.85546875" style="12" customWidth="1"/>
    <col min="8940" max="8941" width="0" style="12" hidden="1" customWidth="1"/>
    <col min="8942" max="8943" width="14.85546875" style="12" customWidth="1"/>
    <col min="8944" max="8944" width="44.42578125" style="12" customWidth="1"/>
    <col min="8945" max="8949" width="14.85546875" style="12" customWidth="1"/>
    <col min="8950" max="8950" width="63.85546875" style="12" customWidth="1"/>
    <col min="8951" max="8951" width="13.28515625" style="12" customWidth="1"/>
    <col min="8952" max="9137" width="9" style="12"/>
    <col min="9138" max="9139" width="0" style="12" hidden="1" customWidth="1"/>
    <col min="9140" max="9140" width="13.7109375" style="12" customWidth="1"/>
    <col min="9141" max="9141" width="52.85546875" style="12" customWidth="1"/>
    <col min="9142" max="9181" width="0" style="12" hidden="1" customWidth="1"/>
    <col min="9182" max="9183" width="14.85546875" style="12" customWidth="1"/>
    <col min="9184" max="9185" width="0" style="12" hidden="1" customWidth="1"/>
    <col min="9186" max="9186" width="14.85546875" style="12" customWidth="1"/>
    <col min="9187" max="9188" width="0" style="12" hidden="1" customWidth="1"/>
    <col min="9189" max="9189" width="14.85546875" style="12" customWidth="1"/>
    <col min="9190" max="9191" width="0" style="12" hidden="1" customWidth="1"/>
    <col min="9192" max="9192" width="14.85546875" style="12" customWidth="1"/>
    <col min="9193" max="9194" width="0" style="12" hidden="1" customWidth="1"/>
    <col min="9195" max="9195" width="14.85546875" style="12" customWidth="1"/>
    <col min="9196" max="9197" width="0" style="12" hidden="1" customWidth="1"/>
    <col min="9198" max="9199" width="14.85546875" style="12" customWidth="1"/>
    <col min="9200" max="9200" width="44.42578125" style="12" customWidth="1"/>
    <col min="9201" max="9205" width="14.85546875" style="12" customWidth="1"/>
    <col min="9206" max="9206" width="63.85546875" style="12" customWidth="1"/>
    <col min="9207" max="9207" width="13.28515625" style="12" customWidth="1"/>
    <col min="9208" max="9393" width="9" style="12"/>
    <col min="9394" max="9395" width="0" style="12" hidden="1" customWidth="1"/>
    <col min="9396" max="9396" width="13.7109375" style="12" customWidth="1"/>
    <col min="9397" max="9397" width="52.85546875" style="12" customWidth="1"/>
    <col min="9398" max="9437" width="0" style="12" hidden="1" customWidth="1"/>
    <col min="9438" max="9439" width="14.85546875" style="12" customWidth="1"/>
    <col min="9440" max="9441" width="0" style="12" hidden="1" customWidth="1"/>
    <col min="9442" max="9442" width="14.85546875" style="12" customWidth="1"/>
    <col min="9443" max="9444" width="0" style="12" hidden="1" customWidth="1"/>
    <col min="9445" max="9445" width="14.85546875" style="12" customWidth="1"/>
    <col min="9446" max="9447" width="0" style="12" hidden="1" customWidth="1"/>
    <col min="9448" max="9448" width="14.85546875" style="12" customWidth="1"/>
    <col min="9449" max="9450" width="0" style="12" hidden="1" customWidth="1"/>
    <col min="9451" max="9451" width="14.85546875" style="12" customWidth="1"/>
    <col min="9452" max="9453" width="0" style="12" hidden="1" customWidth="1"/>
    <col min="9454" max="9455" width="14.85546875" style="12" customWidth="1"/>
    <col min="9456" max="9456" width="44.42578125" style="12" customWidth="1"/>
    <col min="9457" max="9461" width="14.85546875" style="12" customWidth="1"/>
    <col min="9462" max="9462" width="63.85546875" style="12" customWidth="1"/>
    <col min="9463" max="9463" width="13.28515625" style="12" customWidth="1"/>
    <col min="9464" max="9649" width="9" style="12"/>
    <col min="9650" max="9651" width="0" style="12" hidden="1" customWidth="1"/>
    <col min="9652" max="9652" width="13.7109375" style="12" customWidth="1"/>
    <col min="9653" max="9653" width="52.85546875" style="12" customWidth="1"/>
    <col min="9654" max="9693" width="0" style="12" hidden="1" customWidth="1"/>
    <col min="9694" max="9695" width="14.85546875" style="12" customWidth="1"/>
    <col min="9696" max="9697" width="0" style="12" hidden="1" customWidth="1"/>
    <col min="9698" max="9698" width="14.85546875" style="12" customWidth="1"/>
    <col min="9699" max="9700" width="0" style="12" hidden="1" customWidth="1"/>
    <col min="9701" max="9701" width="14.85546875" style="12" customWidth="1"/>
    <col min="9702" max="9703" width="0" style="12" hidden="1" customWidth="1"/>
    <col min="9704" max="9704" width="14.85546875" style="12" customWidth="1"/>
    <col min="9705" max="9706" width="0" style="12" hidden="1" customWidth="1"/>
    <col min="9707" max="9707" width="14.85546875" style="12" customWidth="1"/>
    <col min="9708" max="9709" width="0" style="12" hidden="1" customWidth="1"/>
    <col min="9710" max="9711" width="14.85546875" style="12" customWidth="1"/>
    <col min="9712" max="9712" width="44.42578125" style="12" customWidth="1"/>
    <col min="9713" max="9717" width="14.85546875" style="12" customWidth="1"/>
    <col min="9718" max="9718" width="63.85546875" style="12" customWidth="1"/>
    <col min="9719" max="9719" width="13.28515625" style="12" customWidth="1"/>
    <col min="9720" max="9905" width="9" style="12"/>
    <col min="9906" max="9907" width="0" style="12" hidden="1" customWidth="1"/>
    <col min="9908" max="9908" width="13.7109375" style="12" customWidth="1"/>
    <col min="9909" max="9909" width="52.85546875" style="12" customWidth="1"/>
    <col min="9910" max="9949" width="0" style="12" hidden="1" customWidth="1"/>
    <col min="9950" max="9951" width="14.85546875" style="12" customWidth="1"/>
    <col min="9952" max="9953" width="0" style="12" hidden="1" customWidth="1"/>
    <col min="9954" max="9954" width="14.85546875" style="12" customWidth="1"/>
    <col min="9955" max="9956" width="0" style="12" hidden="1" customWidth="1"/>
    <col min="9957" max="9957" width="14.85546875" style="12" customWidth="1"/>
    <col min="9958" max="9959" width="0" style="12" hidden="1" customWidth="1"/>
    <col min="9960" max="9960" width="14.85546875" style="12" customWidth="1"/>
    <col min="9961" max="9962" width="0" style="12" hidden="1" customWidth="1"/>
    <col min="9963" max="9963" width="14.85546875" style="12" customWidth="1"/>
    <col min="9964" max="9965" width="0" style="12" hidden="1" customWidth="1"/>
    <col min="9966" max="9967" width="14.85546875" style="12" customWidth="1"/>
    <col min="9968" max="9968" width="44.42578125" style="12" customWidth="1"/>
    <col min="9969" max="9973" width="14.85546875" style="12" customWidth="1"/>
    <col min="9974" max="9974" width="63.85546875" style="12" customWidth="1"/>
    <col min="9975" max="9975" width="13.28515625" style="12" customWidth="1"/>
    <col min="9976" max="10161" width="9" style="12"/>
    <col min="10162" max="10163" width="0" style="12" hidden="1" customWidth="1"/>
    <col min="10164" max="10164" width="13.7109375" style="12" customWidth="1"/>
    <col min="10165" max="10165" width="52.85546875" style="12" customWidth="1"/>
    <col min="10166" max="10205" width="0" style="12" hidden="1" customWidth="1"/>
    <col min="10206" max="10207" width="14.85546875" style="12" customWidth="1"/>
    <col min="10208" max="10209" width="0" style="12" hidden="1" customWidth="1"/>
    <col min="10210" max="10210" width="14.85546875" style="12" customWidth="1"/>
    <col min="10211" max="10212" width="0" style="12" hidden="1" customWidth="1"/>
    <col min="10213" max="10213" width="14.85546875" style="12" customWidth="1"/>
    <col min="10214" max="10215" width="0" style="12" hidden="1" customWidth="1"/>
    <col min="10216" max="10216" width="14.85546875" style="12" customWidth="1"/>
    <col min="10217" max="10218" width="0" style="12" hidden="1" customWidth="1"/>
    <col min="10219" max="10219" width="14.85546875" style="12" customWidth="1"/>
    <col min="10220" max="10221" width="0" style="12" hidden="1" customWidth="1"/>
    <col min="10222" max="10223" width="14.85546875" style="12" customWidth="1"/>
    <col min="10224" max="10224" width="44.42578125" style="12" customWidth="1"/>
    <col min="10225" max="10229" width="14.85546875" style="12" customWidth="1"/>
    <col min="10230" max="10230" width="63.85546875" style="12" customWidth="1"/>
    <col min="10231" max="10231" width="13.28515625" style="12" customWidth="1"/>
    <col min="10232" max="10417" width="9" style="12"/>
    <col min="10418" max="10419" width="0" style="12" hidden="1" customWidth="1"/>
    <col min="10420" max="10420" width="13.7109375" style="12" customWidth="1"/>
    <col min="10421" max="10421" width="52.85546875" style="12" customWidth="1"/>
    <col min="10422" max="10461" width="0" style="12" hidden="1" customWidth="1"/>
    <col min="10462" max="10463" width="14.85546875" style="12" customWidth="1"/>
    <col min="10464" max="10465" width="0" style="12" hidden="1" customWidth="1"/>
    <col min="10466" max="10466" width="14.85546875" style="12" customWidth="1"/>
    <col min="10467" max="10468" width="0" style="12" hidden="1" customWidth="1"/>
    <col min="10469" max="10469" width="14.85546875" style="12" customWidth="1"/>
    <col min="10470" max="10471" width="0" style="12" hidden="1" customWidth="1"/>
    <col min="10472" max="10472" width="14.85546875" style="12" customWidth="1"/>
    <col min="10473" max="10474" width="0" style="12" hidden="1" customWidth="1"/>
    <col min="10475" max="10475" width="14.85546875" style="12" customWidth="1"/>
    <col min="10476" max="10477" width="0" style="12" hidden="1" customWidth="1"/>
    <col min="10478" max="10479" width="14.85546875" style="12" customWidth="1"/>
    <col min="10480" max="10480" width="44.42578125" style="12" customWidth="1"/>
    <col min="10481" max="10485" width="14.85546875" style="12" customWidth="1"/>
    <col min="10486" max="10486" width="63.85546875" style="12" customWidth="1"/>
    <col min="10487" max="10487" width="13.28515625" style="12" customWidth="1"/>
    <col min="10488" max="10673" width="9" style="12"/>
    <col min="10674" max="10675" width="0" style="12" hidden="1" customWidth="1"/>
    <col min="10676" max="10676" width="13.7109375" style="12" customWidth="1"/>
    <col min="10677" max="10677" width="52.85546875" style="12" customWidth="1"/>
    <col min="10678" max="10717" width="0" style="12" hidden="1" customWidth="1"/>
    <col min="10718" max="10719" width="14.85546875" style="12" customWidth="1"/>
    <col min="10720" max="10721" width="0" style="12" hidden="1" customWidth="1"/>
    <col min="10722" max="10722" width="14.85546875" style="12" customWidth="1"/>
    <col min="10723" max="10724" width="0" style="12" hidden="1" customWidth="1"/>
    <col min="10725" max="10725" width="14.85546875" style="12" customWidth="1"/>
    <col min="10726" max="10727" width="0" style="12" hidden="1" customWidth="1"/>
    <col min="10728" max="10728" width="14.85546875" style="12" customWidth="1"/>
    <col min="10729" max="10730" width="0" style="12" hidden="1" customWidth="1"/>
    <col min="10731" max="10731" width="14.85546875" style="12" customWidth="1"/>
    <col min="10732" max="10733" width="0" style="12" hidden="1" customWidth="1"/>
    <col min="10734" max="10735" width="14.85546875" style="12" customWidth="1"/>
    <col min="10736" max="10736" width="44.42578125" style="12" customWidth="1"/>
    <col min="10737" max="10741" width="14.85546875" style="12" customWidth="1"/>
    <col min="10742" max="10742" width="63.85546875" style="12" customWidth="1"/>
    <col min="10743" max="10743" width="13.28515625" style="12" customWidth="1"/>
    <col min="10744" max="10929" width="9" style="12"/>
    <col min="10930" max="10931" width="0" style="12" hidden="1" customWidth="1"/>
    <col min="10932" max="10932" width="13.7109375" style="12" customWidth="1"/>
    <col min="10933" max="10933" width="52.85546875" style="12" customWidth="1"/>
    <col min="10934" max="10973" width="0" style="12" hidden="1" customWidth="1"/>
    <col min="10974" max="10975" width="14.85546875" style="12" customWidth="1"/>
    <col min="10976" max="10977" width="0" style="12" hidden="1" customWidth="1"/>
    <col min="10978" max="10978" width="14.85546875" style="12" customWidth="1"/>
    <col min="10979" max="10980" width="0" style="12" hidden="1" customWidth="1"/>
    <col min="10981" max="10981" width="14.85546875" style="12" customWidth="1"/>
    <col min="10982" max="10983" width="0" style="12" hidden="1" customWidth="1"/>
    <col min="10984" max="10984" width="14.85546875" style="12" customWidth="1"/>
    <col min="10985" max="10986" width="0" style="12" hidden="1" customWidth="1"/>
    <col min="10987" max="10987" width="14.85546875" style="12" customWidth="1"/>
    <col min="10988" max="10989" width="0" style="12" hidden="1" customWidth="1"/>
    <col min="10990" max="10991" width="14.85546875" style="12" customWidth="1"/>
    <col min="10992" max="10992" width="44.42578125" style="12" customWidth="1"/>
    <col min="10993" max="10997" width="14.85546875" style="12" customWidth="1"/>
    <col min="10998" max="10998" width="63.85546875" style="12" customWidth="1"/>
    <col min="10999" max="10999" width="13.28515625" style="12" customWidth="1"/>
    <col min="11000" max="11185" width="9" style="12"/>
    <col min="11186" max="11187" width="0" style="12" hidden="1" customWidth="1"/>
    <col min="11188" max="11188" width="13.7109375" style="12" customWidth="1"/>
    <col min="11189" max="11189" width="52.85546875" style="12" customWidth="1"/>
    <col min="11190" max="11229" width="0" style="12" hidden="1" customWidth="1"/>
    <col min="11230" max="11231" width="14.85546875" style="12" customWidth="1"/>
    <col min="11232" max="11233" width="0" style="12" hidden="1" customWidth="1"/>
    <col min="11234" max="11234" width="14.85546875" style="12" customWidth="1"/>
    <col min="11235" max="11236" width="0" style="12" hidden="1" customWidth="1"/>
    <col min="11237" max="11237" width="14.85546875" style="12" customWidth="1"/>
    <col min="11238" max="11239" width="0" style="12" hidden="1" customWidth="1"/>
    <col min="11240" max="11240" width="14.85546875" style="12" customWidth="1"/>
    <col min="11241" max="11242" width="0" style="12" hidden="1" customWidth="1"/>
    <col min="11243" max="11243" width="14.85546875" style="12" customWidth="1"/>
    <col min="11244" max="11245" width="0" style="12" hidden="1" customWidth="1"/>
    <col min="11246" max="11247" width="14.85546875" style="12" customWidth="1"/>
    <col min="11248" max="11248" width="44.42578125" style="12" customWidth="1"/>
    <col min="11249" max="11253" width="14.85546875" style="12" customWidth="1"/>
    <col min="11254" max="11254" width="63.85546875" style="12" customWidth="1"/>
    <col min="11255" max="11255" width="13.28515625" style="12" customWidth="1"/>
    <col min="11256" max="11441" width="9" style="12"/>
    <col min="11442" max="11443" width="0" style="12" hidden="1" customWidth="1"/>
    <col min="11444" max="11444" width="13.7109375" style="12" customWidth="1"/>
    <col min="11445" max="11445" width="52.85546875" style="12" customWidth="1"/>
    <col min="11446" max="11485" width="0" style="12" hidden="1" customWidth="1"/>
    <col min="11486" max="11487" width="14.85546875" style="12" customWidth="1"/>
    <col min="11488" max="11489" width="0" style="12" hidden="1" customWidth="1"/>
    <col min="11490" max="11490" width="14.85546875" style="12" customWidth="1"/>
    <col min="11491" max="11492" width="0" style="12" hidden="1" customWidth="1"/>
    <col min="11493" max="11493" width="14.85546875" style="12" customWidth="1"/>
    <col min="11494" max="11495" width="0" style="12" hidden="1" customWidth="1"/>
    <col min="11496" max="11496" width="14.85546875" style="12" customWidth="1"/>
    <col min="11497" max="11498" width="0" style="12" hidden="1" customWidth="1"/>
    <col min="11499" max="11499" width="14.85546875" style="12" customWidth="1"/>
    <col min="11500" max="11501" width="0" style="12" hidden="1" customWidth="1"/>
    <col min="11502" max="11503" width="14.85546875" style="12" customWidth="1"/>
    <col min="11504" max="11504" width="44.42578125" style="12" customWidth="1"/>
    <col min="11505" max="11509" width="14.85546875" style="12" customWidth="1"/>
    <col min="11510" max="11510" width="63.85546875" style="12" customWidth="1"/>
    <col min="11511" max="11511" width="13.28515625" style="12" customWidth="1"/>
    <col min="11512" max="11697" width="9" style="12"/>
    <col min="11698" max="11699" width="0" style="12" hidden="1" customWidth="1"/>
    <col min="11700" max="11700" width="13.7109375" style="12" customWidth="1"/>
    <col min="11701" max="11701" width="52.85546875" style="12" customWidth="1"/>
    <col min="11702" max="11741" width="0" style="12" hidden="1" customWidth="1"/>
    <col min="11742" max="11743" width="14.85546875" style="12" customWidth="1"/>
    <col min="11744" max="11745" width="0" style="12" hidden="1" customWidth="1"/>
    <col min="11746" max="11746" width="14.85546875" style="12" customWidth="1"/>
    <col min="11747" max="11748" width="0" style="12" hidden="1" customWidth="1"/>
    <col min="11749" max="11749" width="14.85546875" style="12" customWidth="1"/>
    <col min="11750" max="11751" width="0" style="12" hidden="1" customWidth="1"/>
    <col min="11752" max="11752" width="14.85546875" style="12" customWidth="1"/>
    <col min="11753" max="11754" width="0" style="12" hidden="1" customWidth="1"/>
    <col min="11755" max="11755" width="14.85546875" style="12" customWidth="1"/>
    <col min="11756" max="11757" width="0" style="12" hidden="1" customWidth="1"/>
    <col min="11758" max="11759" width="14.85546875" style="12" customWidth="1"/>
    <col min="11760" max="11760" width="44.42578125" style="12" customWidth="1"/>
    <col min="11761" max="11765" width="14.85546875" style="12" customWidth="1"/>
    <col min="11766" max="11766" width="63.85546875" style="12" customWidth="1"/>
    <col min="11767" max="11767" width="13.28515625" style="12" customWidth="1"/>
    <col min="11768" max="11953" width="9" style="12"/>
    <col min="11954" max="11955" width="0" style="12" hidden="1" customWidth="1"/>
    <col min="11956" max="11956" width="13.7109375" style="12" customWidth="1"/>
    <col min="11957" max="11957" width="52.85546875" style="12" customWidth="1"/>
    <col min="11958" max="11997" width="0" style="12" hidden="1" customWidth="1"/>
    <col min="11998" max="11999" width="14.85546875" style="12" customWidth="1"/>
    <col min="12000" max="12001" width="0" style="12" hidden="1" customWidth="1"/>
    <col min="12002" max="12002" width="14.85546875" style="12" customWidth="1"/>
    <col min="12003" max="12004" width="0" style="12" hidden="1" customWidth="1"/>
    <col min="12005" max="12005" width="14.85546875" style="12" customWidth="1"/>
    <col min="12006" max="12007" width="0" style="12" hidden="1" customWidth="1"/>
    <col min="12008" max="12008" width="14.85546875" style="12" customWidth="1"/>
    <col min="12009" max="12010" width="0" style="12" hidden="1" customWidth="1"/>
    <col min="12011" max="12011" width="14.85546875" style="12" customWidth="1"/>
    <col min="12012" max="12013" width="0" style="12" hidden="1" customWidth="1"/>
    <col min="12014" max="12015" width="14.85546875" style="12" customWidth="1"/>
    <col min="12016" max="12016" width="44.42578125" style="12" customWidth="1"/>
    <col min="12017" max="12021" width="14.85546875" style="12" customWidth="1"/>
    <col min="12022" max="12022" width="63.85546875" style="12" customWidth="1"/>
    <col min="12023" max="12023" width="13.28515625" style="12" customWidth="1"/>
    <col min="12024" max="12209" width="9" style="12"/>
    <col min="12210" max="12211" width="0" style="12" hidden="1" customWidth="1"/>
    <col min="12212" max="12212" width="13.7109375" style="12" customWidth="1"/>
    <col min="12213" max="12213" width="52.85546875" style="12" customWidth="1"/>
    <col min="12214" max="12253" width="0" style="12" hidden="1" customWidth="1"/>
    <col min="12254" max="12255" width="14.85546875" style="12" customWidth="1"/>
    <col min="12256" max="12257" width="0" style="12" hidden="1" customWidth="1"/>
    <col min="12258" max="12258" width="14.85546875" style="12" customWidth="1"/>
    <col min="12259" max="12260" width="0" style="12" hidden="1" customWidth="1"/>
    <col min="12261" max="12261" width="14.85546875" style="12" customWidth="1"/>
    <col min="12262" max="12263" width="0" style="12" hidden="1" customWidth="1"/>
    <col min="12264" max="12264" width="14.85546875" style="12" customWidth="1"/>
    <col min="12265" max="12266" width="0" style="12" hidden="1" customWidth="1"/>
    <col min="12267" max="12267" width="14.85546875" style="12" customWidth="1"/>
    <col min="12268" max="12269" width="0" style="12" hidden="1" customWidth="1"/>
    <col min="12270" max="12271" width="14.85546875" style="12" customWidth="1"/>
    <col min="12272" max="12272" width="44.42578125" style="12" customWidth="1"/>
    <col min="12273" max="12277" width="14.85546875" style="12" customWidth="1"/>
    <col min="12278" max="12278" width="63.85546875" style="12" customWidth="1"/>
    <col min="12279" max="12279" width="13.28515625" style="12" customWidth="1"/>
    <col min="12280" max="12465" width="9" style="12"/>
    <col min="12466" max="12467" width="0" style="12" hidden="1" customWidth="1"/>
    <col min="12468" max="12468" width="13.7109375" style="12" customWidth="1"/>
    <col min="12469" max="12469" width="52.85546875" style="12" customWidth="1"/>
    <col min="12470" max="12509" width="0" style="12" hidden="1" customWidth="1"/>
    <col min="12510" max="12511" width="14.85546875" style="12" customWidth="1"/>
    <col min="12512" max="12513" width="0" style="12" hidden="1" customWidth="1"/>
    <col min="12514" max="12514" width="14.85546875" style="12" customWidth="1"/>
    <col min="12515" max="12516" width="0" style="12" hidden="1" customWidth="1"/>
    <col min="12517" max="12517" width="14.85546875" style="12" customWidth="1"/>
    <col min="12518" max="12519" width="0" style="12" hidden="1" customWidth="1"/>
    <col min="12520" max="12520" width="14.85546875" style="12" customWidth="1"/>
    <col min="12521" max="12522" width="0" style="12" hidden="1" customWidth="1"/>
    <col min="12523" max="12523" width="14.85546875" style="12" customWidth="1"/>
    <col min="12524" max="12525" width="0" style="12" hidden="1" customWidth="1"/>
    <col min="12526" max="12527" width="14.85546875" style="12" customWidth="1"/>
    <col min="12528" max="12528" width="44.42578125" style="12" customWidth="1"/>
    <col min="12529" max="12533" width="14.85546875" style="12" customWidth="1"/>
    <col min="12534" max="12534" width="63.85546875" style="12" customWidth="1"/>
    <col min="12535" max="12535" width="13.28515625" style="12" customWidth="1"/>
    <col min="12536" max="12721" width="9" style="12"/>
    <col min="12722" max="12723" width="0" style="12" hidden="1" customWidth="1"/>
    <col min="12724" max="12724" width="13.7109375" style="12" customWidth="1"/>
    <col min="12725" max="12725" width="52.85546875" style="12" customWidth="1"/>
    <col min="12726" max="12765" width="0" style="12" hidden="1" customWidth="1"/>
    <col min="12766" max="12767" width="14.85546875" style="12" customWidth="1"/>
    <col min="12768" max="12769" width="0" style="12" hidden="1" customWidth="1"/>
    <col min="12770" max="12770" width="14.85546875" style="12" customWidth="1"/>
    <col min="12771" max="12772" width="0" style="12" hidden="1" customWidth="1"/>
    <col min="12773" max="12773" width="14.85546875" style="12" customWidth="1"/>
    <col min="12774" max="12775" width="0" style="12" hidden="1" customWidth="1"/>
    <col min="12776" max="12776" width="14.85546875" style="12" customWidth="1"/>
    <col min="12777" max="12778" width="0" style="12" hidden="1" customWidth="1"/>
    <col min="12779" max="12779" width="14.85546875" style="12" customWidth="1"/>
    <col min="12780" max="12781" width="0" style="12" hidden="1" customWidth="1"/>
    <col min="12782" max="12783" width="14.85546875" style="12" customWidth="1"/>
    <col min="12784" max="12784" width="44.42578125" style="12" customWidth="1"/>
    <col min="12785" max="12789" width="14.85546875" style="12" customWidth="1"/>
    <col min="12790" max="12790" width="63.85546875" style="12" customWidth="1"/>
    <col min="12791" max="12791" width="13.28515625" style="12" customWidth="1"/>
    <col min="12792" max="12977" width="9" style="12"/>
    <col min="12978" max="12979" width="0" style="12" hidden="1" customWidth="1"/>
    <col min="12980" max="12980" width="13.7109375" style="12" customWidth="1"/>
    <col min="12981" max="12981" width="52.85546875" style="12" customWidth="1"/>
    <col min="12982" max="13021" width="0" style="12" hidden="1" customWidth="1"/>
    <col min="13022" max="13023" width="14.85546875" style="12" customWidth="1"/>
    <col min="13024" max="13025" width="0" style="12" hidden="1" customWidth="1"/>
    <col min="13026" max="13026" width="14.85546875" style="12" customWidth="1"/>
    <col min="13027" max="13028" width="0" style="12" hidden="1" customWidth="1"/>
    <col min="13029" max="13029" width="14.85546875" style="12" customWidth="1"/>
    <col min="13030" max="13031" width="0" style="12" hidden="1" customWidth="1"/>
    <col min="13032" max="13032" width="14.85546875" style="12" customWidth="1"/>
    <col min="13033" max="13034" width="0" style="12" hidden="1" customWidth="1"/>
    <col min="13035" max="13035" width="14.85546875" style="12" customWidth="1"/>
    <col min="13036" max="13037" width="0" style="12" hidden="1" customWidth="1"/>
    <col min="13038" max="13039" width="14.85546875" style="12" customWidth="1"/>
    <col min="13040" max="13040" width="44.42578125" style="12" customWidth="1"/>
    <col min="13041" max="13045" width="14.85546875" style="12" customWidth="1"/>
    <col min="13046" max="13046" width="63.85546875" style="12" customWidth="1"/>
    <col min="13047" max="13047" width="13.28515625" style="12" customWidth="1"/>
    <col min="13048" max="13233" width="9" style="12"/>
    <col min="13234" max="13235" width="0" style="12" hidden="1" customWidth="1"/>
    <col min="13236" max="13236" width="13.7109375" style="12" customWidth="1"/>
    <col min="13237" max="13237" width="52.85546875" style="12" customWidth="1"/>
    <col min="13238" max="13277" width="0" style="12" hidden="1" customWidth="1"/>
    <col min="13278" max="13279" width="14.85546875" style="12" customWidth="1"/>
    <col min="13280" max="13281" width="0" style="12" hidden="1" customWidth="1"/>
    <col min="13282" max="13282" width="14.85546875" style="12" customWidth="1"/>
    <col min="13283" max="13284" width="0" style="12" hidden="1" customWidth="1"/>
    <col min="13285" max="13285" width="14.85546875" style="12" customWidth="1"/>
    <col min="13286" max="13287" width="0" style="12" hidden="1" customWidth="1"/>
    <col min="13288" max="13288" width="14.85546875" style="12" customWidth="1"/>
    <col min="13289" max="13290" width="0" style="12" hidden="1" customWidth="1"/>
    <col min="13291" max="13291" width="14.85546875" style="12" customWidth="1"/>
    <col min="13292" max="13293" width="0" style="12" hidden="1" customWidth="1"/>
    <col min="13294" max="13295" width="14.85546875" style="12" customWidth="1"/>
    <col min="13296" max="13296" width="44.42578125" style="12" customWidth="1"/>
    <col min="13297" max="13301" width="14.85546875" style="12" customWidth="1"/>
    <col min="13302" max="13302" width="63.85546875" style="12" customWidth="1"/>
    <col min="13303" max="13303" width="13.28515625" style="12" customWidth="1"/>
    <col min="13304" max="13489" width="9" style="12"/>
    <col min="13490" max="13491" width="0" style="12" hidden="1" customWidth="1"/>
    <col min="13492" max="13492" width="13.7109375" style="12" customWidth="1"/>
    <col min="13493" max="13493" width="52.85546875" style="12" customWidth="1"/>
    <col min="13494" max="13533" width="0" style="12" hidden="1" customWidth="1"/>
    <col min="13534" max="13535" width="14.85546875" style="12" customWidth="1"/>
    <col min="13536" max="13537" width="0" style="12" hidden="1" customWidth="1"/>
    <col min="13538" max="13538" width="14.85546875" style="12" customWidth="1"/>
    <col min="13539" max="13540" width="0" style="12" hidden="1" customWidth="1"/>
    <col min="13541" max="13541" width="14.85546875" style="12" customWidth="1"/>
    <col min="13542" max="13543" width="0" style="12" hidden="1" customWidth="1"/>
    <col min="13544" max="13544" width="14.85546875" style="12" customWidth="1"/>
    <col min="13545" max="13546" width="0" style="12" hidden="1" customWidth="1"/>
    <col min="13547" max="13547" width="14.85546875" style="12" customWidth="1"/>
    <col min="13548" max="13549" width="0" style="12" hidden="1" customWidth="1"/>
    <col min="13550" max="13551" width="14.85546875" style="12" customWidth="1"/>
    <col min="13552" max="13552" width="44.42578125" style="12" customWidth="1"/>
    <col min="13553" max="13557" width="14.85546875" style="12" customWidth="1"/>
    <col min="13558" max="13558" width="63.85546875" style="12" customWidth="1"/>
    <col min="13559" max="13559" width="13.28515625" style="12" customWidth="1"/>
    <col min="13560" max="13745" width="9" style="12"/>
    <col min="13746" max="13747" width="0" style="12" hidden="1" customWidth="1"/>
    <col min="13748" max="13748" width="13.7109375" style="12" customWidth="1"/>
    <col min="13749" max="13749" width="52.85546875" style="12" customWidth="1"/>
    <col min="13750" max="13789" width="0" style="12" hidden="1" customWidth="1"/>
    <col min="13790" max="13791" width="14.85546875" style="12" customWidth="1"/>
    <col min="13792" max="13793" width="0" style="12" hidden="1" customWidth="1"/>
    <col min="13794" max="13794" width="14.85546875" style="12" customWidth="1"/>
    <col min="13795" max="13796" width="0" style="12" hidden="1" customWidth="1"/>
    <col min="13797" max="13797" width="14.85546875" style="12" customWidth="1"/>
    <col min="13798" max="13799" width="0" style="12" hidden="1" customWidth="1"/>
    <col min="13800" max="13800" width="14.85546875" style="12" customWidth="1"/>
    <col min="13801" max="13802" width="0" style="12" hidden="1" customWidth="1"/>
    <col min="13803" max="13803" width="14.85546875" style="12" customWidth="1"/>
    <col min="13804" max="13805" width="0" style="12" hidden="1" customWidth="1"/>
    <col min="13806" max="13807" width="14.85546875" style="12" customWidth="1"/>
    <col min="13808" max="13808" width="44.42578125" style="12" customWidth="1"/>
    <col min="13809" max="13813" width="14.85546875" style="12" customWidth="1"/>
    <col min="13814" max="13814" width="63.85546875" style="12" customWidth="1"/>
    <col min="13815" max="13815" width="13.28515625" style="12" customWidth="1"/>
    <col min="13816" max="14001" width="9" style="12"/>
    <col min="14002" max="14003" width="0" style="12" hidden="1" customWidth="1"/>
    <col min="14004" max="14004" width="13.7109375" style="12" customWidth="1"/>
    <col min="14005" max="14005" width="52.85546875" style="12" customWidth="1"/>
    <col min="14006" max="14045" width="0" style="12" hidden="1" customWidth="1"/>
    <col min="14046" max="14047" width="14.85546875" style="12" customWidth="1"/>
    <col min="14048" max="14049" width="0" style="12" hidden="1" customWidth="1"/>
    <col min="14050" max="14050" width="14.85546875" style="12" customWidth="1"/>
    <col min="14051" max="14052" width="0" style="12" hidden="1" customWidth="1"/>
    <col min="14053" max="14053" width="14.85546875" style="12" customWidth="1"/>
    <col min="14054" max="14055" width="0" style="12" hidden="1" customWidth="1"/>
    <col min="14056" max="14056" width="14.85546875" style="12" customWidth="1"/>
    <col min="14057" max="14058" width="0" style="12" hidden="1" customWidth="1"/>
    <col min="14059" max="14059" width="14.85546875" style="12" customWidth="1"/>
    <col min="14060" max="14061" width="0" style="12" hidden="1" customWidth="1"/>
    <col min="14062" max="14063" width="14.85546875" style="12" customWidth="1"/>
    <col min="14064" max="14064" width="44.42578125" style="12" customWidth="1"/>
    <col min="14065" max="14069" width="14.85546875" style="12" customWidth="1"/>
    <col min="14070" max="14070" width="63.85546875" style="12" customWidth="1"/>
    <col min="14071" max="14071" width="13.28515625" style="12" customWidth="1"/>
    <col min="14072" max="14257" width="9" style="12"/>
    <col min="14258" max="14259" width="0" style="12" hidden="1" customWidth="1"/>
    <col min="14260" max="14260" width="13.7109375" style="12" customWidth="1"/>
    <col min="14261" max="14261" width="52.85546875" style="12" customWidth="1"/>
    <col min="14262" max="14301" width="0" style="12" hidden="1" customWidth="1"/>
    <col min="14302" max="14303" width="14.85546875" style="12" customWidth="1"/>
    <col min="14304" max="14305" width="0" style="12" hidden="1" customWidth="1"/>
    <col min="14306" max="14306" width="14.85546875" style="12" customWidth="1"/>
    <col min="14307" max="14308" width="0" style="12" hidden="1" customWidth="1"/>
    <col min="14309" max="14309" width="14.85546875" style="12" customWidth="1"/>
    <col min="14310" max="14311" width="0" style="12" hidden="1" customWidth="1"/>
    <col min="14312" max="14312" width="14.85546875" style="12" customWidth="1"/>
    <col min="14313" max="14314" width="0" style="12" hidden="1" customWidth="1"/>
    <col min="14315" max="14315" width="14.85546875" style="12" customWidth="1"/>
    <col min="14316" max="14317" width="0" style="12" hidden="1" customWidth="1"/>
    <col min="14318" max="14319" width="14.85546875" style="12" customWidth="1"/>
    <col min="14320" max="14320" width="44.42578125" style="12" customWidth="1"/>
    <col min="14321" max="14325" width="14.85546875" style="12" customWidth="1"/>
    <col min="14326" max="14326" width="63.85546875" style="12" customWidth="1"/>
    <col min="14327" max="14327" width="13.28515625" style="12" customWidth="1"/>
    <col min="14328" max="14513" width="9" style="12"/>
    <col min="14514" max="14515" width="0" style="12" hidden="1" customWidth="1"/>
    <col min="14516" max="14516" width="13.7109375" style="12" customWidth="1"/>
    <col min="14517" max="14517" width="52.85546875" style="12" customWidth="1"/>
    <col min="14518" max="14557" width="0" style="12" hidden="1" customWidth="1"/>
    <col min="14558" max="14559" width="14.85546875" style="12" customWidth="1"/>
    <col min="14560" max="14561" width="0" style="12" hidden="1" customWidth="1"/>
    <col min="14562" max="14562" width="14.85546875" style="12" customWidth="1"/>
    <col min="14563" max="14564" width="0" style="12" hidden="1" customWidth="1"/>
    <col min="14565" max="14565" width="14.85546875" style="12" customWidth="1"/>
    <col min="14566" max="14567" width="0" style="12" hidden="1" customWidth="1"/>
    <col min="14568" max="14568" width="14.85546875" style="12" customWidth="1"/>
    <col min="14569" max="14570" width="0" style="12" hidden="1" customWidth="1"/>
    <col min="14571" max="14571" width="14.85546875" style="12" customWidth="1"/>
    <col min="14572" max="14573" width="0" style="12" hidden="1" customWidth="1"/>
    <col min="14574" max="14575" width="14.85546875" style="12" customWidth="1"/>
    <col min="14576" max="14576" width="44.42578125" style="12" customWidth="1"/>
    <col min="14577" max="14581" width="14.85546875" style="12" customWidth="1"/>
    <col min="14582" max="14582" width="63.85546875" style="12" customWidth="1"/>
    <col min="14583" max="14583" width="13.28515625" style="12" customWidth="1"/>
    <col min="14584" max="14769" width="9" style="12"/>
    <col min="14770" max="14771" width="0" style="12" hidden="1" customWidth="1"/>
    <col min="14772" max="14772" width="13.7109375" style="12" customWidth="1"/>
    <col min="14773" max="14773" width="52.85546875" style="12" customWidth="1"/>
    <col min="14774" max="14813" width="0" style="12" hidden="1" customWidth="1"/>
    <col min="14814" max="14815" width="14.85546875" style="12" customWidth="1"/>
    <col min="14816" max="14817" width="0" style="12" hidden="1" customWidth="1"/>
    <col min="14818" max="14818" width="14.85546875" style="12" customWidth="1"/>
    <col min="14819" max="14820" width="0" style="12" hidden="1" customWidth="1"/>
    <col min="14821" max="14821" width="14.85546875" style="12" customWidth="1"/>
    <col min="14822" max="14823" width="0" style="12" hidden="1" customWidth="1"/>
    <col min="14824" max="14824" width="14.85546875" style="12" customWidth="1"/>
    <col min="14825" max="14826" width="0" style="12" hidden="1" customWidth="1"/>
    <col min="14827" max="14827" width="14.85546875" style="12" customWidth="1"/>
    <col min="14828" max="14829" width="0" style="12" hidden="1" customWidth="1"/>
    <col min="14830" max="14831" width="14.85546875" style="12" customWidth="1"/>
    <col min="14832" max="14832" width="44.42578125" style="12" customWidth="1"/>
    <col min="14833" max="14837" width="14.85546875" style="12" customWidth="1"/>
    <col min="14838" max="14838" width="63.85546875" style="12" customWidth="1"/>
    <col min="14839" max="14839" width="13.28515625" style="12" customWidth="1"/>
    <col min="14840" max="15025" width="9" style="12"/>
    <col min="15026" max="15027" width="0" style="12" hidden="1" customWidth="1"/>
    <col min="15028" max="15028" width="13.7109375" style="12" customWidth="1"/>
    <col min="15029" max="15029" width="52.85546875" style="12" customWidth="1"/>
    <col min="15030" max="15069" width="0" style="12" hidden="1" customWidth="1"/>
    <col min="15070" max="15071" width="14.85546875" style="12" customWidth="1"/>
    <col min="15072" max="15073" width="0" style="12" hidden="1" customWidth="1"/>
    <col min="15074" max="15074" width="14.85546875" style="12" customWidth="1"/>
    <col min="15075" max="15076" width="0" style="12" hidden="1" customWidth="1"/>
    <col min="15077" max="15077" width="14.85546875" style="12" customWidth="1"/>
    <col min="15078" max="15079" width="0" style="12" hidden="1" customWidth="1"/>
    <col min="15080" max="15080" width="14.85546875" style="12" customWidth="1"/>
    <col min="15081" max="15082" width="0" style="12" hidden="1" customWidth="1"/>
    <col min="15083" max="15083" width="14.85546875" style="12" customWidth="1"/>
    <col min="15084" max="15085" width="0" style="12" hidden="1" customWidth="1"/>
    <col min="15086" max="15087" width="14.85546875" style="12" customWidth="1"/>
    <col min="15088" max="15088" width="44.42578125" style="12" customWidth="1"/>
    <col min="15089" max="15093" width="14.85546875" style="12" customWidth="1"/>
    <col min="15094" max="15094" width="63.85546875" style="12" customWidth="1"/>
    <col min="15095" max="15095" width="13.28515625" style="12" customWidth="1"/>
    <col min="15096" max="15281" width="9" style="12"/>
    <col min="15282" max="15283" width="0" style="12" hidden="1" customWidth="1"/>
    <col min="15284" max="15284" width="13.7109375" style="12" customWidth="1"/>
    <col min="15285" max="15285" width="52.85546875" style="12" customWidth="1"/>
    <col min="15286" max="15325" width="0" style="12" hidden="1" customWidth="1"/>
    <col min="15326" max="15327" width="14.85546875" style="12" customWidth="1"/>
    <col min="15328" max="15329" width="0" style="12" hidden="1" customWidth="1"/>
    <col min="15330" max="15330" width="14.85546875" style="12" customWidth="1"/>
    <col min="15331" max="15332" width="0" style="12" hidden="1" customWidth="1"/>
    <col min="15333" max="15333" width="14.85546875" style="12" customWidth="1"/>
    <col min="15334" max="15335" width="0" style="12" hidden="1" customWidth="1"/>
    <col min="15336" max="15336" width="14.85546875" style="12" customWidth="1"/>
    <col min="15337" max="15338" width="0" style="12" hidden="1" customWidth="1"/>
    <col min="15339" max="15339" width="14.85546875" style="12" customWidth="1"/>
    <col min="15340" max="15341" width="0" style="12" hidden="1" customWidth="1"/>
    <col min="15342" max="15343" width="14.85546875" style="12" customWidth="1"/>
    <col min="15344" max="15344" width="44.42578125" style="12" customWidth="1"/>
    <col min="15345" max="15349" width="14.85546875" style="12" customWidth="1"/>
    <col min="15350" max="15350" width="63.85546875" style="12" customWidth="1"/>
    <col min="15351" max="15351" width="13.28515625" style="12" customWidth="1"/>
    <col min="15352" max="15537" width="9" style="12"/>
    <col min="15538" max="15539" width="0" style="12" hidden="1" customWidth="1"/>
    <col min="15540" max="15540" width="13.7109375" style="12" customWidth="1"/>
    <col min="15541" max="15541" width="52.85546875" style="12" customWidth="1"/>
    <col min="15542" max="15581" width="0" style="12" hidden="1" customWidth="1"/>
    <col min="15582" max="15583" width="14.85546875" style="12" customWidth="1"/>
    <col min="15584" max="15585" width="0" style="12" hidden="1" customWidth="1"/>
    <col min="15586" max="15586" width="14.85546875" style="12" customWidth="1"/>
    <col min="15587" max="15588" width="0" style="12" hidden="1" customWidth="1"/>
    <col min="15589" max="15589" width="14.85546875" style="12" customWidth="1"/>
    <col min="15590" max="15591" width="0" style="12" hidden="1" customWidth="1"/>
    <col min="15592" max="15592" width="14.85546875" style="12" customWidth="1"/>
    <col min="15593" max="15594" width="0" style="12" hidden="1" customWidth="1"/>
    <col min="15595" max="15595" width="14.85546875" style="12" customWidth="1"/>
    <col min="15596" max="15597" width="0" style="12" hidden="1" customWidth="1"/>
    <col min="15598" max="15599" width="14.85546875" style="12" customWidth="1"/>
    <col min="15600" max="15600" width="44.42578125" style="12" customWidth="1"/>
    <col min="15601" max="15605" width="14.85546875" style="12" customWidth="1"/>
    <col min="15606" max="15606" width="63.85546875" style="12" customWidth="1"/>
    <col min="15607" max="15607" width="13.28515625" style="12" customWidth="1"/>
    <col min="15608" max="15793" width="9" style="12"/>
    <col min="15794" max="15795" width="0" style="12" hidden="1" customWidth="1"/>
    <col min="15796" max="15796" width="13.7109375" style="12" customWidth="1"/>
    <col min="15797" max="15797" width="52.85546875" style="12" customWidth="1"/>
    <col min="15798" max="15837" width="0" style="12" hidden="1" customWidth="1"/>
    <col min="15838" max="15839" width="14.85546875" style="12" customWidth="1"/>
    <col min="15840" max="15841" width="0" style="12" hidden="1" customWidth="1"/>
    <col min="15842" max="15842" width="14.85546875" style="12" customWidth="1"/>
    <col min="15843" max="15844" width="0" style="12" hidden="1" customWidth="1"/>
    <col min="15845" max="15845" width="14.85546875" style="12" customWidth="1"/>
    <col min="15846" max="15847" width="0" style="12" hidden="1" customWidth="1"/>
    <col min="15848" max="15848" width="14.85546875" style="12" customWidth="1"/>
    <col min="15849" max="15850" width="0" style="12" hidden="1" customWidth="1"/>
    <col min="15851" max="15851" width="14.85546875" style="12" customWidth="1"/>
    <col min="15852" max="15853" width="0" style="12" hidden="1" customWidth="1"/>
    <col min="15854" max="15855" width="14.85546875" style="12" customWidth="1"/>
    <col min="15856" max="15856" width="44.42578125" style="12" customWidth="1"/>
    <col min="15857" max="15861" width="14.85546875" style="12" customWidth="1"/>
    <col min="15862" max="15862" width="63.85546875" style="12" customWidth="1"/>
    <col min="15863" max="15863" width="13.28515625" style="12" customWidth="1"/>
    <col min="15864" max="16049" width="9" style="12"/>
    <col min="16050" max="16051" width="0" style="12" hidden="1" customWidth="1"/>
    <col min="16052" max="16052" width="13.7109375" style="12" customWidth="1"/>
    <col min="16053" max="16053" width="52.85546875" style="12" customWidth="1"/>
    <col min="16054" max="16093" width="0" style="12" hidden="1" customWidth="1"/>
    <col min="16094" max="16095" width="14.85546875" style="12" customWidth="1"/>
    <col min="16096" max="16097" width="0" style="12" hidden="1" customWidth="1"/>
    <col min="16098" max="16098" width="14.85546875" style="12" customWidth="1"/>
    <col min="16099" max="16100" width="0" style="12" hidden="1" customWidth="1"/>
    <col min="16101" max="16101" width="14.85546875" style="12" customWidth="1"/>
    <col min="16102" max="16103" width="0" style="12" hidden="1" customWidth="1"/>
    <col min="16104" max="16104" width="14.85546875" style="12" customWidth="1"/>
    <col min="16105" max="16106" width="0" style="12" hidden="1" customWidth="1"/>
    <col min="16107" max="16107" width="14.85546875" style="12" customWidth="1"/>
    <col min="16108" max="16109" width="0" style="12" hidden="1" customWidth="1"/>
    <col min="16110" max="16111" width="14.85546875" style="12" customWidth="1"/>
    <col min="16112" max="16112" width="44.42578125" style="12" customWidth="1"/>
    <col min="16113" max="16117" width="14.85546875" style="12" customWidth="1"/>
    <col min="16118" max="16118" width="63.85546875" style="12" customWidth="1"/>
    <col min="16119" max="16119" width="13.28515625" style="12" customWidth="1"/>
    <col min="16120" max="16318" width="9" style="12"/>
    <col min="16319" max="16351" width="9.140625" style="12" customWidth="1"/>
    <col min="16352" max="16359" width="9.140625" style="12"/>
    <col min="16360" max="16360" width="9.140625" style="12" customWidth="1"/>
    <col min="16361" max="16366" width="9.140625" style="12"/>
    <col min="16367" max="16384" width="9.140625" style="12" customWidth="1"/>
  </cols>
  <sheetData>
    <row r="1" spans="1:11" ht="25.5" outlineLevel="1" x14ac:dyDescent="0.35">
      <c r="C1" s="70" t="s">
        <v>320</v>
      </c>
      <c r="D1" s="358"/>
      <c r="E1" s="186"/>
      <c r="F1" s="186"/>
      <c r="G1" s="13"/>
      <c r="H1" s="468"/>
      <c r="I1" s="186"/>
      <c r="J1" s="584"/>
      <c r="K1" s="13"/>
    </row>
    <row r="2" spans="1:11" ht="25.5" outlineLevel="1" x14ac:dyDescent="0.35">
      <c r="C2" s="1112" t="s">
        <v>1393</v>
      </c>
      <c r="D2" s="1112"/>
      <c r="F2" s="186"/>
      <c r="G2" s="52"/>
      <c r="H2" s="469"/>
      <c r="I2" s="110"/>
      <c r="J2" s="585"/>
      <c r="K2" s="52"/>
    </row>
    <row r="3" spans="1:11" ht="20.25" outlineLevel="1" x14ac:dyDescent="0.3">
      <c r="C3" s="1110" t="s">
        <v>0</v>
      </c>
      <c r="D3" s="1110"/>
      <c r="E3" s="169">
        <v>38975952</v>
      </c>
      <c r="F3" s="186"/>
      <c r="G3" s="57"/>
      <c r="I3" s="57"/>
      <c r="J3" s="586"/>
      <c r="K3" s="57"/>
    </row>
    <row r="4" spans="1:11" ht="15.75" outlineLevel="1" thickBot="1" x14ac:dyDescent="0.3">
      <c r="C4" s="109"/>
      <c r="E4" s="169" t="s">
        <v>838</v>
      </c>
      <c r="F4" s="169"/>
      <c r="G4" s="1"/>
      <c r="I4" s="169"/>
      <c r="J4" s="110"/>
      <c r="K4" s="1066">
        <f>I4-J4</f>
        <v>0</v>
      </c>
    </row>
    <row r="5" spans="1:11" ht="55.15" customHeight="1" thickBot="1" x14ac:dyDescent="0.3">
      <c r="C5" s="16" t="s">
        <v>1</v>
      </c>
      <c r="D5" s="17" t="s">
        <v>2</v>
      </c>
      <c r="E5" s="1017" t="s">
        <v>1262</v>
      </c>
      <c r="F5" s="1017" t="s">
        <v>1384</v>
      </c>
      <c r="G5" s="58" t="s">
        <v>1385</v>
      </c>
      <c r="H5" s="470" t="s">
        <v>265</v>
      </c>
      <c r="I5" s="58" t="s">
        <v>1399</v>
      </c>
      <c r="J5" s="534" t="s">
        <v>1400</v>
      </c>
      <c r="K5" s="470" t="s">
        <v>4</v>
      </c>
    </row>
    <row r="6" spans="1:11" x14ac:dyDescent="0.25">
      <c r="C6" s="78" t="s">
        <v>5</v>
      </c>
      <c r="D6" s="79" t="s">
        <v>6</v>
      </c>
      <c r="E6" s="67">
        <v>44951568</v>
      </c>
      <c r="F6" s="67">
        <f t="shared" ref="F6" si="0">ROUND((F7+F10+F13+F16+F19),0)</f>
        <v>44951568</v>
      </c>
      <c r="G6" s="18">
        <f>F6-E6</f>
        <v>0</v>
      </c>
      <c r="H6" s="471"/>
      <c r="I6" s="535">
        <f>ROUND((I7+I10+I13+I16+I19),0)</f>
        <v>11222325</v>
      </c>
      <c r="J6" s="561">
        <f>I6/F6</f>
        <v>0.24965369394900752</v>
      </c>
      <c r="K6" s="562"/>
    </row>
    <row r="7" spans="1:11" x14ac:dyDescent="0.25">
      <c r="B7" s="12" t="s">
        <v>7</v>
      </c>
      <c r="C7" s="80" t="s">
        <v>8</v>
      </c>
      <c r="D7" s="81" t="s">
        <v>9</v>
      </c>
      <c r="E7" s="1018">
        <v>41652563</v>
      </c>
      <c r="F7" s="1018">
        <f>SUM(F8:F8)</f>
        <v>41652563</v>
      </c>
      <c r="G7" s="19">
        <f t="shared" ref="G7:G71" si="1">F7-E7</f>
        <v>0</v>
      </c>
      <c r="H7" s="472"/>
      <c r="I7" s="542">
        <f>SUM(I8:I8)</f>
        <v>9163563.9399999995</v>
      </c>
      <c r="J7" s="563">
        <f t="shared" ref="J7:J70" si="2">I7/F7</f>
        <v>0.22000000192065011</v>
      </c>
      <c r="K7" s="542"/>
    </row>
    <row r="8" spans="1:11" ht="33" customHeight="1" x14ac:dyDescent="0.25">
      <c r="A8" s="12" t="s">
        <v>10</v>
      </c>
      <c r="B8" s="20" t="s">
        <v>12</v>
      </c>
      <c r="C8" s="82" t="s">
        <v>11</v>
      </c>
      <c r="D8" s="83" t="s">
        <v>14</v>
      </c>
      <c r="E8" s="341">
        <v>41652563</v>
      </c>
      <c r="F8" s="341">
        <f>ROUND(E8,0)</f>
        <v>41652563</v>
      </c>
      <c r="G8" s="21">
        <f t="shared" si="1"/>
        <v>0</v>
      </c>
      <c r="H8" s="462"/>
      <c r="I8" s="349">
        <v>9163563.9399999995</v>
      </c>
      <c r="J8" s="539">
        <f t="shared" si="2"/>
        <v>0.22000000192065011</v>
      </c>
      <c r="K8" s="349" t="s">
        <v>707</v>
      </c>
    </row>
    <row r="9" spans="1:11" ht="32.450000000000003" customHeight="1" x14ac:dyDescent="0.25">
      <c r="C9" s="78" t="s">
        <v>383</v>
      </c>
      <c r="D9" s="79" t="s">
        <v>384</v>
      </c>
      <c r="E9" s="67">
        <v>3224005</v>
      </c>
      <c r="F9" s="67">
        <f>F10+F13+F16</f>
        <v>3224005</v>
      </c>
      <c r="G9" s="18">
        <f t="shared" si="1"/>
        <v>0</v>
      </c>
      <c r="H9" s="471"/>
      <c r="I9" s="535">
        <f>I10+I13+I16</f>
        <v>2014482.73</v>
      </c>
      <c r="J9" s="561">
        <f t="shared" si="2"/>
        <v>0.62483858740913867</v>
      </c>
      <c r="K9" s="562" t="s">
        <v>552</v>
      </c>
    </row>
    <row r="10" spans="1:11" x14ac:dyDescent="0.25">
      <c r="B10" s="12" t="s">
        <v>15</v>
      </c>
      <c r="C10" s="84" t="s">
        <v>16</v>
      </c>
      <c r="D10" s="85" t="s">
        <v>17</v>
      </c>
      <c r="E10" s="447">
        <v>2046793</v>
      </c>
      <c r="F10" s="447">
        <f>SUM(F11:F12)</f>
        <v>2046793</v>
      </c>
      <c r="G10" s="22">
        <f t="shared" si="1"/>
        <v>0</v>
      </c>
      <c r="H10" s="473"/>
      <c r="I10" s="356">
        <f>SUM(I11:I12)</f>
        <v>1244479.78</v>
      </c>
      <c r="J10" s="564">
        <f t="shared" si="2"/>
        <v>0.60801447923654228</v>
      </c>
      <c r="K10" s="356"/>
    </row>
    <row r="11" spans="1:11" x14ac:dyDescent="0.25">
      <c r="A11" s="12" t="s">
        <v>10</v>
      </c>
      <c r="B11" s="20" t="s">
        <v>18</v>
      </c>
      <c r="C11" s="82" t="s">
        <v>19</v>
      </c>
      <c r="D11" s="83" t="s">
        <v>14</v>
      </c>
      <c r="E11" s="341">
        <v>1945591</v>
      </c>
      <c r="F11" s="341">
        <f>ROUND(E11,0)</f>
        <v>1945591</v>
      </c>
      <c r="G11" s="21">
        <f t="shared" si="1"/>
        <v>0</v>
      </c>
      <c r="H11" s="474"/>
      <c r="I11" s="349">
        <v>1212164.43</v>
      </c>
      <c r="J11" s="539">
        <f t="shared" si="2"/>
        <v>0.62303147475497156</v>
      </c>
      <c r="K11" s="349"/>
    </row>
    <row r="12" spans="1:11" x14ac:dyDescent="0.25">
      <c r="A12" s="12" t="s">
        <v>10</v>
      </c>
      <c r="B12" s="20" t="s">
        <v>20</v>
      </c>
      <c r="C12" s="82" t="s">
        <v>21</v>
      </c>
      <c r="D12" s="83" t="s">
        <v>22</v>
      </c>
      <c r="E12" s="341">
        <v>101202</v>
      </c>
      <c r="F12" s="341">
        <f>ROUND(E12,0)</f>
        <v>101202</v>
      </c>
      <c r="G12" s="21">
        <f t="shared" si="1"/>
        <v>0</v>
      </c>
      <c r="H12" s="462"/>
      <c r="I12" s="349">
        <v>32315.35</v>
      </c>
      <c r="J12" s="539">
        <f t="shared" si="2"/>
        <v>0.31931532973656646</v>
      </c>
      <c r="K12" s="349"/>
    </row>
    <row r="13" spans="1:11" x14ac:dyDescent="0.25">
      <c r="B13" s="12" t="s">
        <v>23</v>
      </c>
      <c r="C13" s="84" t="s">
        <v>24</v>
      </c>
      <c r="D13" s="85" t="s">
        <v>25</v>
      </c>
      <c r="E13" s="447">
        <v>446928</v>
      </c>
      <c r="F13" s="447">
        <f>SUM(F14:F15)</f>
        <v>446928</v>
      </c>
      <c r="G13" s="22">
        <f t="shared" si="1"/>
        <v>0</v>
      </c>
      <c r="H13" s="473"/>
      <c r="I13" s="356">
        <f>SUM(I14:I15)</f>
        <v>297622.89</v>
      </c>
      <c r="J13" s="564">
        <f t="shared" si="2"/>
        <v>0.66593028407260235</v>
      </c>
      <c r="K13" s="356"/>
    </row>
    <row r="14" spans="1:11" x14ac:dyDescent="0.25">
      <c r="A14" s="12" t="s">
        <v>10</v>
      </c>
      <c r="B14" s="20" t="s">
        <v>26</v>
      </c>
      <c r="C14" s="82" t="s">
        <v>27</v>
      </c>
      <c r="D14" s="83" t="s">
        <v>28</v>
      </c>
      <c r="E14" s="341">
        <v>392304</v>
      </c>
      <c r="F14" s="341">
        <f>ROUND(E14,0)</f>
        <v>392304</v>
      </c>
      <c r="G14" s="21">
        <f t="shared" si="1"/>
        <v>0</v>
      </c>
      <c r="H14" s="475"/>
      <c r="I14" s="349">
        <v>273630.7</v>
      </c>
      <c r="J14" s="539">
        <f t="shared" si="2"/>
        <v>0.69749658428157757</v>
      </c>
      <c r="K14" s="349"/>
    </row>
    <row r="15" spans="1:11" x14ac:dyDescent="0.25">
      <c r="A15" s="12" t="s">
        <v>10</v>
      </c>
      <c r="B15" s="20" t="s">
        <v>29</v>
      </c>
      <c r="C15" s="82" t="s">
        <v>30</v>
      </c>
      <c r="D15" s="83" t="s">
        <v>22</v>
      </c>
      <c r="E15" s="341">
        <v>54624</v>
      </c>
      <c r="F15" s="341">
        <f>ROUND(E15,0)</f>
        <v>54624</v>
      </c>
      <c r="G15" s="21">
        <f t="shared" si="1"/>
        <v>0</v>
      </c>
      <c r="H15" s="462"/>
      <c r="I15" s="349">
        <v>23992.19</v>
      </c>
      <c r="J15" s="539">
        <f t="shared" si="2"/>
        <v>0.43922433362624486</v>
      </c>
      <c r="K15" s="349"/>
    </row>
    <row r="16" spans="1:11" ht="29.25" x14ac:dyDescent="0.25">
      <c r="B16" s="12" t="s">
        <v>31</v>
      </c>
      <c r="C16" s="84" t="s">
        <v>32</v>
      </c>
      <c r="D16" s="85" t="s">
        <v>33</v>
      </c>
      <c r="E16" s="447">
        <v>730284</v>
      </c>
      <c r="F16" s="447">
        <f>SUM(F17:F18)</f>
        <v>730284</v>
      </c>
      <c r="G16" s="22">
        <f t="shared" si="1"/>
        <v>0</v>
      </c>
      <c r="H16" s="473"/>
      <c r="I16" s="356">
        <f>SUM(I17:I18)</f>
        <v>472380.06000000006</v>
      </c>
      <c r="J16" s="564">
        <f t="shared" si="2"/>
        <v>0.64684432357822441</v>
      </c>
      <c r="K16" s="356"/>
    </row>
    <row r="17" spans="1:11" ht="18.75" customHeight="1" x14ac:dyDescent="0.25">
      <c r="A17" s="12" t="s">
        <v>10</v>
      </c>
      <c r="B17" s="20" t="s">
        <v>34</v>
      </c>
      <c r="C17" s="82" t="s">
        <v>35</v>
      </c>
      <c r="D17" s="83" t="s">
        <v>28</v>
      </c>
      <c r="E17" s="341">
        <v>670099</v>
      </c>
      <c r="F17" s="341">
        <f>ROUND(E17,0)</f>
        <v>670099</v>
      </c>
      <c r="G17" s="21">
        <f t="shared" si="1"/>
        <v>0</v>
      </c>
      <c r="H17" s="475"/>
      <c r="I17" s="349">
        <v>456292.53</v>
      </c>
      <c r="J17" s="539">
        <f t="shared" si="2"/>
        <v>0.68093301139085427</v>
      </c>
      <c r="K17" s="349"/>
    </row>
    <row r="18" spans="1:11" x14ac:dyDescent="0.25">
      <c r="A18" s="12" t="s">
        <v>10</v>
      </c>
      <c r="B18" s="20" t="s">
        <v>36</v>
      </c>
      <c r="C18" s="82" t="s">
        <v>37</v>
      </c>
      <c r="D18" s="83" t="s">
        <v>22</v>
      </c>
      <c r="E18" s="341">
        <v>60185</v>
      </c>
      <c r="F18" s="341">
        <f>ROUND(E18,0)</f>
        <v>60185</v>
      </c>
      <c r="G18" s="21">
        <f t="shared" si="1"/>
        <v>0</v>
      </c>
      <c r="H18" s="474"/>
      <c r="I18" s="349">
        <v>16087.53</v>
      </c>
      <c r="J18" s="539">
        <f t="shared" si="2"/>
        <v>0.26730132092714132</v>
      </c>
      <c r="K18" s="349"/>
    </row>
    <row r="19" spans="1:11" ht="29.25" x14ac:dyDescent="0.25">
      <c r="B19" s="68"/>
      <c r="C19" s="84" t="s">
        <v>38</v>
      </c>
      <c r="D19" s="85" t="s">
        <v>366</v>
      </c>
      <c r="E19" s="447">
        <v>75000</v>
      </c>
      <c r="F19" s="447">
        <f t="shared" ref="F19" si="3">SUM(F20:F21)</f>
        <v>75000</v>
      </c>
      <c r="G19" s="22">
        <f t="shared" si="1"/>
        <v>0</v>
      </c>
      <c r="H19" s="473"/>
      <c r="I19" s="356">
        <f>SUM(I20:I21)</f>
        <v>44277.979999999996</v>
      </c>
      <c r="J19" s="564">
        <f t="shared" si="2"/>
        <v>0.59037306666666656</v>
      </c>
      <c r="K19" s="356"/>
    </row>
    <row r="20" spans="1:11" ht="14.45" customHeight="1" outlineLevel="1" x14ac:dyDescent="0.25">
      <c r="B20" s="20" t="s">
        <v>387</v>
      </c>
      <c r="C20" s="82" t="s">
        <v>161</v>
      </c>
      <c r="D20" s="83" t="s">
        <v>39</v>
      </c>
      <c r="E20" s="341">
        <v>5000</v>
      </c>
      <c r="F20" s="341">
        <f>ROUND(E20,0)</f>
        <v>5000</v>
      </c>
      <c r="G20" s="21">
        <f t="shared" si="1"/>
        <v>0</v>
      </c>
      <c r="H20" s="475"/>
      <c r="I20" s="349">
        <v>1250.7</v>
      </c>
      <c r="J20" s="539">
        <f t="shared" si="2"/>
        <v>0.25014000000000003</v>
      </c>
      <c r="K20" s="349"/>
    </row>
    <row r="21" spans="1:11" ht="15.6" customHeight="1" x14ac:dyDescent="0.25">
      <c r="B21" s="20" t="s">
        <v>386</v>
      </c>
      <c r="C21" s="82" t="s">
        <v>161</v>
      </c>
      <c r="D21" s="83" t="s">
        <v>385</v>
      </c>
      <c r="E21" s="341">
        <v>70000</v>
      </c>
      <c r="F21" s="341">
        <f>ROUND(E21,0)</f>
        <v>70000</v>
      </c>
      <c r="G21" s="21">
        <f t="shared" si="1"/>
        <v>0</v>
      </c>
      <c r="H21" s="476"/>
      <c r="I21" s="349">
        <v>43027.28</v>
      </c>
      <c r="J21" s="539">
        <f t="shared" si="2"/>
        <v>0.61467542857142854</v>
      </c>
      <c r="K21" s="349"/>
    </row>
    <row r="22" spans="1:11" ht="15.75" customHeight="1" x14ac:dyDescent="0.25">
      <c r="B22" s="12" t="s">
        <v>40</v>
      </c>
      <c r="C22" s="84" t="s">
        <v>41</v>
      </c>
      <c r="D22" s="85" t="s">
        <v>42</v>
      </c>
      <c r="E22" s="447">
        <v>144300</v>
      </c>
      <c r="F22" s="447">
        <f t="shared" ref="F22" si="4">F23+F27</f>
        <v>144300</v>
      </c>
      <c r="G22" s="22">
        <f t="shared" si="1"/>
        <v>0</v>
      </c>
      <c r="H22" s="473"/>
      <c r="I22" s="356">
        <f>I23+I27</f>
        <v>31427.86</v>
      </c>
      <c r="J22" s="564">
        <f t="shared" si="2"/>
        <v>0.2177952875952876</v>
      </c>
      <c r="K22" s="1067"/>
    </row>
    <row r="23" spans="1:11" x14ac:dyDescent="0.25">
      <c r="A23" s="12" t="s">
        <v>10</v>
      </c>
      <c r="B23" s="12" t="s">
        <v>43</v>
      </c>
      <c r="C23" s="82" t="s">
        <v>44</v>
      </c>
      <c r="D23" s="83" t="s">
        <v>45</v>
      </c>
      <c r="E23" s="341">
        <v>6100</v>
      </c>
      <c r="F23" s="341">
        <f>F24+F25+F26</f>
        <v>6100</v>
      </c>
      <c r="G23" s="21">
        <f t="shared" si="1"/>
        <v>0</v>
      </c>
      <c r="H23" s="474"/>
      <c r="I23" s="349">
        <f>I24+I25+I26</f>
        <v>1038.57</v>
      </c>
      <c r="J23" s="565">
        <f t="shared" si="2"/>
        <v>0.17025737704918031</v>
      </c>
      <c r="K23" s="349"/>
    </row>
    <row r="24" spans="1:11" ht="26.25" x14ac:dyDescent="0.25">
      <c r="B24" s="20" t="s">
        <v>46</v>
      </c>
      <c r="C24" s="86" t="s">
        <v>47</v>
      </c>
      <c r="D24" s="87" t="s">
        <v>48</v>
      </c>
      <c r="E24" s="341">
        <v>1100</v>
      </c>
      <c r="F24" s="341">
        <f>ROUND(E24,0)</f>
        <v>1100</v>
      </c>
      <c r="G24" s="21">
        <f t="shared" si="1"/>
        <v>0</v>
      </c>
      <c r="H24" s="474"/>
      <c r="I24" s="349">
        <v>175.37</v>
      </c>
      <c r="J24" s="539">
        <f t="shared" si="2"/>
        <v>0.15942727272727272</v>
      </c>
      <c r="K24" s="349"/>
    </row>
    <row r="25" spans="1:11" ht="26.25" x14ac:dyDescent="0.25">
      <c r="B25" s="20" t="s">
        <v>49</v>
      </c>
      <c r="C25" s="86" t="s">
        <v>50</v>
      </c>
      <c r="D25" s="87" t="s">
        <v>282</v>
      </c>
      <c r="E25" s="341">
        <v>4500</v>
      </c>
      <c r="F25" s="341">
        <f>ROUND(E25,0)</f>
        <v>4500</v>
      </c>
      <c r="G25" s="21">
        <f t="shared" si="1"/>
        <v>0</v>
      </c>
      <c r="H25" s="474"/>
      <c r="I25" s="349">
        <v>774.5</v>
      </c>
      <c r="J25" s="539">
        <f t="shared" si="2"/>
        <v>0.1721111111111111</v>
      </c>
      <c r="K25" s="349"/>
    </row>
    <row r="26" spans="1:11" ht="26.25" x14ac:dyDescent="0.25">
      <c r="B26" s="20" t="s">
        <v>51</v>
      </c>
      <c r="C26" s="86" t="s">
        <v>52</v>
      </c>
      <c r="D26" s="87" t="s">
        <v>283</v>
      </c>
      <c r="E26" s="341">
        <v>500</v>
      </c>
      <c r="F26" s="341">
        <f>ROUND(E26,0)</f>
        <v>500</v>
      </c>
      <c r="G26" s="21">
        <f t="shared" si="1"/>
        <v>0</v>
      </c>
      <c r="H26" s="474"/>
      <c r="I26" s="349">
        <v>88.7</v>
      </c>
      <c r="J26" s="539">
        <f t="shared" si="2"/>
        <v>0.1774</v>
      </c>
      <c r="K26" s="349"/>
    </row>
    <row r="27" spans="1:11" x14ac:dyDescent="0.25">
      <c r="A27" s="12" t="s">
        <v>10</v>
      </c>
      <c r="B27" s="12" t="s">
        <v>53</v>
      </c>
      <c r="C27" s="82" t="s">
        <v>54</v>
      </c>
      <c r="D27" s="83" t="s">
        <v>55</v>
      </c>
      <c r="E27" s="341">
        <v>138200</v>
      </c>
      <c r="F27" s="341">
        <f t="shared" ref="F27" si="5">SUM(F28:F33)</f>
        <v>138200</v>
      </c>
      <c r="G27" s="21">
        <f t="shared" si="1"/>
        <v>0</v>
      </c>
      <c r="H27" s="474"/>
      <c r="I27" s="349">
        <f>SUM(I28:I33)</f>
        <v>30389.29</v>
      </c>
      <c r="J27" s="565">
        <f t="shared" si="2"/>
        <v>0.21989356005788713</v>
      </c>
      <c r="K27" s="349"/>
    </row>
    <row r="28" spans="1:11" ht="26.25" x14ac:dyDescent="0.25">
      <c r="B28" s="20" t="s">
        <v>56</v>
      </c>
      <c r="C28" s="86" t="s">
        <v>57</v>
      </c>
      <c r="D28" s="87" t="s">
        <v>284</v>
      </c>
      <c r="E28" s="341">
        <v>100</v>
      </c>
      <c r="F28" s="341">
        <f t="shared" ref="F28:F33" si="6">ROUND(E28,0)</f>
        <v>100</v>
      </c>
      <c r="G28" s="21">
        <f t="shared" si="1"/>
        <v>0</v>
      </c>
      <c r="H28" s="474"/>
      <c r="I28" s="349">
        <v>21</v>
      </c>
      <c r="J28" s="539">
        <f t="shared" si="2"/>
        <v>0.21</v>
      </c>
      <c r="K28" s="349"/>
    </row>
    <row r="29" spans="1:11" ht="26.25" x14ac:dyDescent="0.25">
      <c r="B29" s="73" t="s">
        <v>498</v>
      </c>
      <c r="C29" s="86" t="s">
        <v>59</v>
      </c>
      <c r="D29" s="87" t="s">
        <v>291</v>
      </c>
      <c r="E29" s="341">
        <v>4300</v>
      </c>
      <c r="F29" s="341">
        <f t="shared" si="6"/>
        <v>4300</v>
      </c>
      <c r="G29" s="66">
        <f t="shared" si="1"/>
        <v>0</v>
      </c>
      <c r="H29" s="477"/>
      <c r="I29" s="349">
        <v>300</v>
      </c>
      <c r="J29" s="541">
        <f t="shared" si="2"/>
        <v>6.9767441860465115E-2</v>
      </c>
      <c r="K29" s="349"/>
    </row>
    <row r="30" spans="1:11" ht="25.9" customHeight="1" x14ac:dyDescent="0.25">
      <c r="B30" s="20" t="s">
        <v>58</v>
      </c>
      <c r="C30" s="86" t="s">
        <v>60</v>
      </c>
      <c r="D30" s="87" t="s">
        <v>285</v>
      </c>
      <c r="E30" s="341">
        <v>37000</v>
      </c>
      <c r="F30" s="341">
        <f t="shared" si="6"/>
        <v>37000</v>
      </c>
      <c r="G30" s="21">
        <f t="shared" si="1"/>
        <v>0</v>
      </c>
      <c r="H30" s="474"/>
      <c r="I30" s="349">
        <v>3436.5</v>
      </c>
      <c r="J30" s="539">
        <f t="shared" si="2"/>
        <v>9.2878378378378382E-2</v>
      </c>
      <c r="K30" s="349"/>
    </row>
    <row r="31" spans="1:11" ht="26.25" x14ac:dyDescent="0.25">
      <c r="B31" s="20" t="s">
        <v>61</v>
      </c>
      <c r="C31" s="86" t="s">
        <v>62</v>
      </c>
      <c r="D31" s="87" t="s">
        <v>286</v>
      </c>
      <c r="E31" s="341">
        <v>22000</v>
      </c>
      <c r="F31" s="341">
        <f t="shared" si="6"/>
        <v>22000</v>
      </c>
      <c r="G31" s="21">
        <f t="shared" si="1"/>
        <v>0</v>
      </c>
      <c r="H31" s="474"/>
      <c r="I31" s="349">
        <v>4275.34</v>
      </c>
      <c r="J31" s="539">
        <f t="shared" si="2"/>
        <v>0.19433363636363638</v>
      </c>
      <c r="K31" s="349"/>
    </row>
    <row r="32" spans="1:11" x14ac:dyDescent="0.25">
      <c r="B32" s="20" t="s">
        <v>63</v>
      </c>
      <c r="C32" s="86" t="s">
        <v>64</v>
      </c>
      <c r="D32" s="87" t="s">
        <v>287</v>
      </c>
      <c r="E32" s="341">
        <v>70000</v>
      </c>
      <c r="F32" s="341">
        <f t="shared" si="6"/>
        <v>70000</v>
      </c>
      <c r="G32" s="21">
        <f t="shared" si="1"/>
        <v>0</v>
      </c>
      <c r="H32" s="474"/>
      <c r="I32" s="349">
        <v>20909</v>
      </c>
      <c r="J32" s="539">
        <f t="shared" si="2"/>
        <v>0.29870000000000002</v>
      </c>
      <c r="K32" s="349"/>
    </row>
    <row r="33" spans="1:12" x14ac:dyDescent="0.25">
      <c r="B33" s="20" t="s">
        <v>65</v>
      </c>
      <c r="C33" s="86" t="s">
        <v>66</v>
      </c>
      <c r="D33" s="87" t="s">
        <v>288</v>
      </c>
      <c r="E33" s="341">
        <v>4800</v>
      </c>
      <c r="F33" s="341">
        <f t="shared" si="6"/>
        <v>4800</v>
      </c>
      <c r="G33" s="21">
        <f t="shared" si="1"/>
        <v>0</v>
      </c>
      <c r="H33" s="474"/>
      <c r="I33" s="349">
        <f>1218.45+229</f>
        <v>1447.45</v>
      </c>
      <c r="J33" s="539">
        <f t="shared" si="2"/>
        <v>0.30155208333333333</v>
      </c>
      <c r="K33" s="349"/>
    </row>
    <row r="34" spans="1:12" ht="18" customHeight="1" x14ac:dyDescent="0.25">
      <c r="B34" s="12" t="s">
        <v>67</v>
      </c>
      <c r="C34" s="84" t="s">
        <v>68</v>
      </c>
      <c r="D34" s="85" t="s">
        <v>69</v>
      </c>
      <c r="E34" s="447">
        <v>130000</v>
      </c>
      <c r="F34" s="447">
        <f>F35+F36</f>
        <v>130000</v>
      </c>
      <c r="G34" s="22">
        <f t="shared" si="1"/>
        <v>0</v>
      </c>
      <c r="H34" s="478"/>
      <c r="I34" s="356">
        <f>I35+I36</f>
        <v>42318.97</v>
      </c>
      <c r="J34" s="564">
        <f t="shared" si="2"/>
        <v>0.32553053846153845</v>
      </c>
      <c r="K34" s="1067"/>
    </row>
    <row r="35" spans="1:12" ht="16.5" customHeight="1" x14ac:dyDescent="0.25">
      <c r="B35" s="68" t="s">
        <v>70</v>
      </c>
      <c r="C35" s="82" t="s">
        <v>71</v>
      </c>
      <c r="D35" s="83" t="s">
        <v>69</v>
      </c>
      <c r="E35" s="341">
        <v>90000</v>
      </c>
      <c r="F35" s="341">
        <f>ROUND(E35,0)</f>
        <v>90000</v>
      </c>
      <c r="G35" s="21">
        <f t="shared" si="1"/>
        <v>0</v>
      </c>
      <c r="H35" s="462"/>
      <c r="I35" s="349">
        <v>23000.97</v>
      </c>
      <c r="J35" s="539">
        <f t="shared" si="2"/>
        <v>0.25556633333333334</v>
      </c>
      <c r="K35" s="349"/>
    </row>
    <row r="36" spans="1:12" ht="30" x14ac:dyDescent="0.25">
      <c r="B36" s="68" t="s">
        <v>72</v>
      </c>
      <c r="C36" s="82" t="s">
        <v>73</v>
      </c>
      <c r="D36" s="83" t="s">
        <v>74</v>
      </c>
      <c r="E36" s="341">
        <v>40000</v>
      </c>
      <c r="F36" s="341">
        <f>ROUND(E36,0)</f>
        <v>40000</v>
      </c>
      <c r="G36" s="21">
        <f t="shared" si="1"/>
        <v>0</v>
      </c>
      <c r="H36" s="462"/>
      <c r="I36" s="349">
        <v>19318</v>
      </c>
      <c r="J36" s="539">
        <f t="shared" si="2"/>
        <v>0.48294999999999999</v>
      </c>
      <c r="K36" s="349"/>
    </row>
    <row r="37" spans="1:12" ht="15" customHeight="1" x14ac:dyDescent="0.25">
      <c r="B37" s="12" t="s">
        <v>75</v>
      </c>
      <c r="C37" s="84" t="s">
        <v>76</v>
      </c>
      <c r="D37" s="85" t="s">
        <v>77</v>
      </c>
      <c r="E37" s="447">
        <v>38728</v>
      </c>
      <c r="F37" s="447">
        <f>F38+F39+F40</f>
        <v>38728</v>
      </c>
      <c r="G37" s="22">
        <f t="shared" si="1"/>
        <v>0</v>
      </c>
      <c r="H37" s="473"/>
      <c r="I37" s="356">
        <f>I38+I39+I40</f>
        <v>20706.91</v>
      </c>
      <c r="J37" s="564">
        <f t="shared" si="2"/>
        <v>0.53467542863044826</v>
      </c>
      <c r="K37" s="356"/>
      <c r="L37" s="52"/>
    </row>
    <row r="38" spans="1:12" ht="44.45" customHeight="1" x14ac:dyDescent="0.25">
      <c r="A38" s="12" t="s">
        <v>10</v>
      </c>
      <c r="B38" s="13" t="s">
        <v>731</v>
      </c>
      <c r="C38" s="82" t="s">
        <v>78</v>
      </c>
      <c r="D38" s="302" t="s">
        <v>79</v>
      </c>
      <c r="E38" s="341">
        <v>28728</v>
      </c>
      <c r="F38" s="341">
        <f>ROUND(E38,0)</f>
        <v>28728</v>
      </c>
      <c r="G38" s="21">
        <f t="shared" si="1"/>
        <v>0</v>
      </c>
      <c r="H38" s="460"/>
      <c r="I38" s="349">
        <f>5997.26+2829</f>
        <v>8826.26</v>
      </c>
      <c r="J38" s="539">
        <f t="shared" si="2"/>
        <v>0.30723544973544975</v>
      </c>
      <c r="K38" s="537" t="s">
        <v>1438</v>
      </c>
    </row>
    <row r="39" spans="1:12" ht="27.75" customHeight="1" x14ac:dyDescent="0.25">
      <c r="B39" s="12" t="s">
        <v>248</v>
      </c>
      <c r="C39" s="82" t="s">
        <v>80</v>
      </c>
      <c r="D39" s="83" t="s">
        <v>247</v>
      </c>
      <c r="E39" s="341">
        <v>0</v>
      </c>
      <c r="F39" s="341">
        <f>ROUND(E39,0)</f>
        <v>0</v>
      </c>
      <c r="G39" s="21">
        <f t="shared" si="1"/>
        <v>0</v>
      </c>
      <c r="H39" s="460"/>
      <c r="I39" s="349"/>
      <c r="J39" s="539"/>
      <c r="K39" s="537"/>
    </row>
    <row r="40" spans="1:12" x14ac:dyDescent="0.25">
      <c r="B40" s="12" t="s">
        <v>637</v>
      </c>
      <c r="C40" s="82" t="s">
        <v>81</v>
      </c>
      <c r="D40" s="83" t="s">
        <v>315</v>
      </c>
      <c r="E40" s="341">
        <v>10000</v>
      </c>
      <c r="F40" s="341">
        <f>ROUND(E40,0)</f>
        <v>10000</v>
      </c>
      <c r="G40" s="66">
        <f t="shared" si="1"/>
        <v>0</v>
      </c>
      <c r="H40" s="479"/>
      <c r="I40" s="349">
        <v>11880.65</v>
      </c>
      <c r="J40" s="541">
        <f t="shared" si="2"/>
        <v>1.1880649999999999</v>
      </c>
      <c r="K40" s="349"/>
      <c r="L40" s="52"/>
    </row>
    <row r="41" spans="1:12" ht="27" customHeight="1" x14ac:dyDescent="0.25">
      <c r="B41" s="12" t="s">
        <v>243</v>
      </c>
      <c r="C41" s="88" t="s">
        <v>82</v>
      </c>
      <c r="D41" s="85" t="s">
        <v>83</v>
      </c>
      <c r="E41" s="447">
        <v>0</v>
      </c>
      <c r="F41" s="447">
        <v>0</v>
      </c>
      <c r="G41" s="22">
        <f t="shared" si="1"/>
        <v>0</v>
      </c>
      <c r="H41" s="478"/>
      <c r="I41" s="356">
        <v>71994.570000000007</v>
      </c>
      <c r="J41" s="564"/>
      <c r="K41" s="1067"/>
    </row>
    <row r="42" spans="1:12" ht="31.5" customHeight="1" x14ac:dyDescent="0.25">
      <c r="C42" s="88" t="s">
        <v>86</v>
      </c>
      <c r="D42" s="85" t="s">
        <v>252</v>
      </c>
      <c r="E42" s="447">
        <v>21107234</v>
      </c>
      <c r="F42" s="447">
        <f t="shared" ref="F42" si="7">F43+F67+F94</f>
        <v>21152808</v>
      </c>
      <c r="G42" s="22">
        <f t="shared" si="1"/>
        <v>45574</v>
      </c>
      <c r="H42" s="22"/>
      <c r="I42" s="597">
        <f>I43+I67+I94</f>
        <v>7041553.4299999997</v>
      </c>
      <c r="J42" s="564">
        <f t="shared" si="2"/>
        <v>0.33288977189222346</v>
      </c>
      <c r="K42" s="356"/>
    </row>
    <row r="43" spans="1:12" ht="17.45" customHeight="1" x14ac:dyDescent="0.25">
      <c r="B43" s="20"/>
      <c r="C43" s="89" t="s">
        <v>90</v>
      </c>
      <c r="D43" s="304" t="s">
        <v>87</v>
      </c>
      <c r="E43" s="1019">
        <v>10832171</v>
      </c>
      <c r="F43" s="1019">
        <f>SUM(F44:F47)+F50+SUM(F54:F66)</f>
        <v>10832211</v>
      </c>
      <c r="G43" s="64">
        <f t="shared" si="1"/>
        <v>40</v>
      </c>
      <c r="H43" s="64"/>
      <c r="I43" s="360">
        <f>SUM(I44:I47)+I50+SUM(I54:I66)</f>
        <v>3112229.29</v>
      </c>
      <c r="J43" s="570">
        <f t="shared" si="2"/>
        <v>0.28731246926412346</v>
      </c>
      <c r="K43" s="360"/>
      <c r="L43" s="12">
        <f>9781664-9778664</f>
        <v>3000</v>
      </c>
    </row>
    <row r="44" spans="1:12" ht="16.899999999999999" customHeight="1" x14ac:dyDescent="0.25">
      <c r="A44" s="12" t="s">
        <v>88</v>
      </c>
      <c r="B44" s="12" t="s">
        <v>89</v>
      </c>
      <c r="C44" s="86" t="s">
        <v>388</v>
      </c>
      <c r="D44" s="83" t="s">
        <v>91</v>
      </c>
      <c r="E44" s="341">
        <v>849067</v>
      </c>
      <c r="F44" s="341">
        <f>ROUND(E44,0)</f>
        <v>849067</v>
      </c>
      <c r="G44" s="21">
        <f t="shared" si="1"/>
        <v>0</v>
      </c>
      <c r="H44" s="460"/>
      <c r="I44" s="349">
        <v>566044.66</v>
      </c>
      <c r="J44" s="539">
        <f t="shared" si="2"/>
        <v>0.66666665881491094</v>
      </c>
      <c r="K44" s="349"/>
    </row>
    <row r="45" spans="1:12" ht="13.9" customHeight="1" x14ac:dyDescent="0.25">
      <c r="A45" s="12" t="s">
        <v>88</v>
      </c>
      <c r="B45" s="68" t="s">
        <v>92</v>
      </c>
      <c r="C45" s="86" t="s">
        <v>389</v>
      </c>
      <c r="D45" s="83" t="s">
        <v>94</v>
      </c>
      <c r="E45" s="341">
        <v>339462</v>
      </c>
      <c r="F45" s="341">
        <f>ROUND(E45,0)</f>
        <v>339462</v>
      </c>
      <c r="G45" s="21">
        <f t="shared" si="1"/>
        <v>0</v>
      </c>
      <c r="H45" s="462"/>
      <c r="I45" s="349">
        <v>84864</v>
      </c>
      <c r="J45" s="539">
        <f t="shared" si="2"/>
        <v>0.24999558124326141</v>
      </c>
      <c r="K45" s="349"/>
    </row>
    <row r="46" spans="1:12" x14ac:dyDescent="0.25">
      <c r="B46" s="63" t="s">
        <v>273</v>
      </c>
      <c r="C46" s="86" t="s">
        <v>390</v>
      </c>
      <c r="D46" s="83" t="s">
        <v>95</v>
      </c>
      <c r="E46" s="341">
        <v>388794</v>
      </c>
      <c r="F46" s="341">
        <f>ROUND(E46,0)</f>
        <v>388794</v>
      </c>
      <c r="G46" s="21">
        <f t="shared" si="1"/>
        <v>0</v>
      </c>
      <c r="H46" s="460"/>
      <c r="I46" s="349">
        <f>151218.43+20183.89</f>
        <v>171402.32</v>
      </c>
      <c r="J46" s="539">
        <f t="shared" si="2"/>
        <v>0.44085639181674618</v>
      </c>
      <c r="K46" s="349"/>
    </row>
    <row r="47" spans="1:12" ht="14.25" customHeight="1" x14ac:dyDescent="0.25">
      <c r="A47" s="12" t="s">
        <v>88</v>
      </c>
      <c r="B47" s="68" t="s">
        <v>96</v>
      </c>
      <c r="C47" s="86" t="s">
        <v>391</v>
      </c>
      <c r="D47" s="83" t="s">
        <v>434</v>
      </c>
      <c r="E47" s="21">
        <v>0</v>
      </c>
      <c r="F47" s="341">
        <f t="shared" ref="F47" si="8">F48+F49</f>
        <v>0</v>
      </c>
      <c r="G47" s="21">
        <f t="shared" si="1"/>
        <v>0</v>
      </c>
      <c r="H47" s="21"/>
      <c r="I47" s="341">
        <f t="shared" ref="I47" si="9">I48+I49</f>
        <v>0</v>
      </c>
      <c r="J47" s="539"/>
      <c r="K47" s="349"/>
    </row>
    <row r="48" spans="1:12" ht="14.25" customHeight="1" x14ac:dyDescent="0.25">
      <c r="B48" s="68"/>
      <c r="C48" s="86" t="s">
        <v>431</v>
      </c>
      <c r="D48" s="87" t="s">
        <v>433</v>
      </c>
      <c r="E48" s="341">
        <v>0</v>
      </c>
      <c r="F48" s="448">
        <f>ROUND(E48,0)</f>
        <v>0</v>
      </c>
      <c r="G48" s="107">
        <f t="shared" si="1"/>
        <v>0</v>
      </c>
      <c r="H48" s="465"/>
      <c r="I48" s="349">
        <v>0</v>
      </c>
      <c r="J48" s="539"/>
      <c r="K48" s="349"/>
    </row>
    <row r="49" spans="1:11" ht="29.45" customHeight="1" x14ac:dyDescent="0.25">
      <c r="B49" s="68"/>
      <c r="C49" s="86" t="s">
        <v>432</v>
      </c>
      <c r="D49" s="87" t="s">
        <v>435</v>
      </c>
      <c r="E49" s="341">
        <v>0</v>
      </c>
      <c r="F49" s="448">
        <f>ROUND(E49,0)</f>
        <v>0</v>
      </c>
      <c r="G49" s="107">
        <f t="shared" si="1"/>
        <v>0</v>
      </c>
      <c r="H49" s="465"/>
      <c r="I49" s="349">
        <v>0</v>
      </c>
      <c r="J49" s="539"/>
      <c r="K49" s="349"/>
    </row>
    <row r="50" spans="1:11" ht="13.9" customHeight="1" x14ac:dyDescent="0.25">
      <c r="B50" s="12" t="s">
        <v>97</v>
      </c>
      <c r="C50" s="86" t="s">
        <v>392</v>
      </c>
      <c r="D50" s="83" t="s">
        <v>98</v>
      </c>
      <c r="E50" s="1020">
        <v>7742323</v>
      </c>
      <c r="F50" s="1020">
        <f>F51+F52+F53</f>
        <v>7742323</v>
      </c>
      <c r="G50" s="59">
        <f t="shared" si="1"/>
        <v>0</v>
      </c>
      <c r="H50" s="480"/>
      <c r="I50" s="538">
        <f>I51+I52+I53</f>
        <v>1935762</v>
      </c>
      <c r="J50" s="571">
        <f t="shared" si="2"/>
        <v>0.25002341028655095</v>
      </c>
      <c r="K50" s="538"/>
    </row>
    <row r="51" spans="1:11" s="25" customFormat="1" x14ac:dyDescent="0.25">
      <c r="A51" s="12" t="s">
        <v>88</v>
      </c>
      <c r="B51" s="68" t="s">
        <v>99</v>
      </c>
      <c r="C51" s="86" t="s">
        <v>393</v>
      </c>
      <c r="D51" s="87" t="s">
        <v>100</v>
      </c>
      <c r="E51" s="1021">
        <v>997247</v>
      </c>
      <c r="F51" s="1021">
        <f t="shared" ref="F51:F64" si="10">ROUND(E51,0)</f>
        <v>997247</v>
      </c>
      <c r="G51" s="24">
        <f t="shared" si="1"/>
        <v>0</v>
      </c>
      <c r="H51" s="481"/>
      <c r="I51" s="536">
        <v>251355</v>
      </c>
      <c r="J51" s="572">
        <f t="shared" si="2"/>
        <v>0.25204889059581026</v>
      </c>
      <c r="K51" s="536"/>
    </row>
    <row r="52" spans="1:11" s="25" customFormat="1" x14ac:dyDescent="0.25">
      <c r="A52" s="12" t="s">
        <v>88</v>
      </c>
      <c r="B52" s="68" t="s">
        <v>101</v>
      </c>
      <c r="C52" s="86" t="s">
        <v>394</v>
      </c>
      <c r="D52" s="87" t="s">
        <v>289</v>
      </c>
      <c r="E52" s="1021">
        <v>6172209</v>
      </c>
      <c r="F52" s="1021">
        <f t="shared" si="10"/>
        <v>6172209</v>
      </c>
      <c r="G52" s="24">
        <f t="shared" si="1"/>
        <v>0</v>
      </c>
      <c r="H52" s="481"/>
      <c r="I52" s="1115">
        <v>1684407</v>
      </c>
      <c r="J52" s="1121">
        <f>I52/(F52+F53)</f>
        <v>0.24972394677243073</v>
      </c>
      <c r="K52" s="536"/>
    </row>
    <row r="53" spans="1:11" s="25" customFormat="1" ht="18" customHeight="1" x14ac:dyDescent="0.25">
      <c r="A53" s="12" t="s">
        <v>88</v>
      </c>
      <c r="B53" s="12"/>
      <c r="C53" s="86" t="s">
        <v>395</v>
      </c>
      <c r="D53" s="87" t="s">
        <v>290</v>
      </c>
      <c r="E53" s="1021">
        <v>572867</v>
      </c>
      <c r="F53" s="1021">
        <f>ROUND(E53,0)</f>
        <v>572867</v>
      </c>
      <c r="G53" s="24">
        <f t="shared" si="1"/>
        <v>0</v>
      </c>
      <c r="H53" s="481"/>
      <c r="I53" s="1116"/>
      <c r="J53" s="1122"/>
      <c r="K53" s="536"/>
    </row>
    <row r="54" spans="1:11" ht="31.5" customHeight="1" x14ac:dyDescent="0.25">
      <c r="A54" s="12" t="s">
        <v>88</v>
      </c>
      <c r="B54" s="12" t="s">
        <v>102</v>
      </c>
      <c r="C54" s="86" t="s">
        <v>396</v>
      </c>
      <c r="D54" s="83" t="s">
        <v>267</v>
      </c>
      <c r="E54" s="341">
        <v>26226</v>
      </c>
      <c r="F54" s="341">
        <f t="shared" si="10"/>
        <v>26226</v>
      </c>
      <c r="G54" s="21">
        <f t="shared" si="1"/>
        <v>0</v>
      </c>
      <c r="H54" s="474"/>
      <c r="I54" s="349"/>
      <c r="J54" s="539">
        <f t="shared" si="2"/>
        <v>0</v>
      </c>
      <c r="K54" s="349"/>
    </row>
    <row r="55" spans="1:11" ht="19.149999999999999" customHeight="1" x14ac:dyDescent="0.25">
      <c r="A55" s="12" t="s">
        <v>88</v>
      </c>
      <c r="B55" s="423" t="s">
        <v>638</v>
      </c>
      <c r="C55" s="86" t="s">
        <v>397</v>
      </c>
      <c r="D55" s="83" t="s">
        <v>307</v>
      </c>
      <c r="E55" s="341">
        <v>42000</v>
      </c>
      <c r="F55" s="341">
        <f>ROUND(E55,0)+80</f>
        <v>42080</v>
      </c>
      <c r="G55" s="21">
        <f t="shared" si="1"/>
        <v>80</v>
      </c>
      <c r="H55" s="462" t="s">
        <v>517</v>
      </c>
      <c r="I55" s="1117">
        <v>27112</v>
      </c>
      <c r="J55" s="1123">
        <f>I55/(F55+F56)</f>
        <v>0.46728714236470181</v>
      </c>
      <c r="K55" s="357"/>
    </row>
    <row r="56" spans="1:11" ht="19.149999999999999" customHeight="1" x14ac:dyDescent="0.25">
      <c r="B56" s="423" t="s">
        <v>638</v>
      </c>
      <c r="C56" s="86" t="s">
        <v>398</v>
      </c>
      <c r="D56" s="83" t="s">
        <v>350</v>
      </c>
      <c r="E56" s="341">
        <v>15980</v>
      </c>
      <c r="F56" s="341">
        <f>ROUND(E56,0)-40</f>
        <v>15940</v>
      </c>
      <c r="G56" s="107">
        <f t="shared" si="1"/>
        <v>-40</v>
      </c>
      <c r="H56" s="462" t="s">
        <v>517</v>
      </c>
      <c r="I56" s="1118"/>
      <c r="J56" s="1124"/>
      <c r="K56" s="357"/>
    </row>
    <row r="57" spans="1:11" ht="30.6" customHeight="1" x14ac:dyDescent="0.25">
      <c r="B57" s="12" t="s">
        <v>103</v>
      </c>
      <c r="C57" s="86" t="s">
        <v>399</v>
      </c>
      <c r="D57" s="83" t="s">
        <v>104</v>
      </c>
      <c r="E57" s="341">
        <v>642000</v>
      </c>
      <c r="F57" s="341">
        <f t="shared" si="10"/>
        <v>642000</v>
      </c>
      <c r="G57" s="21">
        <f t="shared" si="1"/>
        <v>0</v>
      </c>
      <c r="H57" s="460"/>
      <c r="I57" s="349">
        <v>163325.51999999999</v>
      </c>
      <c r="J57" s="539">
        <f t="shared" si="2"/>
        <v>0.25440112149532706</v>
      </c>
      <c r="K57" s="349"/>
    </row>
    <row r="58" spans="1:11" ht="31.5" customHeight="1" x14ac:dyDescent="0.25">
      <c r="C58" s="86" t="s">
        <v>400</v>
      </c>
      <c r="D58" s="83" t="s">
        <v>258</v>
      </c>
      <c r="E58" s="341">
        <v>0</v>
      </c>
      <c r="F58" s="341">
        <f t="shared" si="10"/>
        <v>0</v>
      </c>
      <c r="G58" s="21">
        <f t="shared" si="1"/>
        <v>0</v>
      </c>
      <c r="H58" s="482"/>
      <c r="I58" s="349"/>
      <c r="J58" s="539"/>
      <c r="K58" s="349"/>
    </row>
    <row r="59" spans="1:11" ht="31.5" customHeight="1" x14ac:dyDescent="0.25">
      <c r="C59" s="182"/>
      <c r="D59" s="141" t="s">
        <v>623</v>
      </c>
      <c r="E59" s="341">
        <v>0</v>
      </c>
      <c r="F59" s="453">
        <f t="shared" si="10"/>
        <v>0</v>
      </c>
      <c r="G59" s="21">
        <f t="shared" si="1"/>
        <v>0</v>
      </c>
      <c r="H59" s="483"/>
      <c r="I59" s="349"/>
      <c r="J59" s="573"/>
      <c r="K59" s="349"/>
    </row>
    <row r="60" spans="1:11" ht="28.15" customHeight="1" x14ac:dyDescent="0.25">
      <c r="B60" s="71" t="s">
        <v>418</v>
      </c>
      <c r="C60" s="86" t="s">
        <v>401</v>
      </c>
      <c r="D60" s="309" t="s">
        <v>276</v>
      </c>
      <c r="E60" s="341">
        <v>401002</v>
      </c>
      <c r="F60" s="449">
        <f t="shared" si="10"/>
        <v>401002</v>
      </c>
      <c r="G60" s="21">
        <f t="shared" si="1"/>
        <v>0</v>
      </c>
      <c r="H60" s="484"/>
      <c r="I60" s="349">
        <v>105824.88</v>
      </c>
      <c r="J60" s="566">
        <f t="shared" si="2"/>
        <v>0.26390112767517371</v>
      </c>
      <c r="K60" s="349" t="s">
        <v>518</v>
      </c>
    </row>
    <row r="61" spans="1:11" ht="58.9" customHeight="1" x14ac:dyDescent="0.25">
      <c r="B61" s="71" t="s">
        <v>862</v>
      </c>
      <c r="C61" s="86"/>
      <c r="D61" s="325" t="s">
        <v>618</v>
      </c>
      <c r="E61" s="341">
        <v>0</v>
      </c>
      <c r="F61" s="448">
        <f t="shared" si="10"/>
        <v>0</v>
      </c>
      <c r="G61" s="107">
        <f t="shared" si="1"/>
        <v>0</v>
      </c>
      <c r="H61" s="465"/>
      <c r="I61" s="349"/>
      <c r="J61" s="567"/>
      <c r="K61" s="357"/>
    </row>
    <row r="62" spans="1:11" ht="33.75" customHeight="1" x14ac:dyDescent="0.25">
      <c r="B62" s="12" t="s">
        <v>639</v>
      </c>
      <c r="C62" s="86" t="s">
        <v>514</v>
      </c>
      <c r="D62" s="311" t="s">
        <v>430</v>
      </c>
      <c r="E62" s="341">
        <v>52500</v>
      </c>
      <c r="F62" s="448">
        <f t="shared" si="10"/>
        <v>52500</v>
      </c>
      <c r="G62" s="107">
        <f t="shared" si="1"/>
        <v>0</v>
      </c>
      <c r="H62" s="465"/>
      <c r="I62" s="349">
        <v>2165.79</v>
      </c>
      <c r="J62" s="567">
        <f t="shared" si="2"/>
        <v>4.1253142857142856E-2</v>
      </c>
      <c r="K62" s="357" t="s">
        <v>553</v>
      </c>
    </row>
    <row r="63" spans="1:11" ht="17.45" customHeight="1" x14ac:dyDescent="0.25">
      <c r="B63" s="12" t="s">
        <v>97</v>
      </c>
      <c r="C63" s="111" t="s">
        <v>515</v>
      </c>
      <c r="D63" s="141" t="s">
        <v>466</v>
      </c>
      <c r="E63" s="341">
        <v>0</v>
      </c>
      <c r="F63" s="448">
        <f t="shared" si="10"/>
        <v>0</v>
      </c>
      <c r="G63" s="107">
        <f t="shared" si="1"/>
        <v>0</v>
      </c>
      <c r="H63" s="465"/>
      <c r="I63" s="349"/>
      <c r="J63" s="567" t="e">
        <f t="shared" si="2"/>
        <v>#DIV/0!</v>
      </c>
      <c r="K63" s="357"/>
    </row>
    <row r="64" spans="1:11" x14ac:dyDescent="0.25">
      <c r="A64" s="12" t="s">
        <v>88</v>
      </c>
      <c r="B64" s="61" t="s">
        <v>268</v>
      </c>
      <c r="C64" s="86" t="s">
        <v>516</v>
      </c>
      <c r="D64" s="318" t="s">
        <v>479</v>
      </c>
      <c r="E64" s="341">
        <v>5000</v>
      </c>
      <c r="F64" s="341">
        <f t="shared" si="10"/>
        <v>5000</v>
      </c>
      <c r="G64" s="21">
        <f t="shared" si="1"/>
        <v>0</v>
      </c>
      <c r="H64" s="485"/>
      <c r="I64" s="349"/>
      <c r="J64" s="539">
        <f t="shared" si="2"/>
        <v>0</v>
      </c>
      <c r="K64" s="349"/>
    </row>
    <row r="65" spans="1:12" x14ac:dyDescent="0.25">
      <c r="B65" s="61"/>
      <c r="C65" s="86" t="s">
        <v>626</v>
      </c>
      <c r="D65" s="318" t="s">
        <v>834</v>
      </c>
      <c r="E65" s="1022"/>
      <c r="F65" s="1022"/>
      <c r="G65" s="616"/>
      <c r="H65" s="618"/>
      <c r="I65" s="616"/>
      <c r="J65" s="617" t="e">
        <f t="shared" si="2"/>
        <v>#DIV/0!</v>
      </c>
      <c r="K65" s="616"/>
    </row>
    <row r="66" spans="1:12" ht="57.6" customHeight="1" x14ac:dyDescent="0.25">
      <c r="A66" s="1064" t="s">
        <v>1402</v>
      </c>
      <c r="B66" s="12" t="s">
        <v>831</v>
      </c>
      <c r="C66" s="86" t="s">
        <v>876</v>
      </c>
      <c r="D66" s="83" t="s">
        <v>105</v>
      </c>
      <c r="E66" s="341">
        <v>327817</v>
      </c>
      <c r="F66" s="341">
        <f>ROUND(E66,0)</f>
        <v>327817</v>
      </c>
      <c r="G66" s="21">
        <f t="shared" si="1"/>
        <v>0</v>
      </c>
      <c r="H66" s="485"/>
      <c r="I66" s="349">
        <f>149741-I54-I60+11812</f>
        <v>55728.119999999995</v>
      </c>
      <c r="J66" s="539">
        <f t="shared" si="2"/>
        <v>0.16999765112852597</v>
      </c>
      <c r="K66" s="537" t="s">
        <v>1403</v>
      </c>
    </row>
    <row r="67" spans="1:12" ht="33" customHeight="1" x14ac:dyDescent="0.25">
      <c r="C67" s="89" t="s">
        <v>93</v>
      </c>
      <c r="D67" s="304" t="s">
        <v>251</v>
      </c>
      <c r="E67" s="48">
        <v>9327908</v>
      </c>
      <c r="F67" s="48">
        <f>SUM(F68:F93)</f>
        <v>9373442</v>
      </c>
      <c r="G67" s="48">
        <f t="shared" si="1"/>
        <v>45534</v>
      </c>
      <c r="H67" s="48"/>
      <c r="I67" s="355">
        <f>SUM(I68:I87)</f>
        <v>3692535.34</v>
      </c>
      <c r="J67" s="551">
        <f t="shared" si="2"/>
        <v>0.39393590316129334</v>
      </c>
      <c r="K67" s="355" t="s">
        <v>850</v>
      </c>
      <c r="L67" s="557"/>
    </row>
    <row r="68" spans="1:12" x14ac:dyDescent="0.25">
      <c r="A68" s="12" t="s">
        <v>415</v>
      </c>
      <c r="B68" s="12" t="s">
        <v>106</v>
      </c>
      <c r="C68" s="86" t="s">
        <v>402</v>
      </c>
      <c r="D68" s="318" t="s">
        <v>478</v>
      </c>
      <c r="E68" s="341">
        <v>0</v>
      </c>
      <c r="F68" s="341">
        <f t="shared" ref="F68:F86" si="11">ROUND(E68,0)</f>
        <v>0</v>
      </c>
      <c r="G68" s="21">
        <f t="shared" si="1"/>
        <v>0</v>
      </c>
      <c r="H68" s="475"/>
      <c r="I68" s="349">
        <v>0</v>
      </c>
      <c r="J68" s="539" t="e">
        <f t="shared" si="2"/>
        <v>#DIV/0!</v>
      </c>
      <c r="K68" s="349"/>
    </row>
    <row r="69" spans="1:12" ht="28.5" customHeight="1" x14ac:dyDescent="0.25">
      <c r="B69" s="71" t="s">
        <v>472</v>
      </c>
      <c r="C69" s="86" t="s">
        <v>403</v>
      </c>
      <c r="D69" s="318" t="s">
        <v>469</v>
      </c>
      <c r="E69" s="341">
        <v>0</v>
      </c>
      <c r="F69" s="341">
        <f t="shared" si="11"/>
        <v>0</v>
      </c>
      <c r="G69" s="21">
        <f t="shared" si="1"/>
        <v>0</v>
      </c>
      <c r="H69" s="460"/>
      <c r="I69" s="349">
        <v>0</v>
      </c>
      <c r="J69" s="539" t="e">
        <f t="shared" si="2"/>
        <v>#DIV/0!</v>
      </c>
      <c r="K69" s="349"/>
    </row>
    <row r="70" spans="1:12" ht="30" customHeight="1" x14ac:dyDescent="0.25">
      <c r="B70" s="12" t="s">
        <v>812</v>
      </c>
      <c r="C70" s="86" t="s">
        <v>404</v>
      </c>
      <c r="D70" s="863" t="s">
        <v>813</v>
      </c>
      <c r="E70" s="341">
        <v>918723</v>
      </c>
      <c r="F70" s="341">
        <f t="shared" si="11"/>
        <v>918723</v>
      </c>
      <c r="G70" s="21">
        <f t="shared" si="1"/>
        <v>0</v>
      </c>
      <c r="H70" s="487"/>
      <c r="I70" s="349">
        <f>150000+71863.73</f>
        <v>221863.72999999998</v>
      </c>
      <c r="J70" s="539">
        <f t="shared" si="2"/>
        <v>0.24149142886375979</v>
      </c>
      <c r="K70" s="349"/>
    </row>
    <row r="71" spans="1:12" ht="30" x14ac:dyDescent="0.25">
      <c r="B71" s="12" t="s">
        <v>689</v>
      </c>
      <c r="C71" s="86" t="s">
        <v>1396</v>
      </c>
      <c r="D71" s="319" t="s">
        <v>615</v>
      </c>
      <c r="E71" s="341">
        <v>357424</v>
      </c>
      <c r="F71" s="341">
        <f t="shared" si="11"/>
        <v>357424</v>
      </c>
      <c r="G71" s="21">
        <f t="shared" si="1"/>
        <v>0</v>
      </c>
      <c r="H71" s="488"/>
      <c r="I71" s="349">
        <v>129434.79</v>
      </c>
      <c r="J71" s="573">
        <f t="shared" ref="J71:J127" si="12">I71/F71</f>
        <v>0.3621323414208335</v>
      </c>
      <c r="K71" s="349"/>
    </row>
    <row r="72" spans="1:12" ht="45" x14ac:dyDescent="0.25">
      <c r="B72" s="26"/>
      <c r="C72" s="86" t="s">
        <v>405</v>
      </c>
      <c r="D72" s="319" t="s">
        <v>877</v>
      </c>
      <c r="E72" s="341">
        <v>7315</v>
      </c>
      <c r="F72" s="341">
        <f t="shared" si="11"/>
        <v>7315</v>
      </c>
      <c r="G72" s="21">
        <f t="shared" ref="G72:G127" si="13">F72-E72</f>
        <v>0</v>
      </c>
      <c r="H72" s="488"/>
      <c r="I72" s="349"/>
      <c r="J72" s="573">
        <f t="shared" si="12"/>
        <v>0</v>
      </c>
      <c r="K72" s="349"/>
    </row>
    <row r="73" spans="1:12" ht="45" x14ac:dyDescent="0.25">
      <c r="B73" s="12">
        <v>1018</v>
      </c>
      <c r="C73" s="86" t="s">
        <v>406</v>
      </c>
      <c r="D73" s="319" t="s">
        <v>699</v>
      </c>
      <c r="E73" s="341">
        <v>0</v>
      </c>
      <c r="F73" s="341">
        <f t="shared" si="11"/>
        <v>0</v>
      </c>
      <c r="G73" s="21">
        <f t="shared" si="13"/>
        <v>0</v>
      </c>
      <c r="H73" s="488"/>
      <c r="I73" s="349">
        <v>40772</v>
      </c>
      <c r="J73" s="573" t="e">
        <f t="shared" si="12"/>
        <v>#DIV/0!</v>
      </c>
      <c r="K73" s="349"/>
    </row>
    <row r="74" spans="1:12" ht="45" x14ac:dyDescent="0.25">
      <c r="B74" s="26"/>
      <c r="C74" s="86" t="s">
        <v>630</v>
      </c>
      <c r="D74" s="319" t="s">
        <v>619</v>
      </c>
      <c r="E74" s="341">
        <v>0</v>
      </c>
      <c r="F74" s="341">
        <f t="shared" si="11"/>
        <v>0</v>
      </c>
      <c r="G74" s="21">
        <f t="shared" si="13"/>
        <v>0</v>
      </c>
      <c r="H74" s="488"/>
      <c r="I74" s="349"/>
      <c r="J74" s="573" t="e">
        <f t="shared" si="12"/>
        <v>#DIV/0!</v>
      </c>
      <c r="K74" s="349"/>
    </row>
    <row r="75" spans="1:12" x14ac:dyDescent="0.25">
      <c r="A75" s="71" t="s">
        <v>590</v>
      </c>
      <c r="B75" s="26"/>
      <c r="C75" s="86" t="s">
        <v>406</v>
      </c>
      <c r="D75" s="319" t="s">
        <v>591</v>
      </c>
      <c r="E75" s="341">
        <v>0</v>
      </c>
      <c r="F75" s="341">
        <f t="shared" si="11"/>
        <v>0</v>
      </c>
      <c r="G75" s="21">
        <f t="shared" si="13"/>
        <v>0</v>
      </c>
      <c r="H75" s="488"/>
      <c r="I75" s="349">
        <v>0</v>
      </c>
      <c r="J75" s="573" t="e">
        <f t="shared" si="12"/>
        <v>#DIV/0!</v>
      </c>
      <c r="K75" s="349"/>
    </row>
    <row r="76" spans="1:12" ht="27.6" customHeight="1" x14ac:dyDescent="0.25">
      <c r="A76" s="71" t="s">
        <v>861</v>
      </c>
      <c r="B76" s="26"/>
      <c r="C76" s="86" t="s">
        <v>630</v>
      </c>
      <c r="D76" s="319" t="s">
        <v>1362</v>
      </c>
      <c r="E76" s="341">
        <v>60717</v>
      </c>
      <c r="F76" s="341">
        <f>ROUND(E76,0)+45534</f>
        <v>106251</v>
      </c>
      <c r="G76" s="21">
        <f t="shared" si="13"/>
        <v>45534</v>
      </c>
      <c r="H76" s="1068" t="s">
        <v>1394</v>
      </c>
      <c r="I76" s="349">
        <v>100302.04</v>
      </c>
      <c r="J76" s="573">
        <f t="shared" si="12"/>
        <v>0.94401031519703338</v>
      </c>
      <c r="K76" s="349"/>
    </row>
    <row r="77" spans="1:12" ht="45" x14ac:dyDescent="0.25">
      <c r="B77" s="12" t="s">
        <v>261</v>
      </c>
      <c r="C77" s="86" t="s">
        <v>407</v>
      </c>
      <c r="D77" s="318" t="s">
        <v>244</v>
      </c>
      <c r="E77" s="341">
        <v>9799</v>
      </c>
      <c r="F77" s="341">
        <f t="shared" si="11"/>
        <v>9799</v>
      </c>
      <c r="G77" s="21">
        <f t="shared" si="13"/>
        <v>0</v>
      </c>
      <c r="H77" s="489"/>
      <c r="I77" s="349">
        <v>0</v>
      </c>
      <c r="J77" s="539">
        <f t="shared" si="12"/>
        <v>0</v>
      </c>
      <c r="K77" s="349"/>
    </row>
    <row r="78" spans="1:12" ht="45" x14ac:dyDescent="0.25">
      <c r="B78" s="68" t="s">
        <v>659</v>
      </c>
      <c r="C78" s="86" t="s">
        <v>480</v>
      </c>
      <c r="D78" s="318" t="s">
        <v>660</v>
      </c>
      <c r="E78" s="341">
        <v>0</v>
      </c>
      <c r="F78" s="341">
        <f t="shared" si="11"/>
        <v>0</v>
      </c>
      <c r="G78" s="21">
        <f t="shared" si="13"/>
        <v>0</v>
      </c>
      <c r="H78" s="490"/>
      <c r="I78" s="349">
        <v>0</v>
      </c>
      <c r="J78" s="539" t="e">
        <f t="shared" si="12"/>
        <v>#DIV/0!</v>
      </c>
      <c r="K78" s="349"/>
    </row>
    <row r="79" spans="1:12" x14ac:dyDescent="0.25">
      <c r="B79" s="68" t="s">
        <v>658</v>
      </c>
      <c r="C79" s="86" t="s">
        <v>408</v>
      </c>
      <c r="D79" s="318" t="s">
        <v>593</v>
      </c>
      <c r="E79" s="341">
        <v>971940</v>
      </c>
      <c r="F79" s="341">
        <f t="shared" si="11"/>
        <v>971940</v>
      </c>
      <c r="G79" s="21">
        <f t="shared" si="13"/>
        <v>0</v>
      </c>
      <c r="H79" s="491"/>
      <c r="I79" s="349">
        <v>0</v>
      </c>
      <c r="J79" s="539">
        <f t="shared" si="12"/>
        <v>0</v>
      </c>
      <c r="K79" s="349"/>
    </row>
    <row r="80" spans="1:12" x14ac:dyDescent="0.25">
      <c r="B80" s="68"/>
      <c r="C80" s="86" t="s">
        <v>409</v>
      </c>
      <c r="D80" s="318" t="s">
        <v>834</v>
      </c>
      <c r="E80" s="341">
        <v>0</v>
      </c>
      <c r="F80" s="341">
        <f t="shared" si="11"/>
        <v>0</v>
      </c>
      <c r="G80" s="55">
        <f t="shared" si="13"/>
        <v>0</v>
      </c>
      <c r="H80" s="492"/>
      <c r="I80" s="349"/>
      <c r="J80" s="539" t="e">
        <f t="shared" si="12"/>
        <v>#DIV/0!</v>
      </c>
      <c r="K80" s="349"/>
    </row>
    <row r="81" spans="2:11" ht="30" x14ac:dyDescent="0.25">
      <c r="B81" s="68" t="s">
        <v>636</v>
      </c>
      <c r="C81" s="86" t="s">
        <v>481</v>
      </c>
      <c r="D81" s="318" t="s">
        <v>635</v>
      </c>
      <c r="E81" s="341">
        <v>1403714</v>
      </c>
      <c r="F81" s="450">
        <f t="shared" si="11"/>
        <v>1403714</v>
      </c>
      <c r="G81" s="66">
        <f t="shared" si="13"/>
        <v>0</v>
      </c>
      <c r="H81" s="492"/>
      <c r="I81" s="349">
        <v>1736892.93</v>
      </c>
      <c r="J81" s="541">
        <f t="shared" si="12"/>
        <v>1.237355280349131</v>
      </c>
      <c r="K81" s="349"/>
    </row>
    <row r="82" spans="2:11" ht="44.45" customHeight="1" x14ac:dyDescent="0.25">
      <c r="B82" s="870" t="s">
        <v>1270</v>
      </c>
      <c r="C82" s="86" t="s">
        <v>426</v>
      </c>
      <c r="D82" s="318" t="s">
        <v>1271</v>
      </c>
      <c r="E82" s="341">
        <v>529141</v>
      </c>
      <c r="F82" s="450">
        <f>ROUND(E82,0)</f>
        <v>529141</v>
      </c>
      <c r="G82" s="66">
        <f>F82-E82</f>
        <v>0</v>
      </c>
      <c r="H82" s="532"/>
      <c r="I82" s="349"/>
      <c r="J82" s="541">
        <f t="shared" si="12"/>
        <v>0</v>
      </c>
      <c r="K82" s="537"/>
    </row>
    <row r="83" spans="2:11" ht="30.75" customHeight="1" x14ac:dyDescent="0.25">
      <c r="B83" s="533" t="s">
        <v>339</v>
      </c>
      <c r="C83" s="86" t="s">
        <v>480</v>
      </c>
      <c r="D83" s="318" t="s">
        <v>841</v>
      </c>
      <c r="E83" s="341">
        <v>714</v>
      </c>
      <c r="F83" s="450">
        <f>ROUND(E83,0)</f>
        <v>714</v>
      </c>
      <c r="G83" s="66">
        <f t="shared" si="13"/>
        <v>0</v>
      </c>
      <c r="H83" s="532"/>
      <c r="I83" s="349">
        <v>4054.23</v>
      </c>
      <c r="J83" s="541">
        <f t="shared" si="12"/>
        <v>5.6781932773109247</v>
      </c>
      <c r="K83" s="537"/>
    </row>
    <row r="84" spans="2:11" ht="48.6" customHeight="1" x14ac:dyDescent="0.25">
      <c r="B84" s="68" t="s">
        <v>447</v>
      </c>
      <c r="C84" s="86" t="s">
        <v>427</v>
      </c>
      <c r="D84" s="318" t="s">
        <v>448</v>
      </c>
      <c r="E84" s="341">
        <v>345549</v>
      </c>
      <c r="F84" s="450">
        <f t="shared" si="11"/>
        <v>345549</v>
      </c>
      <c r="G84" s="66">
        <f t="shared" si="13"/>
        <v>0</v>
      </c>
      <c r="H84" s="493"/>
      <c r="I84" s="349">
        <v>223761.14</v>
      </c>
      <c r="J84" s="553">
        <f t="shared" si="12"/>
        <v>0.64755256128653249</v>
      </c>
      <c r="K84" s="537"/>
    </row>
    <row r="85" spans="2:11" x14ac:dyDescent="0.25">
      <c r="B85" s="396" t="s">
        <v>380</v>
      </c>
      <c r="C85" s="86" t="s">
        <v>1397</v>
      </c>
      <c r="D85" s="318" t="s">
        <v>359</v>
      </c>
      <c r="E85" s="341">
        <v>3050102</v>
      </c>
      <c r="F85" s="450">
        <f t="shared" si="11"/>
        <v>3050102</v>
      </c>
      <c r="G85" s="66">
        <f t="shared" si="13"/>
        <v>0</v>
      </c>
      <c r="H85" s="493"/>
      <c r="I85" s="349">
        <v>1227338.78</v>
      </c>
      <c r="J85" s="553">
        <f t="shared" si="12"/>
        <v>0.4023927003096946</v>
      </c>
      <c r="K85" s="537"/>
    </row>
    <row r="86" spans="2:11" ht="30" x14ac:dyDescent="0.25">
      <c r="B86" s="71" t="s">
        <v>839</v>
      </c>
      <c r="C86" s="86" t="s">
        <v>436</v>
      </c>
      <c r="D86" s="318" t="s">
        <v>819</v>
      </c>
      <c r="E86" s="341">
        <v>0</v>
      </c>
      <c r="F86" s="450">
        <f t="shared" si="11"/>
        <v>0</v>
      </c>
      <c r="G86" s="66">
        <f t="shared" si="13"/>
        <v>0</v>
      </c>
      <c r="H86" s="494"/>
      <c r="I86" s="349">
        <v>0</v>
      </c>
      <c r="J86" s="553" t="e">
        <f t="shared" si="12"/>
        <v>#DIV/0!</v>
      </c>
      <c r="K86" s="537"/>
    </row>
    <row r="87" spans="2:11" ht="18.75" customHeight="1" x14ac:dyDescent="0.25">
      <c r="B87" s="71"/>
      <c r="C87" s="86" t="s">
        <v>436</v>
      </c>
      <c r="D87" s="615" t="s">
        <v>871</v>
      </c>
      <c r="E87" s="1022">
        <v>49416</v>
      </c>
      <c r="F87" s="450">
        <f t="shared" ref="F87:F93" si="14">ROUND(E87,0)</f>
        <v>49416</v>
      </c>
      <c r="G87" s="66">
        <f t="shared" ref="G87:G93" si="15">F87-E87</f>
        <v>0</v>
      </c>
      <c r="H87" s="494"/>
      <c r="I87" s="616">
        <v>8115.7</v>
      </c>
      <c r="J87" s="617">
        <f t="shared" si="12"/>
        <v>0.16423223247531163</v>
      </c>
      <c r="K87" s="1069"/>
    </row>
    <row r="88" spans="2:11" ht="46.5" customHeight="1" x14ac:dyDescent="0.25">
      <c r="B88" s="71" t="s">
        <v>649</v>
      </c>
      <c r="C88" s="86" t="s">
        <v>482</v>
      </c>
      <c r="D88" s="615" t="s">
        <v>688</v>
      </c>
      <c r="E88" s="1023">
        <v>36495</v>
      </c>
      <c r="F88" s="450">
        <f t="shared" si="14"/>
        <v>36495</v>
      </c>
      <c r="G88" s="66">
        <f t="shared" si="15"/>
        <v>0</v>
      </c>
      <c r="H88" s="862"/>
      <c r="I88" s="856"/>
      <c r="J88" s="857">
        <f t="shared" si="12"/>
        <v>0</v>
      </c>
      <c r="K88" s="1070"/>
    </row>
    <row r="89" spans="2:11" ht="63" customHeight="1" x14ac:dyDescent="0.25">
      <c r="B89" s="71"/>
      <c r="C89" s="86" t="s">
        <v>483</v>
      </c>
      <c r="D89" s="861" t="s">
        <v>1075</v>
      </c>
      <c r="E89" s="1023">
        <v>768795</v>
      </c>
      <c r="F89" s="450">
        <f t="shared" si="14"/>
        <v>768795</v>
      </c>
      <c r="G89" s="66">
        <f t="shared" si="15"/>
        <v>0</v>
      </c>
      <c r="H89" s="862"/>
      <c r="I89" s="856"/>
      <c r="J89" s="857">
        <f t="shared" si="12"/>
        <v>0</v>
      </c>
      <c r="K89" s="1070"/>
    </row>
    <row r="90" spans="2:11" ht="33.75" customHeight="1" x14ac:dyDescent="0.25">
      <c r="B90" s="71"/>
      <c r="C90" s="86" t="s">
        <v>1398</v>
      </c>
      <c r="D90" s="861" t="s">
        <v>1269</v>
      </c>
      <c r="E90" s="1023">
        <v>309907</v>
      </c>
      <c r="F90" s="450">
        <f t="shared" si="14"/>
        <v>309907</v>
      </c>
      <c r="G90" s="66">
        <f t="shared" si="15"/>
        <v>0</v>
      </c>
      <c r="H90" s="862"/>
      <c r="I90" s="856"/>
      <c r="J90" s="857">
        <f t="shared" si="12"/>
        <v>0</v>
      </c>
      <c r="K90" s="1070"/>
    </row>
    <row r="91" spans="2:11" ht="36" customHeight="1" x14ac:dyDescent="0.25">
      <c r="B91" s="71"/>
      <c r="C91" s="86" t="s">
        <v>506</v>
      </c>
      <c r="D91" s="861" t="s">
        <v>1162</v>
      </c>
      <c r="E91" s="1023">
        <v>97353</v>
      </c>
      <c r="F91" s="450">
        <f t="shared" si="14"/>
        <v>97353</v>
      </c>
      <c r="G91" s="66">
        <f t="shared" si="15"/>
        <v>0</v>
      </c>
      <c r="H91" s="862"/>
      <c r="I91" s="856"/>
      <c r="J91" s="857">
        <f t="shared" si="12"/>
        <v>0</v>
      </c>
      <c r="K91" s="1070"/>
    </row>
    <row r="92" spans="2:11" ht="36" customHeight="1" x14ac:dyDescent="0.25">
      <c r="B92" s="71"/>
      <c r="C92" s="86" t="s">
        <v>870</v>
      </c>
      <c r="D92" s="875" t="s">
        <v>1273</v>
      </c>
      <c r="E92" s="1023">
        <v>140804</v>
      </c>
      <c r="F92" s="450">
        <f t="shared" si="14"/>
        <v>140804</v>
      </c>
      <c r="G92" s="66">
        <f t="shared" si="15"/>
        <v>0</v>
      </c>
      <c r="H92" s="862"/>
      <c r="I92" s="856"/>
      <c r="J92" s="857">
        <f t="shared" si="12"/>
        <v>0</v>
      </c>
      <c r="K92" s="1070"/>
    </row>
    <row r="93" spans="2:11" ht="18.75" customHeight="1" x14ac:dyDescent="0.25">
      <c r="B93" s="71"/>
      <c r="C93" s="86" t="s">
        <v>1265</v>
      </c>
      <c r="D93" s="875" t="s">
        <v>1274</v>
      </c>
      <c r="E93" s="1023">
        <v>270000</v>
      </c>
      <c r="F93" s="450">
        <f t="shared" si="14"/>
        <v>270000</v>
      </c>
      <c r="G93" s="66">
        <f t="shared" si="15"/>
        <v>0</v>
      </c>
      <c r="H93" s="862"/>
      <c r="I93" s="856"/>
      <c r="J93" s="857">
        <f t="shared" si="12"/>
        <v>0</v>
      </c>
      <c r="K93" s="1070"/>
    </row>
    <row r="94" spans="2:11" ht="22.5" customHeight="1" x14ac:dyDescent="0.25">
      <c r="B94" s="20" t="s">
        <v>410</v>
      </c>
      <c r="C94" s="89" t="s">
        <v>412</v>
      </c>
      <c r="D94" s="304" t="s">
        <v>411</v>
      </c>
      <c r="E94" s="48">
        <v>947155</v>
      </c>
      <c r="F94" s="48">
        <v>947155</v>
      </c>
      <c r="G94" s="27">
        <f t="shared" si="13"/>
        <v>0</v>
      </c>
      <c r="H94" s="486"/>
      <c r="I94" s="355">
        <v>236788.8</v>
      </c>
      <c r="J94" s="551">
        <f t="shared" si="12"/>
        <v>0.25000005278967008</v>
      </c>
      <c r="K94" s="355"/>
    </row>
    <row r="95" spans="2:11" x14ac:dyDescent="0.25">
      <c r="C95" s="88" t="s">
        <v>107</v>
      </c>
      <c r="D95" s="85" t="s">
        <v>108</v>
      </c>
      <c r="E95" s="447">
        <v>355000</v>
      </c>
      <c r="F95" s="447">
        <f>F96+F97</f>
        <v>355000</v>
      </c>
      <c r="G95" s="22">
        <f t="shared" si="13"/>
        <v>0</v>
      </c>
      <c r="H95" s="473"/>
      <c r="I95" s="356">
        <f>I96+I97</f>
        <v>0</v>
      </c>
      <c r="J95" s="564">
        <f t="shared" si="12"/>
        <v>0</v>
      </c>
      <c r="K95" s="356"/>
    </row>
    <row r="96" spans="2:11" ht="32.25" customHeight="1" x14ac:dyDescent="0.25">
      <c r="B96" s="12" t="s">
        <v>109</v>
      </c>
      <c r="C96" s="82" t="s">
        <v>110</v>
      </c>
      <c r="D96" s="83" t="s">
        <v>111</v>
      </c>
      <c r="E96" s="341">
        <v>355000</v>
      </c>
      <c r="F96" s="341">
        <f>ROUND(E96,0)</f>
        <v>355000</v>
      </c>
      <c r="G96" s="21">
        <f t="shared" si="13"/>
        <v>0</v>
      </c>
      <c r="H96" s="460"/>
      <c r="I96" s="349">
        <v>0</v>
      </c>
      <c r="J96" s="539">
        <f t="shared" si="12"/>
        <v>0</v>
      </c>
      <c r="K96" s="349" t="s">
        <v>864</v>
      </c>
    </row>
    <row r="97" spans="1:11" ht="16.149999999999999" customHeight="1" x14ac:dyDescent="0.25">
      <c r="B97" s="12" t="s">
        <v>249</v>
      </c>
      <c r="C97" s="82" t="s">
        <v>112</v>
      </c>
      <c r="D97" s="83" t="s">
        <v>250</v>
      </c>
      <c r="E97" s="341">
        <v>0</v>
      </c>
      <c r="F97" s="341">
        <f>ROUND(E97,0)</f>
        <v>0</v>
      </c>
      <c r="G97" s="21">
        <f t="shared" si="13"/>
        <v>0</v>
      </c>
      <c r="H97" s="462"/>
      <c r="I97" s="349">
        <v>0</v>
      </c>
      <c r="J97" s="539" t="e">
        <f t="shared" si="12"/>
        <v>#DIV/0!</v>
      </c>
      <c r="K97" s="349"/>
    </row>
    <row r="98" spans="1:11" ht="35.450000000000003" customHeight="1" x14ac:dyDescent="0.25">
      <c r="C98" s="88" t="s">
        <v>113</v>
      </c>
      <c r="D98" s="85" t="s">
        <v>114</v>
      </c>
      <c r="E98" s="447">
        <v>733037</v>
      </c>
      <c r="F98" s="447">
        <f>F99+F102+F105+F109+F112</f>
        <v>746967</v>
      </c>
      <c r="G98" s="22">
        <f t="shared" si="13"/>
        <v>13930</v>
      </c>
      <c r="H98" s="540"/>
      <c r="I98" s="356">
        <f>I99+I102+I105+I109+I112</f>
        <v>200213.97</v>
      </c>
      <c r="J98" s="564">
        <f t="shared" si="12"/>
        <v>0.26803589716814802</v>
      </c>
      <c r="K98" s="1071"/>
    </row>
    <row r="99" spans="1:11" x14ac:dyDescent="0.25">
      <c r="A99" s="12" t="s">
        <v>10</v>
      </c>
      <c r="B99" s="12" t="s">
        <v>115</v>
      </c>
      <c r="C99" s="82" t="s">
        <v>116</v>
      </c>
      <c r="D99" s="83" t="s">
        <v>496</v>
      </c>
      <c r="E99" s="341">
        <v>175118</v>
      </c>
      <c r="F99" s="341">
        <f>SUM(F100:F101)</f>
        <v>175118</v>
      </c>
      <c r="G99" s="21">
        <f t="shared" si="13"/>
        <v>0</v>
      </c>
      <c r="H99" s="462"/>
      <c r="I99" s="341">
        <f>SUM(I100:I101)</f>
        <v>65762.95</v>
      </c>
      <c r="J99" s="539">
        <f t="shared" si="12"/>
        <v>0.37553506778286638</v>
      </c>
      <c r="K99" s="349"/>
    </row>
    <row r="100" spans="1:11" ht="14.25" customHeight="1" x14ac:dyDescent="0.25">
      <c r="B100" s="12" t="s">
        <v>118</v>
      </c>
      <c r="C100" s="90" t="s">
        <v>117</v>
      </c>
      <c r="D100" s="91" t="s">
        <v>492</v>
      </c>
      <c r="E100" s="341">
        <v>12318</v>
      </c>
      <c r="F100" s="341">
        <f>ROUND(E100,0)</f>
        <v>12318</v>
      </c>
      <c r="G100" s="21">
        <f t="shared" si="13"/>
        <v>0</v>
      </c>
      <c r="H100" s="474"/>
      <c r="I100" s="349">
        <v>7478.44</v>
      </c>
      <c r="J100" s="539">
        <f t="shared" si="12"/>
        <v>0.60711479136223412</v>
      </c>
      <c r="K100" s="349"/>
    </row>
    <row r="101" spans="1:11" ht="30" customHeight="1" x14ac:dyDescent="0.25">
      <c r="B101" s="12" t="s">
        <v>120</v>
      </c>
      <c r="C101" s="90" t="s">
        <v>119</v>
      </c>
      <c r="D101" s="154" t="s">
        <v>493</v>
      </c>
      <c r="E101" s="341">
        <v>162800</v>
      </c>
      <c r="F101" s="341">
        <f>ROUND(E101,0)</f>
        <v>162800</v>
      </c>
      <c r="G101" s="21">
        <f t="shared" si="13"/>
        <v>0</v>
      </c>
      <c r="H101" s="474"/>
      <c r="I101" s="349">
        <v>58284.51</v>
      </c>
      <c r="J101" s="539">
        <f t="shared" si="12"/>
        <v>0.35801296068796068</v>
      </c>
      <c r="K101" s="349"/>
    </row>
    <row r="102" spans="1:11" ht="13.9" customHeight="1" x14ac:dyDescent="0.25">
      <c r="C102" s="82" t="s">
        <v>122</v>
      </c>
      <c r="D102" s="83" t="s">
        <v>732</v>
      </c>
      <c r="E102" s="450">
        <v>17472</v>
      </c>
      <c r="F102" s="450">
        <f t="shared" ref="F102" si="16">F103+F104</f>
        <v>17472</v>
      </c>
      <c r="G102" s="66">
        <f t="shared" si="13"/>
        <v>0</v>
      </c>
      <c r="H102" s="495"/>
      <c r="I102" s="349">
        <f>I103+I104</f>
        <v>0</v>
      </c>
      <c r="J102" s="541">
        <f t="shared" si="12"/>
        <v>0</v>
      </c>
      <c r="K102" s="349"/>
    </row>
    <row r="103" spans="1:11" x14ac:dyDescent="0.25">
      <c r="B103" s="12" t="s">
        <v>730</v>
      </c>
      <c r="C103" s="90" t="s">
        <v>125</v>
      </c>
      <c r="D103" s="91" t="s">
        <v>322</v>
      </c>
      <c r="E103" s="341">
        <v>17472</v>
      </c>
      <c r="F103" s="341">
        <f>ROUND(E103,0)</f>
        <v>17472</v>
      </c>
      <c r="G103" s="66">
        <f>F103-E103</f>
        <v>0</v>
      </c>
      <c r="H103" s="485"/>
      <c r="I103" s="349"/>
      <c r="J103" s="541">
        <f t="shared" si="12"/>
        <v>0</v>
      </c>
      <c r="K103" s="349"/>
    </row>
    <row r="104" spans="1:11" ht="15.75" customHeight="1" x14ac:dyDescent="0.25">
      <c r="B104" s="398" t="s">
        <v>428</v>
      </c>
      <c r="C104" s="90" t="s">
        <v>127</v>
      </c>
      <c r="D104" s="318" t="s">
        <v>811</v>
      </c>
      <c r="E104" s="341">
        <v>0</v>
      </c>
      <c r="F104" s="341">
        <f>ROUND(E104,0)</f>
        <v>0</v>
      </c>
      <c r="G104" s="66">
        <f t="shared" si="13"/>
        <v>0</v>
      </c>
      <c r="H104" s="477"/>
      <c r="I104" s="349"/>
      <c r="J104" s="541" t="e">
        <f t="shared" si="12"/>
        <v>#DIV/0!</v>
      </c>
      <c r="K104" s="349"/>
    </row>
    <row r="105" spans="1:11" x14ac:dyDescent="0.25">
      <c r="A105" s="12" t="s">
        <v>10</v>
      </c>
      <c r="B105" s="12" t="s">
        <v>121</v>
      </c>
      <c r="C105" s="82" t="s">
        <v>129</v>
      </c>
      <c r="D105" s="83" t="s">
        <v>123</v>
      </c>
      <c r="E105" s="341">
        <v>339912</v>
      </c>
      <c r="F105" s="341">
        <f>SUM(F106:F108)</f>
        <v>339912</v>
      </c>
      <c r="G105" s="21">
        <f t="shared" si="13"/>
        <v>0</v>
      </c>
      <c r="H105" s="462"/>
      <c r="I105" s="349">
        <f>SUM(I106:I108)</f>
        <v>94605.06</v>
      </c>
      <c r="J105" s="539">
        <f t="shared" si="12"/>
        <v>0.27832221280802089</v>
      </c>
      <c r="K105" s="349"/>
    </row>
    <row r="106" spans="1:11" ht="16.5" customHeight="1" x14ac:dyDescent="0.25">
      <c r="B106" s="12" t="s">
        <v>124</v>
      </c>
      <c r="C106" s="90" t="s">
        <v>309</v>
      </c>
      <c r="D106" s="91" t="s">
        <v>311</v>
      </c>
      <c r="E106" s="341">
        <v>236912</v>
      </c>
      <c r="F106" s="341">
        <f>ROUND(E106,0)</f>
        <v>236912</v>
      </c>
      <c r="G106" s="21">
        <f t="shared" si="13"/>
        <v>0</v>
      </c>
      <c r="H106" s="460"/>
      <c r="I106" s="349">
        <v>79574.81</v>
      </c>
      <c r="J106" s="539">
        <f t="shared" si="12"/>
        <v>0.33588340818531776</v>
      </c>
      <c r="K106" s="349"/>
    </row>
    <row r="107" spans="1:11" x14ac:dyDescent="0.25">
      <c r="B107" s="12" t="s">
        <v>126</v>
      </c>
      <c r="C107" s="90" t="s">
        <v>310</v>
      </c>
      <c r="D107" s="91" t="s">
        <v>312</v>
      </c>
      <c r="E107" s="341">
        <v>103000</v>
      </c>
      <c r="F107" s="341">
        <f>ROUND(E107,0)</f>
        <v>103000</v>
      </c>
      <c r="G107" s="21">
        <f t="shared" si="13"/>
        <v>0</v>
      </c>
      <c r="H107" s="462"/>
      <c r="I107" s="349">
        <v>14757.35</v>
      </c>
      <c r="J107" s="539">
        <f t="shared" si="12"/>
        <v>0.1432752427184466</v>
      </c>
      <c r="K107" s="349"/>
    </row>
    <row r="108" spans="1:11" x14ac:dyDescent="0.25">
      <c r="B108" s="12" t="s">
        <v>437</v>
      </c>
      <c r="C108" s="90" t="s">
        <v>313</v>
      </c>
      <c r="D108" s="318" t="s">
        <v>314</v>
      </c>
      <c r="E108" s="341">
        <v>0</v>
      </c>
      <c r="F108" s="341">
        <f>ROUND(E108,0)</f>
        <v>0</v>
      </c>
      <c r="G108" s="66">
        <f t="shared" si="13"/>
        <v>0</v>
      </c>
      <c r="H108" s="479"/>
      <c r="I108" s="349">
        <v>272.89999999999998</v>
      </c>
      <c r="J108" s="541" t="e">
        <f t="shared" si="12"/>
        <v>#DIV/0!</v>
      </c>
      <c r="K108" s="349"/>
    </row>
    <row r="109" spans="1:11" ht="25.15" customHeight="1" x14ac:dyDescent="0.25">
      <c r="A109" s="12" t="s">
        <v>10</v>
      </c>
      <c r="B109" s="12" t="s">
        <v>128</v>
      </c>
      <c r="C109" s="82" t="s">
        <v>131</v>
      </c>
      <c r="D109" s="83" t="s">
        <v>130</v>
      </c>
      <c r="E109" s="341">
        <v>110535</v>
      </c>
      <c r="F109" s="341">
        <f t="shared" ref="F109" si="17">SUM(F110:F111)</f>
        <v>110535</v>
      </c>
      <c r="G109" s="21">
        <f t="shared" si="13"/>
        <v>0</v>
      </c>
      <c r="H109" s="496"/>
      <c r="I109" s="349">
        <f>SUM(I110:I111)</f>
        <v>37431.96</v>
      </c>
      <c r="J109" s="539">
        <f t="shared" si="12"/>
        <v>0.33864350658162573</v>
      </c>
      <c r="K109" s="349"/>
    </row>
    <row r="110" spans="1:11" ht="28.15" customHeight="1" x14ac:dyDescent="0.25">
      <c r="A110" s="71" t="s">
        <v>219</v>
      </c>
      <c r="C110" s="90" t="s">
        <v>292</v>
      </c>
      <c r="D110" s="91" t="s">
        <v>130</v>
      </c>
      <c r="E110" s="341">
        <v>108535</v>
      </c>
      <c r="F110" s="341">
        <f>ROUND(E110,0)</f>
        <v>108535</v>
      </c>
      <c r="G110" s="66">
        <f t="shared" si="13"/>
        <v>0</v>
      </c>
      <c r="H110" s="479"/>
      <c r="I110" s="349">
        <f>37139.96+7</f>
        <v>37146.959999999999</v>
      </c>
      <c r="J110" s="541">
        <f t="shared" si="12"/>
        <v>0.34225788916017874</v>
      </c>
      <c r="K110" s="349"/>
    </row>
    <row r="111" spans="1:11" ht="16.5" customHeight="1" x14ac:dyDescent="0.25">
      <c r="B111" s="12" t="s">
        <v>494</v>
      </c>
      <c r="C111" s="90" t="s">
        <v>293</v>
      </c>
      <c r="D111" s="91" t="s">
        <v>495</v>
      </c>
      <c r="E111" s="341">
        <v>2000</v>
      </c>
      <c r="F111" s="341">
        <f>ROUND(E111,0)</f>
        <v>2000</v>
      </c>
      <c r="G111" s="66">
        <f t="shared" si="13"/>
        <v>0</v>
      </c>
      <c r="H111" s="479"/>
      <c r="I111" s="349">
        <v>285</v>
      </c>
      <c r="J111" s="541">
        <f t="shared" si="12"/>
        <v>0.14249999999999999</v>
      </c>
      <c r="K111" s="349"/>
    </row>
    <row r="112" spans="1:11" ht="32.450000000000003" customHeight="1" thickBot="1" x14ac:dyDescent="0.3">
      <c r="A112" s="12" t="s">
        <v>10</v>
      </c>
      <c r="B112" s="423" t="s">
        <v>621</v>
      </c>
      <c r="C112" s="82" t="s">
        <v>294</v>
      </c>
      <c r="D112" s="83" t="s">
        <v>497</v>
      </c>
      <c r="E112" s="341">
        <v>90000</v>
      </c>
      <c r="F112" s="341">
        <f>ROUND(E112,0)+13930</f>
        <v>103930</v>
      </c>
      <c r="G112" s="21">
        <f t="shared" si="13"/>
        <v>13930</v>
      </c>
      <c r="H112" s="460" t="s">
        <v>1388</v>
      </c>
      <c r="I112" s="349">
        <v>2414</v>
      </c>
      <c r="J112" s="539">
        <f t="shared" si="12"/>
        <v>2.3227172135090925E-2</v>
      </c>
      <c r="K112" s="537"/>
    </row>
    <row r="113" spans="1:12" ht="15" customHeight="1" thickBot="1" x14ac:dyDescent="0.3">
      <c r="C113" s="29"/>
      <c r="D113" s="30" t="s">
        <v>132</v>
      </c>
      <c r="E113" s="1024">
        <v>67459867</v>
      </c>
      <c r="F113" s="1024">
        <f>F7+F10+F13+F16+F19+F22+F34+F37+F41+F42+F95+F98</f>
        <v>67519371</v>
      </c>
      <c r="G113" s="53">
        <f t="shared" si="13"/>
        <v>59504</v>
      </c>
      <c r="H113" s="497"/>
      <c r="I113" s="53">
        <f>I7+I10+I13+I16+I19+I22+I34+I37+I41+I42+I95+I98</f>
        <v>18630540.359999999</v>
      </c>
      <c r="J113" s="574">
        <f t="shared" si="12"/>
        <v>0.27592881989377538</v>
      </c>
      <c r="K113" s="1072"/>
    </row>
    <row r="114" spans="1:12" ht="15.75" thickBot="1" x14ac:dyDescent="0.3">
      <c r="C114" s="92" t="s">
        <v>133</v>
      </c>
      <c r="D114" s="342" t="s">
        <v>134</v>
      </c>
      <c r="E114" s="1025">
        <v>8710284.1999999993</v>
      </c>
      <c r="F114" s="1025">
        <f>SUM(F115:F116)</f>
        <v>8711325</v>
      </c>
      <c r="G114" s="54">
        <f t="shared" si="13"/>
        <v>1040.8000000007451</v>
      </c>
      <c r="H114" s="498"/>
      <c r="I114" s="54">
        <f>SUM(I115:I116)</f>
        <v>8711325</v>
      </c>
      <c r="J114" s="543">
        <f t="shared" si="12"/>
        <v>1</v>
      </c>
      <c r="K114" s="54"/>
    </row>
    <row r="115" spans="1:12" ht="14.45" customHeight="1" x14ac:dyDescent="0.25">
      <c r="B115" s="895" t="e">
        <f>#REF!-#REF!</f>
        <v>#REF!</v>
      </c>
      <c r="C115" s="82" t="s">
        <v>135</v>
      </c>
      <c r="D115" s="83" t="s">
        <v>136</v>
      </c>
      <c r="E115" s="341">
        <v>2007294</v>
      </c>
      <c r="F115" s="341">
        <f>ROUND(E115,0)</f>
        <v>2007294</v>
      </c>
      <c r="G115" s="21">
        <f t="shared" si="13"/>
        <v>0</v>
      </c>
      <c r="H115" s="458"/>
      <c r="I115" s="349">
        <v>2007294</v>
      </c>
      <c r="J115" s="539">
        <f t="shared" si="12"/>
        <v>1</v>
      </c>
      <c r="K115" s="349"/>
    </row>
    <row r="116" spans="1:12" x14ac:dyDescent="0.25">
      <c r="C116" s="82" t="s">
        <v>137</v>
      </c>
      <c r="D116" s="83" t="s">
        <v>138</v>
      </c>
      <c r="E116" s="341">
        <v>6702990</v>
      </c>
      <c r="F116" s="341">
        <f>ROUND(E116,0)+1041</f>
        <v>6704031</v>
      </c>
      <c r="G116" s="21">
        <f t="shared" si="13"/>
        <v>1041</v>
      </c>
      <c r="H116" s="462" t="s">
        <v>1386</v>
      </c>
      <c r="I116" s="349">
        <v>6704031</v>
      </c>
      <c r="J116" s="539">
        <f t="shared" si="12"/>
        <v>1</v>
      </c>
      <c r="K116" s="349"/>
    </row>
    <row r="117" spans="1:12" x14ac:dyDescent="0.25">
      <c r="C117" s="88" t="s">
        <v>139</v>
      </c>
      <c r="D117" s="333" t="s">
        <v>140</v>
      </c>
      <c r="E117" s="1026">
        <v>10307001</v>
      </c>
      <c r="F117" s="1026">
        <f t="shared" ref="F117" si="18">SUM(F118:F126)</f>
        <v>10307001</v>
      </c>
      <c r="G117" s="22">
        <f t="shared" si="13"/>
        <v>0</v>
      </c>
      <c r="H117" s="473"/>
      <c r="I117" s="544">
        <f>SUM(I118:I126)</f>
        <v>96197</v>
      </c>
      <c r="J117" s="545">
        <f t="shared" si="12"/>
        <v>9.3331707254127559E-3</v>
      </c>
      <c r="K117" s="544" t="s">
        <v>554</v>
      </c>
    </row>
    <row r="118" spans="1:12" outlineLevel="1" x14ac:dyDescent="0.25">
      <c r="A118" s="71"/>
      <c r="B118" s="71"/>
      <c r="C118" s="150" t="s">
        <v>473</v>
      </c>
      <c r="D118" s="321" t="s">
        <v>855</v>
      </c>
      <c r="E118" s="1027">
        <v>0</v>
      </c>
      <c r="F118" s="1056">
        <f t="shared" ref="F118:F126" si="19">ROUND(E118,0)</f>
        <v>0</v>
      </c>
      <c r="G118" s="1046">
        <f t="shared" si="13"/>
        <v>0</v>
      </c>
      <c r="H118" s="499"/>
      <c r="I118" s="107">
        <f>ROUND(H118,0)</f>
        <v>0</v>
      </c>
      <c r="J118" s="546"/>
      <c r="K118" s="1073"/>
    </row>
    <row r="119" spans="1:12" ht="30" customHeight="1" x14ac:dyDescent="0.25">
      <c r="A119" s="71" t="s">
        <v>636</v>
      </c>
      <c r="B119" s="71"/>
      <c r="C119" s="150" t="s">
        <v>474</v>
      </c>
      <c r="D119" s="321" t="s">
        <v>635</v>
      </c>
      <c r="E119" s="1027">
        <v>7506469</v>
      </c>
      <c r="F119" s="1056">
        <f t="shared" si="19"/>
        <v>7506469</v>
      </c>
      <c r="G119" s="1046">
        <f t="shared" si="13"/>
        <v>0</v>
      </c>
      <c r="H119" s="499"/>
      <c r="I119" s="349">
        <v>0</v>
      </c>
      <c r="J119" s="546">
        <f t="shared" si="12"/>
        <v>0</v>
      </c>
      <c r="K119" s="1073"/>
    </row>
    <row r="120" spans="1:12" ht="32.450000000000003" customHeight="1" x14ac:dyDescent="0.25">
      <c r="A120" s="71"/>
      <c r="B120" s="71"/>
      <c r="C120" s="150" t="s">
        <v>475</v>
      </c>
      <c r="D120" s="414" t="s">
        <v>685</v>
      </c>
      <c r="E120" s="1027">
        <v>49699</v>
      </c>
      <c r="F120" s="1056">
        <f t="shared" si="19"/>
        <v>49699</v>
      </c>
      <c r="G120" s="1046">
        <f t="shared" si="13"/>
        <v>0</v>
      </c>
      <c r="H120" s="500"/>
      <c r="I120" s="349">
        <v>33559</v>
      </c>
      <c r="J120" s="547">
        <f t="shared" si="12"/>
        <v>0.67524497474798284</v>
      </c>
      <c r="K120" s="1074"/>
    </row>
    <row r="121" spans="1:12" ht="67.900000000000006" customHeight="1" x14ac:dyDescent="0.25">
      <c r="A121" s="71"/>
      <c r="B121" s="71"/>
      <c r="C121" s="150" t="s">
        <v>476</v>
      </c>
      <c r="D121" s="322" t="s">
        <v>584</v>
      </c>
      <c r="E121" s="1028">
        <v>0</v>
      </c>
      <c r="F121" s="1057">
        <f t="shared" si="19"/>
        <v>0</v>
      </c>
      <c r="G121" s="1047">
        <f t="shared" si="13"/>
        <v>0</v>
      </c>
      <c r="H121" s="488"/>
      <c r="I121" s="349"/>
      <c r="J121" s="547"/>
      <c r="K121" s="1075"/>
    </row>
    <row r="122" spans="1:12" ht="16.899999999999999" customHeight="1" x14ac:dyDescent="0.25">
      <c r="B122" s="71"/>
      <c r="C122" s="150" t="s">
        <v>477</v>
      </c>
      <c r="D122" s="414" t="s">
        <v>830</v>
      </c>
      <c r="E122" s="1027">
        <v>479480</v>
      </c>
      <c r="F122" s="1058">
        <f t="shared" si="19"/>
        <v>479480</v>
      </c>
      <c r="G122" s="1048">
        <f t="shared" si="13"/>
        <v>0</v>
      </c>
      <c r="H122" s="488"/>
      <c r="I122" s="349">
        <v>54050</v>
      </c>
      <c r="J122" s="547">
        <f t="shared" si="12"/>
        <v>0.1127262868107116</v>
      </c>
      <c r="K122" s="1074"/>
      <c r="L122" s="557"/>
    </row>
    <row r="123" spans="1:12" ht="29.25" customHeight="1" x14ac:dyDescent="0.25">
      <c r="B123" s="71" t="s">
        <v>812</v>
      </c>
      <c r="C123" s="150" t="s">
        <v>858</v>
      </c>
      <c r="D123" s="322" t="s">
        <v>813</v>
      </c>
      <c r="E123" s="1028">
        <v>240428</v>
      </c>
      <c r="F123" s="1057">
        <f t="shared" si="19"/>
        <v>240428</v>
      </c>
      <c r="G123" s="183">
        <f t="shared" si="13"/>
        <v>0</v>
      </c>
      <c r="H123" s="501"/>
      <c r="I123" s="349">
        <v>0</v>
      </c>
      <c r="J123" s="547">
        <f t="shared" si="12"/>
        <v>0</v>
      </c>
      <c r="K123" s="1075"/>
    </row>
    <row r="124" spans="1:12" ht="18.600000000000001" customHeight="1" outlineLevel="1" x14ac:dyDescent="0.25">
      <c r="B124" s="71" t="s">
        <v>658</v>
      </c>
      <c r="C124" s="179" t="s">
        <v>859</v>
      </c>
      <c r="D124" s="322" t="s">
        <v>593</v>
      </c>
      <c r="E124" s="1028">
        <v>1153191</v>
      </c>
      <c r="F124" s="1059">
        <f t="shared" si="19"/>
        <v>1153191</v>
      </c>
      <c r="G124" s="1049">
        <f t="shared" si="13"/>
        <v>0</v>
      </c>
      <c r="H124" s="488"/>
      <c r="I124" s="21">
        <f>ROUND(H124,0)</f>
        <v>0</v>
      </c>
      <c r="J124" s="547">
        <f t="shared" si="12"/>
        <v>0</v>
      </c>
      <c r="K124" s="1074"/>
    </row>
    <row r="125" spans="1:12" ht="41.45" customHeight="1" outlineLevel="1" x14ac:dyDescent="0.25">
      <c r="B125" s="71" t="s">
        <v>447</v>
      </c>
      <c r="C125" s="185" t="s">
        <v>860</v>
      </c>
      <c r="D125" s="322" t="s">
        <v>448</v>
      </c>
      <c r="E125" s="1028">
        <v>8588</v>
      </c>
      <c r="F125" s="1059">
        <f t="shared" si="19"/>
        <v>8588</v>
      </c>
      <c r="G125" s="1048">
        <f t="shared" si="13"/>
        <v>0</v>
      </c>
      <c r="H125" s="488"/>
      <c r="I125" s="21">
        <v>8588</v>
      </c>
      <c r="J125" s="547">
        <f t="shared" si="12"/>
        <v>1</v>
      </c>
      <c r="K125" s="1074"/>
    </row>
    <row r="126" spans="1:12" ht="26.45" customHeight="1" outlineLevel="1" x14ac:dyDescent="0.25">
      <c r="B126" s="71" t="s">
        <v>380</v>
      </c>
      <c r="C126" s="185" t="s">
        <v>507</v>
      </c>
      <c r="D126" s="359" t="s">
        <v>359</v>
      </c>
      <c r="E126" s="1028">
        <v>869146</v>
      </c>
      <c r="F126" s="1059">
        <f t="shared" si="19"/>
        <v>869146</v>
      </c>
      <c r="G126" s="349">
        <f t="shared" si="13"/>
        <v>0</v>
      </c>
      <c r="H126" s="501"/>
      <c r="I126" s="21">
        <f>ROUND(H126,0)</f>
        <v>0</v>
      </c>
      <c r="J126" s="547">
        <f t="shared" si="12"/>
        <v>0</v>
      </c>
      <c r="K126" s="1074"/>
    </row>
    <row r="127" spans="1:12" ht="15.75" thickBot="1" x14ac:dyDescent="0.3">
      <c r="C127" s="69"/>
      <c r="D127" s="340" t="s">
        <v>141</v>
      </c>
      <c r="E127" s="1025">
        <v>86477152.200000003</v>
      </c>
      <c r="F127" s="1025">
        <f t="shared" ref="F127" si="20">F113+F114+F117</f>
        <v>86537697</v>
      </c>
      <c r="G127" s="54">
        <f t="shared" si="13"/>
        <v>60544.79999999702</v>
      </c>
      <c r="H127" s="502"/>
      <c r="I127" s="54">
        <f>I113+I114+I117</f>
        <v>27438062.359999999</v>
      </c>
      <c r="J127" s="548">
        <f t="shared" si="12"/>
        <v>0.31706485510008431</v>
      </c>
      <c r="K127" s="54"/>
    </row>
    <row r="129" spans="2:22" x14ac:dyDescent="0.25">
      <c r="G129" s="110"/>
      <c r="I129" s="52"/>
      <c r="K129" s="52"/>
    </row>
    <row r="130" spans="2:22" ht="20.25" x14ac:dyDescent="0.3">
      <c r="C130" s="1110" t="s">
        <v>142</v>
      </c>
      <c r="D130" s="1110"/>
      <c r="G130" s="52"/>
      <c r="I130" s="52"/>
    </row>
    <row r="131" spans="2:22" ht="15.75" thickBot="1" x14ac:dyDescent="0.3">
      <c r="C131" s="1111"/>
      <c r="D131" s="1111"/>
      <c r="G131" s="60"/>
      <c r="I131" s="60"/>
      <c r="K131" s="60"/>
    </row>
    <row r="132" spans="2:22" ht="57" customHeight="1" thickBot="1" x14ac:dyDescent="0.3">
      <c r="C132" s="16" t="s">
        <v>1</v>
      </c>
      <c r="D132" s="17" t="s">
        <v>2</v>
      </c>
      <c r="E132" s="1017" t="s">
        <v>1262</v>
      </c>
      <c r="F132" s="1017" t="str">
        <f>F5</f>
        <v>26.03.2026. grozījumi</v>
      </c>
      <c r="G132" s="1017" t="str">
        <f>G5</f>
        <v>Izmaiņa 26.03.2026. - 29.01.2026.</v>
      </c>
      <c r="H132" s="470" t="s">
        <v>3</v>
      </c>
      <c r="I132" s="58" t="str">
        <f>I5</f>
        <v>31.03.2026. fakts</v>
      </c>
      <c r="J132" s="534" t="str">
        <f>J5</f>
        <v>31.03.2026. fakts (%) pret 2026. plānu</v>
      </c>
      <c r="K132" s="470" t="s">
        <v>4</v>
      </c>
    </row>
    <row r="133" spans="2:22" x14ac:dyDescent="0.25">
      <c r="C133" s="93" t="s">
        <v>8</v>
      </c>
      <c r="D133" s="331" t="s">
        <v>143</v>
      </c>
      <c r="E133" s="1029">
        <v>12115776</v>
      </c>
      <c r="F133" s="1029">
        <f t="shared" ref="F133" si="21">SUM(F134:F142)</f>
        <v>12133954</v>
      </c>
      <c r="G133" s="32">
        <f t="shared" ref="G133:G205" si="22">F133-E133</f>
        <v>18178</v>
      </c>
      <c r="H133" s="503"/>
      <c r="I133" s="32">
        <f>SUM(I134:I142)</f>
        <v>2521871.5199999996</v>
      </c>
      <c r="J133" s="575">
        <f t="shared" ref="J133:J196" si="23">I133/F133</f>
        <v>0.20783592223936234</v>
      </c>
      <c r="K133" s="32"/>
    </row>
    <row r="134" spans="2:22" ht="73.5" customHeight="1" x14ac:dyDescent="0.25">
      <c r="B134" s="71" t="s">
        <v>209</v>
      </c>
      <c r="C134" s="94" t="s">
        <v>11</v>
      </c>
      <c r="D134" s="307" t="s">
        <v>144</v>
      </c>
      <c r="E134" s="48">
        <v>2251986</v>
      </c>
      <c r="F134" s="48">
        <f>ROUND(E134,0)+28474-10296</f>
        <v>2270164</v>
      </c>
      <c r="G134" s="27">
        <f t="shared" si="22"/>
        <v>18178</v>
      </c>
      <c r="H134" s="486" t="s">
        <v>1439</v>
      </c>
      <c r="I134" s="355">
        <f>2337545.34-I140-I141</f>
        <v>390979.54999999981</v>
      </c>
      <c r="J134" s="551">
        <f t="shared" si="23"/>
        <v>0.17222524451977911</v>
      </c>
      <c r="K134" s="27"/>
    </row>
    <row r="135" spans="2:22" x14ac:dyDescent="0.25">
      <c r="B135" s="71" t="s">
        <v>210</v>
      </c>
      <c r="C135" s="94" t="s">
        <v>13</v>
      </c>
      <c r="D135" s="307" t="s">
        <v>145</v>
      </c>
      <c r="E135" s="48">
        <v>339144</v>
      </c>
      <c r="F135" s="48">
        <f t="shared" ref="F135:F143" si="24">ROUND(E135,0)</f>
        <v>339144</v>
      </c>
      <c r="G135" s="27">
        <f t="shared" si="22"/>
        <v>0</v>
      </c>
      <c r="H135" s="459"/>
      <c r="I135" s="355">
        <v>81502</v>
      </c>
      <c r="J135" s="551">
        <f t="shared" si="23"/>
        <v>0.24031679758450689</v>
      </c>
      <c r="K135" s="27"/>
    </row>
    <row r="136" spans="2:22" ht="13.15" customHeight="1" x14ac:dyDescent="0.25">
      <c r="B136" s="71" t="s">
        <v>212</v>
      </c>
      <c r="C136" s="94" t="s">
        <v>146</v>
      </c>
      <c r="D136" s="307" t="s">
        <v>147</v>
      </c>
      <c r="E136" s="48">
        <v>43957</v>
      </c>
      <c r="F136" s="48">
        <f t="shared" si="24"/>
        <v>43957</v>
      </c>
      <c r="G136" s="27">
        <f t="shared" si="22"/>
        <v>0</v>
      </c>
      <c r="H136" s="486"/>
      <c r="I136" s="355">
        <v>6040.11</v>
      </c>
      <c r="J136" s="551">
        <f t="shared" si="23"/>
        <v>0.1374095138430739</v>
      </c>
      <c r="K136" s="27"/>
    </row>
    <row r="137" spans="2:22" ht="14.45" customHeight="1" x14ac:dyDescent="0.25">
      <c r="B137" s="71" t="s">
        <v>213</v>
      </c>
      <c r="C137" s="94" t="s">
        <v>148</v>
      </c>
      <c r="D137" s="307" t="s">
        <v>149</v>
      </c>
      <c r="E137" s="48">
        <v>45157</v>
      </c>
      <c r="F137" s="48">
        <f t="shared" si="24"/>
        <v>45157</v>
      </c>
      <c r="G137" s="27">
        <f t="shared" si="22"/>
        <v>0</v>
      </c>
      <c r="H137" s="486"/>
      <c r="I137" s="355">
        <v>4865.22</v>
      </c>
      <c r="J137" s="551">
        <f t="shared" si="23"/>
        <v>0.10774010673871161</v>
      </c>
      <c r="K137" s="27"/>
    </row>
    <row r="138" spans="2:22" ht="15.6" customHeight="1" x14ac:dyDescent="0.25">
      <c r="B138" s="71" t="s">
        <v>211</v>
      </c>
      <c r="C138" s="94" t="s">
        <v>150</v>
      </c>
      <c r="D138" s="307" t="s">
        <v>151</v>
      </c>
      <c r="E138" s="48">
        <v>99246</v>
      </c>
      <c r="F138" s="48">
        <f t="shared" si="24"/>
        <v>99246</v>
      </c>
      <c r="G138" s="27">
        <f t="shared" si="22"/>
        <v>0</v>
      </c>
      <c r="H138" s="486"/>
      <c r="I138" s="355">
        <v>211.15</v>
      </c>
      <c r="J138" s="551">
        <f t="shared" si="23"/>
        <v>2.1275416641476736E-3</v>
      </c>
      <c r="K138" s="27"/>
    </row>
    <row r="139" spans="2:22" ht="14.45" customHeight="1" x14ac:dyDescent="0.25">
      <c r="B139" s="71" t="s">
        <v>214</v>
      </c>
      <c r="C139" s="94" t="s">
        <v>152</v>
      </c>
      <c r="D139" s="307" t="s">
        <v>239</v>
      </c>
      <c r="E139" s="48">
        <v>16344</v>
      </c>
      <c r="F139" s="48">
        <f t="shared" si="24"/>
        <v>16344</v>
      </c>
      <c r="G139" s="27">
        <f t="shared" si="22"/>
        <v>0</v>
      </c>
      <c r="H139" s="459"/>
      <c r="I139" s="355">
        <v>2528.7399999999998</v>
      </c>
      <c r="J139" s="551">
        <f t="shared" si="23"/>
        <v>0.1547197748409202</v>
      </c>
      <c r="K139" s="27"/>
    </row>
    <row r="140" spans="2:22" ht="16.5" customHeight="1" x14ac:dyDescent="0.25">
      <c r="B140" s="71" t="s">
        <v>209</v>
      </c>
      <c r="C140" s="94" t="s">
        <v>153</v>
      </c>
      <c r="D140" s="307" t="s">
        <v>155</v>
      </c>
      <c r="E140" s="48">
        <v>1402431</v>
      </c>
      <c r="F140" s="48">
        <f t="shared" si="24"/>
        <v>1402431</v>
      </c>
      <c r="G140" s="27">
        <f t="shared" si="22"/>
        <v>0</v>
      </c>
      <c r="H140" s="504"/>
      <c r="I140" s="355">
        <v>323695.99</v>
      </c>
      <c r="J140" s="551">
        <f t="shared" si="23"/>
        <v>0.23081063524693907</v>
      </c>
      <c r="K140" s="27"/>
    </row>
    <row r="141" spans="2:22" ht="13.9" customHeight="1" x14ac:dyDescent="0.25">
      <c r="B141" s="71" t="s">
        <v>209</v>
      </c>
      <c r="C141" s="94" t="s">
        <v>154</v>
      </c>
      <c r="D141" s="307" t="s">
        <v>156</v>
      </c>
      <c r="E141" s="48">
        <v>7376681</v>
      </c>
      <c r="F141" s="48">
        <f t="shared" si="24"/>
        <v>7376681</v>
      </c>
      <c r="G141" s="27">
        <f t="shared" si="22"/>
        <v>0</v>
      </c>
      <c r="H141" s="459"/>
      <c r="I141" s="355">
        <v>1622869.8</v>
      </c>
      <c r="J141" s="551">
        <f t="shared" si="23"/>
        <v>0.21999999728875358</v>
      </c>
      <c r="K141" s="27"/>
    </row>
    <row r="142" spans="2:22" ht="42" customHeight="1" x14ac:dyDescent="0.25">
      <c r="B142" s="71" t="s">
        <v>347</v>
      </c>
      <c r="C142" s="94" t="s">
        <v>295</v>
      </c>
      <c r="D142" s="307" t="s">
        <v>316</v>
      </c>
      <c r="E142" s="48">
        <v>540830</v>
      </c>
      <c r="F142" s="48">
        <f t="shared" si="24"/>
        <v>540830</v>
      </c>
      <c r="G142" s="1050">
        <f t="shared" si="22"/>
        <v>0</v>
      </c>
      <c r="H142" s="505"/>
      <c r="I142" s="355">
        <v>89178.96</v>
      </c>
      <c r="J142" s="551">
        <f t="shared" si="23"/>
        <v>0.16489277591849566</v>
      </c>
      <c r="K142" s="27"/>
    </row>
    <row r="143" spans="2:22" ht="34.5" customHeight="1" collapsed="1" x14ac:dyDescent="0.25">
      <c r="B143" s="71" t="s">
        <v>216</v>
      </c>
      <c r="C143" s="95" t="s">
        <v>16</v>
      </c>
      <c r="D143" s="316" t="s">
        <v>158</v>
      </c>
      <c r="E143" s="447">
        <v>1223875</v>
      </c>
      <c r="F143" s="447">
        <f t="shared" si="24"/>
        <v>1223875</v>
      </c>
      <c r="G143" s="22">
        <f t="shared" si="22"/>
        <v>0</v>
      </c>
      <c r="H143" s="478"/>
      <c r="I143" s="356">
        <v>174193.16</v>
      </c>
      <c r="J143" s="564">
        <f t="shared" si="23"/>
        <v>0.14232920845674599</v>
      </c>
      <c r="K143" s="1076"/>
    </row>
    <row r="144" spans="2:22" s="28" customFormat="1" ht="16.899999999999999" customHeight="1" x14ac:dyDescent="0.25">
      <c r="C144" s="95" t="s">
        <v>24</v>
      </c>
      <c r="D144" s="316" t="s">
        <v>367</v>
      </c>
      <c r="E144" s="447">
        <v>718532</v>
      </c>
      <c r="F144" s="447">
        <f t="shared" ref="F144" si="25">F145+F148</f>
        <v>718532</v>
      </c>
      <c r="G144" s="22">
        <f t="shared" si="22"/>
        <v>0</v>
      </c>
      <c r="H144" s="478"/>
      <c r="I144" s="356">
        <f>I145+I148</f>
        <v>113826.36</v>
      </c>
      <c r="J144" s="564">
        <f t="shared" si="23"/>
        <v>0.15841515757127031</v>
      </c>
      <c r="K144" s="22"/>
      <c r="L144" s="12"/>
      <c r="M144" s="12"/>
      <c r="N144" s="12"/>
      <c r="O144" s="12"/>
      <c r="P144" s="12"/>
      <c r="Q144" s="12"/>
      <c r="R144" s="12"/>
      <c r="S144" s="12"/>
      <c r="T144" s="12"/>
      <c r="U144" s="12"/>
      <c r="V144" s="12"/>
    </row>
    <row r="145" spans="2:16" x14ac:dyDescent="0.25">
      <c r="B145" s="71" t="s">
        <v>215</v>
      </c>
      <c r="C145" s="94" t="s">
        <v>27</v>
      </c>
      <c r="D145" s="307" t="s">
        <v>159</v>
      </c>
      <c r="E145" s="48">
        <v>236187</v>
      </c>
      <c r="F145" s="48">
        <f>SUM(F146:F147)</f>
        <v>236187</v>
      </c>
      <c r="G145" s="27">
        <f t="shared" si="22"/>
        <v>0</v>
      </c>
      <c r="H145" s="27"/>
      <c r="I145" s="355">
        <f>SUM(I146:I147)</f>
        <v>32535.360000000001</v>
      </c>
      <c r="J145" s="551">
        <f t="shared" si="23"/>
        <v>0.13775254353541896</v>
      </c>
      <c r="K145" s="27"/>
    </row>
    <row r="146" spans="2:16" ht="15.75" customHeight="1" x14ac:dyDescent="0.25">
      <c r="B146" s="71" t="s">
        <v>215</v>
      </c>
      <c r="C146" s="96" t="s">
        <v>734</v>
      </c>
      <c r="D146" s="305" t="s">
        <v>373</v>
      </c>
      <c r="E146" s="341">
        <v>200420</v>
      </c>
      <c r="F146" s="341">
        <f>ROUND(E146,0)</f>
        <v>200420</v>
      </c>
      <c r="G146" s="66">
        <f t="shared" si="22"/>
        <v>0</v>
      </c>
      <c r="H146" s="479"/>
      <c r="I146" s="349">
        <v>24436.37</v>
      </c>
      <c r="J146" s="539">
        <f t="shared" si="23"/>
        <v>0.12192580580780361</v>
      </c>
      <c r="K146" s="21"/>
    </row>
    <row r="147" spans="2:16" ht="15.6" customHeight="1" x14ac:dyDescent="0.25">
      <c r="B147" s="71"/>
      <c r="C147" s="96" t="s">
        <v>735</v>
      </c>
      <c r="D147" s="332" t="s">
        <v>424</v>
      </c>
      <c r="E147" s="448">
        <v>35767</v>
      </c>
      <c r="F147" s="341">
        <f>ROUND(E147,0)</f>
        <v>35767</v>
      </c>
      <c r="G147" s="66">
        <f t="shared" si="22"/>
        <v>0</v>
      </c>
      <c r="H147" s="467"/>
      <c r="I147" s="349">
        <v>8098.99</v>
      </c>
      <c r="J147" s="553">
        <f t="shared" si="23"/>
        <v>0.22643749825257919</v>
      </c>
      <c r="K147" s="107"/>
    </row>
    <row r="148" spans="2:16" x14ac:dyDescent="0.25">
      <c r="B148" s="71" t="s">
        <v>378</v>
      </c>
      <c r="C148" s="94" t="s">
        <v>30</v>
      </c>
      <c r="D148" s="310" t="s">
        <v>296</v>
      </c>
      <c r="E148" s="48">
        <v>482345</v>
      </c>
      <c r="F148" s="48">
        <f>ROUND(E148,0)</f>
        <v>482345</v>
      </c>
      <c r="G148" s="108">
        <f t="shared" si="22"/>
        <v>0</v>
      </c>
      <c r="H148" s="506"/>
      <c r="I148" s="355">
        <v>81291</v>
      </c>
      <c r="J148" s="551">
        <f t="shared" si="23"/>
        <v>0.16853289657817538</v>
      </c>
      <c r="K148" s="27" t="s">
        <v>519</v>
      </c>
    </row>
    <row r="149" spans="2:16" x14ac:dyDescent="0.25">
      <c r="C149" s="95" t="s">
        <v>32</v>
      </c>
      <c r="D149" s="316" t="s">
        <v>369</v>
      </c>
      <c r="E149" s="447">
        <v>35606</v>
      </c>
      <c r="F149" s="447">
        <f t="shared" ref="F149" si="26">F150</f>
        <v>35606</v>
      </c>
      <c r="G149" s="22">
        <f t="shared" si="22"/>
        <v>0</v>
      </c>
      <c r="H149" s="473"/>
      <c r="I149" s="356">
        <f>I150</f>
        <v>10399.129999999999</v>
      </c>
      <c r="J149" s="564">
        <f t="shared" si="23"/>
        <v>0.29206116946582034</v>
      </c>
      <c r="K149" s="22"/>
    </row>
    <row r="150" spans="2:16" ht="16.149999999999999" customHeight="1" x14ac:dyDescent="0.25">
      <c r="B150" s="71" t="s">
        <v>377</v>
      </c>
      <c r="C150" s="94" t="s">
        <v>35</v>
      </c>
      <c r="D150" s="307" t="s">
        <v>368</v>
      </c>
      <c r="E150" s="48">
        <v>35606</v>
      </c>
      <c r="F150" s="48">
        <f>ROUND(E150,0)</f>
        <v>35606</v>
      </c>
      <c r="G150" s="27">
        <f t="shared" si="22"/>
        <v>0</v>
      </c>
      <c r="H150" s="486"/>
      <c r="I150" s="355">
        <v>10399.129999999999</v>
      </c>
      <c r="J150" s="551">
        <f t="shared" si="23"/>
        <v>0.29206116946582034</v>
      </c>
      <c r="K150" s="27" t="s">
        <v>647</v>
      </c>
    </row>
    <row r="151" spans="2:16" ht="29.25" x14ac:dyDescent="0.25">
      <c r="C151" s="95" t="s">
        <v>38</v>
      </c>
      <c r="D151" s="316" t="s">
        <v>160</v>
      </c>
      <c r="E151" s="447">
        <v>24806240</v>
      </c>
      <c r="F151" s="447">
        <f>F152+F153+F154+F155+F156+F174</f>
        <v>24823592</v>
      </c>
      <c r="G151" s="22">
        <f t="shared" si="22"/>
        <v>17352</v>
      </c>
      <c r="H151" s="22"/>
      <c r="I151" s="356">
        <f>I152+I153+I154+I155+I156+I174</f>
        <v>2136867.83</v>
      </c>
      <c r="J151" s="564">
        <f t="shared" si="23"/>
        <v>8.6082136300016529E-2</v>
      </c>
      <c r="K151" s="22"/>
    </row>
    <row r="152" spans="2:16" ht="15.6" customHeight="1" x14ac:dyDescent="0.25">
      <c r="B152" s="71" t="s">
        <v>217</v>
      </c>
      <c r="C152" s="94" t="s">
        <v>161</v>
      </c>
      <c r="D152" s="320" t="s">
        <v>157</v>
      </c>
      <c r="E152" s="451">
        <v>70000</v>
      </c>
      <c r="F152" s="48">
        <f>ROUND(E152,0)</f>
        <v>70000</v>
      </c>
      <c r="G152" s="27">
        <f t="shared" si="22"/>
        <v>0</v>
      </c>
      <c r="H152" s="459"/>
      <c r="I152" s="355">
        <v>0</v>
      </c>
      <c r="J152" s="551">
        <f t="shared" si="23"/>
        <v>0</v>
      </c>
      <c r="K152" s="1077"/>
    </row>
    <row r="153" spans="2:16" ht="15.6" customHeight="1" x14ac:dyDescent="0.25">
      <c r="B153" s="71" t="s">
        <v>733</v>
      </c>
      <c r="C153" s="94" t="s">
        <v>163</v>
      </c>
      <c r="D153" s="397" t="s">
        <v>664</v>
      </c>
      <c r="E153" s="1030">
        <v>81528</v>
      </c>
      <c r="F153" s="1038">
        <f>ROUND(E153,0)</f>
        <v>81528</v>
      </c>
      <c r="G153" s="355">
        <f t="shared" si="22"/>
        <v>0</v>
      </c>
      <c r="H153" s="507"/>
      <c r="I153" s="355">
        <v>0</v>
      </c>
      <c r="J153" s="576">
        <f t="shared" si="23"/>
        <v>0</v>
      </c>
      <c r="K153" s="1078"/>
    </row>
    <row r="154" spans="2:16" ht="15" customHeight="1" x14ac:dyDescent="0.25">
      <c r="B154" s="71" t="s">
        <v>413</v>
      </c>
      <c r="C154" s="94" t="s">
        <v>165</v>
      </c>
      <c r="D154" s="320" t="s">
        <v>162</v>
      </c>
      <c r="E154" s="451">
        <v>356794</v>
      </c>
      <c r="F154" s="451">
        <f>ROUND(E154,0)</f>
        <v>356794</v>
      </c>
      <c r="G154" s="33">
        <f t="shared" si="22"/>
        <v>0</v>
      </c>
      <c r="H154" s="486"/>
      <c r="I154" s="549">
        <v>69503.34</v>
      </c>
      <c r="J154" s="577">
        <f t="shared" si="23"/>
        <v>0.19479963228081187</v>
      </c>
      <c r="K154" s="1077"/>
    </row>
    <row r="155" spans="2:16" ht="15" customHeight="1" x14ac:dyDescent="0.25">
      <c r="B155" s="71" t="s">
        <v>423</v>
      </c>
      <c r="C155" s="94" t="s">
        <v>167</v>
      </c>
      <c r="D155" s="320" t="s">
        <v>351</v>
      </c>
      <c r="E155" s="451">
        <v>291217</v>
      </c>
      <c r="F155" s="451">
        <f>ROUND(E155,0)</f>
        <v>291217</v>
      </c>
      <c r="G155" s="144">
        <f t="shared" si="22"/>
        <v>0</v>
      </c>
      <c r="H155" s="508"/>
      <c r="I155" s="549">
        <v>45078.7</v>
      </c>
      <c r="J155" s="577">
        <f t="shared" si="23"/>
        <v>0.15479419127317429</v>
      </c>
      <c r="K155" s="1077"/>
    </row>
    <row r="156" spans="2:16" x14ac:dyDescent="0.25">
      <c r="C156" s="94" t="s">
        <v>342</v>
      </c>
      <c r="D156" s="320" t="s">
        <v>352</v>
      </c>
      <c r="E156" s="451">
        <v>12178159</v>
      </c>
      <c r="F156" s="451">
        <f>SUM(F157:F173)</f>
        <v>12159685</v>
      </c>
      <c r="G156" s="33">
        <f t="shared" si="22"/>
        <v>-18474</v>
      </c>
      <c r="H156" s="33"/>
      <c r="I156" s="549">
        <f>SUM(I157:I173)</f>
        <v>891431.42000000016</v>
      </c>
      <c r="J156" s="577">
        <f t="shared" si="23"/>
        <v>7.3310404011288133E-2</v>
      </c>
      <c r="K156" s="33"/>
    </row>
    <row r="157" spans="2:16" ht="117.75" customHeight="1" x14ac:dyDescent="0.25">
      <c r="B157" s="71" t="s">
        <v>1374</v>
      </c>
      <c r="C157" s="96" t="s">
        <v>736</v>
      </c>
      <c r="D157" s="303" t="s">
        <v>164</v>
      </c>
      <c r="E157" s="341">
        <v>741080</v>
      </c>
      <c r="F157" s="341">
        <f>ROUND(E157,0)-28474-890</f>
        <v>711716</v>
      </c>
      <c r="G157" s="21">
        <f t="shared" si="22"/>
        <v>-29364</v>
      </c>
      <c r="H157" s="1061" t="s">
        <v>1440</v>
      </c>
      <c r="I157" s="349">
        <f>91475.24+2420-I166</f>
        <v>93895.24</v>
      </c>
      <c r="J157" s="565">
        <f t="shared" si="23"/>
        <v>0.13192796002900034</v>
      </c>
      <c r="K157" s="1079"/>
    </row>
    <row r="158" spans="2:16" ht="18.600000000000001" customHeight="1" x14ac:dyDescent="0.25">
      <c r="B158" s="71" t="s">
        <v>429</v>
      </c>
      <c r="C158" s="96" t="s">
        <v>737</v>
      </c>
      <c r="D158" s="303" t="s">
        <v>298</v>
      </c>
      <c r="E158" s="450">
        <v>40150</v>
      </c>
      <c r="F158" s="450">
        <f t="shared" ref="F158:F168" si="27">ROUND(E158,0)</f>
        <v>40150</v>
      </c>
      <c r="G158" s="66">
        <f t="shared" si="22"/>
        <v>0</v>
      </c>
      <c r="H158" s="509"/>
      <c r="I158" s="1119">
        <v>400</v>
      </c>
      <c r="J158" s="1113">
        <f t="shared" si="23"/>
        <v>9.9626400996264009E-3</v>
      </c>
      <c r="K158" s="66"/>
      <c r="M158" s="557"/>
      <c r="N158" s="557">
        <f>I158+I159+I160+I161+I162+I163+I164+I165+I166+I167+I168+I169+I176+I177+I186+I187+I189+I230+I231+I280+I281+I301</f>
        <v>2255037.2400000002</v>
      </c>
      <c r="O158" s="587" t="e">
        <f>N158/M158</f>
        <v>#DIV/0!</v>
      </c>
      <c r="P158" s="587">
        <f>N158/I310</f>
        <v>0.18820017021777485</v>
      </c>
    </row>
    <row r="159" spans="2:16" ht="30" customHeight="1" x14ac:dyDescent="0.25">
      <c r="B159" s="71" t="s">
        <v>429</v>
      </c>
      <c r="C159" s="96" t="s">
        <v>738</v>
      </c>
      <c r="D159" s="326" t="s">
        <v>425</v>
      </c>
      <c r="E159" s="448">
        <v>11400</v>
      </c>
      <c r="F159" s="450">
        <f>ROUND(E159,0)</f>
        <v>11400</v>
      </c>
      <c r="G159" s="66">
        <f t="shared" si="22"/>
        <v>0</v>
      </c>
      <c r="H159" s="457"/>
      <c r="I159" s="1120"/>
      <c r="J159" s="1114">
        <f t="shared" si="23"/>
        <v>0</v>
      </c>
      <c r="K159" s="107"/>
      <c r="M159" s="587"/>
    </row>
    <row r="160" spans="2:16" ht="32.25" customHeight="1" x14ac:dyDescent="0.25">
      <c r="B160" s="71" t="s">
        <v>472</v>
      </c>
      <c r="C160" s="96" t="s">
        <v>739</v>
      </c>
      <c r="D160" s="999" t="s">
        <v>469</v>
      </c>
      <c r="E160" s="341">
        <v>30654</v>
      </c>
      <c r="F160" s="341">
        <f t="shared" si="27"/>
        <v>30654</v>
      </c>
      <c r="G160" s="21">
        <f t="shared" si="22"/>
        <v>0</v>
      </c>
      <c r="H160" s="457"/>
      <c r="I160" s="349">
        <v>0</v>
      </c>
      <c r="J160" s="539">
        <f t="shared" si="23"/>
        <v>0</v>
      </c>
      <c r="K160" s="21" t="s">
        <v>520</v>
      </c>
    </row>
    <row r="161" spans="2:11" ht="45.6" customHeight="1" x14ac:dyDescent="0.25">
      <c r="B161" s="71" t="s">
        <v>379</v>
      </c>
      <c r="C161" s="161" t="s">
        <v>740</v>
      </c>
      <c r="D161" s="1000" t="s">
        <v>358</v>
      </c>
      <c r="E161" s="341">
        <v>354137</v>
      </c>
      <c r="F161" s="341">
        <f t="shared" si="27"/>
        <v>354137</v>
      </c>
      <c r="G161" s="107">
        <f t="shared" si="22"/>
        <v>0</v>
      </c>
      <c r="H161" s="510"/>
      <c r="I161" s="349">
        <v>43483.59</v>
      </c>
      <c r="J161" s="539">
        <f t="shared" si="23"/>
        <v>0.12278748055131206</v>
      </c>
      <c r="K161" s="21" t="s">
        <v>520</v>
      </c>
    </row>
    <row r="162" spans="2:11" ht="28.9" customHeight="1" x14ac:dyDescent="0.25">
      <c r="B162" s="71" t="s">
        <v>380</v>
      </c>
      <c r="C162" s="96" t="s">
        <v>741</v>
      </c>
      <c r="D162" s="1000" t="s">
        <v>359</v>
      </c>
      <c r="E162" s="341">
        <v>3925860</v>
      </c>
      <c r="F162" s="341">
        <f t="shared" si="27"/>
        <v>3925860</v>
      </c>
      <c r="G162" s="107">
        <f t="shared" si="22"/>
        <v>0</v>
      </c>
      <c r="H162" s="510"/>
      <c r="I162" s="349">
        <v>526242.56000000006</v>
      </c>
      <c r="J162" s="539">
        <f t="shared" si="23"/>
        <v>0.13404516717356199</v>
      </c>
      <c r="K162" s="21"/>
    </row>
    <row r="163" spans="2:11" ht="42.75" customHeight="1" x14ac:dyDescent="0.25">
      <c r="B163" s="71" t="s">
        <v>649</v>
      </c>
      <c r="C163" s="96" t="s">
        <v>742</v>
      </c>
      <c r="D163" s="999" t="s">
        <v>688</v>
      </c>
      <c r="E163" s="341">
        <v>42495</v>
      </c>
      <c r="F163" s="341">
        <f t="shared" si="27"/>
        <v>42495</v>
      </c>
      <c r="G163" s="55">
        <f t="shared" si="22"/>
        <v>0</v>
      </c>
      <c r="H163" s="496"/>
      <c r="I163" s="349">
        <v>0</v>
      </c>
      <c r="J163" s="539">
        <f t="shared" si="23"/>
        <v>0</v>
      </c>
      <c r="K163" s="21" t="s">
        <v>520</v>
      </c>
    </row>
    <row r="164" spans="2:11" ht="33.75" customHeight="1" x14ac:dyDescent="0.25">
      <c r="B164" s="71" t="s">
        <v>812</v>
      </c>
      <c r="C164" s="96" t="s">
        <v>743</v>
      </c>
      <c r="D164" s="1001" t="s">
        <v>813</v>
      </c>
      <c r="E164" s="453">
        <v>1271381</v>
      </c>
      <c r="F164" s="341">
        <f>ROUND(E164,0)</f>
        <v>1271381</v>
      </c>
      <c r="G164" s="55">
        <f t="shared" si="22"/>
        <v>0</v>
      </c>
      <c r="H164" s="458"/>
      <c r="I164" s="349">
        <v>0</v>
      </c>
      <c r="J164" s="573">
        <f t="shared" si="23"/>
        <v>0</v>
      </c>
      <c r="K164" s="183"/>
    </row>
    <row r="165" spans="2:11" ht="27.75" customHeight="1" x14ac:dyDescent="0.25">
      <c r="B165" s="71" t="s">
        <v>689</v>
      </c>
      <c r="C165" s="96" t="s">
        <v>744</v>
      </c>
      <c r="D165" s="1001" t="s">
        <v>615</v>
      </c>
      <c r="E165" s="453">
        <v>660558</v>
      </c>
      <c r="F165" s="341">
        <f t="shared" si="27"/>
        <v>660558</v>
      </c>
      <c r="G165" s="55">
        <f t="shared" si="22"/>
        <v>0</v>
      </c>
      <c r="H165" s="458"/>
      <c r="I165" s="349">
        <v>129434.79</v>
      </c>
      <c r="J165" s="573">
        <f t="shared" si="23"/>
        <v>0.19594765334762426</v>
      </c>
      <c r="K165" s="183"/>
    </row>
    <row r="166" spans="2:11" ht="62.25" customHeight="1" x14ac:dyDescent="0.25">
      <c r="B166" s="71" t="s">
        <v>218</v>
      </c>
      <c r="C166" s="96" t="s">
        <v>745</v>
      </c>
      <c r="D166" s="319" t="s">
        <v>620</v>
      </c>
      <c r="E166" s="453">
        <v>0</v>
      </c>
      <c r="F166" s="341">
        <f t="shared" si="27"/>
        <v>0</v>
      </c>
      <c r="G166" s="55">
        <f t="shared" si="22"/>
        <v>0</v>
      </c>
      <c r="H166" s="458"/>
      <c r="I166" s="349">
        <v>0</v>
      </c>
      <c r="J166" s="573" t="e">
        <f t="shared" si="23"/>
        <v>#DIV/0!</v>
      </c>
      <c r="K166" s="183"/>
    </row>
    <row r="167" spans="2:11" ht="75.75" customHeight="1" x14ac:dyDescent="0.25">
      <c r="B167" s="71" t="s">
        <v>590</v>
      </c>
      <c r="C167" s="96" t="s">
        <v>746</v>
      </c>
      <c r="D167" s="1001" t="s">
        <v>591</v>
      </c>
      <c r="E167" s="453">
        <v>850912</v>
      </c>
      <c r="F167" s="341">
        <f>ROUND(E167,0)+10000+890</f>
        <v>861802</v>
      </c>
      <c r="G167" s="55">
        <f t="shared" si="22"/>
        <v>10890</v>
      </c>
      <c r="H167" s="458" t="s">
        <v>1441</v>
      </c>
      <c r="I167" s="349">
        <f>22940.49+2344</f>
        <v>25284.49</v>
      </c>
      <c r="J167" s="539">
        <f t="shared" si="23"/>
        <v>2.9339094130670387E-2</v>
      </c>
      <c r="K167" s="183"/>
    </row>
    <row r="168" spans="2:11" ht="30" customHeight="1" x14ac:dyDescent="0.25">
      <c r="B168" s="71" t="s">
        <v>839</v>
      </c>
      <c r="C168" s="96" t="s">
        <v>747</v>
      </c>
      <c r="D168" s="1001" t="s">
        <v>818</v>
      </c>
      <c r="E168" s="453">
        <v>404972</v>
      </c>
      <c r="F168" s="341">
        <f t="shared" si="27"/>
        <v>404972</v>
      </c>
      <c r="G168" s="55">
        <f t="shared" si="22"/>
        <v>0</v>
      </c>
      <c r="H168" s="458"/>
      <c r="I168" s="349">
        <v>0</v>
      </c>
      <c r="J168" s="573">
        <f t="shared" si="23"/>
        <v>0</v>
      </c>
      <c r="K168" s="183"/>
    </row>
    <row r="169" spans="2:11" ht="16.5" customHeight="1" x14ac:dyDescent="0.25">
      <c r="B169" s="71" t="s">
        <v>658</v>
      </c>
      <c r="C169" s="96" t="s">
        <v>748</v>
      </c>
      <c r="D169" s="999" t="s">
        <v>593</v>
      </c>
      <c r="E169" s="450">
        <v>2415898</v>
      </c>
      <c r="F169" s="341">
        <f>ROUND(E169,0)</f>
        <v>2415898</v>
      </c>
      <c r="G169" s="66">
        <f t="shared" si="22"/>
        <v>0</v>
      </c>
      <c r="H169" s="509"/>
      <c r="I169" s="349">
        <v>72690.75</v>
      </c>
      <c r="J169" s="541">
        <f t="shared" si="23"/>
        <v>3.0088501252950248E-2</v>
      </c>
      <c r="K169" s="66"/>
    </row>
    <row r="170" spans="2:11" ht="60.6" customHeight="1" x14ac:dyDescent="0.25">
      <c r="B170" s="71" t="s">
        <v>218</v>
      </c>
      <c r="C170" s="96" t="s">
        <v>1266</v>
      </c>
      <c r="D170" s="1002" t="s">
        <v>1075</v>
      </c>
      <c r="E170" s="1023">
        <v>987120</v>
      </c>
      <c r="F170" s="341">
        <f>ROUND(E170,0)</f>
        <v>987120</v>
      </c>
      <c r="G170" s="66">
        <f t="shared" si="22"/>
        <v>0</v>
      </c>
      <c r="H170" s="865"/>
      <c r="I170" s="856"/>
      <c r="J170" s="857">
        <f t="shared" si="23"/>
        <v>0</v>
      </c>
      <c r="K170" s="856"/>
    </row>
    <row r="171" spans="2:11" ht="30" customHeight="1" x14ac:dyDescent="0.25">
      <c r="B171" s="71" t="s">
        <v>218</v>
      </c>
      <c r="C171" s="96" t="s">
        <v>1267</v>
      </c>
      <c r="D171" s="1002" t="s">
        <v>1269</v>
      </c>
      <c r="E171" s="1023">
        <v>326348</v>
      </c>
      <c r="F171" s="341">
        <f>ROUND(E171,0)</f>
        <v>326348</v>
      </c>
      <c r="G171" s="66">
        <f t="shared" si="22"/>
        <v>0</v>
      </c>
      <c r="H171" s="865"/>
      <c r="I171" s="856"/>
      <c r="J171" s="857">
        <f t="shared" si="23"/>
        <v>0</v>
      </c>
      <c r="K171" s="856"/>
    </row>
    <row r="172" spans="2:11" ht="30" customHeight="1" x14ac:dyDescent="0.25">
      <c r="B172" s="71" t="s">
        <v>1387</v>
      </c>
      <c r="C172" s="96" t="s">
        <v>1268</v>
      </c>
      <c r="D172" s="1002" t="s">
        <v>1162</v>
      </c>
      <c r="E172" s="1023">
        <v>115194</v>
      </c>
      <c r="F172" s="341">
        <f>ROUND(E172,0)</f>
        <v>115194</v>
      </c>
      <c r="G172" s="66">
        <f>F172-E172</f>
        <v>0</v>
      </c>
      <c r="H172" s="865"/>
      <c r="I172" s="856"/>
      <c r="J172" s="857">
        <f t="shared" si="23"/>
        <v>0</v>
      </c>
      <c r="K172" s="856"/>
    </row>
    <row r="173" spans="2:11" ht="46.15" customHeight="1" x14ac:dyDescent="0.25">
      <c r="B173" s="71"/>
      <c r="C173" s="96" t="s">
        <v>1268</v>
      </c>
      <c r="D173" s="861" t="s">
        <v>1207</v>
      </c>
      <c r="E173" s="1023">
        <v>0</v>
      </c>
      <c r="F173" s="341">
        <f>ROUND(E173,0)</f>
        <v>0</v>
      </c>
      <c r="G173" s="66">
        <f t="shared" si="22"/>
        <v>0</v>
      </c>
      <c r="H173" s="865"/>
      <c r="I173" s="856"/>
      <c r="J173" s="857"/>
      <c r="K173" s="856"/>
    </row>
    <row r="174" spans="2:11" ht="29.25" customHeight="1" x14ac:dyDescent="0.25">
      <c r="C174" s="94" t="s">
        <v>238</v>
      </c>
      <c r="D174" s="320" t="s">
        <v>166</v>
      </c>
      <c r="E174" s="451">
        <v>11828542</v>
      </c>
      <c r="F174" s="451">
        <f>SUM(F175:F182,F186:F196)</f>
        <v>11864368</v>
      </c>
      <c r="G174" s="33">
        <f t="shared" si="22"/>
        <v>35826</v>
      </c>
      <c r="H174" s="463"/>
      <c r="I174" s="33">
        <f>SUM(I175:I182,I186:I196)</f>
        <v>1130854.3699999999</v>
      </c>
      <c r="J174" s="577">
        <f t="shared" si="23"/>
        <v>9.5315179873045067E-2</v>
      </c>
      <c r="K174" s="33"/>
    </row>
    <row r="175" spans="2:11" ht="45.75" customHeight="1" x14ac:dyDescent="0.25">
      <c r="B175" s="71" t="s">
        <v>348</v>
      </c>
      <c r="C175" s="96" t="s">
        <v>749</v>
      </c>
      <c r="D175" s="317" t="s">
        <v>832</v>
      </c>
      <c r="E175" s="450">
        <v>209419</v>
      </c>
      <c r="F175" s="450">
        <f>ROUND(E175,0)+3000+3000</f>
        <v>215419</v>
      </c>
      <c r="G175" s="151">
        <f t="shared" si="22"/>
        <v>6000</v>
      </c>
      <c r="H175" s="511" t="s">
        <v>1391</v>
      </c>
      <c r="I175" s="349">
        <v>30106.97</v>
      </c>
      <c r="J175" s="541">
        <f t="shared" si="23"/>
        <v>0.13976004902074562</v>
      </c>
      <c r="K175" s="1080"/>
    </row>
    <row r="176" spans="2:11" ht="45" customHeight="1" x14ac:dyDescent="0.25">
      <c r="B176" s="71" t="s">
        <v>415</v>
      </c>
      <c r="C176" s="96" t="s">
        <v>750</v>
      </c>
      <c r="D176" s="999" t="s">
        <v>471</v>
      </c>
      <c r="E176" s="450">
        <v>191255</v>
      </c>
      <c r="F176" s="450">
        <f t="shared" ref="F176:F181" si="28">ROUND(E176,0)</f>
        <v>191255</v>
      </c>
      <c r="G176" s="55">
        <f t="shared" si="22"/>
        <v>0</v>
      </c>
      <c r="H176" s="512"/>
      <c r="I176" s="349">
        <v>0</v>
      </c>
      <c r="J176" s="541">
        <f t="shared" si="23"/>
        <v>0</v>
      </c>
      <c r="K176" s="21"/>
    </row>
    <row r="177" spans="2:11" ht="39" customHeight="1" x14ac:dyDescent="0.25">
      <c r="B177" s="71" t="s">
        <v>659</v>
      </c>
      <c r="C177" s="96" t="s">
        <v>751</v>
      </c>
      <c r="D177" s="1003" t="s">
        <v>660</v>
      </c>
      <c r="E177" s="1031">
        <v>193242</v>
      </c>
      <c r="F177" s="1031">
        <f t="shared" si="28"/>
        <v>193242</v>
      </c>
      <c r="G177" s="55">
        <f t="shared" si="22"/>
        <v>0</v>
      </c>
      <c r="H177" s="513"/>
      <c r="I177" s="349">
        <v>0</v>
      </c>
      <c r="J177" s="554">
        <f t="shared" si="23"/>
        <v>0</v>
      </c>
      <c r="K177" s="349"/>
    </row>
    <row r="178" spans="2:11" ht="28.9" customHeight="1" x14ac:dyDescent="0.25">
      <c r="B178" s="71"/>
      <c r="C178" s="866" t="s">
        <v>752</v>
      </c>
      <c r="D178" s="1002" t="s">
        <v>1180</v>
      </c>
      <c r="E178" s="1023">
        <v>888703</v>
      </c>
      <c r="F178" s="1031">
        <f t="shared" si="28"/>
        <v>888703</v>
      </c>
      <c r="G178" s="55">
        <f>F178-E178</f>
        <v>0</v>
      </c>
      <c r="H178" s="865"/>
      <c r="I178" s="856"/>
      <c r="J178" s="857">
        <f t="shared" si="23"/>
        <v>0</v>
      </c>
      <c r="K178" s="856"/>
    </row>
    <row r="179" spans="2:11" ht="30" customHeight="1" x14ac:dyDescent="0.25">
      <c r="B179" s="71"/>
      <c r="C179" s="866"/>
      <c r="D179" s="867" t="s">
        <v>1100</v>
      </c>
      <c r="E179" s="1023">
        <v>575345</v>
      </c>
      <c r="F179" s="1031">
        <f t="shared" si="28"/>
        <v>575345</v>
      </c>
      <c r="G179" s="55">
        <f>F179-E179</f>
        <v>0</v>
      </c>
      <c r="H179" s="865"/>
      <c r="I179" s="856">
        <v>63589</v>
      </c>
      <c r="J179" s="857">
        <f t="shared" si="23"/>
        <v>0.11052325126663133</v>
      </c>
      <c r="K179" s="856"/>
    </row>
    <row r="180" spans="2:11" ht="30" customHeight="1" x14ac:dyDescent="0.25">
      <c r="B180" s="71" t="s">
        <v>1382</v>
      </c>
      <c r="C180" s="866"/>
      <c r="D180" s="1002" t="s">
        <v>1273</v>
      </c>
      <c r="E180" s="1023">
        <v>268729</v>
      </c>
      <c r="F180" s="1031">
        <f t="shared" si="28"/>
        <v>268729</v>
      </c>
      <c r="G180" s="55">
        <f>F180-E180</f>
        <v>0</v>
      </c>
      <c r="H180" s="865"/>
      <c r="I180" s="856"/>
      <c r="J180" s="857">
        <f t="shared" si="23"/>
        <v>0</v>
      </c>
      <c r="K180" s="856"/>
    </row>
    <row r="181" spans="2:11" ht="17.25" customHeight="1" x14ac:dyDescent="0.25">
      <c r="B181" s="71" t="s">
        <v>1383</v>
      </c>
      <c r="C181" s="866"/>
      <c r="D181" s="1002" t="s">
        <v>1274</v>
      </c>
      <c r="E181" s="1023">
        <v>613434</v>
      </c>
      <c r="F181" s="1031">
        <f t="shared" si="28"/>
        <v>613434</v>
      </c>
      <c r="G181" s="55">
        <f>F181-E181</f>
        <v>0</v>
      </c>
      <c r="H181" s="865"/>
      <c r="I181" s="856">
        <v>50904.7</v>
      </c>
      <c r="J181" s="857">
        <f t="shared" si="23"/>
        <v>8.2983173413928801E-2</v>
      </c>
      <c r="K181" s="856"/>
    </row>
    <row r="182" spans="2:11" ht="32.25" customHeight="1" x14ac:dyDescent="0.25">
      <c r="B182" s="71" t="s">
        <v>297</v>
      </c>
      <c r="C182" s="96" t="s">
        <v>752</v>
      </c>
      <c r="D182" s="317" t="s">
        <v>353</v>
      </c>
      <c r="E182" s="1032">
        <v>6348646</v>
      </c>
      <c r="F182" s="1032">
        <f>SUM(F183:F185)</f>
        <v>6378472</v>
      </c>
      <c r="G182" s="66">
        <f t="shared" si="22"/>
        <v>29826</v>
      </c>
      <c r="H182" s="457"/>
      <c r="I182" s="600">
        <f>SUM(I183:I185)</f>
        <v>920701.7</v>
      </c>
      <c r="J182" s="550">
        <f t="shared" si="23"/>
        <v>0.14434518173004443</v>
      </c>
      <c r="K182" s="1081"/>
    </row>
    <row r="183" spans="2:11" s="330" customFormat="1" ht="30" customHeight="1" x14ac:dyDescent="0.25">
      <c r="B183" s="343"/>
      <c r="C183" s="181" t="s">
        <v>824</v>
      </c>
      <c r="D183" s="329" t="s">
        <v>510</v>
      </c>
      <c r="E183" s="1033">
        <v>5630271</v>
      </c>
      <c r="F183" s="1033">
        <f>ROUND(E183,0)+9936</f>
        <v>5640207</v>
      </c>
      <c r="G183" s="1051">
        <f t="shared" si="22"/>
        <v>9936</v>
      </c>
      <c r="H183" s="514" t="s">
        <v>1390</v>
      </c>
      <c r="I183" s="599">
        <v>849528</v>
      </c>
      <c r="J183" s="552">
        <f t="shared" si="23"/>
        <v>0.15062000384028459</v>
      </c>
      <c r="K183" s="1082" t="s">
        <v>519</v>
      </c>
    </row>
    <row r="184" spans="2:11" s="330" customFormat="1" ht="17.25" customHeight="1" x14ac:dyDescent="0.25">
      <c r="B184" s="343" t="s">
        <v>1375</v>
      </c>
      <c r="C184" s="181" t="s">
        <v>825</v>
      </c>
      <c r="D184" s="329" t="s">
        <v>511</v>
      </c>
      <c r="E184" s="897">
        <v>484720</v>
      </c>
      <c r="F184" s="897">
        <f>ROUND(E184,0)</f>
        <v>484720</v>
      </c>
      <c r="G184" s="1052">
        <f t="shared" si="22"/>
        <v>0</v>
      </c>
      <c r="H184" s="514"/>
      <c r="I184" s="599">
        <f>18391+1452</f>
        <v>19843</v>
      </c>
      <c r="J184" s="552">
        <f t="shared" si="23"/>
        <v>4.0937035814490839E-2</v>
      </c>
      <c r="K184" s="1082" t="s">
        <v>519</v>
      </c>
    </row>
    <row r="185" spans="2:11" s="330" customFormat="1" ht="75" customHeight="1" x14ac:dyDescent="0.25">
      <c r="B185" s="343" t="s">
        <v>1377</v>
      </c>
      <c r="C185" s="181" t="s">
        <v>826</v>
      </c>
      <c r="D185" s="329" t="s">
        <v>512</v>
      </c>
      <c r="E185" s="897">
        <v>233655</v>
      </c>
      <c r="F185" s="897">
        <f>ROUND(E185,0)+29826-9936</f>
        <v>253545</v>
      </c>
      <c r="G185" s="1052">
        <f t="shared" si="22"/>
        <v>19890</v>
      </c>
      <c r="H185" s="514" t="s">
        <v>1389</v>
      </c>
      <c r="I185" s="599">
        <f>54947.7-3617</f>
        <v>51330.7</v>
      </c>
      <c r="J185" s="552">
        <f t="shared" si="23"/>
        <v>0.20245203021159952</v>
      </c>
      <c r="K185" s="1082" t="s">
        <v>519</v>
      </c>
    </row>
    <row r="186" spans="2:11" ht="27.6" customHeight="1" x14ac:dyDescent="0.25">
      <c r="B186" s="71" t="s">
        <v>297</v>
      </c>
      <c r="C186" s="147" t="s">
        <v>827</v>
      </c>
      <c r="D186" s="317" t="s">
        <v>823</v>
      </c>
      <c r="E186" s="450">
        <v>516833</v>
      </c>
      <c r="F186" s="450">
        <f>ROUND(E186,0)</f>
        <v>516833</v>
      </c>
      <c r="G186" s="66">
        <f t="shared" si="22"/>
        <v>0</v>
      </c>
      <c r="H186" s="509"/>
      <c r="I186" s="349">
        <v>2832</v>
      </c>
      <c r="J186" s="541">
        <f t="shared" si="23"/>
        <v>5.4795262686399672E-3</v>
      </c>
      <c r="K186" s="107" t="s">
        <v>519</v>
      </c>
    </row>
    <row r="187" spans="2:11" ht="28.15" customHeight="1" x14ac:dyDescent="0.25">
      <c r="B187" s="71" t="s">
        <v>297</v>
      </c>
      <c r="C187" s="147" t="s">
        <v>753</v>
      </c>
      <c r="D187" s="317" t="s">
        <v>828</v>
      </c>
      <c r="E187" s="448">
        <v>0</v>
      </c>
      <c r="F187" s="450">
        <f>ROUND(E187,0)</f>
        <v>0</v>
      </c>
      <c r="G187" s="66">
        <f t="shared" si="22"/>
        <v>0</v>
      </c>
      <c r="H187" s="509"/>
      <c r="I187" s="349"/>
      <c r="J187" s="553" t="e">
        <f t="shared" si="23"/>
        <v>#DIV/0!</v>
      </c>
      <c r="K187" s="107" t="s">
        <v>519</v>
      </c>
    </row>
    <row r="188" spans="2:11" ht="50.25" customHeight="1" x14ac:dyDescent="0.25">
      <c r="B188" s="71" t="s">
        <v>297</v>
      </c>
      <c r="C188" s="147" t="s">
        <v>754</v>
      </c>
      <c r="D188" s="317" t="s">
        <v>829</v>
      </c>
      <c r="E188" s="1031">
        <v>1925648</v>
      </c>
      <c r="F188" s="1031">
        <f>ROUND(E188,0)</f>
        <v>1925648</v>
      </c>
      <c r="G188" s="66">
        <f>F188-E188</f>
        <v>0</v>
      </c>
      <c r="H188" s="509"/>
      <c r="I188" s="610">
        <v>62720</v>
      </c>
      <c r="J188" s="554">
        <f t="shared" si="23"/>
        <v>3.2570854070941312E-2</v>
      </c>
      <c r="K188" s="107" t="s">
        <v>519</v>
      </c>
    </row>
    <row r="189" spans="2:11" ht="50.25" customHeight="1" x14ac:dyDescent="0.25">
      <c r="B189" s="71" t="s">
        <v>297</v>
      </c>
      <c r="C189" s="147" t="s">
        <v>1272</v>
      </c>
      <c r="D189" s="317" t="s">
        <v>1381</v>
      </c>
      <c r="E189" s="1031">
        <v>97288</v>
      </c>
      <c r="F189" s="1031">
        <f>ROUND(E189,0)</f>
        <v>97288</v>
      </c>
      <c r="G189" s="66">
        <f t="shared" si="22"/>
        <v>0</v>
      </c>
      <c r="H189" s="509"/>
      <c r="I189" s="610"/>
      <c r="J189" s="554">
        <f t="shared" si="23"/>
        <v>0</v>
      </c>
      <c r="K189" s="107" t="s">
        <v>519</v>
      </c>
    </row>
    <row r="190" spans="2:11" ht="18.600000000000001" hidden="1" customHeight="1" outlineLevel="1" x14ac:dyDescent="0.25">
      <c r="B190" s="71" t="s">
        <v>297</v>
      </c>
      <c r="C190" s="147" t="s">
        <v>755</v>
      </c>
      <c r="D190" s="323" t="s">
        <v>605</v>
      </c>
      <c r="E190" s="448"/>
      <c r="F190" s="450"/>
      <c r="G190" s="66"/>
      <c r="H190" s="510"/>
      <c r="I190" s="601"/>
      <c r="J190" s="553" t="e">
        <f t="shared" si="23"/>
        <v>#DIV/0!</v>
      </c>
      <c r="K190" s="107" t="s">
        <v>521</v>
      </c>
    </row>
    <row r="191" spans="2:11" ht="43.5" hidden="1" customHeight="1" outlineLevel="1" x14ac:dyDescent="0.25">
      <c r="B191" s="71" t="s">
        <v>297</v>
      </c>
      <c r="C191" s="147" t="s">
        <v>756</v>
      </c>
      <c r="D191" s="323" t="s">
        <v>509</v>
      </c>
      <c r="E191" s="448"/>
      <c r="F191" s="450"/>
      <c r="G191" s="66"/>
      <c r="H191" s="510"/>
      <c r="I191" s="601"/>
      <c r="J191" s="553" t="e">
        <f t="shared" si="23"/>
        <v>#DIV/0!</v>
      </c>
      <c r="K191" s="107" t="s">
        <v>521</v>
      </c>
    </row>
    <row r="192" spans="2:11" ht="25.9" hidden="1" customHeight="1" outlineLevel="1" x14ac:dyDescent="0.25">
      <c r="B192" s="71" t="s">
        <v>297</v>
      </c>
      <c r="C192" s="147" t="s">
        <v>757</v>
      </c>
      <c r="D192" s="323" t="s">
        <v>617</v>
      </c>
      <c r="E192" s="448"/>
      <c r="F192" s="450"/>
      <c r="G192" s="66"/>
      <c r="H192" s="510"/>
      <c r="I192" s="601"/>
      <c r="J192" s="553" t="e">
        <f t="shared" si="23"/>
        <v>#DIV/0!</v>
      </c>
      <c r="K192" s="107" t="s">
        <v>521</v>
      </c>
    </row>
    <row r="193" spans="2:13" ht="45.6" hidden="1" customHeight="1" outlineLevel="1" x14ac:dyDescent="0.25">
      <c r="B193" s="71" t="s">
        <v>297</v>
      </c>
      <c r="C193" s="147" t="s">
        <v>758</v>
      </c>
      <c r="D193" s="323" t="s">
        <v>628</v>
      </c>
      <c r="E193" s="448"/>
      <c r="F193" s="450"/>
      <c r="G193" s="66"/>
      <c r="H193" s="510"/>
      <c r="I193" s="601"/>
      <c r="J193" s="553" t="e">
        <f t="shared" si="23"/>
        <v>#DIV/0!</v>
      </c>
      <c r="K193" s="107" t="s">
        <v>521</v>
      </c>
    </row>
    <row r="194" spans="2:13" ht="18.600000000000001" hidden="1" customHeight="1" outlineLevel="1" x14ac:dyDescent="0.25">
      <c r="B194" s="71" t="s">
        <v>576</v>
      </c>
      <c r="C194" s="147" t="s">
        <v>759</v>
      </c>
      <c r="D194" s="323" t="s">
        <v>508</v>
      </c>
      <c r="E194" s="448"/>
      <c r="F194" s="450"/>
      <c r="G194" s="66"/>
      <c r="H194" s="510"/>
      <c r="I194" s="601"/>
      <c r="J194" s="553" t="e">
        <f t="shared" si="23"/>
        <v>#DIV/0!</v>
      </c>
      <c r="K194" s="107" t="s">
        <v>521</v>
      </c>
    </row>
    <row r="195" spans="2:13" ht="29.45" hidden="1" customHeight="1" outlineLevel="1" x14ac:dyDescent="0.25">
      <c r="B195" s="71"/>
      <c r="C195" s="147" t="s">
        <v>760</v>
      </c>
      <c r="D195" s="323" t="s">
        <v>652</v>
      </c>
      <c r="E195" s="448">
        <v>0</v>
      </c>
      <c r="F195" s="450"/>
      <c r="G195" s="66"/>
      <c r="H195" s="510"/>
      <c r="I195" s="601"/>
      <c r="J195" s="553" t="e">
        <f t="shared" si="23"/>
        <v>#DIV/0!</v>
      </c>
      <c r="K195" s="107" t="s">
        <v>520</v>
      </c>
    </row>
    <row r="196" spans="2:13" ht="29.45" hidden="1" customHeight="1" outlineLevel="1" x14ac:dyDescent="0.25">
      <c r="B196" s="71" t="s">
        <v>414</v>
      </c>
      <c r="C196" s="147" t="s">
        <v>761</v>
      </c>
      <c r="D196" s="323" t="s">
        <v>653</v>
      </c>
      <c r="E196" s="450">
        <v>0</v>
      </c>
      <c r="F196" s="450"/>
      <c r="G196" s="66"/>
      <c r="H196" s="496"/>
      <c r="I196" s="601"/>
      <c r="J196" s="541" t="e">
        <f t="shared" si="23"/>
        <v>#DIV/0!</v>
      </c>
      <c r="K196" s="1083" t="s">
        <v>521</v>
      </c>
    </row>
    <row r="197" spans="2:13" collapsed="1" x14ac:dyDescent="0.25">
      <c r="C197" s="95" t="s">
        <v>41</v>
      </c>
      <c r="D197" s="316" t="s">
        <v>168</v>
      </c>
      <c r="E197" s="22">
        <v>2992843</v>
      </c>
      <c r="F197" s="447">
        <f>SUM(F198,F203:F207)+F210+F211</f>
        <v>3010993</v>
      </c>
      <c r="G197" s="22">
        <f t="shared" si="22"/>
        <v>18150</v>
      </c>
      <c r="H197" s="22"/>
      <c r="I197" s="356">
        <f>SUM(I198,I203:I207)+I210+I211</f>
        <v>438701.25</v>
      </c>
      <c r="J197" s="564">
        <f t="shared" ref="J197:J260" si="29">I197/F197</f>
        <v>0.14569985715675859</v>
      </c>
      <c r="K197" s="356"/>
    </row>
    <row r="198" spans="2:13" ht="23.25" customHeight="1" x14ac:dyDescent="0.25">
      <c r="C198" s="94" t="s">
        <v>44</v>
      </c>
      <c r="D198" s="307" t="s">
        <v>302</v>
      </c>
      <c r="E198" s="48">
        <v>1635359</v>
      </c>
      <c r="F198" s="48">
        <f>SUM(F199:F202)</f>
        <v>1635359</v>
      </c>
      <c r="G198" s="48">
        <f t="shared" si="22"/>
        <v>0</v>
      </c>
      <c r="H198" s="48">
        <f>SUM(H199:H202)</f>
        <v>0</v>
      </c>
      <c r="I198" s="355">
        <f>SUM(I199:I202)</f>
        <v>158692.59999999998</v>
      </c>
      <c r="J198" s="551">
        <f t="shared" si="29"/>
        <v>9.7038387289885564E-2</v>
      </c>
      <c r="K198" s="1078"/>
      <c r="M198" s="587">
        <f>F198/F310</f>
        <v>1.981614292748381E-2</v>
      </c>
    </row>
    <row r="199" spans="2:13" ht="15.6" customHeight="1" x14ac:dyDescent="0.25">
      <c r="B199" s="71" t="s">
        <v>381</v>
      </c>
      <c r="C199" s="96" t="s">
        <v>47</v>
      </c>
      <c r="D199" s="305" t="s">
        <v>354</v>
      </c>
      <c r="E199" s="450">
        <v>815272</v>
      </c>
      <c r="F199" s="450">
        <f t="shared" ref="F199:F206" si="30">ROUND(E199,0)</f>
        <v>815272</v>
      </c>
      <c r="G199" s="66">
        <f t="shared" si="22"/>
        <v>0</v>
      </c>
      <c r="H199" s="509"/>
      <c r="I199" s="349">
        <v>67521.78</v>
      </c>
      <c r="J199" s="541">
        <f t="shared" si="29"/>
        <v>8.2821168885966884E-2</v>
      </c>
      <c r="K199" s="349" t="s">
        <v>522</v>
      </c>
    </row>
    <row r="200" spans="2:13" ht="14.25" customHeight="1" x14ac:dyDescent="0.25">
      <c r="B200" s="71" t="s">
        <v>375</v>
      </c>
      <c r="C200" s="96" t="s">
        <v>50</v>
      </c>
      <c r="D200" s="305" t="s">
        <v>317</v>
      </c>
      <c r="E200" s="450">
        <v>566368</v>
      </c>
      <c r="F200" s="450">
        <f t="shared" si="30"/>
        <v>566368</v>
      </c>
      <c r="G200" s="66">
        <f t="shared" si="22"/>
        <v>0</v>
      </c>
      <c r="H200" s="509"/>
      <c r="I200" s="349">
        <v>49324.52</v>
      </c>
      <c r="J200" s="541">
        <f t="shared" si="29"/>
        <v>8.7089171704616081E-2</v>
      </c>
      <c r="K200" s="349" t="s">
        <v>523</v>
      </c>
    </row>
    <row r="201" spans="2:13" ht="25.9" customHeight="1" x14ac:dyDescent="0.25">
      <c r="B201" s="71" t="s">
        <v>1263</v>
      </c>
      <c r="C201" s="96" t="s">
        <v>52</v>
      </c>
      <c r="D201" s="305" t="s">
        <v>502</v>
      </c>
      <c r="E201" s="450">
        <v>207547</v>
      </c>
      <c r="F201" s="450">
        <f t="shared" si="30"/>
        <v>207547</v>
      </c>
      <c r="G201" s="66">
        <f t="shared" si="22"/>
        <v>0</v>
      </c>
      <c r="H201" s="496"/>
      <c r="I201" s="349">
        <f>30846.84+5287</f>
        <v>36133.839999999997</v>
      </c>
      <c r="J201" s="541">
        <f t="shared" si="29"/>
        <v>0.17409955335418001</v>
      </c>
      <c r="K201" s="349"/>
      <c r="M201" s="613">
        <f>AVERAGE(J200:J202)</f>
        <v>0.12830334267098917</v>
      </c>
    </row>
    <row r="202" spans="2:13" ht="13.9" customHeight="1" x14ac:dyDescent="0.25">
      <c r="B202" s="71" t="s">
        <v>525</v>
      </c>
      <c r="C202" s="96" t="s">
        <v>762</v>
      </c>
      <c r="D202" s="305" t="s">
        <v>579</v>
      </c>
      <c r="E202" s="1034">
        <v>46172</v>
      </c>
      <c r="F202" s="1034">
        <f t="shared" si="30"/>
        <v>46172</v>
      </c>
      <c r="G202" s="21">
        <f t="shared" si="22"/>
        <v>0</v>
      </c>
      <c r="H202" s="515"/>
      <c r="I202" s="349">
        <v>5712.46</v>
      </c>
      <c r="J202" s="598">
        <f t="shared" si="29"/>
        <v>0.12372130295417136</v>
      </c>
      <c r="K202" s="349"/>
    </row>
    <row r="203" spans="2:13" ht="29.45" hidden="1" customHeight="1" outlineLevel="1" x14ac:dyDescent="0.25">
      <c r="B203" s="71" t="s">
        <v>416</v>
      </c>
      <c r="C203" s="148" t="s">
        <v>54</v>
      </c>
      <c r="D203" s="410" t="s">
        <v>318</v>
      </c>
      <c r="E203" s="48"/>
      <c r="F203" s="48">
        <f t="shared" si="30"/>
        <v>0</v>
      </c>
      <c r="G203" s="27">
        <f t="shared" si="22"/>
        <v>0</v>
      </c>
      <c r="H203" s="516" t="s">
        <v>634</v>
      </c>
      <c r="I203" s="355"/>
      <c r="J203" s="551" t="e">
        <f t="shared" si="29"/>
        <v>#DIV/0!</v>
      </c>
      <c r="K203" s="355" t="s">
        <v>520</v>
      </c>
    </row>
    <row r="204" spans="2:13" ht="27" hidden="1" customHeight="1" outlineLevel="1" x14ac:dyDescent="0.25">
      <c r="B204" s="71" t="s">
        <v>417</v>
      </c>
      <c r="C204" s="148" t="s">
        <v>170</v>
      </c>
      <c r="D204" s="410" t="s">
        <v>319</v>
      </c>
      <c r="E204" s="48"/>
      <c r="F204" s="48">
        <f t="shared" si="30"/>
        <v>0</v>
      </c>
      <c r="G204" s="27">
        <f t="shared" si="22"/>
        <v>0</v>
      </c>
      <c r="H204" s="486"/>
      <c r="I204" s="355"/>
      <c r="J204" s="551" t="e">
        <f t="shared" si="29"/>
        <v>#DIV/0!</v>
      </c>
      <c r="K204" s="355"/>
    </row>
    <row r="205" spans="2:13" ht="15" customHeight="1" collapsed="1" x14ac:dyDescent="0.25">
      <c r="B205" s="71" t="s">
        <v>220</v>
      </c>
      <c r="C205" s="94" t="s">
        <v>54</v>
      </c>
      <c r="D205" s="307" t="s">
        <v>355</v>
      </c>
      <c r="E205" s="48">
        <v>162922</v>
      </c>
      <c r="F205" s="48">
        <f t="shared" si="30"/>
        <v>162922</v>
      </c>
      <c r="G205" s="27">
        <f t="shared" si="22"/>
        <v>0</v>
      </c>
      <c r="H205" s="517"/>
      <c r="I205" s="355">
        <v>31710.639999999999</v>
      </c>
      <c r="J205" s="551">
        <f t="shared" si="29"/>
        <v>0.19463694283153901</v>
      </c>
      <c r="K205" s="355"/>
    </row>
    <row r="206" spans="2:13" ht="15.6" customHeight="1" x14ac:dyDescent="0.25">
      <c r="B206" s="71" t="s">
        <v>346</v>
      </c>
      <c r="C206" s="94" t="s">
        <v>170</v>
      </c>
      <c r="D206" s="307" t="s">
        <v>356</v>
      </c>
      <c r="E206" s="452">
        <v>77820</v>
      </c>
      <c r="F206" s="452">
        <f t="shared" si="30"/>
        <v>77820</v>
      </c>
      <c r="G206" s="1053">
        <f t="shared" ref="G206:G274" si="31">F206-E206</f>
        <v>0</v>
      </c>
      <c r="H206" s="518"/>
      <c r="I206" s="355">
        <v>14140.14</v>
      </c>
      <c r="J206" s="578">
        <f t="shared" si="29"/>
        <v>0.18170316114109483</v>
      </c>
      <c r="K206" s="355"/>
    </row>
    <row r="207" spans="2:13" ht="15" customHeight="1" x14ac:dyDescent="0.25">
      <c r="B207" s="71" t="s">
        <v>219</v>
      </c>
      <c r="C207" s="94" t="s">
        <v>172</v>
      </c>
      <c r="D207" s="307" t="s">
        <v>171</v>
      </c>
      <c r="E207" s="48">
        <v>1091514</v>
      </c>
      <c r="F207" s="48">
        <f t="shared" ref="F207" si="32">F208+F209</f>
        <v>1109664</v>
      </c>
      <c r="G207" s="27">
        <f t="shared" si="31"/>
        <v>18150</v>
      </c>
      <c r="H207" s="486"/>
      <c r="I207" s="355">
        <f>SUM(I208:I209)</f>
        <v>230979.36</v>
      </c>
      <c r="J207" s="551">
        <f t="shared" si="29"/>
        <v>0.20815252184445021</v>
      </c>
      <c r="K207" s="355"/>
      <c r="L207" s="596">
        <f>124488/F207</f>
        <v>0.11218531014793667</v>
      </c>
    </row>
    <row r="208" spans="2:13" ht="16.5" customHeight="1" x14ac:dyDescent="0.25">
      <c r="B208" s="71"/>
      <c r="C208" s="328" t="s">
        <v>856</v>
      </c>
      <c r="D208" s="344" t="s">
        <v>633</v>
      </c>
      <c r="E208" s="1035">
        <v>757264</v>
      </c>
      <c r="F208" s="1035">
        <f>ROUND(E208,0)+18150</f>
        <v>775414</v>
      </c>
      <c r="G208" s="1062">
        <f t="shared" si="31"/>
        <v>18150</v>
      </c>
      <c r="H208" s="1084" t="s">
        <v>1395</v>
      </c>
      <c r="I208" s="1063">
        <v>179024.36</v>
      </c>
      <c r="J208" s="573">
        <f t="shared" si="29"/>
        <v>0.23087584180837589</v>
      </c>
      <c r="K208" s="349" t="s">
        <v>650</v>
      </c>
    </row>
    <row r="209" spans="2:22" ht="16.5" customHeight="1" x14ac:dyDescent="0.25">
      <c r="B209" s="71"/>
      <c r="C209" s="328" t="s">
        <v>857</v>
      </c>
      <c r="D209" s="344" t="s">
        <v>631</v>
      </c>
      <c r="E209" s="1035">
        <v>334250</v>
      </c>
      <c r="F209" s="1035">
        <f>ROUND(E209,0)</f>
        <v>334250</v>
      </c>
      <c r="G209" s="1054">
        <f t="shared" si="31"/>
        <v>0</v>
      </c>
      <c r="H209" s="525"/>
      <c r="I209" s="601">
        <v>51955</v>
      </c>
      <c r="J209" s="573">
        <f t="shared" si="29"/>
        <v>0.15543754674644727</v>
      </c>
      <c r="K209" s="349"/>
    </row>
    <row r="210" spans="2:22" ht="15.6" customHeight="1" x14ac:dyDescent="0.25">
      <c r="B210" s="71" t="s">
        <v>221</v>
      </c>
      <c r="C210" s="94" t="s">
        <v>174</v>
      </c>
      <c r="D210" s="307" t="s">
        <v>173</v>
      </c>
      <c r="E210" s="48">
        <v>6000</v>
      </c>
      <c r="F210" s="48">
        <f>ROUND(E210,0)</f>
        <v>6000</v>
      </c>
      <c r="G210" s="27">
        <f t="shared" si="31"/>
        <v>0</v>
      </c>
      <c r="H210" s="459"/>
      <c r="I210" s="355">
        <v>3000</v>
      </c>
      <c r="J210" s="551">
        <f t="shared" si="29"/>
        <v>0.5</v>
      </c>
      <c r="K210" s="355"/>
    </row>
    <row r="211" spans="2:22" ht="15.6" customHeight="1" x14ac:dyDescent="0.25">
      <c r="B211" s="71" t="s">
        <v>503</v>
      </c>
      <c r="C211" s="94" t="s">
        <v>242</v>
      </c>
      <c r="D211" s="307" t="s">
        <v>245</v>
      </c>
      <c r="E211" s="48">
        <v>19228</v>
      </c>
      <c r="F211" s="48">
        <f>ROUND(E211,0)</f>
        <v>19228</v>
      </c>
      <c r="G211" s="27">
        <f t="shared" si="31"/>
        <v>0</v>
      </c>
      <c r="H211" s="459"/>
      <c r="I211" s="355">
        <v>178.51</v>
      </c>
      <c r="J211" s="551">
        <f t="shared" si="29"/>
        <v>9.2838568753900556E-3</v>
      </c>
      <c r="K211" s="355"/>
    </row>
    <row r="212" spans="2:22" s="14" customFormat="1" ht="15.6" customHeight="1" x14ac:dyDescent="0.2">
      <c r="C212" s="95" t="s">
        <v>68</v>
      </c>
      <c r="D212" s="316" t="s">
        <v>175</v>
      </c>
      <c r="E212" s="22">
        <v>3909733</v>
      </c>
      <c r="F212" s="22">
        <f>F213+F219+F222+F227+F228+F229+F230+F231</f>
        <v>3909733</v>
      </c>
      <c r="G212" s="22">
        <f t="shared" si="31"/>
        <v>0</v>
      </c>
      <c r="H212" s="22"/>
      <c r="I212" s="356">
        <f>I213+I219+I222+I227+I228+I229+I230+I231</f>
        <v>743598.68</v>
      </c>
      <c r="J212" s="564">
        <f t="shared" si="29"/>
        <v>0.19019167805064952</v>
      </c>
      <c r="K212" s="356"/>
    </row>
    <row r="213" spans="2:22" s="14" customFormat="1" ht="15" customHeight="1" x14ac:dyDescent="0.25">
      <c r="C213" s="94" t="s">
        <v>71</v>
      </c>
      <c r="D213" s="307" t="s">
        <v>176</v>
      </c>
      <c r="E213" s="27">
        <v>3179724</v>
      </c>
      <c r="F213" s="27">
        <f>SUM(F214:F218)</f>
        <v>3179724</v>
      </c>
      <c r="G213" s="27">
        <f t="shared" si="31"/>
        <v>0</v>
      </c>
      <c r="H213" s="27"/>
      <c r="I213" s="355">
        <f>SUM(I214:I218)</f>
        <v>651850.04</v>
      </c>
      <c r="J213" s="551">
        <f t="shared" si="29"/>
        <v>0.20500208194170313</v>
      </c>
      <c r="K213" s="355"/>
    </row>
    <row r="214" spans="2:22" s="43" customFormat="1" ht="18" customHeight="1" outlineLevel="1" x14ac:dyDescent="0.25">
      <c r="B214" s="43" t="s">
        <v>842</v>
      </c>
      <c r="C214" s="328" t="s">
        <v>231</v>
      </c>
      <c r="D214" s="306" t="s">
        <v>357</v>
      </c>
      <c r="E214" s="49">
        <v>685615</v>
      </c>
      <c r="F214" s="49">
        <f>ROUND(E214,0)</f>
        <v>685615</v>
      </c>
      <c r="G214" s="44">
        <f t="shared" si="31"/>
        <v>0</v>
      </c>
      <c r="H214" s="485"/>
      <c r="I214" s="348">
        <f>542689-I215</f>
        <v>132874</v>
      </c>
      <c r="J214" s="579">
        <f t="shared" si="29"/>
        <v>0.19380264434121192</v>
      </c>
      <c r="K214" s="348"/>
      <c r="L214" s="1016"/>
      <c r="M214" s="1016"/>
      <c r="N214" s="1016"/>
      <c r="O214" s="1016"/>
      <c r="P214" s="1016"/>
      <c r="Q214" s="1016"/>
      <c r="R214" s="1016"/>
      <c r="S214" s="1016"/>
      <c r="T214" s="1016"/>
      <c r="U214" s="1016"/>
      <c r="V214" s="1016"/>
    </row>
    <row r="215" spans="2:22" s="43" customFormat="1" ht="15.6" customHeight="1" outlineLevel="1" x14ac:dyDescent="0.25">
      <c r="B215" s="456" t="s">
        <v>840</v>
      </c>
      <c r="C215" s="328" t="s">
        <v>233</v>
      </c>
      <c r="D215" s="306" t="s">
        <v>230</v>
      </c>
      <c r="E215" s="49">
        <v>1850342</v>
      </c>
      <c r="F215" s="49">
        <f t="shared" ref="F215:F257" si="33">ROUND(E215,0)</f>
        <v>1850342</v>
      </c>
      <c r="G215" s="1054">
        <f t="shared" si="31"/>
        <v>0</v>
      </c>
      <c r="H215" s="460"/>
      <c r="I215" s="348">
        <f>404624+4440+751</f>
        <v>409815</v>
      </c>
      <c r="J215" s="579">
        <f t="shared" si="29"/>
        <v>0.22148067762608209</v>
      </c>
      <c r="K215" s="348"/>
      <c r="L215" s="1016"/>
      <c r="M215" s="1016"/>
      <c r="N215" s="1016"/>
      <c r="O215" s="1016"/>
      <c r="P215" s="1016"/>
      <c r="Q215" s="1016"/>
      <c r="R215" s="1016"/>
      <c r="S215" s="1016"/>
      <c r="T215" s="1016"/>
      <c r="U215" s="1016"/>
      <c r="V215" s="1016"/>
    </row>
    <row r="216" spans="2:22" s="43" customFormat="1" ht="17.45" customHeight="1" outlineLevel="1" x14ac:dyDescent="0.25">
      <c r="B216" s="43">
        <v>1010</v>
      </c>
      <c r="C216" s="328" t="s">
        <v>304</v>
      </c>
      <c r="D216" s="314" t="s">
        <v>228</v>
      </c>
      <c r="E216" s="49">
        <v>0</v>
      </c>
      <c r="F216" s="49">
        <f t="shared" si="33"/>
        <v>0</v>
      </c>
      <c r="G216" s="106">
        <f t="shared" si="31"/>
        <v>0</v>
      </c>
      <c r="H216" s="520"/>
      <c r="I216" s="349">
        <v>0</v>
      </c>
      <c r="J216" s="579" t="e">
        <f t="shared" si="29"/>
        <v>#DIV/0!</v>
      </c>
      <c r="K216" s="348"/>
      <c r="L216" s="1016"/>
      <c r="M216" s="1016"/>
      <c r="N216" s="1016"/>
      <c r="O216" s="1016"/>
      <c r="P216" s="1016"/>
      <c r="Q216" s="1016"/>
      <c r="R216" s="1016"/>
      <c r="S216" s="1016"/>
      <c r="T216" s="1016"/>
      <c r="U216" s="1016"/>
      <c r="V216" s="1016"/>
    </row>
    <row r="217" spans="2:22" s="43" customFormat="1" outlineLevel="1" x14ac:dyDescent="0.25">
      <c r="B217" s="43">
        <v>1012</v>
      </c>
      <c r="C217" s="328" t="s">
        <v>624</v>
      </c>
      <c r="D217" s="306" t="s">
        <v>232</v>
      </c>
      <c r="E217" s="49">
        <v>642000</v>
      </c>
      <c r="F217" s="49">
        <f t="shared" si="33"/>
        <v>642000</v>
      </c>
      <c r="G217" s="44">
        <f t="shared" si="31"/>
        <v>0</v>
      </c>
      <c r="H217" s="519"/>
      <c r="I217" s="348">
        <v>108767.03999999999</v>
      </c>
      <c r="J217" s="579">
        <f t="shared" si="29"/>
        <v>0.16941906542056073</v>
      </c>
      <c r="K217" s="348"/>
      <c r="L217" s="1016"/>
      <c r="M217" s="1016"/>
      <c r="N217" s="1016"/>
      <c r="O217" s="1016"/>
      <c r="P217" s="1016"/>
      <c r="Q217" s="1016"/>
      <c r="R217" s="1016"/>
      <c r="S217" s="1016"/>
      <c r="T217" s="1016"/>
      <c r="U217" s="1016"/>
      <c r="V217" s="1016"/>
    </row>
    <row r="218" spans="2:22" s="43" customFormat="1" outlineLevel="1" x14ac:dyDescent="0.25">
      <c r="C218" s="328" t="s">
        <v>763</v>
      </c>
      <c r="D218" s="354" t="s">
        <v>656</v>
      </c>
      <c r="E218" s="1036">
        <v>1767</v>
      </c>
      <c r="F218" s="1036">
        <f t="shared" si="33"/>
        <v>1767</v>
      </c>
      <c r="G218" s="44">
        <f t="shared" si="31"/>
        <v>0</v>
      </c>
      <c r="H218" s="521"/>
      <c r="I218" s="601">
        <v>394</v>
      </c>
      <c r="J218" s="579">
        <f t="shared" si="29"/>
        <v>0.22297679683078664</v>
      </c>
      <c r="K218" s="348"/>
      <c r="L218" s="1016"/>
      <c r="M218" s="1016"/>
      <c r="N218" s="1016"/>
      <c r="O218" s="1016"/>
      <c r="P218" s="1016"/>
      <c r="Q218" s="1016"/>
      <c r="R218" s="1016"/>
      <c r="S218" s="1016"/>
      <c r="T218" s="1016"/>
      <c r="U218" s="1016"/>
      <c r="V218" s="1016"/>
    </row>
    <row r="219" spans="2:22" s="14" customFormat="1" ht="19.5" customHeight="1" x14ac:dyDescent="0.25">
      <c r="C219" s="94" t="s">
        <v>73</v>
      </c>
      <c r="D219" s="307" t="s">
        <v>177</v>
      </c>
      <c r="E219" s="48">
        <v>6869</v>
      </c>
      <c r="F219" s="48">
        <f>F220+F221</f>
        <v>6869</v>
      </c>
      <c r="G219" s="27">
        <f t="shared" si="31"/>
        <v>0</v>
      </c>
      <c r="H219" s="486"/>
      <c r="I219" s="355">
        <f>I220+I221</f>
        <v>0</v>
      </c>
      <c r="J219" s="551">
        <f t="shared" si="29"/>
        <v>0</v>
      </c>
      <c r="K219" s="355"/>
    </row>
    <row r="220" spans="2:22" s="43" customFormat="1" outlineLevel="1" x14ac:dyDescent="0.25">
      <c r="B220" s="43">
        <v>1011</v>
      </c>
      <c r="C220" s="97" t="s">
        <v>439</v>
      </c>
      <c r="D220" s="306" t="s">
        <v>234</v>
      </c>
      <c r="E220" s="49">
        <v>1000</v>
      </c>
      <c r="F220" s="49">
        <f t="shared" si="33"/>
        <v>1000</v>
      </c>
      <c r="G220" s="44">
        <f t="shared" si="31"/>
        <v>0</v>
      </c>
      <c r="H220" s="519"/>
      <c r="I220" s="348">
        <v>0</v>
      </c>
      <c r="J220" s="579">
        <f t="shared" si="29"/>
        <v>0</v>
      </c>
      <c r="K220" s="348"/>
      <c r="L220" s="1016"/>
      <c r="M220" s="1016"/>
      <c r="N220" s="1016"/>
      <c r="O220" s="1016"/>
      <c r="P220" s="1016"/>
      <c r="Q220" s="1016"/>
      <c r="R220" s="1016"/>
      <c r="S220" s="1016"/>
      <c r="T220" s="1016"/>
      <c r="U220" s="1016"/>
      <c r="V220" s="1016"/>
    </row>
    <row r="221" spans="2:22" s="43" customFormat="1" outlineLevel="1" x14ac:dyDescent="0.25">
      <c r="B221" s="43">
        <v>1011</v>
      </c>
      <c r="C221" s="97" t="s">
        <v>440</v>
      </c>
      <c r="D221" s="306" t="s">
        <v>235</v>
      </c>
      <c r="E221" s="49">
        <v>5869</v>
      </c>
      <c r="F221" s="49">
        <f t="shared" si="33"/>
        <v>5869</v>
      </c>
      <c r="G221" s="44">
        <f t="shared" si="31"/>
        <v>0</v>
      </c>
      <c r="H221" s="519"/>
      <c r="I221" s="348">
        <v>0</v>
      </c>
      <c r="J221" s="579">
        <f t="shared" si="29"/>
        <v>0</v>
      </c>
      <c r="K221" s="348"/>
      <c r="L221" s="1016"/>
      <c r="M221" s="1016"/>
      <c r="N221" s="1016"/>
      <c r="O221" s="1016"/>
      <c r="P221" s="1016"/>
      <c r="Q221" s="1016"/>
      <c r="R221" s="1016"/>
      <c r="S221" s="1016"/>
      <c r="T221" s="1016"/>
      <c r="U221" s="1016"/>
      <c r="V221" s="1016"/>
    </row>
    <row r="222" spans="2:22" s="14" customFormat="1" ht="26.25" customHeight="1" x14ac:dyDescent="0.25">
      <c r="C222" s="94" t="s">
        <v>178</v>
      </c>
      <c r="D222" s="307" t="s">
        <v>254</v>
      </c>
      <c r="E222" s="1019">
        <v>454885</v>
      </c>
      <c r="F222" s="1019">
        <f t="shared" ref="F222" si="34">SUM(F223:F226)</f>
        <v>454885</v>
      </c>
      <c r="G222" s="64">
        <f t="shared" si="31"/>
        <v>0</v>
      </c>
      <c r="H222" s="459"/>
      <c r="I222" s="360">
        <f>SUM(I223:I226)</f>
        <v>59153.5</v>
      </c>
      <c r="J222" s="570">
        <f t="shared" si="29"/>
        <v>0.13004055970190267</v>
      </c>
      <c r="K222" s="360"/>
    </row>
    <row r="223" spans="2:22" s="14" customFormat="1" ht="15" customHeight="1" x14ac:dyDescent="0.25">
      <c r="B223" s="12" t="s">
        <v>504</v>
      </c>
      <c r="C223" s="98" t="s">
        <v>764</v>
      </c>
      <c r="D223" s="315" t="s">
        <v>484</v>
      </c>
      <c r="E223" s="449">
        <v>443236</v>
      </c>
      <c r="F223" s="449">
        <f t="shared" si="33"/>
        <v>443236</v>
      </c>
      <c r="G223" s="55">
        <f t="shared" si="31"/>
        <v>0</v>
      </c>
      <c r="H223" s="482"/>
      <c r="I223" s="349">
        <v>55369.5</v>
      </c>
      <c r="J223" s="566">
        <f t="shared" si="29"/>
        <v>0.12492103529496701</v>
      </c>
      <c r="K223" s="349"/>
    </row>
    <row r="224" spans="2:22" s="14" customFormat="1" ht="15" customHeight="1" x14ac:dyDescent="0.25">
      <c r="B224" s="12" t="s">
        <v>504</v>
      </c>
      <c r="C224" s="98" t="s">
        <v>765</v>
      </c>
      <c r="D224" s="315" t="s">
        <v>655</v>
      </c>
      <c r="E224" s="1031">
        <v>11649</v>
      </c>
      <c r="F224" s="1031">
        <f t="shared" si="33"/>
        <v>11649</v>
      </c>
      <c r="G224" s="55">
        <f t="shared" si="31"/>
        <v>0</v>
      </c>
      <c r="H224" s="522"/>
      <c r="I224" s="601">
        <v>3784</v>
      </c>
      <c r="J224" s="554">
        <f t="shared" si="29"/>
        <v>0.32483474976392823</v>
      </c>
      <c r="K224" s="349"/>
    </row>
    <row r="225" spans="2:13" s="14" customFormat="1" ht="15.75" customHeight="1" x14ac:dyDescent="0.25">
      <c r="B225" s="12" t="s">
        <v>504</v>
      </c>
      <c r="C225" s="149" t="s">
        <v>766</v>
      </c>
      <c r="D225" s="315" t="s">
        <v>487</v>
      </c>
      <c r="E225" s="449">
        <v>0</v>
      </c>
      <c r="F225" s="449">
        <f t="shared" si="33"/>
        <v>0</v>
      </c>
      <c r="G225" s="55">
        <f t="shared" si="31"/>
        <v>0</v>
      </c>
      <c r="H225" s="482"/>
      <c r="I225" s="349">
        <v>0</v>
      </c>
      <c r="J225" s="566" t="e">
        <f t="shared" si="29"/>
        <v>#DIV/0!</v>
      </c>
      <c r="K225" s="349"/>
    </row>
    <row r="226" spans="2:13" s="14" customFormat="1" ht="15.6" customHeight="1" x14ac:dyDescent="0.25">
      <c r="B226" s="12" t="s">
        <v>376</v>
      </c>
      <c r="C226" s="98" t="s">
        <v>767</v>
      </c>
      <c r="D226" s="315" t="s">
        <v>485</v>
      </c>
      <c r="E226" s="449">
        <v>0</v>
      </c>
      <c r="F226" s="449">
        <f t="shared" si="33"/>
        <v>0</v>
      </c>
      <c r="G226" s="55">
        <f t="shared" si="31"/>
        <v>0</v>
      </c>
      <c r="H226" s="482"/>
      <c r="I226" s="349">
        <v>0</v>
      </c>
      <c r="J226" s="566" t="e">
        <f t="shared" si="29"/>
        <v>#DIV/0!</v>
      </c>
      <c r="K226" s="349"/>
    </row>
    <row r="227" spans="2:13" s="14" customFormat="1" ht="16.149999999999999" customHeight="1" x14ac:dyDescent="0.25">
      <c r="C227" s="94" t="s">
        <v>257</v>
      </c>
      <c r="D227" s="307" t="s">
        <v>179</v>
      </c>
      <c r="E227" s="48">
        <v>167400</v>
      </c>
      <c r="F227" s="48">
        <f t="shared" si="33"/>
        <v>167400</v>
      </c>
      <c r="G227" s="27">
        <f t="shared" si="31"/>
        <v>0</v>
      </c>
      <c r="H227" s="459"/>
      <c r="I227" s="355">
        <v>24134.41</v>
      </c>
      <c r="J227" s="551">
        <f t="shared" si="29"/>
        <v>0.1441721027479092</v>
      </c>
      <c r="K227" s="355"/>
    </row>
    <row r="228" spans="2:13" s="14" customFormat="1" ht="16.5" customHeight="1" x14ac:dyDescent="0.25">
      <c r="B228" s="12">
        <v>1016</v>
      </c>
      <c r="C228" s="142" t="s">
        <v>343</v>
      </c>
      <c r="D228" s="312" t="s">
        <v>430</v>
      </c>
      <c r="E228" s="1037">
        <v>53636</v>
      </c>
      <c r="F228" s="1037">
        <f t="shared" si="33"/>
        <v>53636</v>
      </c>
      <c r="G228" s="108">
        <f t="shared" si="31"/>
        <v>0</v>
      </c>
      <c r="H228" s="523"/>
      <c r="I228" s="355">
        <v>8095.73</v>
      </c>
      <c r="J228" s="580">
        <f t="shared" si="29"/>
        <v>0.15093836229398164</v>
      </c>
      <c r="K228" s="355"/>
    </row>
    <row r="229" spans="2:13" s="14" customFormat="1" ht="18.75" hidden="1" customHeight="1" outlineLevel="1" x14ac:dyDescent="0.25">
      <c r="B229" s="12">
        <v>1017</v>
      </c>
      <c r="C229" s="94" t="s">
        <v>370</v>
      </c>
      <c r="D229" s="411" t="s">
        <v>466</v>
      </c>
      <c r="E229" s="1037">
        <v>0</v>
      </c>
      <c r="F229" s="1037">
        <f t="shared" si="33"/>
        <v>0</v>
      </c>
      <c r="G229" s="108">
        <f t="shared" si="31"/>
        <v>0</v>
      </c>
      <c r="H229" s="523"/>
      <c r="I229" s="355">
        <v>0</v>
      </c>
      <c r="J229" s="580" t="e">
        <f t="shared" si="29"/>
        <v>#DIV/0!</v>
      </c>
      <c r="K229" s="355"/>
    </row>
    <row r="230" spans="2:13" s="14" customFormat="1" ht="45" customHeight="1" collapsed="1" x14ac:dyDescent="0.25">
      <c r="B230" s="12">
        <v>1018</v>
      </c>
      <c r="C230" s="94" t="s">
        <v>370</v>
      </c>
      <c r="D230" s="595" t="s">
        <v>582</v>
      </c>
      <c r="E230" s="1038">
        <v>0</v>
      </c>
      <c r="F230" s="1038">
        <f t="shared" si="33"/>
        <v>0</v>
      </c>
      <c r="G230" s="108">
        <f t="shared" si="31"/>
        <v>0</v>
      </c>
      <c r="H230" s="507"/>
      <c r="I230" s="355">
        <v>0</v>
      </c>
      <c r="J230" s="576" t="e">
        <f t="shared" si="29"/>
        <v>#DIV/0!</v>
      </c>
      <c r="K230" s="355" t="s">
        <v>520</v>
      </c>
    </row>
    <row r="231" spans="2:13" ht="43.5" customHeight="1" x14ac:dyDescent="0.25">
      <c r="B231" s="12" t="s">
        <v>382</v>
      </c>
      <c r="C231" s="94" t="s">
        <v>371</v>
      </c>
      <c r="D231" s="313" t="s">
        <v>244</v>
      </c>
      <c r="E231" s="1037">
        <v>47219</v>
      </c>
      <c r="F231" s="1037">
        <f t="shared" si="33"/>
        <v>47219</v>
      </c>
      <c r="G231" s="108">
        <f t="shared" si="31"/>
        <v>0</v>
      </c>
      <c r="H231" s="523"/>
      <c r="I231" s="355">
        <v>365</v>
      </c>
      <c r="J231" s="576">
        <f t="shared" si="29"/>
        <v>7.7299392193820281E-3</v>
      </c>
      <c r="K231" s="537"/>
    </row>
    <row r="232" spans="2:13" x14ac:dyDescent="0.25">
      <c r="C232" s="95" t="s">
        <v>76</v>
      </c>
      <c r="D232" s="316" t="s">
        <v>180</v>
      </c>
      <c r="E232" s="22">
        <v>36616746</v>
      </c>
      <c r="F232" s="22">
        <f t="shared" ref="F232" si="35">F233+F234+F239+F244+F249+F254+F258+F270+F290+F293+F296+F297+F298+F299+F300+F301+F302+F303+F304</f>
        <v>36670320</v>
      </c>
      <c r="G232" s="22">
        <f t="shared" si="31"/>
        <v>53574</v>
      </c>
      <c r="H232" s="22"/>
      <c r="I232" s="356">
        <f>I233+I234+I239+I244+I249+I254+I258+I270+I290+I293+I296+I297+I298+I299+I300+I301+I302+I303+I304</f>
        <v>5842663.2200000007</v>
      </c>
      <c r="J232" s="564">
        <f t="shared" si="29"/>
        <v>0.15932948553489582</v>
      </c>
      <c r="K232" s="356"/>
      <c r="L232" s="587"/>
      <c r="M232" s="596"/>
    </row>
    <row r="233" spans="2:13" ht="27.6" customHeight="1" x14ac:dyDescent="0.25">
      <c r="B233" s="35" t="s">
        <v>843</v>
      </c>
      <c r="C233" s="94" t="s">
        <v>78</v>
      </c>
      <c r="D233" s="320" t="s">
        <v>181</v>
      </c>
      <c r="E233" s="48">
        <v>800000</v>
      </c>
      <c r="F233" s="48">
        <f t="shared" si="33"/>
        <v>800000</v>
      </c>
      <c r="G233" s="27">
        <f t="shared" si="31"/>
        <v>0</v>
      </c>
      <c r="H233" s="486"/>
      <c r="I233" s="355">
        <v>26226.55</v>
      </c>
      <c r="J233" s="551">
        <f t="shared" si="29"/>
        <v>3.2783187499999998E-2</v>
      </c>
      <c r="K233" s="355" t="s">
        <v>668</v>
      </c>
    </row>
    <row r="234" spans="2:13" ht="17.45" customHeight="1" x14ac:dyDescent="0.25">
      <c r="C234" s="94" t="s">
        <v>80</v>
      </c>
      <c r="D234" s="320" t="s">
        <v>182</v>
      </c>
      <c r="E234" s="48">
        <v>2528122</v>
      </c>
      <c r="F234" s="48">
        <f t="shared" ref="F234" si="36">SUM(F235:F238)</f>
        <v>2527822</v>
      </c>
      <c r="G234" s="27">
        <f t="shared" si="31"/>
        <v>-300</v>
      </c>
      <c r="H234" s="459"/>
      <c r="I234" s="355">
        <f>SUM(I235:I238)</f>
        <v>377867.81</v>
      </c>
      <c r="J234" s="551">
        <f t="shared" si="29"/>
        <v>0.14948355145259437</v>
      </c>
      <c r="K234" s="355"/>
    </row>
    <row r="235" spans="2:13" ht="25.15" customHeight="1" x14ac:dyDescent="0.25">
      <c r="B235" s="71" t="s">
        <v>274</v>
      </c>
      <c r="C235" s="96" t="s">
        <v>183</v>
      </c>
      <c r="D235" s="303" t="s">
        <v>241</v>
      </c>
      <c r="E235" s="454">
        <v>386470</v>
      </c>
      <c r="F235" s="454">
        <f t="shared" si="33"/>
        <v>386470</v>
      </c>
      <c r="G235" s="23">
        <f t="shared" si="31"/>
        <v>0</v>
      </c>
      <c r="H235" s="460"/>
      <c r="I235" s="555">
        <v>63131.77</v>
      </c>
      <c r="J235" s="581">
        <f t="shared" si="29"/>
        <v>0.16335490464977875</v>
      </c>
      <c r="K235" s="555"/>
    </row>
    <row r="236" spans="2:13" ht="32.25" customHeight="1" x14ac:dyDescent="0.25">
      <c r="B236" s="71" t="s">
        <v>222</v>
      </c>
      <c r="C236" s="96" t="s">
        <v>185</v>
      </c>
      <c r="D236" s="303" t="s">
        <v>186</v>
      </c>
      <c r="E236" s="454">
        <v>1691795</v>
      </c>
      <c r="F236" s="454">
        <f>ROUND(E236,0)-300</f>
        <v>1691495</v>
      </c>
      <c r="G236" s="23">
        <f t="shared" si="31"/>
        <v>-300</v>
      </c>
      <c r="H236" s="1060" t="s">
        <v>1392</v>
      </c>
      <c r="I236" s="555">
        <v>247362.03999999998</v>
      </c>
      <c r="J236" s="581">
        <f t="shared" si="29"/>
        <v>0.14623870599676617</v>
      </c>
      <c r="K236" s="555" t="s">
        <v>524</v>
      </c>
      <c r="M236" s="557"/>
    </row>
    <row r="237" spans="2:13" ht="44.25" customHeight="1" x14ac:dyDescent="0.25">
      <c r="B237" s="854" t="s">
        <v>468</v>
      </c>
      <c r="C237" s="96" t="s">
        <v>768</v>
      </c>
      <c r="D237" s="620" t="s">
        <v>877</v>
      </c>
      <c r="E237" s="1039">
        <v>2857</v>
      </c>
      <c r="F237" s="454">
        <f>ROUND(E237,0)</f>
        <v>2857</v>
      </c>
      <c r="G237" s="23">
        <f>F237-E237</f>
        <v>0</v>
      </c>
      <c r="H237" s="622"/>
      <c r="I237" s="623"/>
      <c r="J237" s="581">
        <f t="shared" si="29"/>
        <v>0</v>
      </c>
      <c r="K237" s="623"/>
      <c r="M237" s="557"/>
    </row>
    <row r="238" spans="2:13" ht="17.25" customHeight="1" x14ac:dyDescent="0.25">
      <c r="B238" s="71"/>
      <c r="C238" s="96" t="s">
        <v>890</v>
      </c>
      <c r="D238" s="303" t="s">
        <v>501</v>
      </c>
      <c r="E238" s="1040">
        <v>447000</v>
      </c>
      <c r="F238" s="1040">
        <f>ROUND(E238,0)</f>
        <v>447000</v>
      </c>
      <c r="G238" s="23">
        <f t="shared" si="31"/>
        <v>0</v>
      </c>
      <c r="H238" s="525"/>
      <c r="I238" s="601">
        <v>67374</v>
      </c>
      <c r="J238" s="581">
        <f t="shared" si="29"/>
        <v>0.1507248322147651</v>
      </c>
      <c r="K238" s="555"/>
    </row>
    <row r="239" spans="2:13" ht="18" customHeight="1" x14ac:dyDescent="0.25">
      <c r="C239" s="94" t="s">
        <v>81</v>
      </c>
      <c r="D239" s="320" t="s">
        <v>187</v>
      </c>
      <c r="E239" s="48">
        <v>1472568</v>
      </c>
      <c r="F239" s="48">
        <f t="shared" ref="F239:H239" si="37">F240+F241+F242+F243</f>
        <v>1472568</v>
      </c>
      <c r="G239" s="27">
        <f t="shared" si="37"/>
        <v>0</v>
      </c>
      <c r="H239" s="459">
        <f t="shared" si="37"/>
        <v>0</v>
      </c>
      <c r="I239" s="355">
        <f>I240+I241+I242+I243</f>
        <v>219135.16</v>
      </c>
      <c r="J239" s="551">
        <f t="shared" si="29"/>
        <v>0.1488115727083571</v>
      </c>
      <c r="K239" s="355"/>
    </row>
    <row r="240" spans="2:13" ht="25.9" customHeight="1" x14ac:dyDescent="0.25">
      <c r="B240" s="71" t="s">
        <v>275</v>
      </c>
      <c r="C240" s="96" t="s">
        <v>188</v>
      </c>
      <c r="D240" s="303" t="s">
        <v>241</v>
      </c>
      <c r="E240" s="341">
        <v>167072</v>
      </c>
      <c r="F240" s="341">
        <f t="shared" si="33"/>
        <v>167072</v>
      </c>
      <c r="G240" s="21">
        <f t="shared" si="31"/>
        <v>0</v>
      </c>
      <c r="H240" s="460"/>
      <c r="I240" s="349">
        <v>27078.94</v>
      </c>
      <c r="J240" s="539">
        <f t="shared" si="29"/>
        <v>0.16207946274660026</v>
      </c>
      <c r="K240" s="349"/>
    </row>
    <row r="241" spans="2:13" ht="13.5" customHeight="1" x14ac:dyDescent="0.25">
      <c r="B241" s="71" t="s">
        <v>421</v>
      </c>
      <c r="C241" s="96" t="s">
        <v>189</v>
      </c>
      <c r="D241" s="303" t="s">
        <v>186</v>
      </c>
      <c r="E241" s="341">
        <v>1068814</v>
      </c>
      <c r="F241" s="341">
        <f t="shared" si="33"/>
        <v>1068814</v>
      </c>
      <c r="G241" s="21">
        <f t="shared" si="31"/>
        <v>0</v>
      </c>
      <c r="H241" s="460"/>
      <c r="I241" s="349">
        <v>153197.22</v>
      </c>
      <c r="J241" s="539">
        <f t="shared" si="29"/>
        <v>0.14333384480367958</v>
      </c>
      <c r="K241" s="349" t="s">
        <v>524</v>
      </c>
      <c r="M241" s="557"/>
    </row>
    <row r="242" spans="2:13" ht="45" customHeight="1" x14ac:dyDescent="0.25">
      <c r="B242" s="71" t="s">
        <v>891</v>
      </c>
      <c r="C242" s="96" t="s">
        <v>372</v>
      </c>
      <c r="D242" s="620" t="s">
        <v>877</v>
      </c>
      <c r="E242" s="1022">
        <v>1643</v>
      </c>
      <c r="F242" s="341">
        <f>ROUND(E242,0)</f>
        <v>1643</v>
      </c>
      <c r="G242" s="21">
        <f>F242-E242</f>
        <v>0</v>
      </c>
      <c r="H242" s="624"/>
      <c r="I242" s="349"/>
      <c r="J242" s="539">
        <f t="shared" si="29"/>
        <v>0</v>
      </c>
      <c r="K242" s="616"/>
      <c r="M242" s="557"/>
    </row>
    <row r="243" spans="2:13" ht="16.899999999999999" customHeight="1" x14ac:dyDescent="0.25">
      <c r="B243" s="71"/>
      <c r="C243" s="96" t="s">
        <v>892</v>
      </c>
      <c r="D243" s="303" t="s">
        <v>501</v>
      </c>
      <c r="E243" s="453">
        <v>235039</v>
      </c>
      <c r="F243" s="453">
        <f t="shared" si="33"/>
        <v>235039</v>
      </c>
      <c r="G243" s="21">
        <f t="shared" si="31"/>
        <v>0</v>
      </c>
      <c r="H243" s="458"/>
      <c r="I243" s="601">
        <v>38859</v>
      </c>
      <c r="J243" s="539">
        <f t="shared" si="29"/>
        <v>0.16533000906232584</v>
      </c>
      <c r="K243" s="349"/>
    </row>
    <row r="244" spans="2:13" ht="27.6" customHeight="1" x14ac:dyDescent="0.25">
      <c r="C244" s="94" t="s">
        <v>190</v>
      </c>
      <c r="D244" s="320" t="s">
        <v>299</v>
      </c>
      <c r="E244" s="48">
        <v>1764581</v>
      </c>
      <c r="F244" s="48">
        <f t="shared" ref="F244:H244" si="38">F245+F246+F247+F248</f>
        <v>1764581</v>
      </c>
      <c r="G244" s="27">
        <f t="shared" si="38"/>
        <v>0</v>
      </c>
      <c r="H244" s="459">
        <f t="shared" si="38"/>
        <v>0</v>
      </c>
      <c r="I244" s="355">
        <f>I245+I246+I247+I248</f>
        <v>271899.54000000004</v>
      </c>
      <c r="J244" s="551">
        <f t="shared" si="29"/>
        <v>0.15408731024532171</v>
      </c>
      <c r="K244" s="355"/>
    </row>
    <row r="245" spans="2:13" ht="13.5" customHeight="1" x14ac:dyDescent="0.25">
      <c r="B245" s="12" t="s">
        <v>331</v>
      </c>
      <c r="C245" s="96" t="s">
        <v>769</v>
      </c>
      <c r="D245" s="303" t="s">
        <v>241</v>
      </c>
      <c r="E245" s="341">
        <v>201671</v>
      </c>
      <c r="F245" s="341">
        <f t="shared" si="33"/>
        <v>201671</v>
      </c>
      <c r="G245" s="21">
        <f t="shared" si="31"/>
        <v>0</v>
      </c>
      <c r="H245" s="460"/>
      <c r="I245" s="349">
        <v>25008.57</v>
      </c>
      <c r="J245" s="539">
        <f t="shared" si="29"/>
        <v>0.1240067734081747</v>
      </c>
      <c r="K245" s="349"/>
    </row>
    <row r="246" spans="2:13" ht="15.6" customHeight="1" x14ac:dyDescent="0.25">
      <c r="B246" s="12" t="s">
        <v>332</v>
      </c>
      <c r="C246" s="96" t="s">
        <v>770</v>
      </c>
      <c r="D246" s="303" t="s">
        <v>186</v>
      </c>
      <c r="E246" s="341">
        <v>1322431</v>
      </c>
      <c r="F246" s="341">
        <f t="shared" si="33"/>
        <v>1322431</v>
      </c>
      <c r="G246" s="21">
        <f t="shared" si="31"/>
        <v>0</v>
      </c>
      <c r="H246" s="524"/>
      <c r="I246" s="349">
        <v>191782.97</v>
      </c>
      <c r="J246" s="539">
        <f t="shared" si="29"/>
        <v>0.14502304468059204</v>
      </c>
      <c r="K246" s="349"/>
      <c r="M246" s="557"/>
    </row>
    <row r="247" spans="2:13" ht="44.25" customHeight="1" x14ac:dyDescent="0.25">
      <c r="B247" s="12" t="s">
        <v>888</v>
      </c>
      <c r="C247" s="619" t="s">
        <v>771</v>
      </c>
      <c r="D247" s="620" t="s">
        <v>877</v>
      </c>
      <c r="E247" s="1022">
        <v>2219</v>
      </c>
      <c r="F247" s="341">
        <f>ROUND(E247,0)</f>
        <v>2219</v>
      </c>
      <c r="G247" s="21">
        <f>F247-E247</f>
        <v>0</v>
      </c>
      <c r="H247" s="622"/>
      <c r="I247" s="616">
        <v>300</v>
      </c>
      <c r="J247" s="539">
        <f t="shared" si="29"/>
        <v>0.13519603424966201</v>
      </c>
      <c r="K247" s="616"/>
      <c r="M247" s="557"/>
    </row>
    <row r="248" spans="2:13" ht="17.45" customHeight="1" x14ac:dyDescent="0.25">
      <c r="C248" s="96" t="s">
        <v>889</v>
      </c>
      <c r="D248" s="303" t="s">
        <v>501</v>
      </c>
      <c r="E248" s="448">
        <v>238260</v>
      </c>
      <c r="F248" s="341">
        <f t="shared" si="33"/>
        <v>238260</v>
      </c>
      <c r="G248" s="21">
        <f t="shared" si="31"/>
        <v>0</v>
      </c>
      <c r="H248" s="525"/>
      <c r="I248" s="601">
        <v>54808</v>
      </c>
      <c r="J248" s="553">
        <f t="shared" si="29"/>
        <v>0.23003441618400067</v>
      </c>
      <c r="K248" s="349"/>
    </row>
    <row r="249" spans="2:13" x14ac:dyDescent="0.25">
      <c r="B249" s="12" t="s">
        <v>333</v>
      </c>
      <c r="C249" s="94" t="s">
        <v>193</v>
      </c>
      <c r="D249" s="320" t="s">
        <v>303</v>
      </c>
      <c r="E249" s="48">
        <v>1597860</v>
      </c>
      <c r="F249" s="48">
        <f>SUM(F250:F253)</f>
        <v>1597860</v>
      </c>
      <c r="G249" s="27">
        <f t="shared" si="31"/>
        <v>0</v>
      </c>
      <c r="H249" s="459"/>
      <c r="I249" s="355">
        <f>SUM(I250:I253)</f>
        <v>247466.18</v>
      </c>
      <c r="J249" s="551">
        <f t="shared" si="29"/>
        <v>0.15487350581402626</v>
      </c>
      <c r="K249" s="355"/>
    </row>
    <row r="250" spans="2:13" s="36" customFormat="1" ht="26.45" customHeight="1" x14ac:dyDescent="0.25">
      <c r="B250" s="74" t="s">
        <v>334</v>
      </c>
      <c r="C250" s="96" t="s">
        <v>772</v>
      </c>
      <c r="D250" s="303" t="s">
        <v>241</v>
      </c>
      <c r="E250" s="341">
        <v>213378</v>
      </c>
      <c r="F250" s="341">
        <f t="shared" si="33"/>
        <v>213378</v>
      </c>
      <c r="G250" s="23">
        <f t="shared" si="31"/>
        <v>0</v>
      </c>
      <c r="H250" s="460"/>
      <c r="I250" s="349">
        <v>36027.839999999997</v>
      </c>
      <c r="J250" s="539">
        <f t="shared" si="29"/>
        <v>0.16884514804712761</v>
      </c>
      <c r="K250" s="349"/>
    </row>
    <row r="251" spans="2:13" s="36" customFormat="1" ht="15.6" customHeight="1" x14ac:dyDescent="0.25">
      <c r="C251" s="96" t="s">
        <v>773</v>
      </c>
      <c r="D251" s="303" t="s">
        <v>186</v>
      </c>
      <c r="E251" s="341">
        <v>1205664</v>
      </c>
      <c r="F251" s="341">
        <f t="shared" si="33"/>
        <v>1205664</v>
      </c>
      <c r="G251" s="1055">
        <f t="shared" si="31"/>
        <v>0</v>
      </c>
      <c r="H251" s="460"/>
      <c r="I251" s="349">
        <v>182288.34</v>
      </c>
      <c r="J251" s="539">
        <f t="shared" si="29"/>
        <v>0.15119331754120552</v>
      </c>
      <c r="K251" s="349"/>
      <c r="M251" s="593"/>
    </row>
    <row r="252" spans="2:13" s="36" customFormat="1" ht="43.5" customHeight="1" x14ac:dyDescent="0.25">
      <c r="B252" s="36" t="s">
        <v>893</v>
      </c>
      <c r="C252" s="96" t="s">
        <v>774</v>
      </c>
      <c r="D252" s="620" t="s">
        <v>877</v>
      </c>
      <c r="E252" s="1023">
        <v>2496</v>
      </c>
      <c r="F252" s="341">
        <f>ROUND(E252,0)</f>
        <v>2496</v>
      </c>
      <c r="G252" s="1055">
        <f>F252-E252</f>
        <v>0</v>
      </c>
      <c r="H252" s="855"/>
      <c r="I252" s="856">
        <v>290</v>
      </c>
      <c r="J252" s="857">
        <f t="shared" si="29"/>
        <v>0.11618589743589744</v>
      </c>
      <c r="K252" s="856"/>
      <c r="M252" s="593"/>
    </row>
    <row r="253" spans="2:13" s="36" customFormat="1" ht="13.9" customHeight="1" x14ac:dyDescent="0.25">
      <c r="C253" s="96" t="s">
        <v>1264</v>
      </c>
      <c r="D253" s="303" t="s">
        <v>501</v>
      </c>
      <c r="E253" s="448">
        <v>176322</v>
      </c>
      <c r="F253" s="341">
        <f t="shared" si="33"/>
        <v>176322</v>
      </c>
      <c r="G253" s="1055">
        <f t="shared" si="31"/>
        <v>0</v>
      </c>
      <c r="H253" s="465"/>
      <c r="I253" s="601">
        <v>28860</v>
      </c>
      <c r="J253" s="553">
        <f t="shared" si="29"/>
        <v>0.16367781672167966</v>
      </c>
      <c r="K253" s="349"/>
    </row>
    <row r="254" spans="2:13" x14ac:dyDescent="0.25">
      <c r="C254" s="94" t="s">
        <v>195</v>
      </c>
      <c r="D254" s="320" t="s">
        <v>191</v>
      </c>
      <c r="E254" s="48">
        <v>3367469</v>
      </c>
      <c r="F254" s="48">
        <f>F255+F256+F257</f>
        <v>3367469</v>
      </c>
      <c r="G254" s="27">
        <f t="shared" si="31"/>
        <v>0</v>
      </c>
      <c r="H254" s="459"/>
      <c r="I254" s="355">
        <f>I255+I256+I257</f>
        <v>792313.00000000012</v>
      </c>
      <c r="J254" s="551">
        <f t="shared" si="29"/>
        <v>0.2352844228113162</v>
      </c>
      <c r="K254" s="355"/>
    </row>
    <row r="255" spans="2:13" s="36" customFormat="1" ht="18.600000000000001" customHeight="1" x14ac:dyDescent="0.25">
      <c r="B255" s="74" t="s">
        <v>226</v>
      </c>
      <c r="C255" s="100" t="s">
        <v>775</v>
      </c>
      <c r="D255" s="334" t="s">
        <v>192</v>
      </c>
      <c r="E255" s="341">
        <v>700669</v>
      </c>
      <c r="F255" s="341">
        <f>ROUND(E255,0)</f>
        <v>700669</v>
      </c>
      <c r="G255" s="23">
        <f t="shared" si="31"/>
        <v>0</v>
      </c>
      <c r="H255" s="460"/>
      <c r="I255" s="349">
        <v>189645.31</v>
      </c>
      <c r="J255" s="539">
        <f t="shared" si="29"/>
        <v>0.27066319474673489</v>
      </c>
      <c r="K255" s="349"/>
    </row>
    <row r="256" spans="2:13" s="36" customFormat="1" ht="16.149999999999999" customHeight="1" x14ac:dyDescent="0.25">
      <c r="B256" s="74" t="s">
        <v>665</v>
      </c>
      <c r="C256" s="100" t="s">
        <v>776</v>
      </c>
      <c r="D256" s="334" t="s">
        <v>606</v>
      </c>
      <c r="E256" s="341">
        <v>2381500</v>
      </c>
      <c r="F256" s="341">
        <f t="shared" si="33"/>
        <v>2381500</v>
      </c>
      <c r="G256" s="23">
        <f t="shared" si="31"/>
        <v>0</v>
      </c>
      <c r="H256" s="461"/>
      <c r="I256" s="349">
        <v>535077.81000000006</v>
      </c>
      <c r="J256" s="539">
        <f t="shared" si="29"/>
        <v>0.22468100356917911</v>
      </c>
      <c r="K256" s="349"/>
    </row>
    <row r="257" spans="2:22" ht="14.45" customHeight="1" x14ac:dyDescent="0.25">
      <c r="B257" s="71" t="s">
        <v>666</v>
      </c>
      <c r="C257" s="96" t="s">
        <v>777</v>
      </c>
      <c r="D257" s="303" t="s">
        <v>270</v>
      </c>
      <c r="E257" s="341">
        <v>285300</v>
      </c>
      <c r="F257" s="341">
        <f t="shared" si="33"/>
        <v>285300</v>
      </c>
      <c r="G257" s="23">
        <f t="shared" si="31"/>
        <v>0</v>
      </c>
      <c r="H257" s="462"/>
      <c r="I257" s="349">
        <v>67589.88</v>
      </c>
      <c r="J257" s="582">
        <f t="shared" si="29"/>
        <v>0.23690809674027341</v>
      </c>
      <c r="K257" s="349"/>
    </row>
    <row r="258" spans="2:22" s="14" customFormat="1" ht="15.75" customHeight="1" x14ac:dyDescent="0.25">
      <c r="C258" s="94" t="s">
        <v>196</v>
      </c>
      <c r="D258" s="320" t="s">
        <v>667</v>
      </c>
      <c r="E258" s="451">
        <v>3231179</v>
      </c>
      <c r="F258" s="451">
        <f t="shared" ref="F258" si="39">F259+SUM(F263:F269)</f>
        <v>3231139</v>
      </c>
      <c r="G258" s="33">
        <f t="shared" si="31"/>
        <v>-40</v>
      </c>
      <c r="H258" s="463"/>
      <c r="I258" s="549">
        <f>I259+I263+I264+I265+I266+I268+I269</f>
        <v>533576.57000000007</v>
      </c>
      <c r="J258" s="577">
        <f t="shared" si="29"/>
        <v>0.16513575243900064</v>
      </c>
      <c r="K258" s="549"/>
    </row>
    <row r="259" spans="2:22" s="20" customFormat="1" ht="24.6" customHeight="1" x14ac:dyDescent="0.25">
      <c r="B259" s="73"/>
      <c r="C259" s="96" t="s">
        <v>778</v>
      </c>
      <c r="D259" s="303" t="s">
        <v>241</v>
      </c>
      <c r="E259" s="341">
        <v>1830248</v>
      </c>
      <c r="F259" s="341">
        <f>F260+F261+F262</f>
        <v>1830248</v>
      </c>
      <c r="G259" s="21">
        <f t="shared" si="31"/>
        <v>0</v>
      </c>
      <c r="H259" s="460"/>
      <c r="I259" s="349">
        <f>I260+I261+I262</f>
        <v>299649.14</v>
      </c>
      <c r="J259" s="539">
        <f t="shared" si="29"/>
        <v>0.16372051219288317</v>
      </c>
      <c r="K259" s="349"/>
      <c r="L259" s="12"/>
      <c r="M259" s="12"/>
      <c r="N259" s="12"/>
      <c r="O259" s="12"/>
      <c r="P259" s="12"/>
      <c r="Q259" s="12"/>
      <c r="R259" s="12"/>
      <c r="S259" s="12"/>
      <c r="T259" s="12"/>
      <c r="U259" s="12"/>
      <c r="V259" s="12"/>
    </row>
    <row r="260" spans="2:22" s="345" customFormat="1" ht="33.75" customHeight="1" x14ac:dyDescent="0.25">
      <c r="B260" s="346" t="s">
        <v>336</v>
      </c>
      <c r="C260" s="181" t="s">
        <v>779</v>
      </c>
      <c r="D260" s="329" t="s">
        <v>640</v>
      </c>
      <c r="E260" s="1041">
        <v>1692220</v>
      </c>
      <c r="F260" s="1041">
        <f>ROUND(E260,0)</f>
        <v>1692220</v>
      </c>
      <c r="G260" s="347">
        <f t="shared" si="31"/>
        <v>0</v>
      </c>
      <c r="H260" s="464"/>
      <c r="I260" s="347">
        <f>296037.81-I263</f>
        <v>278052.81</v>
      </c>
      <c r="J260" s="539">
        <f t="shared" si="29"/>
        <v>0.16431244755410052</v>
      </c>
      <c r="K260" s="347"/>
      <c r="L260" s="330"/>
      <c r="M260" s="330"/>
      <c r="N260" s="330"/>
      <c r="O260" s="330"/>
      <c r="P260" s="330"/>
      <c r="Q260" s="330"/>
      <c r="R260" s="330"/>
      <c r="S260" s="330"/>
      <c r="T260" s="330"/>
      <c r="U260" s="330"/>
      <c r="V260" s="330"/>
    </row>
    <row r="261" spans="2:22" s="345" customFormat="1" ht="29.45" customHeight="1" x14ac:dyDescent="0.25">
      <c r="B261" s="346" t="s">
        <v>644</v>
      </c>
      <c r="C261" s="181" t="s">
        <v>780</v>
      </c>
      <c r="D261" s="329" t="s">
        <v>641</v>
      </c>
      <c r="E261" s="1041">
        <v>137869</v>
      </c>
      <c r="F261" s="1041">
        <f>ROUND(E261,0)</f>
        <v>137869</v>
      </c>
      <c r="G261" s="347">
        <f t="shared" si="31"/>
        <v>0</v>
      </c>
      <c r="H261" s="464"/>
      <c r="I261" s="347">
        <v>21596.33</v>
      </c>
      <c r="J261" s="539">
        <f t="shared" ref="J261:J313" si="40">I261/F261</f>
        <v>0.15664384306842002</v>
      </c>
      <c r="K261" s="347"/>
      <c r="L261" s="330"/>
      <c r="M261" s="330"/>
      <c r="N261" s="330"/>
      <c r="O261" s="330"/>
      <c r="P261" s="330"/>
      <c r="Q261" s="330"/>
      <c r="R261" s="330"/>
      <c r="S261" s="330"/>
      <c r="T261" s="330"/>
      <c r="U261" s="330"/>
      <c r="V261" s="330"/>
    </row>
    <row r="262" spans="2:22" s="345" customFormat="1" ht="17.25" customHeight="1" x14ac:dyDescent="0.25">
      <c r="B262" s="346"/>
      <c r="C262" s="181" t="s">
        <v>781</v>
      </c>
      <c r="D262" s="329" t="s">
        <v>642</v>
      </c>
      <c r="E262" s="1041">
        <v>159</v>
      </c>
      <c r="F262" s="1041">
        <f t="shared" ref="F262:F269" si="41">ROUND(E262,0)</f>
        <v>159</v>
      </c>
      <c r="G262" s="347">
        <f t="shared" si="31"/>
        <v>0</v>
      </c>
      <c r="H262" s="464"/>
      <c r="I262" s="347">
        <v>0</v>
      </c>
      <c r="J262" s="583">
        <f t="shared" si="40"/>
        <v>0</v>
      </c>
      <c r="K262" s="347"/>
      <c r="L262" s="330"/>
      <c r="M262" s="330"/>
      <c r="N262" s="330"/>
      <c r="O262" s="330"/>
      <c r="P262" s="330"/>
      <c r="Q262" s="330"/>
      <c r="R262" s="330"/>
      <c r="S262" s="330"/>
      <c r="T262" s="330"/>
      <c r="U262" s="330"/>
      <c r="V262" s="330"/>
    </row>
    <row r="263" spans="2:22" s="20" customFormat="1" x14ac:dyDescent="0.25">
      <c r="B263" s="20" t="s">
        <v>336</v>
      </c>
      <c r="C263" s="96" t="s">
        <v>782</v>
      </c>
      <c r="D263" s="303" t="s">
        <v>271</v>
      </c>
      <c r="E263" s="1034">
        <v>104143</v>
      </c>
      <c r="F263" s="1034">
        <f t="shared" si="41"/>
        <v>104143</v>
      </c>
      <c r="G263" s="21">
        <f t="shared" si="31"/>
        <v>0</v>
      </c>
      <c r="H263" s="460"/>
      <c r="I263" s="349">
        <v>17985</v>
      </c>
      <c r="J263" s="539">
        <f t="shared" si="40"/>
        <v>0.17269523635770048</v>
      </c>
      <c r="K263" s="349"/>
      <c r="L263" s="12"/>
      <c r="M263" s="12"/>
      <c r="N263" s="12"/>
      <c r="O263" s="12"/>
      <c r="P263" s="12"/>
      <c r="Q263" s="12"/>
      <c r="R263" s="12"/>
      <c r="S263" s="12"/>
      <c r="T263" s="12"/>
      <c r="U263" s="12"/>
      <c r="V263" s="12"/>
    </row>
    <row r="264" spans="2:22" s="20" customFormat="1" ht="31.5" customHeight="1" x14ac:dyDescent="0.25">
      <c r="B264" s="73" t="s">
        <v>335</v>
      </c>
      <c r="C264" s="96" t="s">
        <v>783</v>
      </c>
      <c r="D264" s="303" t="s">
        <v>186</v>
      </c>
      <c r="E264" s="341">
        <v>867411</v>
      </c>
      <c r="F264" s="341">
        <f>ROUND(E264,0)</f>
        <v>867411</v>
      </c>
      <c r="G264" s="21">
        <f t="shared" si="31"/>
        <v>0</v>
      </c>
      <c r="H264" s="1060"/>
      <c r="I264" s="349">
        <v>122546.43</v>
      </c>
      <c r="J264" s="539">
        <f t="shared" si="40"/>
        <v>0.14127839052075658</v>
      </c>
      <c r="K264" s="349"/>
      <c r="L264" s="12"/>
      <c r="M264" s="557"/>
      <c r="N264" s="12"/>
      <c r="O264" s="12"/>
      <c r="P264" s="12"/>
      <c r="Q264" s="12"/>
      <c r="R264" s="12"/>
      <c r="S264" s="12"/>
      <c r="T264" s="12"/>
      <c r="U264" s="12"/>
      <c r="V264" s="12"/>
    </row>
    <row r="265" spans="2:22" s="20" customFormat="1" ht="16.899999999999999" customHeight="1" x14ac:dyDescent="0.25">
      <c r="B265" s="73"/>
      <c r="C265" s="161" t="s">
        <v>784</v>
      </c>
      <c r="D265" s="303" t="s">
        <v>501</v>
      </c>
      <c r="E265" s="448">
        <v>329532</v>
      </c>
      <c r="F265" s="341">
        <f>ROUND(E265,0)</f>
        <v>329532</v>
      </c>
      <c r="G265" s="21">
        <f t="shared" si="31"/>
        <v>0</v>
      </c>
      <c r="H265" s="525"/>
      <c r="I265" s="601">
        <v>73404</v>
      </c>
      <c r="J265" s="553">
        <f t="shared" si="40"/>
        <v>0.22275226685117075</v>
      </c>
      <c r="K265" s="349"/>
      <c r="L265" s="12"/>
      <c r="M265" s="12"/>
      <c r="N265" s="12"/>
      <c r="O265" s="12"/>
      <c r="P265" s="12"/>
      <c r="Q265" s="12"/>
      <c r="R265" s="12"/>
      <c r="S265" s="12"/>
      <c r="T265" s="12"/>
      <c r="U265" s="12"/>
      <c r="V265" s="12"/>
    </row>
    <row r="266" spans="2:22" s="20" customFormat="1" ht="16.899999999999999" customHeight="1" x14ac:dyDescent="0.25">
      <c r="B266" s="73" t="s">
        <v>337</v>
      </c>
      <c r="C266" s="96" t="s">
        <v>785</v>
      </c>
      <c r="D266" s="303" t="s">
        <v>266</v>
      </c>
      <c r="E266" s="341">
        <v>17776</v>
      </c>
      <c r="F266" s="341">
        <f>ROUND(E266,0)-40</f>
        <v>17736</v>
      </c>
      <c r="G266" s="21">
        <f t="shared" si="31"/>
        <v>-40</v>
      </c>
      <c r="H266" s="462" t="s">
        <v>517</v>
      </c>
      <c r="I266" s="349">
        <v>1135</v>
      </c>
      <c r="J266" s="539">
        <f t="shared" si="40"/>
        <v>6.3994136220117279E-2</v>
      </c>
      <c r="K266" s="349"/>
      <c r="L266" s="12"/>
      <c r="M266" s="12"/>
      <c r="N266" s="12"/>
      <c r="O266" s="12"/>
      <c r="P266" s="12"/>
      <c r="Q266" s="12"/>
      <c r="R266" s="12"/>
      <c r="S266" s="12"/>
      <c r="T266" s="12"/>
      <c r="U266" s="12"/>
      <c r="V266" s="12"/>
    </row>
    <row r="267" spans="2:22" s="20" customFormat="1" ht="49.5" customHeight="1" x14ac:dyDescent="0.25">
      <c r="B267" s="854" t="s">
        <v>887</v>
      </c>
      <c r="C267" s="96" t="s">
        <v>786</v>
      </c>
      <c r="D267" s="620" t="s">
        <v>877</v>
      </c>
      <c r="E267" s="1022">
        <v>15473</v>
      </c>
      <c r="F267" s="341">
        <f>ROUND(E267,0)</f>
        <v>15473</v>
      </c>
      <c r="G267" s="21">
        <f>F267-E267</f>
        <v>0</v>
      </c>
      <c r="H267" s="621"/>
      <c r="I267" s="616">
        <v>590</v>
      </c>
      <c r="J267" s="617">
        <f t="shared" si="40"/>
        <v>3.8130937762554128E-2</v>
      </c>
      <c r="K267" s="616"/>
      <c r="L267" s="12"/>
      <c r="M267" s="12"/>
      <c r="N267" s="12"/>
      <c r="O267" s="12"/>
      <c r="P267" s="12"/>
      <c r="Q267" s="12"/>
      <c r="R267" s="12"/>
      <c r="S267" s="12"/>
      <c r="T267" s="12"/>
      <c r="U267" s="12"/>
      <c r="V267" s="12"/>
    </row>
    <row r="268" spans="2:22" s="14" customFormat="1" ht="15.6" customHeight="1" x14ac:dyDescent="0.25">
      <c r="B268" s="71" t="s">
        <v>422</v>
      </c>
      <c r="C268" s="96" t="s">
        <v>787</v>
      </c>
      <c r="D268" s="303" t="s">
        <v>627</v>
      </c>
      <c r="E268" s="341">
        <v>66596</v>
      </c>
      <c r="F268" s="341">
        <f t="shared" si="41"/>
        <v>66596</v>
      </c>
      <c r="G268" s="21">
        <f t="shared" si="31"/>
        <v>0</v>
      </c>
      <c r="H268" s="466"/>
      <c r="I268" s="349">
        <v>18857</v>
      </c>
      <c r="J268" s="539">
        <f t="shared" si="40"/>
        <v>0.28315514445312029</v>
      </c>
      <c r="K268" s="349"/>
    </row>
    <row r="269" spans="2:22" s="14" customFormat="1" ht="15" customHeight="1" x14ac:dyDescent="0.25">
      <c r="B269" s="71" t="s">
        <v>335</v>
      </c>
      <c r="C269" s="96" t="s">
        <v>886</v>
      </c>
      <c r="D269" s="336" t="s">
        <v>365</v>
      </c>
      <c r="E269" s="341">
        <v>0</v>
      </c>
      <c r="F269" s="341">
        <f t="shared" si="41"/>
        <v>0</v>
      </c>
      <c r="G269" s="21">
        <f t="shared" si="31"/>
        <v>0</v>
      </c>
      <c r="H269" s="467"/>
      <c r="I269" s="349"/>
      <c r="J269" s="539" t="e">
        <f t="shared" si="40"/>
        <v>#DIV/0!</v>
      </c>
      <c r="K269" s="349"/>
    </row>
    <row r="270" spans="2:22" s="20" customFormat="1" ht="15.75" customHeight="1" x14ac:dyDescent="0.25">
      <c r="B270" s="73"/>
      <c r="C270" s="94" t="s">
        <v>198</v>
      </c>
      <c r="D270" s="320" t="s">
        <v>194</v>
      </c>
      <c r="E270" s="33">
        <v>8577054</v>
      </c>
      <c r="F270" s="33">
        <f t="shared" ref="F270:G270" si="42">F271+F275+F276+F277+F278+F279+F280+F281+F282+F283+F284+F285</f>
        <v>8577434</v>
      </c>
      <c r="G270" s="451">
        <f t="shared" si="42"/>
        <v>380</v>
      </c>
      <c r="H270" s="451"/>
      <c r="I270" s="549">
        <f>I271+I275+I276+I277+I278+I279+I280+I281+I282+I283+I284+I285</f>
        <v>1380277.14</v>
      </c>
      <c r="J270" s="577">
        <f t="shared" si="40"/>
        <v>0.16091958737310014</v>
      </c>
      <c r="K270" s="549"/>
      <c r="L270" s="12"/>
      <c r="M270" s="12"/>
      <c r="N270" s="12"/>
      <c r="O270" s="12"/>
      <c r="P270" s="12"/>
      <c r="Q270" s="12"/>
      <c r="R270" s="12"/>
      <c r="S270" s="12"/>
      <c r="T270" s="12"/>
      <c r="U270" s="12"/>
      <c r="V270" s="12"/>
    </row>
    <row r="271" spans="2:22" s="20" customFormat="1" ht="27" customHeight="1" x14ac:dyDescent="0.25">
      <c r="B271" s="73"/>
      <c r="C271" s="96" t="s">
        <v>788</v>
      </c>
      <c r="D271" s="303" t="s">
        <v>241</v>
      </c>
      <c r="E271" s="341">
        <v>4972819</v>
      </c>
      <c r="F271" s="341">
        <f>SUM(F272:F274)</f>
        <v>4972819</v>
      </c>
      <c r="G271" s="21">
        <f t="shared" si="31"/>
        <v>0</v>
      </c>
      <c r="H271" s="460"/>
      <c r="I271" s="349">
        <f>SUM(I272:I274)</f>
        <v>773389.64999999991</v>
      </c>
      <c r="J271" s="539">
        <f t="shared" si="40"/>
        <v>0.15552338623223566</v>
      </c>
      <c r="K271" s="349"/>
      <c r="L271" s="12"/>
      <c r="M271" s="12"/>
      <c r="N271" s="12"/>
      <c r="O271" s="12"/>
      <c r="P271" s="12"/>
      <c r="Q271" s="12"/>
      <c r="R271" s="12"/>
      <c r="S271" s="12"/>
      <c r="T271" s="12"/>
      <c r="U271" s="12"/>
      <c r="V271" s="12"/>
    </row>
    <row r="272" spans="2:22" s="345" customFormat="1" ht="30.75" customHeight="1" x14ac:dyDescent="0.25">
      <c r="B272" s="346" t="s">
        <v>325</v>
      </c>
      <c r="C272" s="181" t="s">
        <v>789</v>
      </c>
      <c r="D272" s="329" t="s">
        <v>640</v>
      </c>
      <c r="E272" s="1041">
        <v>4524017</v>
      </c>
      <c r="F272" s="1041">
        <f>ROUND(E272,0)</f>
        <v>4524017</v>
      </c>
      <c r="G272" s="347">
        <f t="shared" si="31"/>
        <v>0</v>
      </c>
      <c r="H272" s="464"/>
      <c r="I272" s="347">
        <f>761910.07-I274-I284</f>
        <v>707286.07</v>
      </c>
      <c r="J272" s="539">
        <f t="shared" si="40"/>
        <v>0.15634027679383167</v>
      </c>
      <c r="K272" s="347"/>
      <c r="L272" s="330"/>
      <c r="M272" s="330"/>
      <c r="N272" s="330"/>
      <c r="O272" s="330"/>
      <c r="P272" s="330"/>
      <c r="Q272" s="330"/>
      <c r="R272" s="330"/>
      <c r="S272" s="330"/>
      <c r="T272" s="330"/>
      <c r="U272" s="330"/>
      <c r="V272" s="330"/>
    </row>
    <row r="273" spans="2:22" s="345" customFormat="1" ht="32.450000000000003" customHeight="1" x14ac:dyDescent="0.25">
      <c r="B273" s="346" t="s">
        <v>643</v>
      </c>
      <c r="C273" s="181" t="s">
        <v>790</v>
      </c>
      <c r="D273" s="329" t="s">
        <v>641</v>
      </c>
      <c r="E273" s="1041">
        <v>423575</v>
      </c>
      <c r="F273" s="1041">
        <f>ROUND(E273,0)</f>
        <v>423575</v>
      </c>
      <c r="G273" s="347">
        <f t="shared" si="31"/>
        <v>0</v>
      </c>
      <c r="H273" s="464"/>
      <c r="I273" s="347">
        <v>66103.58</v>
      </c>
      <c r="J273" s="539">
        <f t="shared" si="40"/>
        <v>0.15606109897892936</v>
      </c>
      <c r="K273" s="347"/>
      <c r="L273" s="330"/>
      <c r="M273" s="330"/>
      <c r="N273" s="330"/>
      <c r="O273" s="330"/>
      <c r="P273" s="330"/>
      <c r="Q273" s="330"/>
      <c r="R273" s="330"/>
      <c r="S273" s="330"/>
      <c r="T273" s="330"/>
      <c r="U273" s="330"/>
      <c r="V273" s="330"/>
    </row>
    <row r="274" spans="2:22" s="345" customFormat="1" ht="17.25" customHeight="1" x14ac:dyDescent="0.25">
      <c r="B274" s="346" t="s">
        <v>325</v>
      </c>
      <c r="C274" s="181" t="s">
        <v>791</v>
      </c>
      <c r="D274" s="329" t="s">
        <v>642</v>
      </c>
      <c r="E274" s="1041">
        <v>25227</v>
      </c>
      <c r="F274" s="1041">
        <f t="shared" ref="F274:F284" si="43">ROUND(E274,0)</f>
        <v>25227</v>
      </c>
      <c r="G274" s="347">
        <f t="shared" si="31"/>
        <v>0</v>
      </c>
      <c r="H274" s="464"/>
      <c r="I274" s="347"/>
      <c r="J274" s="583">
        <f t="shared" si="40"/>
        <v>0</v>
      </c>
      <c r="K274" s="347"/>
      <c r="L274" s="330"/>
      <c r="M274" s="330"/>
      <c r="N274" s="330"/>
      <c r="O274" s="330"/>
      <c r="P274" s="330"/>
      <c r="Q274" s="330"/>
      <c r="R274" s="330"/>
      <c r="S274" s="330"/>
      <c r="T274" s="330"/>
      <c r="U274" s="330"/>
      <c r="V274" s="330"/>
    </row>
    <row r="275" spans="2:22" s="20" customFormat="1" ht="15" customHeight="1" x14ac:dyDescent="0.25">
      <c r="B275" s="73" t="s">
        <v>223</v>
      </c>
      <c r="C275" s="96" t="s">
        <v>792</v>
      </c>
      <c r="D275" s="303" t="s">
        <v>186</v>
      </c>
      <c r="E275" s="341">
        <v>1028492</v>
      </c>
      <c r="F275" s="341">
        <f>ROUND(E275,0)+300</f>
        <v>1028792</v>
      </c>
      <c r="G275" s="21">
        <f t="shared" ref="G275:G313" si="44">F275-E275</f>
        <v>300</v>
      </c>
      <c r="H275" s="1060" t="s">
        <v>1392</v>
      </c>
      <c r="I275" s="349">
        <v>132144.50000000003</v>
      </c>
      <c r="J275" s="539">
        <f t="shared" si="40"/>
        <v>0.12844627485439236</v>
      </c>
      <c r="K275" s="349"/>
      <c r="L275" s="12"/>
      <c r="M275" s="330"/>
      <c r="N275" s="330"/>
      <c r="O275" s="12"/>
      <c r="P275" s="12"/>
      <c r="Q275" s="12"/>
      <c r="R275" s="12"/>
      <c r="S275" s="12"/>
      <c r="T275" s="12"/>
      <c r="U275" s="12"/>
      <c r="V275" s="12"/>
    </row>
    <row r="276" spans="2:22" s="20" customFormat="1" ht="31.9" customHeight="1" x14ac:dyDescent="0.25">
      <c r="B276" s="73"/>
      <c r="C276" s="96" t="s">
        <v>793</v>
      </c>
      <c r="D276" s="324" t="s">
        <v>501</v>
      </c>
      <c r="E276" s="453">
        <v>776305</v>
      </c>
      <c r="F276" s="453">
        <f>ROUND(E276,0)</f>
        <v>776305</v>
      </c>
      <c r="G276" s="21">
        <f t="shared" si="44"/>
        <v>0</v>
      </c>
      <c r="H276" s="525"/>
      <c r="I276" s="601">
        <v>113180</v>
      </c>
      <c r="J276" s="539">
        <f t="shared" si="40"/>
        <v>0.14579321271922763</v>
      </c>
      <c r="K276" s="349"/>
      <c r="L276" s="12"/>
      <c r="M276" s="330"/>
      <c r="N276" s="330"/>
      <c r="O276" s="12"/>
      <c r="P276" s="12"/>
      <c r="Q276" s="12"/>
      <c r="R276" s="12"/>
      <c r="S276" s="12"/>
      <c r="T276" s="12"/>
      <c r="U276" s="12"/>
      <c r="V276" s="12"/>
    </row>
    <row r="277" spans="2:22" s="20" customFormat="1" ht="15" customHeight="1" x14ac:dyDescent="0.25">
      <c r="B277" s="20" t="s">
        <v>326</v>
      </c>
      <c r="C277" s="96" t="s">
        <v>794</v>
      </c>
      <c r="D277" s="303" t="s">
        <v>240</v>
      </c>
      <c r="E277" s="341">
        <v>70991</v>
      </c>
      <c r="F277" s="341">
        <f t="shared" si="43"/>
        <v>70991</v>
      </c>
      <c r="G277" s="21">
        <f t="shared" si="44"/>
        <v>0</v>
      </c>
      <c r="H277" s="461"/>
      <c r="I277" s="349">
        <v>21601.45</v>
      </c>
      <c r="J277" s="539">
        <f t="shared" si="40"/>
        <v>0.3042843459030018</v>
      </c>
      <c r="K277" s="349"/>
      <c r="L277" s="12"/>
      <c r="M277" s="12"/>
      <c r="N277" s="12"/>
      <c r="O277" s="12"/>
      <c r="P277" s="12"/>
      <c r="Q277" s="12"/>
      <c r="R277" s="12"/>
      <c r="S277" s="12"/>
      <c r="T277" s="12"/>
      <c r="U277" s="12"/>
      <c r="V277" s="12"/>
    </row>
    <row r="278" spans="2:22" s="20" customFormat="1" ht="16.149999999999999" customHeight="1" x14ac:dyDescent="0.25">
      <c r="B278" s="73" t="s">
        <v>278</v>
      </c>
      <c r="C278" s="96" t="s">
        <v>795</v>
      </c>
      <c r="D278" s="303" t="s">
        <v>266</v>
      </c>
      <c r="E278" s="341">
        <v>42102</v>
      </c>
      <c r="F278" s="341">
        <f>ROUND(E278,0)+80</f>
        <v>42182</v>
      </c>
      <c r="G278" s="55">
        <f t="shared" si="44"/>
        <v>80</v>
      </c>
      <c r="H278" s="462" t="s">
        <v>517</v>
      </c>
      <c r="I278" s="349">
        <v>9110.5</v>
      </c>
      <c r="J278" s="539">
        <f t="shared" si="40"/>
        <v>0.21598075008297379</v>
      </c>
      <c r="K278" s="349"/>
      <c r="L278" s="12"/>
      <c r="M278" s="12"/>
      <c r="N278" s="12"/>
      <c r="O278" s="12"/>
      <c r="P278" s="12"/>
      <c r="Q278" s="12"/>
      <c r="R278" s="12"/>
      <c r="S278" s="12"/>
      <c r="T278" s="12"/>
      <c r="U278" s="12"/>
      <c r="V278" s="12"/>
    </row>
    <row r="279" spans="2:22" s="20" customFormat="1" ht="47.25" customHeight="1" x14ac:dyDescent="0.25">
      <c r="B279" s="73" t="s">
        <v>878</v>
      </c>
      <c r="C279" s="619" t="s">
        <v>796</v>
      </c>
      <c r="D279" s="620" t="s">
        <v>877</v>
      </c>
      <c r="E279" s="1022">
        <v>42376</v>
      </c>
      <c r="F279" s="341">
        <f>ROUND(E279,0)</f>
        <v>42376</v>
      </c>
      <c r="G279" s="55">
        <f>F279-E279</f>
        <v>0</v>
      </c>
      <c r="H279" s="621"/>
      <c r="I279" s="616">
        <v>5516.99</v>
      </c>
      <c r="J279" s="617">
        <f t="shared" si="40"/>
        <v>0.13019138191429111</v>
      </c>
      <c r="K279" s="616"/>
      <c r="L279" s="12"/>
      <c r="M279" s="12"/>
      <c r="N279" s="12"/>
      <c r="O279" s="12"/>
      <c r="P279" s="12"/>
      <c r="Q279" s="12"/>
      <c r="R279" s="12"/>
      <c r="S279" s="12"/>
      <c r="T279" s="12"/>
      <c r="U279" s="12"/>
      <c r="V279" s="12"/>
    </row>
    <row r="280" spans="2:22" s="15" customFormat="1" ht="31.9" customHeight="1" x14ac:dyDescent="0.25">
      <c r="B280" s="73" t="s">
        <v>223</v>
      </c>
      <c r="C280" s="96" t="s">
        <v>797</v>
      </c>
      <c r="D280" s="303" t="s">
        <v>685</v>
      </c>
      <c r="E280" s="341">
        <v>59199</v>
      </c>
      <c r="F280" s="341">
        <f t="shared" si="43"/>
        <v>59199</v>
      </c>
      <c r="G280" s="66">
        <f t="shared" si="44"/>
        <v>0</v>
      </c>
      <c r="H280" s="462"/>
      <c r="I280" s="349">
        <v>37289</v>
      </c>
      <c r="J280" s="539">
        <f t="shared" si="40"/>
        <v>0.6298923968310276</v>
      </c>
      <c r="K280" s="349"/>
      <c r="L280" s="12"/>
      <c r="M280" s="12"/>
      <c r="N280" s="12"/>
      <c r="O280" s="12"/>
      <c r="P280" s="12"/>
      <c r="Q280" s="12"/>
      <c r="R280" s="12"/>
      <c r="S280" s="12"/>
      <c r="T280" s="12"/>
      <c r="U280" s="12"/>
      <c r="V280" s="12"/>
    </row>
    <row r="281" spans="2:22" s="15" customFormat="1" ht="62.25" customHeight="1" x14ac:dyDescent="0.25">
      <c r="B281" s="73" t="s">
        <v>223</v>
      </c>
      <c r="C281" s="96" t="s">
        <v>798</v>
      </c>
      <c r="D281" s="324" t="s">
        <v>584</v>
      </c>
      <c r="E281" s="453">
        <v>0</v>
      </c>
      <c r="F281" s="341">
        <f t="shared" si="43"/>
        <v>0</v>
      </c>
      <c r="G281" s="66">
        <f t="shared" si="44"/>
        <v>0</v>
      </c>
      <c r="H281" s="462"/>
      <c r="I281" s="349">
        <v>0</v>
      </c>
      <c r="J281" s="573" t="e">
        <f t="shared" si="40"/>
        <v>#DIV/0!</v>
      </c>
      <c r="K281" s="349"/>
      <c r="L281" s="12"/>
      <c r="M281" s="12"/>
      <c r="N281" s="12"/>
      <c r="O281" s="12"/>
      <c r="P281" s="12"/>
      <c r="Q281" s="12"/>
      <c r="R281" s="12"/>
      <c r="S281" s="12"/>
      <c r="T281" s="12"/>
      <c r="U281" s="12"/>
      <c r="V281" s="12"/>
    </row>
    <row r="282" spans="2:22" s="15" customFormat="1" ht="21.75" customHeight="1" x14ac:dyDescent="0.25">
      <c r="B282" s="72" t="s">
        <v>246</v>
      </c>
      <c r="C282" s="96" t="s">
        <v>799</v>
      </c>
      <c r="D282" s="303" t="s">
        <v>264</v>
      </c>
      <c r="E282" s="341">
        <v>702301</v>
      </c>
      <c r="F282" s="341">
        <f>ROUND(E282,0)</f>
        <v>702301</v>
      </c>
      <c r="G282" s="21">
        <f t="shared" si="44"/>
        <v>0</v>
      </c>
      <c r="H282" s="1060"/>
      <c r="I282" s="349">
        <v>109055.23000000001</v>
      </c>
      <c r="J282" s="539">
        <f t="shared" si="40"/>
        <v>0.15528274913463033</v>
      </c>
      <c r="K282" s="349"/>
      <c r="L282" s="12"/>
      <c r="M282" s="12"/>
      <c r="N282" s="12"/>
      <c r="O282" s="12"/>
      <c r="P282" s="12"/>
      <c r="Q282" s="12"/>
      <c r="R282" s="12"/>
      <c r="S282" s="12"/>
      <c r="T282" s="12"/>
      <c r="U282" s="12"/>
      <c r="V282" s="12"/>
    </row>
    <row r="283" spans="2:22" s="15" customFormat="1" ht="33" customHeight="1" x14ac:dyDescent="0.25">
      <c r="B283" s="72"/>
      <c r="C283" s="96" t="s">
        <v>800</v>
      </c>
      <c r="D283" s="324" t="s">
        <v>632</v>
      </c>
      <c r="E283" s="453">
        <v>393201</v>
      </c>
      <c r="F283" s="453">
        <f>ROUND(E283,0)</f>
        <v>393201</v>
      </c>
      <c r="G283" s="21">
        <f t="shared" si="44"/>
        <v>0</v>
      </c>
      <c r="H283" s="525"/>
      <c r="I283" s="601">
        <v>91673</v>
      </c>
      <c r="J283" s="539">
        <f t="shared" si="40"/>
        <v>0.23314538874519647</v>
      </c>
      <c r="K283" s="349"/>
      <c r="L283" s="12"/>
      <c r="M283" s="557"/>
      <c r="N283" s="12"/>
      <c r="O283" s="12"/>
      <c r="P283" s="12"/>
      <c r="Q283" s="12"/>
      <c r="R283" s="12"/>
      <c r="S283" s="12"/>
      <c r="T283" s="12"/>
      <c r="U283" s="12"/>
      <c r="V283" s="12"/>
    </row>
    <row r="284" spans="2:22" s="15" customFormat="1" ht="15" customHeight="1" x14ac:dyDescent="0.25">
      <c r="B284" s="73" t="s">
        <v>325</v>
      </c>
      <c r="C284" s="96" t="s">
        <v>801</v>
      </c>
      <c r="D284" s="303" t="s">
        <v>272</v>
      </c>
      <c r="E284" s="341">
        <v>250743</v>
      </c>
      <c r="F284" s="341">
        <f t="shared" si="43"/>
        <v>250743</v>
      </c>
      <c r="G284" s="55">
        <f t="shared" si="44"/>
        <v>0</v>
      </c>
      <c r="H284" s="460"/>
      <c r="I284" s="349">
        <v>54624</v>
      </c>
      <c r="J284" s="539">
        <f t="shared" si="40"/>
        <v>0.21784855409722306</v>
      </c>
      <c r="K284" s="349"/>
      <c r="L284" s="12"/>
      <c r="M284" s="12"/>
      <c r="N284" s="12"/>
      <c r="O284" s="12"/>
      <c r="P284" s="12"/>
      <c r="Q284" s="12"/>
      <c r="R284" s="12"/>
      <c r="S284" s="12"/>
      <c r="T284" s="12"/>
      <c r="U284" s="12"/>
      <c r="V284" s="12"/>
    </row>
    <row r="285" spans="2:22" s="103" customFormat="1" ht="13.9" customHeight="1" x14ac:dyDescent="0.25">
      <c r="B285" s="72"/>
      <c r="C285" s="104" t="s">
        <v>879</v>
      </c>
      <c r="D285" s="335" t="s">
        <v>280</v>
      </c>
      <c r="E285" s="1042">
        <v>238525</v>
      </c>
      <c r="F285" s="1042">
        <f t="shared" ref="F285:H285" si="45">F286+F287+F288+F289</f>
        <v>238525</v>
      </c>
      <c r="G285" s="145">
        <f t="shared" si="45"/>
        <v>0</v>
      </c>
      <c r="H285" s="145">
        <f t="shared" si="45"/>
        <v>0</v>
      </c>
      <c r="I285" s="556">
        <f>I286+I287+I288+I289</f>
        <v>32692.82</v>
      </c>
      <c r="J285" s="588">
        <f t="shared" si="40"/>
        <v>0.13706244628445655</v>
      </c>
      <c r="K285" s="556"/>
      <c r="L285" s="14"/>
      <c r="M285" s="14"/>
      <c r="N285" s="14"/>
      <c r="O285" s="14"/>
      <c r="P285" s="14"/>
      <c r="Q285" s="14"/>
      <c r="R285" s="14"/>
      <c r="S285" s="14"/>
      <c r="T285" s="14"/>
      <c r="U285" s="14"/>
      <c r="V285" s="14"/>
    </row>
    <row r="286" spans="2:22" s="15" customFormat="1" ht="36" customHeight="1" x14ac:dyDescent="0.25">
      <c r="B286" s="71" t="s">
        <v>324</v>
      </c>
      <c r="C286" s="101" t="s">
        <v>880</v>
      </c>
      <c r="D286" s="303" t="s">
        <v>645</v>
      </c>
      <c r="E286" s="341">
        <v>49111</v>
      </c>
      <c r="F286" s="341">
        <f>ROUND(E286,0)</f>
        <v>49111</v>
      </c>
      <c r="G286" s="66">
        <f t="shared" si="44"/>
        <v>0</v>
      </c>
      <c r="H286" s="460"/>
      <c r="I286" s="349">
        <v>7686.39</v>
      </c>
      <c r="J286" s="539">
        <f t="shared" si="40"/>
        <v>0.15651055771619393</v>
      </c>
      <c r="K286" s="349"/>
      <c r="L286" s="12"/>
      <c r="M286" s="12"/>
      <c r="N286" s="12"/>
      <c r="O286" s="12"/>
      <c r="P286" s="12"/>
      <c r="Q286" s="12"/>
      <c r="R286" s="12"/>
      <c r="S286" s="12"/>
      <c r="T286" s="12"/>
      <c r="U286" s="12"/>
      <c r="V286" s="12"/>
    </row>
    <row r="287" spans="2:22" s="14" customFormat="1" ht="14.45" customHeight="1" x14ac:dyDescent="0.25">
      <c r="B287" s="72" t="s">
        <v>279</v>
      </c>
      <c r="C287" s="101" t="s">
        <v>881</v>
      </c>
      <c r="D287" s="303" t="s">
        <v>281</v>
      </c>
      <c r="E287" s="341">
        <v>170322</v>
      </c>
      <c r="F287" s="341">
        <f>ROUND(E287,0)</f>
        <v>170322</v>
      </c>
      <c r="G287" s="66">
        <f t="shared" si="44"/>
        <v>0</v>
      </c>
      <c r="H287" s="479"/>
      <c r="I287" s="349">
        <v>22833.43</v>
      </c>
      <c r="J287" s="539">
        <f t="shared" si="40"/>
        <v>0.13406036800883034</v>
      </c>
      <c r="K287" s="349"/>
      <c r="M287" s="594"/>
    </row>
    <row r="288" spans="2:22" s="14" customFormat="1" ht="51.6" customHeight="1" x14ac:dyDescent="0.25">
      <c r="B288" s="72" t="s">
        <v>883</v>
      </c>
      <c r="C288" s="101" t="s">
        <v>882</v>
      </c>
      <c r="D288" s="620" t="s">
        <v>885</v>
      </c>
      <c r="E288" s="1022">
        <v>1221</v>
      </c>
      <c r="F288" s="341">
        <f>ROUND(E288,0)</f>
        <v>1221</v>
      </c>
      <c r="G288" s="66">
        <f>F288-E288</f>
        <v>0</v>
      </c>
      <c r="H288" s="621"/>
      <c r="I288" s="616"/>
      <c r="J288" s="539">
        <f t="shared" si="40"/>
        <v>0</v>
      </c>
      <c r="K288" s="616"/>
      <c r="M288" s="594"/>
    </row>
    <row r="289" spans="2:13" s="14" customFormat="1" ht="13.9" customHeight="1" x14ac:dyDescent="0.25">
      <c r="B289" s="72"/>
      <c r="C289" s="101" t="s">
        <v>884</v>
      </c>
      <c r="D289" s="324" t="s">
        <v>631</v>
      </c>
      <c r="E289" s="453">
        <v>17871</v>
      </c>
      <c r="F289" s="453">
        <f>ROUND(E289,0)</f>
        <v>17871</v>
      </c>
      <c r="G289" s="66">
        <f t="shared" si="44"/>
        <v>0</v>
      </c>
      <c r="H289" s="483"/>
      <c r="I289" s="601">
        <v>2173</v>
      </c>
      <c r="J289" s="539">
        <f t="shared" si="40"/>
        <v>0.12159364333277377</v>
      </c>
      <c r="K289" s="349"/>
    </row>
    <row r="290" spans="2:13" ht="18" customHeight="1" x14ac:dyDescent="0.25">
      <c r="C290" s="99" t="s">
        <v>657</v>
      </c>
      <c r="D290" s="320" t="s">
        <v>486</v>
      </c>
      <c r="E290" s="451">
        <v>1995994</v>
      </c>
      <c r="F290" s="451">
        <f t="shared" ref="F290" si="46">F291+F292</f>
        <v>1995994</v>
      </c>
      <c r="G290" s="33">
        <f t="shared" si="44"/>
        <v>0</v>
      </c>
      <c r="H290" s="33"/>
      <c r="I290" s="549">
        <f>I291+I292</f>
        <v>328853.23</v>
      </c>
      <c r="J290" s="577">
        <f t="shared" si="40"/>
        <v>0.16475662251489734</v>
      </c>
      <c r="K290" s="549"/>
    </row>
    <row r="291" spans="2:13" ht="13.5" customHeight="1" x14ac:dyDescent="0.25">
      <c r="C291" s="96" t="s">
        <v>802</v>
      </c>
      <c r="D291" s="303" t="s">
        <v>184</v>
      </c>
      <c r="E291" s="341">
        <v>849067</v>
      </c>
      <c r="F291" s="341">
        <f>ROUND(E291,0)</f>
        <v>849067</v>
      </c>
      <c r="G291" s="21">
        <f t="shared" si="44"/>
        <v>0</v>
      </c>
      <c r="H291" s="460"/>
      <c r="I291" s="349">
        <v>131358.07999999999</v>
      </c>
      <c r="J291" s="539">
        <f t="shared" si="40"/>
        <v>0.15470873323306639</v>
      </c>
      <c r="K291" s="349"/>
    </row>
    <row r="292" spans="2:13" ht="25.9" customHeight="1" x14ac:dyDescent="0.25">
      <c r="C292" s="96" t="s">
        <v>802</v>
      </c>
      <c r="D292" s="303" t="s">
        <v>186</v>
      </c>
      <c r="E292" s="341">
        <v>1146927</v>
      </c>
      <c r="F292" s="341">
        <f>ROUND(E292,0)</f>
        <v>1146927</v>
      </c>
      <c r="G292" s="21">
        <f t="shared" si="44"/>
        <v>0</v>
      </c>
      <c r="H292" s="526"/>
      <c r="I292" s="349">
        <v>197495.15</v>
      </c>
      <c r="J292" s="539">
        <f t="shared" si="40"/>
        <v>0.17219504815912434</v>
      </c>
      <c r="K292" s="537"/>
    </row>
    <row r="293" spans="2:13" ht="16.149999999999999" customHeight="1" x14ac:dyDescent="0.25">
      <c r="C293" s="102" t="s">
        <v>803</v>
      </c>
      <c r="D293" s="320" t="s">
        <v>197</v>
      </c>
      <c r="E293" s="451">
        <v>915221</v>
      </c>
      <c r="F293" s="451">
        <f>F294+F295</f>
        <v>915221</v>
      </c>
      <c r="G293" s="33">
        <f t="shared" si="44"/>
        <v>0</v>
      </c>
      <c r="H293" s="463"/>
      <c r="I293" s="549">
        <f>I294+I295</f>
        <v>155223.41</v>
      </c>
      <c r="J293" s="577">
        <f t="shared" si="40"/>
        <v>0.16960210703207204</v>
      </c>
      <c r="K293" s="549"/>
    </row>
    <row r="294" spans="2:13" ht="16.5" customHeight="1" x14ac:dyDescent="0.25">
      <c r="B294" s="71" t="s">
        <v>420</v>
      </c>
      <c r="C294" s="96" t="s">
        <v>805</v>
      </c>
      <c r="D294" s="303" t="s">
        <v>184</v>
      </c>
      <c r="E294" s="341">
        <v>339485</v>
      </c>
      <c r="F294" s="341">
        <f t="shared" ref="F294:F303" si="47">ROUND(E294,0)</f>
        <v>339485</v>
      </c>
      <c r="G294" s="21">
        <f t="shared" si="44"/>
        <v>0</v>
      </c>
      <c r="H294" s="462"/>
      <c r="I294" s="349">
        <v>57195.81</v>
      </c>
      <c r="J294" s="539">
        <f t="shared" si="40"/>
        <v>0.16847816545650027</v>
      </c>
      <c r="K294" s="349"/>
    </row>
    <row r="295" spans="2:13" ht="16.5" customHeight="1" x14ac:dyDescent="0.25">
      <c r="B295" s="71" t="s">
        <v>225</v>
      </c>
      <c r="C295" s="96" t="s">
        <v>804</v>
      </c>
      <c r="D295" s="303" t="s">
        <v>229</v>
      </c>
      <c r="E295" s="341">
        <v>575736</v>
      </c>
      <c r="F295" s="341">
        <f t="shared" si="47"/>
        <v>575736</v>
      </c>
      <c r="G295" s="21">
        <f t="shared" si="44"/>
        <v>0</v>
      </c>
      <c r="H295" s="460"/>
      <c r="I295" s="349">
        <v>98027.6</v>
      </c>
      <c r="J295" s="539">
        <f t="shared" si="40"/>
        <v>0.17026484360887631</v>
      </c>
      <c r="K295" s="537"/>
    </row>
    <row r="296" spans="2:13" ht="63.75" customHeight="1" x14ac:dyDescent="0.25">
      <c r="B296" s="71" t="s">
        <v>1280</v>
      </c>
      <c r="C296" s="102" t="s">
        <v>806</v>
      </c>
      <c r="D296" s="320" t="s">
        <v>575</v>
      </c>
      <c r="E296" s="48">
        <v>753249</v>
      </c>
      <c r="F296" s="48">
        <f>ROUND(E296,0)+8000+45534</f>
        <v>806783</v>
      </c>
      <c r="G296" s="27">
        <f t="shared" si="44"/>
        <v>53534</v>
      </c>
      <c r="H296" s="486" t="s">
        <v>1442</v>
      </c>
      <c r="I296" s="355">
        <f>86942+854</f>
        <v>87796</v>
      </c>
      <c r="J296" s="551">
        <f t="shared" si="40"/>
        <v>0.10882232273114331</v>
      </c>
      <c r="K296" s="355" t="s">
        <v>555</v>
      </c>
      <c r="M296" s="557"/>
    </row>
    <row r="297" spans="2:13" ht="69.75" customHeight="1" x14ac:dyDescent="0.25">
      <c r="B297" s="71"/>
      <c r="C297" s="102" t="s">
        <v>807</v>
      </c>
      <c r="D297" s="320" t="s">
        <v>574</v>
      </c>
      <c r="E297" s="1037">
        <v>2000</v>
      </c>
      <c r="F297" s="48">
        <f t="shared" si="47"/>
        <v>2000</v>
      </c>
      <c r="G297" s="27">
        <f t="shared" si="44"/>
        <v>0</v>
      </c>
      <c r="H297" s="506"/>
      <c r="I297" s="355">
        <v>0</v>
      </c>
      <c r="J297" s="580">
        <f t="shared" si="40"/>
        <v>0</v>
      </c>
      <c r="K297" s="355"/>
    </row>
    <row r="298" spans="2:13" ht="31.9" hidden="1" customHeight="1" outlineLevel="1" x14ac:dyDescent="0.25">
      <c r="B298" s="71" t="s">
        <v>340</v>
      </c>
      <c r="C298" s="102" t="s">
        <v>808</v>
      </c>
      <c r="D298" s="412" t="s">
        <v>625</v>
      </c>
      <c r="E298" s="48">
        <v>0</v>
      </c>
      <c r="F298" s="48">
        <f t="shared" si="47"/>
        <v>0</v>
      </c>
      <c r="G298" s="1050">
        <f t="shared" si="44"/>
        <v>0</v>
      </c>
      <c r="H298" s="505" t="s">
        <v>499</v>
      </c>
      <c r="I298" s="355">
        <v>0</v>
      </c>
      <c r="J298" s="551" t="e">
        <f t="shared" si="40"/>
        <v>#DIV/0!</v>
      </c>
      <c r="K298" s="355" t="s">
        <v>648</v>
      </c>
    </row>
    <row r="299" spans="2:13" ht="27" hidden="1" customHeight="1" outlineLevel="1" x14ac:dyDescent="0.25">
      <c r="B299" s="71" t="s">
        <v>339</v>
      </c>
      <c r="C299" s="102" t="s">
        <v>809</v>
      </c>
      <c r="D299" s="412" t="s">
        <v>308</v>
      </c>
      <c r="E299" s="48">
        <v>0</v>
      </c>
      <c r="F299" s="48">
        <f t="shared" si="47"/>
        <v>0</v>
      </c>
      <c r="G299" s="1050">
        <f t="shared" si="44"/>
        <v>0</v>
      </c>
      <c r="H299" s="505"/>
      <c r="I299" s="355">
        <v>0</v>
      </c>
      <c r="J299" s="551" t="e">
        <f t="shared" si="40"/>
        <v>#DIV/0!</v>
      </c>
      <c r="K299" s="355" t="s">
        <v>648</v>
      </c>
    </row>
    <row r="300" spans="2:13" ht="57.6" hidden="1" customHeight="1" outlineLevel="1" x14ac:dyDescent="0.25">
      <c r="B300" s="71" t="s">
        <v>419</v>
      </c>
      <c r="C300" s="102" t="s">
        <v>810</v>
      </c>
      <c r="D300" s="413" t="s">
        <v>467</v>
      </c>
      <c r="E300" s="48">
        <v>0</v>
      </c>
      <c r="F300" s="48">
        <f t="shared" si="47"/>
        <v>0</v>
      </c>
      <c r="G300" s="108">
        <f t="shared" si="44"/>
        <v>0</v>
      </c>
      <c r="H300" s="506"/>
      <c r="I300" s="355">
        <v>0</v>
      </c>
      <c r="J300" s="551" t="e">
        <f t="shared" si="40"/>
        <v>#DIV/0!</v>
      </c>
      <c r="K300" s="355" t="s">
        <v>648</v>
      </c>
    </row>
    <row r="301" spans="2:13" ht="30.6" customHeight="1" collapsed="1" x14ac:dyDescent="0.25">
      <c r="B301" s="71" t="s">
        <v>636</v>
      </c>
      <c r="C301" s="99" t="s">
        <v>808</v>
      </c>
      <c r="D301" s="397" t="s">
        <v>635</v>
      </c>
      <c r="E301" s="1043">
        <v>8910183</v>
      </c>
      <c r="F301" s="48">
        <f t="shared" si="47"/>
        <v>8910183</v>
      </c>
      <c r="G301" s="108">
        <f t="shared" si="44"/>
        <v>0</v>
      </c>
      <c r="H301" s="527"/>
      <c r="I301" s="355">
        <v>1417015.06</v>
      </c>
      <c r="J301" s="589">
        <f t="shared" si="40"/>
        <v>0.1590332162650307</v>
      </c>
      <c r="K301" s="355" t="s">
        <v>661</v>
      </c>
    </row>
    <row r="302" spans="2:13" ht="45.75" customHeight="1" x14ac:dyDescent="0.25">
      <c r="B302" s="71" t="s">
        <v>704</v>
      </c>
      <c r="C302" s="99" t="s">
        <v>809</v>
      </c>
      <c r="D302" s="397" t="s">
        <v>817</v>
      </c>
      <c r="E302" s="1038">
        <v>78747</v>
      </c>
      <c r="F302" s="1038">
        <f t="shared" si="47"/>
        <v>78747</v>
      </c>
      <c r="G302" s="108">
        <f t="shared" si="44"/>
        <v>0</v>
      </c>
      <c r="H302" s="528"/>
      <c r="I302" s="355">
        <v>0</v>
      </c>
      <c r="J302" s="576">
        <f t="shared" si="40"/>
        <v>0</v>
      </c>
      <c r="K302" s="355"/>
    </row>
    <row r="303" spans="2:13" ht="53.25" customHeight="1" thickBot="1" x14ac:dyDescent="0.3">
      <c r="B303" s="869" t="s">
        <v>1270</v>
      </c>
      <c r="C303" s="99" t="s">
        <v>810</v>
      </c>
      <c r="D303" s="397" t="s">
        <v>1076</v>
      </c>
      <c r="E303" s="1038">
        <v>622519</v>
      </c>
      <c r="F303" s="1038">
        <f t="shared" si="47"/>
        <v>622519</v>
      </c>
      <c r="G303" s="108">
        <f t="shared" si="44"/>
        <v>0</v>
      </c>
      <c r="H303" s="528"/>
      <c r="I303" s="355">
        <f>5783.57-770</f>
        <v>5013.57</v>
      </c>
      <c r="J303" s="576">
        <f t="shared" si="40"/>
        <v>8.0536818956529841E-3</v>
      </c>
      <c r="K303" s="355"/>
    </row>
    <row r="304" spans="2:13" ht="27" hidden="1" customHeight="1" outlineLevel="1" x14ac:dyDescent="0.25">
      <c r="C304" s="99" t="s">
        <v>814</v>
      </c>
      <c r="D304" s="320" t="s">
        <v>253</v>
      </c>
      <c r="E304" s="1019">
        <v>0</v>
      </c>
      <c r="F304" s="1019"/>
      <c r="G304" s="27"/>
      <c r="H304" s="529"/>
      <c r="I304" s="360">
        <f>I305+I306</f>
        <v>0</v>
      </c>
      <c r="J304" s="570" t="e">
        <f t="shared" si="40"/>
        <v>#DIV/0!</v>
      </c>
      <c r="K304" s="360"/>
    </row>
    <row r="305" spans="2:22" ht="14.45" hidden="1" customHeight="1" outlineLevel="1" x14ac:dyDescent="0.25">
      <c r="B305" s="71" t="s">
        <v>256</v>
      </c>
      <c r="C305" s="34" t="s">
        <v>815</v>
      </c>
      <c r="D305" s="31" t="s">
        <v>321</v>
      </c>
      <c r="E305" s="450"/>
      <c r="F305" s="450"/>
      <c r="G305" s="66"/>
      <c r="H305" s="496" t="s">
        <v>499</v>
      </c>
      <c r="I305" s="349">
        <v>0</v>
      </c>
      <c r="J305" s="541" t="e">
        <f t="shared" si="40"/>
        <v>#DIV/0!</v>
      </c>
      <c r="K305" s="66"/>
    </row>
    <row r="306" spans="2:22" s="14" customFormat="1" ht="15" hidden="1" customHeight="1" outlineLevel="1" x14ac:dyDescent="0.25">
      <c r="B306" s="71" t="s">
        <v>328</v>
      </c>
      <c r="C306" s="34" t="s">
        <v>816</v>
      </c>
      <c r="D306" s="31" t="s">
        <v>300</v>
      </c>
      <c r="E306" s="450"/>
      <c r="F306" s="450"/>
      <c r="G306" s="66"/>
      <c r="H306" s="496"/>
      <c r="I306" s="349">
        <v>0</v>
      </c>
      <c r="J306" s="541" t="e">
        <f t="shared" si="40"/>
        <v>#DIV/0!</v>
      </c>
      <c r="K306" s="66"/>
    </row>
    <row r="307" spans="2:22" s="14" customFormat="1" ht="17.45" hidden="1" customHeight="1" outlineLevel="1" x14ac:dyDescent="0.2">
      <c r="C307" s="95" t="s">
        <v>82</v>
      </c>
      <c r="D307" s="316" t="s">
        <v>199</v>
      </c>
      <c r="E307" s="447">
        <v>0</v>
      </c>
      <c r="F307" s="447">
        <f>SUM(F308:F309)</f>
        <v>0</v>
      </c>
      <c r="G307" s="22">
        <f t="shared" si="44"/>
        <v>0</v>
      </c>
      <c r="H307" s="473"/>
      <c r="I307" s="356">
        <f>SUM(I308:I309)</f>
        <v>0</v>
      </c>
      <c r="J307" s="564" t="e">
        <f t="shared" si="40"/>
        <v>#DIV/0!</v>
      </c>
      <c r="K307" s="22"/>
    </row>
    <row r="308" spans="2:22" ht="17.25" hidden="1" customHeight="1" outlineLevel="1" x14ac:dyDescent="0.25">
      <c r="C308" s="94" t="s">
        <v>84</v>
      </c>
      <c r="D308" s="307" t="s">
        <v>200</v>
      </c>
      <c r="E308" s="48"/>
      <c r="F308" s="48"/>
      <c r="G308" s="27">
        <f t="shared" si="44"/>
        <v>0</v>
      </c>
      <c r="H308" s="486"/>
      <c r="I308" s="355"/>
      <c r="J308" s="551" t="e">
        <f t="shared" si="40"/>
        <v>#DIV/0!</v>
      </c>
      <c r="K308" s="27"/>
    </row>
    <row r="309" spans="2:22" ht="4.5" hidden="1" customHeight="1" outlineLevel="1" thickBot="1" x14ac:dyDescent="0.3">
      <c r="C309" s="94" t="s">
        <v>85</v>
      </c>
      <c r="D309" s="307" t="s">
        <v>201</v>
      </c>
      <c r="E309" s="48"/>
      <c r="F309" s="48"/>
      <c r="G309" s="27">
        <f t="shared" si="44"/>
        <v>0</v>
      </c>
      <c r="H309" s="486"/>
      <c r="I309" s="355"/>
      <c r="J309" s="551" t="e">
        <f t="shared" si="40"/>
        <v>#DIV/0!</v>
      </c>
      <c r="K309" s="27"/>
    </row>
    <row r="310" spans="2:22" s="14" customFormat="1" ht="30" customHeight="1" collapsed="1" thickBot="1" x14ac:dyDescent="0.25">
      <c r="C310" s="37"/>
      <c r="D310" s="337" t="s">
        <v>202</v>
      </c>
      <c r="E310" s="38">
        <v>82419351</v>
      </c>
      <c r="F310" s="38">
        <f>F133+F143+F144+F149+F151+F197+F212+F232+F307</f>
        <v>82526605</v>
      </c>
      <c r="G310" s="455">
        <f t="shared" si="44"/>
        <v>107254</v>
      </c>
      <c r="H310" s="455"/>
      <c r="I310" s="38">
        <f>I133+I143+I144+I149+I151+I197+I212+I232+I307</f>
        <v>11982121.15</v>
      </c>
      <c r="J310" s="590">
        <f t="shared" si="40"/>
        <v>0.14519101022027989</v>
      </c>
      <c r="K310" s="38"/>
      <c r="L310" s="42"/>
    </row>
    <row r="311" spans="2:22" s="20" customFormat="1" ht="15" customHeight="1" thickTop="1" thickBot="1" x14ac:dyDescent="0.3">
      <c r="C311" s="95" t="s">
        <v>107</v>
      </c>
      <c r="D311" s="316" t="s">
        <v>203</v>
      </c>
      <c r="E311" s="447">
        <v>3907497</v>
      </c>
      <c r="F311" s="447">
        <f>ROUND(E311,0)</f>
        <v>3907497</v>
      </c>
      <c r="G311" s="22">
        <f t="shared" si="44"/>
        <v>0</v>
      </c>
      <c r="H311" s="531"/>
      <c r="I311" s="22">
        <v>1198414</v>
      </c>
      <c r="J311" s="564">
        <f t="shared" si="40"/>
        <v>0.30669607679801164</v>
      </c>
      <c r="K311" s="22"/>
      <c r="L311" s="12"/>
      <c r="M311" s="12"/>
      <c r="N311" s="12"/>
      <c r="O311" s="12"/>
      <c r="P311" s="12"/>
      <c r="Q311" s="12"/>
      <c r="R311" s="12"/>
      <c r="S311" s="12"/>
      <c r="T311" s="12"/>
      <c r="U311" s="12"/>
      <c r="V311" s="12"/>
    </row>
    <row r="312" spans="2:22" ht="15.75" thickBot="1" x14ac:dyDescent="0.3">
      <c r="C312" s="37"/>
      <c r="D312" s="337" t="s">
        <v>204</v>
      </c>
      <c r="E312" s="1044">
        <v>86326848</v>
      </c>
      <c r="F312" s="1044">
        <f>F310+F311</f>
        <v>86434102</v>
      </c>
      <c r="G312" s="39">
        <f t="shared" si="44"/>
        <v>107254</v>
      </c>
      <c r="H312" s="530"/>
      <c r="I312" s="39">
        <f>I310+I311</f>
        <v>13180535.15</v>
      </c>
      <c r="J312" s="591">
        <f t="shared" si="40"/>
        <v>0.15249230159179533</v>
      </c>
      <c r="K312" s="39"/>
    </row>
    <row r="313" spans="2:22" ht="16.5" thickTop="1" thickBot="1" x14ac:dyDescent="0.3">
      <c r="C313" s="40" t="s">
        <v>205</v>
      </c>
      <c r="D313" s="338" t="s">
        <v>206</v>
      </c>
      <c r="E313" s="1045">
        <v>150304.20000000298</v>
      </c>
      <c r="F313" s="1045">
        <f>F127-F312-0.2</f>
        <v>103594.8</v>
      </c>
      <c r="G313" s="41">
        <f t="shared" si="44"/>
        <v>-46709.400000002977</v>
      </c>
      <c r="H313" s="531"/>
      <c r="I313" s="41">
        <f>I127-I312-0.2</f>
        <v>14257527.01</v>
      </c>
      <c r="J313" s="592">
        <f t="shared" si="40"/>
        <v>137.62782504527254</v>
      </c>
      <c r="K313" s="41"/>
    </row>
    <row r="314" spans="2:22" x14ac:dyDescent="0.25">
      <c r="I314" s="596"/>
    </row>
    <row r="315" spans="2:22" x14ac:dyDescent="0.25">
      <c r="H315" s="558" t="s">
        <v>297</v>
      </c>
      <c r="I315" s="52">
        <f>I289+I283+I276+I265+I253+I248+I243+I238+I224+I218+I209+I191+I189+I187+I186+I184+I183+I148</f>
        <v>1479958</v>
      </c>
    </row>
    <row r="316" spans="2:22" x14ac:dyDescent="0.25">
      <c r="I316" s="557"/>
    </row>
    <row r="317" spans="2:22" x14ac:dyDescent="0.25">
      <c r="I317" s="52">
        <f>13530204-I313</f>
        <v>-727323.00999999978</v>
      </c>
    </row>
    <row r="318" spans="2:22" x14ac:dyDescent="0.25">
      <c r="I318" s="110"/>
    </row>
    <row r="320" spans="2:22" x14ac:dyDescent="0.25">
      <c r="F320" s="42">
        <f>F301+F280+F189+F188+F187+F186+F181+F180+F179+F178+F177+F176+F172+F171+F170+F169+F168+F167+F165+F164+F163+F162+F161+41250</f>
        <v>25646874</v>
      </c>
      <c r="G320" s="587">
        <f>F320/F310</f>
        <v>0.31077098106725703</v>
      </c>
      <c r="H320" s="1065" t="s">
        <v>329</v>
      </c>
      <c r="I320" s="42">
        <f>I301+I280+I189+I188+I187+I186+I181+I180+I179+I178+I177+I176+I172+I171+I170+I169+I168+I167+I165+I164+I163+I162+I161+41250</f>
        <v>2472735.94</v>
      </c>
    </row>
    <row r="321" spans="6:9" x14ac:dyDescent="0.25">
      <c r="F321" s="110">
        <f>F160+F161+F162+F163+F164+F165+F167+F168+F169+F170+F171+F172+F176+F177+F178+F179+F180+F181+F186+F188+F189</f>
        <v>16666896</v>
      </c>
      <c r="G321" s="587">
        <f>I321/F321</f>
        <v>5.8630106049740754E-2</v>
      </c>
      <c r="H321" s="1065" t="s">
        <v>1421</v>
      </c>
      <c r="I321" s="110">
        <f>I160+I161+I162+I163+I164+I165+I167+I168+I169+I170+I171+I172+I176+I177+I178+I179+I180+I181+I186+I188+I189</f>
        <v>977181.88</v>
      </c>
    </row>
  </sheetData>
  <mergeCells count="10">
    <mergeCell ref="C130:D130"/>
    <mergeCell ref="C131:D131"/>
    <mergeCell ref="C2:D2"/>
    <mergeCell ref="C3:D3"/>
    <mergeCell ref="J158:J159"/>
    <mergeCell ref="I52:I53"/>
    <mergeCell ref="I55:I56"/>
    <mergeCell ref="I158:I159"/>
    <mergeCell ref="J52:J53"/>
    <mergeCell ref="J55:J56"/>
  </mergeCells>
  <phoneticPr fontId="83" type="noConversion"/>
  <conditionalFormatting sqref="E313:G313">
    <cfRule type="cellIs" dxfId="3" priority="20" operator="lessThan">
      <formula>0</formula>
    </cfRule>
  </conditionalFormatting>
  <conditionalFormatting sqref="I313:K313">
    <cfRule type="cellIs" dxfId="2" priority="9"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2EA7-5A2B-4644-8D40-B5EFC535D84E}">
  <sheetPr codeName="Lapa26">
    <tabColor rgb="FFC4EB35"/>
    <pageSetUpPr fitToPage="1"/>
  </sheetPr>
  <dimension ref="A1:R118"/>
  <sheetViews>
    <sheetView tabSelected="1" zoomScale="90" zoomScaleNormal="90" workbookViewId="0">
      <selection activeCell="A32" sqref="A32"/>
    </sheetView>
  </sheetViews>
  <sheetFormatPr defaultColWidth="9" defaultRowHeight="12.75" outlineLevelRow="1" x14ac:dyDescent="0.2"/>
  <cols>
    <col min="1" max="1" width="59.85546875" style="188" customWidth="1"/>
    <col min="2" max="3" width="14.42578125" style="188" customWidth="1"/>
    <col min="4" max="4" width="14.85546875" style="188" customWidth="1"/>
    <col min="5" max="5" width="16.140625" style="188" customWidth="1"/>
    <col min="6" max="6" width="9" style="188"/>
    <col min="7" max="7" width="15.28515625" style="188" customWidth="1"/>
    <col min="8" max="10" width="9" style="188"/>
    <col min="11" max="11" width="12.140625" style="188" bestFit="1" customWidth="1"/>
    <col min="12" max="17" width="9" style="188"/>
    <col min="18" max="18" width="12" style="188" customWidth="1"/>
    <col min="19" max="19" width="54.5703125" style="188" customWidth="1"/>
    <col min="20" max="16384" width="9" style="188"/>
  </cols>
  <sheetData>
    <row r="1" spans="1:4" s="189" customFormat="1" x14ac:dyDescent="0.2"/>
    <row r="2" spans="1:4" s="189" customFormat="1" ht="13.5" thickBot="1" x14ac:dyDescent="0.25">
      <c r="B2" s="190" t="s">
        <v>526</v>
      </c>
      <c r="C2" s="191" t="s">
        <v>1404</v>
      </c>
      <c r="D2" s="191"/>
    </row>
    <row r="3" spans="1:4" s="189" customFormat="1" x14ac:dyDescent="0.2"/>
    <row r="5" spans="1:4" ht="57.6" customHeight="1" x14ac:dyDescent="0.2">
      <c r="A5" s="192" t="s">
        <v>527</v>
      </c>
      <c r="B5" s="193" t="s">
        <v>1405</v>
      </c>
      <c r="C5" s="193" t="str">
        <f>"Izpilde"&amp;" "&amp;$C$2</f>
        <v>Izpilde 2026.g. 1. ceturksnis</v>
      </c>
      <c r="D5" s="193" t="str">
        <f>"Ieņēmumu izpilde, %,"&amp;" "&amp;$C$2</f>
        <v>Ieņēmumu izpilde, %, 2026.g. 1. ceturksnis</v>
      </c>
    </row>
    <row r="6" spans="1:4" x14ac:dyDescent="0.2">
      <c r="A6" s="187" t="s">
        <v>528</v>
      </c>
      <c r="B6" s="194">
        <f>SUM(B7,B11:B15,B19:B20)</f>
        <v>67519371</v>
      </c>
      <c r="C6" s="194">
        <f>SUM(C7,C11:C15,C19:C20)</f>
        <v>18630540.710000001</v>
      </c>
      <c r="D6" s="195">
        <f t="shared" ref="D6:D20" si="0">C6/B6</f>
        <v>0.27592882507747296</v>
      </c>
    </row>
    <row r="7" spans="1:4" x14ac:dyDescent="0.2">
      <c r="A7" s="188" t="s">
        <v>529</v>
      </c>
      <c r="B7" s="196">
        <f>'2026.gada budzeta plans_apvieno'!F6</f>
        <v>44951568</v>
      </c>
      <c r="C7" s="196">
        <f>'2026.gada budzeta plans_apvieno'!I6</f>
        <v>11222325</v>
      </c>
      <c r="D7" s="197">
        <f t="shared" si="0"/>
        <v>0.24965369394900752</v>
      </c>
    </row>
    <row r="8" spans="1:4" outlineLevel="1" x14ac:dyDescent="0.2">
      <c r="A8" s="198" t="s">
        <v>530</v>
      </c>
      <c r="B8" s="199">
        <f>'2026.gada budzeta plans_apvieno'!F7</f>
        <v>41652563</v>
      </c>
      <c r="C8" s="199">
        <f>'2026.gada budzeta plans_apvieno'!I7</f>
        <v>9163563.9399999995</v>
      </c>
      <c r="D8" s="200">
        <f t="shared" si="0"/>
        <v>0.22000000192065011</v>
      </c>
    </row>
    <row r="9" spans="1:4" outlineLevel="1" x14ac:dyDescent="0.2">
      <c r="A9" s="198" t="s">
        <v>531</v>
      </c>
      <c r="B9" s="199">
        <f>'2026.gada budzeta plans_apvieno'!F9</f>
        <v>3224005</v>
      </c>
      <c r="C9" s="199">
        <f>'2026.gada budzeta plans_apvieno'!I9</f>
        <v>2014482.73</v>
      </c>
      <c r="D9" s="200">
        <f t="shared" si="0"/>
        <v>0.62483858740913867</v>
      </c>
    </row>
    <row r="10" spans="1:4" outlineLevel="1" x14ac:dyDescent="0.2">
      <c r="A10" s="198" t="s">
        <v>844</v>
      </c>
      <c r="B10" s="199">
        <f>'2026.gada budzeta plans_apvieno'!F19</f>
        <v>75000</v>
      </c>
      <c r="C10" s="199">
        <f>'2026.gada budzeta plans_apvieno'!I19</f>
        <v>44277.979999999996</v>
      </c>
      <c r="D10" s="200">
        <f t="shared" si="0"/>
        <v>0.59037306666666656</v>
      </c>
    </row>
    <row r="11" spans="1:4" x14ac:dyDescent="0.2">
      <c r="A11" s="201" t="s">
        <v>532</v>
      </c>
      <c r="B11" s="196">
        <f>'2026.gada budzeta plans_apvieno'!F22</f>
        <v>144300</v>
      </c>
      <c r="C11" s="196">
        <f>'2026.gada budzeta plans_apvieno'!I22</f>
        <v>31427.86</v>
      </c>
      <c r="D11" s="197">
        <f t="shared" si="0"/>
        <v>0.2177952875952876</v>
      </c>
    </row>
    <row r="12" spans="1:4" x14ac:dyDescent="0.2">
      <c r="A12" s="201" t="s">
        <v>533</v>
      </c>
      <c r="B12" s="196">
        <f>'2026.gada budzeta plans_apvieno'!F34</f>
        <v>130000</v>
      </c>
      <c r="C12" s="196">
        <f>'2026.gada budzeta plans_apvieno'!I34</f>
        <v>42318.97</v>
      </c>
      <c r="D12" s="197">
        <f t="shared" si="0"/>
        <v>0.32553053846153845</v>
      </c>
    </row>
    <row r="13" spans="1:4" x14ac:dyDescent="0.2">
      <c r="A13" s="201" t="s">
        <v>534</v>
      </c>
      <c r="B13" s="196">
        <f>'2026.gada budzeta plans_apvieno'!F37</f>
        <v>38728</v>
      </c>
      <c r="C13" s="196">
        <f>'2026.gada budzeta plans_apvieno'!I37</f>
        <v>20706.91</v>
      </c>
      <c r="D13" s="197">
        <f t="shared" si="0"/>
        <v>0.53467542863044826</v>
      </c>
    </row>
    <row r="14" spans="1:4" x14ac:dyDescent="0.2">
      <c r="A14" s="201" t="s">
        <v>535</v>
      </c>
      <c r="B14" s="196">
        <f>'2026.gada budzeta plans_apvieno'!F41</f>
        <v>0</v>
      </c>
      <c r="C14" s="196">
        <f>'2026.gada budzeta plans_apvieno'!I41</f>
        <v>71994.570000000007</v>
      </c>
      <c r="D14" s="197">
        <v>1</v>
      </c>
    </row>
    <row r="15" spans="1:4" x14ac:dyDescent="0.2">
      <c r="A15" s="201" t="s">
        <v>536</v>
      </c>
      <c r="B15" s="196">
        <f>'2026.gada budzeta plans_apvieno'!F42</f>
        <v>21152808</v>
      </c>
      <c r="C15" s="196">
        <f>'2026.gada budzeta plans_apvieno'!I42</f>
        <v>7041553.4299999997</v>
      </c>
      <c r="D15" s="197">
        <f t="shared" si="0"/>
        <v>0.33288977189222346</v>
      </c>
    </row>
    <row r="16" spans="1:4" outlineLevel="1" x14ac:dyDescent="0.2">
      <c r="A16" s="202" t="s">
        <v>537</v>
      </c>
      <c r="B16" s="199">
        <f>'2026.gada budzeta plans_apvieno'!F43</f>
        <v>10832211</v>
      </c>
      <c r="C16" s="199">
        <f>'2026.gada budzeta plans_apvieno'!I43</f>
        <v>3112229.29</v>
      </c>
      <c r="D16" s="200">
        <f t="shared" si="0"/>
        <v>0.28731246926412346</v>
      </c>
    </row>
    <row r="17" spans="1:4" outlineLevel="1" x14ac:dyDescent="0.2">
      <c r="A17" s="202" t="s">
        <v>560</v>
      </c>
      <c r="B17" s="199">
        <f>'2026.gada budzeta plans_apvieno'!F67</f>
        <v>9373442</v>
      </c>
      <c r="C17" s="199">
        <f>'2026.gada budzeta plans_apvieno'!I67</f>
        <v>3692535.34</v>
      </c>
      <c r="D17" s="200">
        <f t="shared" si="0"/>
        <v>0.39393590316129334</v>
      </c>
    </row>
    <row r="18" spans="1:4" outlineLevel="1" x14ac:dyDescent="0.2">
      <c r="A18" s="202" t="s">
        <v>867</v>
      </c>
      <c r="B18" s="199">
        <f>'2026.gada budzeta plans_apvieno'!F94</f>
        <v>947155</v>
      </c>
      <c r="C18" s="199">
        <f>'2026.gada budzeta plans_apvieno'!I94</f>
        <v>236788.8</v>
      </c>
      <c r="D18" s="200">
        <f t="shared" si="0"/>
        <v>0.25000005278967008</v>
      </c>
    </row>
    <row r="19" spans="1:4" x14ac:dyDescent="0.2">
      <c r="A19" s="201" t="s">
        <v>538</v>
      </c>
      <c r="B19" s="196">
        <f>'2026.gada budzeta plans_apvieno'!F95</f>
        <v>355000</v>
      </c>
      <c r="C19" s="196">
        <f>'2026.gada budzeta plans_apvieno'!I95</f>
        <v>0</v>
      </c>
      <c r="D19" s="197">
        <f t="shared" si="0"/>
        <v>0</v>
      </c>
    </row>
    <row r="20" spans="1:4" x14ac:dyDescent="0.2">
      <c r="A20" s="201" t="s">
        <v>539</v>
      </c>
      <c r="B20" s="196">
        <f>'2026.gada budzeta plans_apvieno'!F98</f>
        <v>746967</v>
      </c>
      <c r="C20" s="196">
        <f>'2026.gada budzeta plans_apvieno'!I98</f>
        <v>200213.97</v>
      </c>
      <c r="D20" s="197">
        <f t="shared" si="0"/>
        <v>0.26803589716814802</v>
      </c>
    </row>
    <row r="21" spans="1:4" outlineLevel="1" x14ac:dyDescent="0.2">
      <c r="A21" s="202" t="s">
        <v>662</v>
      </c>
      <c r="B21" s="199">
        <f>B20-B22-B23</f>
        <v>389583</v>
      </c>
      <c r="C21" s="199">
        <f>C20-C22-C23</f>
        <v>105608.91</v>
      </c>
      <c r="D21" s="200">
        <f>C21/B21</f>
        <v>0.27108192605940201</v>
      </c>
    </row>
    <row r="22" spans="1:4" outlineLevel="1" x14ac:dyDescent="0.2">
      <c r="A22" s="202" t="s">
        <v>561</v>
      </c>
      <c r="B22" s="199">
        <f>'2026.gada budzeta plans_apvieno'!F105</f>
        <v>339912</v>
      </c>
      <c r="C22" s="199">
        <f>'2026.gada budzeta plans_apvieno'!I105</f>
        <v>94605.06</v>
      </c>
      <c r="D22" s="200">
        <f>C22/B22</f>
        <v>0.27832221280802089</v>
      </c>
    </row>
    <row r="23" spans="1:4" outlineLevel="1" x14ac:dyDescent="0.2">
      <c r="A23" s="202" t="s">
        <v>845</v>
      </c>
      <c r="B23" s="199">
        <f>'2026.gada budzeta plans_apvieno'!F102</f>
        <v>17472</v>
      </c>
      <c r="C23" s="199">
        <f>'2026.gada budzeta plans_apvieno'!I102</f>
        <v>0</v>
      </c>
      <c r="D23" s="200">
        <f>C23/B23</f>
        <v>0</v>
      </c>
    </row>
    <row r="24" spans="1:4" x14ac:dyDescent="0.2">
      <c r="A24" s="201"/>
    </row>
    <row r="26" spans="1:4" x14ac:dyDescent="0.2">
      <c r="A26" s="203"/>
      <c r="B26" s="196">
        <f>B6-'2026.gada budzeta plans_apvieno'!F113</f>
        <v>0</v>
      </c>
      <c r="C26" s="196">
        <f>C6-'2026.gada budzeta plans_apvieno'!I113</f>
        <v>0.35000000149011612</v>
      </c>
      <c r="D26" s="197"/>
    </row>
    <row r="27" spans="1:4" x14ac:dyDescent="0.2">
      <c r="A27" s="203"/>
      <c r="B27" s="196"/>
      <c r="C27" s="196"/>
      <c r="D27" s="197"/>
    </row>
    <row r="28" spans="1:4" x14ac:dyDescent="0.2">
      <c r="A28" s="203"/>
      <c r="B28" s="196"/>
      <c r="C28" s="196"/>
      <c r="D28" s="197"/>
    </row>
    <row r="29" spans="1:4" x14ac:dyDescent="0.2">
      <c r="A29" s="204"/>
      <c r="B29" s="196"/>
      <c r="C29" s="196"/>
      <c r="D29" s="197"/>
    </row>
    <row r="30" spans="1:4" s="208" customFormat="1" outlineLevel="1" x14ac:dyDescent="0.2">
      <c r="A30" s="351" t="s">
        <v>3</v>
      </c>
      <c r="B30" s="199"/>
      <c r="C30" s="199"/>
      <c r="D30" s="200"/>
    </row>
    <row r="31" spans="1:4" s="208" customFormat="1" outlineLevel="1" x14ac:dyDescent="0.2">
      <c r="A31" s="560" t="s">
        <v>1443</v>
      </c>
      <c r="B31" s="199"/>
      <c r="C31" s="199"/>
      <c r="D31" s="200"/>
    </row>
    <row r="32" spans="1:4" s="560" customFormat="1" outlineLevel="1" x14ac:dyDescent="0.2">
      <c r="A32" s="560" t="s">
        <v>848</v>
      </c>
      <c r="B32" s="568"/>
      <c r="C32" s="568"/>
      <c r="D32" s="569"/>
    </row>
    <row r="33" spans="1:11" s="560" customFormat="1" outlineLevel="1" x14ac:dyDescent="0.2">
      <c r="A33" s="202" t="s">
        <v>849</v>
      </c>
      <c r="B33" s="568"/>
      <c r="C33" s="568"/>
      <c r="D33" s="569"/>
    </row>
    <row r="34" spans="1:11" s="560" customFormat="1" outlineLevel="1" x14ac:dyDescent="0.2">
      <c r="A34" s="202" t="s">
        <v>865</v>
      </c>
      <c r="B34" s="568"/>
      <c r="C34" s="568"/>
      <c r="D34" s="569"/>
    </row>
    <row r="35" spans="1:11" s="560" customFormat="1" outlineLevel="1" x14ac:dyDescent="0.2">
      <c r="A35" s="202" t="s">
        <v>1406</v>
      </c>
      <c r="B35" s="568"/>
      <c r="C35" s="568"/>
      <c r="D35" s="569"/>
    </row>
    <row r="36" spans="1:11" s="560" customFormat="1" outlineLevel="1" x14ac:dyDescent="0.2">
      <c r="A36" s="202" t="s">
        <v>866</v>
      </c>
      <c r="B36" s="568"/>
      <c r="C36" s="568"/>
      <c r="D36" s="569"/>
    </row>
    <row r="37" spans="1:11" s="208" customFormat="1" outlineLevel="1" x14ac:dyDescent="0.2">
      <c r="A37" s="560" t="s">
        <v>663</v>
      </c>
      <c r="B37" s="199"/>
      <c r="C37" s="199"/>
      <c r="D37" s="200"/>
    </row>
    <row r="38" spans="1:11" s="208" customFormat="1" outlineLevel="1" x14ac:dyDescent="0.2">
      <c r="A38" s="560" t="s">
        <v>1407</v>
      </c>
      <c r="B38" s="199"/>
      <c r="C38" s="199"/>
      <c r="D38" s="200"/>
    </row>
    <row r="39" spans="1:11" s="208" customFormat="1" outlineLevel="1" x14ac:dyDescent="0.2">
      <c r="A39" s="560" t="s">
        <v>1408</v>
      </c>
      <c r="B39" s="199"/>
      <c r="C39" s="199"/>
      <c r="D39" s="200"/>
      <c r="K39" s="611"/>
    </row>
    <row r="40" spans="1:11" s="208" customFormat="1" outlineLevel="1" x14ac:dyDescent="0.2">
      <c r="A40" s="560" t="s">
        <v>1409</v>
      </c>
      <c r="B40" s="199"/>
      <c r="C40" s="199"/>
      <c r="D40" s="200"/>
      <c r="K40" s="611"/>
    </row>
    <row r="41" spans="1:11" s="208" customFormat="1" outlineLevel="1" x14ac:dyDescent="0.2">
      <c r="A41" s="560" t="s">
        <v>1410</v>
      </c>
      <c r="B41" s="199"/>
      <c r="C41" s="199"/>
      <c r="D41" s="200"/>
    </row>
    <row r="42" spans="1:11" s="560" customFormat="1" ht="15" customHeight="1" outlineLevel="1" x14ac:dyDescent="0.2">
      <c r="A42" s="202" t="s">
        <v>1411</v>
      </c>
      <c r="B42" s="568"/>
      <c r="C42" s="568"/>
      <c r="D42" s="569"/>
    </row>
    <row r="43" spans="1:11" s="208" customFormat="1" outlineLevel="1" x14ac:dyDescent="0.2">
      <c r="A43" s="202" t="s">
        <v>1412</v>
      </c>
      <c r="B43" s="199"/>
      <c r="C43" s="199"/>
      <c r="D43" s="200"/>
    </row>
    <row r="44" spans="1:11" s="208" customFormat="1" outlineLevel="1" x14ac:dyDescent="0.2">
      <c r="A44" s="202" t="s">
        <v>1413</v>
      </c>
      <c r="B44" s="199"/>
      <c r="C44" s="199"/>
      <c r="D44" s="200"/>
    </row>
    <row r="45" spans="1:11" s="208" customFormat="1" outlineLevel="1" x14ac:dyDescent="0.2">
      <c r="A45" s="560" t="s">
        <v>851</v>
      </c>
      <c r="B45" s="199"/>
      <c r="C45" s="199"/>
      <c r="D45" s="200"/>
    </row>
    <row r="46" spans="1:11" s="198" customFormat="1" outlineLevel="1" x14ac:dyDescent="0.2">
      <c r="A46" s="560" t="s">
        <v>868</v>
      </c>
      <c r="B46" s="209"/>
      <c r="C46" s="209"/>
      <c r="D46" s="210"/>
    </row>
    <row r="47" spans="1:11" s="198" customFormat="1" outlineLevel="1" x14ac:dyDescent="0.2">
      <c r="A47" s="560" t="s">
        <v>1414</v>
      </c>
      <c r="B47" s="209"/>
      <c r="C47" s="209"/>
      <c r="D47" s="210"/>
    </row>
    <row r="48" spans="1:11" x14ac:dyDescent="0.2">
      <c r="A48" s="203"/>
      <c r="B48" s="196"/>
      <c r="C48" s="196"/>
      <c r="D48" s="197"/>
    </row>
    <row r="49" spans="1:6" x14ac:dyDescent="0.2">
      <c r="A49" s="203"/>
      <c r="B49" s="196"/>
      <c r="C49" s="196"/>
      <c r="D49" s="197"/>
    </row>
    <row r="52" spans="1:6" x14ac:dyDescent="0.2">
      <c r="C52" s="211"/>
    </row>
    <row r="54" spans="1:6" ht="57.6" customHeight="1" x14ac:dyDescent="0.2">
      <c r="A54" s="192" t="s">
        <v>540</v>
      </c>
      <c r="B54" s="193" t="str">
        <f>B5</f>
        <v>26.03.206. grozījumi</v>
      </c>
      <c r="C54" s="193" t="str">
        <f>"Izpilde"&amp;" "&amp;$C$2</f>
        <v>Izpilde 2026.g. 1. ceturksnis</v>
      </c>
      <c r="D54" s="193" t="str">
        <f>"Izdevumu izpilde, %,"&amp;" "&amp;$C$2</f>
        <v>Izdevumu izpilde, %, 2026.g. 1. ceturksnis</v>
      </c>
    </row>
    <row r="55" spans="1:6" ht="12.75" customHeight="1" x14ac:dyDescent="0.2">
      <c r="A55" s="187" t="s">
        <v>541</v>
      </c>
      <c r="B55" s="205">
        <f>SUM(B56,B60:B64,B69:B71,B84)</f>
        <v>86434102</v>
      </c>
      <c r="C55" s="205">
        <f>SUM(C56,C60:C64,C69:C71,C84)</f>
        <v>13180535.15</v>
      </c>
      <c r="D55" s="197">
        <f t="shared" ref="D55:D75" si="1">C55/B55</f>
        <v>0.15249230159179533</v>
      </c>
    </row>
    <row r="56" spans="1:6" ht="12.75" customHeight="1" x14ac:dyDescent="0.2">
      <c r="A56" s="188" t="s">
        <v>542</v>
      </c>
      <c r="B56" s="196">
        <f>'2026.gada budzeta plans_apvieno'!F133</f>
        <v>12133954</v>
      </c>
      <c r="C56" s="196">
        <f>'2026.gada budzeta plans_apvieno'!I133</f>
        <v>2521871.5199999996</v>
      </c>
      <c r="D56" s="197">
        <f t="shared" si="1"/>
        <v>0.20783592223936234</v>
      </c>
      <c r="E56" s="197"/>
      <c r="F56" s="206"/>
    </row>
    <row r="57" spans="1:6" ht="12.75" customHeight="1" outlineLevel="1" x14ac:dyDescent="0.2">
      <c r="A57" s="198" t="s">
        <v>556</v>
      </c>
      <c r="B57" s="199">
        <f>'2026.gada budzeta plans_apvieno'!F134+'2026.gada budzeta plans_apvieno'!F135+'2026.gada budzeta plans_apvieno'!F136+'2026.gada budzeta plans_apvieno'!F137+'2026.gada budzeta plans_apvieno'!F138+'2026.gada budzeta plans_apvieno'!F139+'2026.gada budzeta plans_apvieno'!F142</f>
        <v>3354842</v>
      </c>
      <c r="C57" s="199">
        <f>'2026.gada budzeta plans_apvieno'!I134+'2026.gada budzeta plans_apvieno'!I135+'2026.gada budzeta plans_apvieno'!I136+'2026.gada budzeta plans_apvieno'!I137+'2026.gada budzeta plans_apvieno'!I138+'2026.gada budzeta plans_apvieno'!I139+'2026.gada budzeta plans_apvieno'!I142</f>
        <v>575305.72999999975</v>
      </c>
      <c r="D57" s="200">
        <f t="shared" si="1"/>
        <v>0.17148519363952155</v>
      </c>
      <c r="E57" s="197"/>
      <c r="F57" s="206"/>
    </row>
    <row r="58" spans="1:6" ht="12.75" customHeight="1" outlineLevel="1" x14ac:dyDescent="0.2">
      <c r="A58" s="198" t="s">
        <v>557</v>
      </c>
      <c r="B58" s="199">
        <f>'2026.gada budzeta plans_apvieno'!F140</f>
        <v>1402431</v>
      </c>
      <c r="C58" s="199">
        <f>'2026.gada budzeta plans_apvieno'!I140</f>
        <v>323695.99</v>
      </c>
      <c r="D58" s="200">
        <f t="shared" si="1"/>
        <v>0.23081063524693907</v>
      </c>
      <c r="E58" s="197"/>
      <c r="F58" s="206"/>
    </row>
    <row r="59" spans="1:6" ht="12.75" customHeight="1" outlineLevel="1" x14ac:dyDescent="0.2">
      <c r="A59" s="198" t="s">
        <v>558</v>
      </c>
      <c r="B59" s="199">
        <f>'2026.gada budzeta plans_apvieno'!F141</f>
        <v>7376681</v>
      </c>
      <c r="C59" s="199">
        <f>'2026.gada budzeta plans_apvieno'!I141</f>
        <v>1622869.8</v>
      </c>
      <c r="D59" s="200">
        <f t="shared" si="1"/>
        <v>0.21999999728875358</v>
      </c>
      <c r="E59" s="197"/>
      <c r="F59" s="206"/>
    </row>
    <row r="60" spans="1:6" ht="12.75" customHeight="1" x14ac:dyDescent="0.2">
      <c r="A60" s="188" t="s">
        <v>543</v>
      </c>
      <c r="B60" s="196">
        <f>'2026.gada budzeta plans_apvieno'!F143</f>
        <v>1223875</v>
      </c>
      <c r="C60" s="196">
        <f>'2026.gada budzeta plans_apvieno'!I143</f>
        <v>174193.16</v>
      </c>
      <c r="D60" s="197">
        <f t="shared" si="1"/>
        <v>0.14232920845674599</v>
      </c>
      <c r="E60" s="197"/>
      <c r="F60" s="206"/>
    </row>
    <row r="61" spans="1:6" ht="12.75" customHeight="1" x14ac:dyDescent="0.2">
      <c r="A61" s="188" t="s">
        <v>544</v>
      </c>
      <c r="B61" s="196">
        <f>'2026.gada budzeta plans_apvieno'!F145</f>
        <v>236187</v>
      </c>
      <c r="C61" s="196">
        <f>'2026.gada budzeta plans_apvieno'!I145</f>
        <v>32535.360000000001</v>
      </c>
      <c r="D61" s="197">
        <f t="shared" si="1"/>
        <v>0.13775254353541896</v>
      </c>
      <c r="E61" s="197"/>
      <c r="F61" s="206"/>
    </row>
    <row r="62" spans="1:6" ht="12.75" customHeight="1" x14ac:dyDescent="0.2">
      <c r="A62" s="188" t="s">
        <v>545</v>
      </c>
      <c r="B62" s="196">
        <f>'2026.gada budzeta plans_apvieno'!F148</f>
        <v>482345</v>
      </c>
      <c r="C62" s="196">
        <f>'2026.gada budzeta plans_apvieno'!I148</f>
        <v>81291</v>
      </c>
      <c r="D62" s="197">
        <f t="shared" si="1"/>
        <v>0.16853289657817538</v>
      </c>
      <c r="E62" s="197"/>
      <c r="F62" s="206"/>
    </row>
    <row r="63" spans="1:6" ht="12.75" customHeight="1" x14ac:dyDescent="0.2">
      <c r="A63" s="188" t="s">
        <v>546</v>
      </c>
      <c r="B63" s="196">
        <f>'2026.gada budzeta plans_apvieno'!F149</f>
        <v>35606</v>
      </c>
      <c r="C63" s="196">
        <f>'2026.gada budzeta plans_apvieno'!I149</f>
        <v>10399.129999999999</v>
      </c>
      <c r="D63" s="197">
        <f t="shared" si="1"/>
        <v>0.29206116946582034</v>
      </c>
      <c r="E63" s="197"/>
      <c r="F63" s="206"/>
    </row>
    <row r="64" spans="1:6" ht="12.75" customHeight="1" x14ac:dyDescent="0.2">
      <c r="A64" s="188" t="s">
        <v>547</v>
      </c>
      <c r="B64" s="196">
        <f>'2026.gada budzeta plans_apvieno'!F151</f>
        <v>24823592</v>
      </c>
      <c r="C64" s="196">
        <f>'2026.gada budzeta plans_apvieno'!I151</f>
        <v>2136867.83</v>
      </c>
      <c r="D64" s="197">
        <f t="shared" si="1"/>
        <v>8.6082136300016529E-2</v>
      </c>
      <c r="E64" s="197"/>
      <c r="F64" s="206"/>
    </row>
    <row r="65" spans="1:6" ht="12.75" customHeight="1" outlineLevel="1" x14ac:dyDescent="0.2">
      <c r="A65" s="198" t="s">
        <v>562</v>
      </c>
      <c r="B65" s="199">
        <f>SUM('2026.gada budzeta plans_apvieno'!F175,'2026.gada budzeta plans_apvieno'!F157,'2026.gada budzeta plans_apvieno'!F155,'2026.gada budzeta plans_apvieno'!F154)</f>
        <v>1575146</v>
      </c>
      <c r="C65" s="199">
        <f>SUM('2026.gada budzeta plans_apvieno'!I175,'2026.gada budzeta plans_apvieno'!I157,'2026.gada budzeta plans_apvieno'!I155,'2026.gada budzeta plans_apvieno'!I154)</f>
        <v>238584.25</v>
      </c>
      <c r="D65" s="200">
        <f t="shared" si="1"/>
        <v>0.15146802264678957</v>
      </c>
      <c r="E65" s="197"/>
      <c r="F65" s="206"/>
    </row>
    <row r="66" spans="1:6" ht="12.75" customHeight="1" outlineLevel="1" x14ac:dyDescent="0.2">
      <c r="A66" s="198" t="s">
        <v>846</v>
      </c>
      <c r="B66" s="199">
        <f>'2026.gada budzeta plans_apvieno'!F182</f>
        <v>6378472</v>
      </c>
      <c r="C66" s="199">
        <f>'2026.gada budzeta plans_apvieno'!I182</f>
        <v>920701.7</v>
      </c>
      <c r="D66" s="200">
        <f t="shared" si="1"/>
        <v>0.14434518173004443</v>
      </c>
      <c r="E66" s="197"/>
      <c r="F66" s="206"/>
    </row>
    <row r="67" spans="1:6" ht="12.75" customHeight="1" outlineLevel="1" x14ac:dyDescent="0.2">
      <c r="A67" s="559" t="s">
        <v>847</v>
      </c>
      <c r="B67" s="199">
        <f>'2026.gada budzeta plans_apvieno'!F152+'2026.gada budzeta plans_apvieno'!F153</f>
        <v>151528</v>
      </c>
      <c r="C67" s="199">
        <f>'2026.gada budzeta plans_apvieno'!I152+'2026.gada budzeta plans_apvieno'!I153</f>
        <v>0</v>
      </c>
      <c r="D67" s="200">
        <f t="shared" si="1"/>
        <v>0</v>
      </c>
      <c r="E67" s="197"/>
      <c r="F67" s="206"/>
    </row>
    <row r="68" spans="1:6" ht="12.75" customHeight="1" outlineLevel="1" x14ac:dyDescent="0.2">
      <c r="A68" s="198" t="s">
        <v>559</v>
      </c>
      <c r="B68" s="199">
        <f>B64-B65-B67-B66</f>
        <v>16718446</v>
      </c>
      <c r="C68" s="199">
        <f>C64-C65-C67-C66</f>
        <v>977581.88000000012</v>
      </c>
      <c r="D68" s="200">
        <f t="shared" si="1"/>
        <v>5.8473250444449211E-2</v>
      </c>
      <c r="E68" s="197"/>
      <c r="F68" s="206"/>
    </row>
    <row r="69" spans="1:6" ht="12.75" customHeight="1" x14ac:dyDescent="0.2">
      <c r="A69" s="188" t="s">
        <v>548</v>
      </c>
      <c r="B69" s="196">
        <f>'2026.gada budzeta plans_apvieno'!F197</f>
        <v>3010993</v>
      </c>
      <c r="C69" s="196">
        <f>'2026.gada budzeta plans_apvieno'!I197</f>
        <v>438701.25</v>
      </c>
      <c r="D69" s="197">
        <f t="shared" si="1"/>
        <v>0.14569985715675859</v>
      </c>
      <c r="E69" s="197"/>
      <c r="F69" s="206"/>
    </row>
    <row r="70" spans="1:6" ht="12.75" customHeight="1" x14ac:dyDescent="0.2">
      <c r="A70" s="188" t="s">
        <v>549</v>
      </c>
      <c r="B70" s="196">
        <f>'2026.gada budzeta plans_apvieno'!F212</f>
        <v>3909733</v>
      </c>
      <c r="C70" s="196">
        <f>'2026.gada budzeta plans_apvieno'!I212</f>
        <v>743598.68</v>
      </c>
      <c r="D70" s="197">
        <f t="shared" si="1"/>
        <v>0.19019167805064952</v>
      </c>
      <c r="E70" s="197"/>
      <c r="F70" s="206"/>
    </row>
    <row r="71" spans="1:6" ht="12.75" customHeight="1" x14ac:dyDescent="0.2">
      <c r="A71" s="188" t="s">
        <v>550</v>
      </c>
      <c r="B71" s="196">
        <f>'2026.gada budzeta plans_apvieno'!F232</f>
        <v>36670320</v>
      </c>
      <c r="C71" s="196">
        <f>'2026.gada budzeta plans_apvieno'!I232</f>
        <v>5842663.2200000007</v>
      </c>
      <c r="D71" s="197">
        <f t="shared" si="1"/>
        <v>0.15932948553489582</v>
      </c>
      <c r="E71" s="207"/>
      <c r="F71" s="206"/>
    </row>
    <row r="72" spans="1:6" ht="12.75" customHeight="1" outlineLevel="1" x14ac:dyDescent="0.2">
      <c r="A72" s="198" t="s">
        <v>573</v>
      </c>
      <c r="B72" s="199">
        <f>'2026.gada budzeta plans_apvieno'!F233</f>
        <v>800000</v>
      </c>
      <c r="C72" s="199">
        <f>'2026.gada budzeta plans_apvieno'!I233</f>
        <v>26226.55</v>
      </c>
      <c r="D72" s="200">
        <f t="shared" si="1"/>
        <v>3.2783187499999998E-2</v>
      </c>
      <c r="E72" s="207"/>
      <c r="F72" s="206"/>
    </row>
    <row r="73" spans="1:6" ht="12.75" customHeight="1" outlineLevel="1" x14ac:dyDescent="0.2">
      <c r="A73" s="198" t="s">
        <v>569</v>
      </c>
      <c r="B73" s="199">
        <f>'2026.gada budzeta plans_apvieno'!F234</f>
        <v>2527822</v>
      </c>
      <c r="C73" s="199">
        <f>'2026.gada budzeta plans_apvieno'!I234</f>
        <v>377867.81</v>
      </c>
      <c r="D73" s="200">
        <f t="shared" si="1"/>
        <v>0.14948355145259437</v>
      </c>
      <c r="E73" s="197"/>
      <c r="F73" s="206"/>
    </row>
    <row r="74" spans="1:6" ht="12.75" customHeight="1" outlineLevel="1" x14ac:dyDescent="0.2">
      <c r="A74" s="198" t="s">
        <v>570</v>
      </c>
      <c r="B74" s="199">
        <f>'2026.gada budzeta plans_apvieno'!F239</f>
        <v>1472568</v>
      </c>
      <c r="C74" s="199">
        <f>'2026.gada budzeta plans_apvieno'!I239</f>
        <v>219135.16</v>
      </c>
      <c r="D74" s="200">
        <f t="shared" si="1"/>
        <v>0.1488115727083571</v>
      </c>
      <c r="E74" s="197"/>
      <c r="F74" s="206"/>
    </row>
    <row r="75" spans="1:6" ht="12.75" customHeight="1" outlineLevel="1" x14ac:dyDescent="0.2">
      <c r="A75" s="198" t="s">
        <v>571</v>
      </c>
      <c r="B75" s="199">
        <f>'2026.gada budzeta plans_apvieno'!F244</f>
        <v>1764581</v>
      </c>
      <c r="C75" s="199">
        <f>'2026.gada budzeta plans_apvieno'!I244</f>
        <v>271899.54000000004</v>
      </c>
      <c r="D75" s="200">
        <f t="shared" si="1"/>
        <v>0.15408731024532171</v>
      </c>
      <c r="E75" s="197"/>
      <c r="F75" s="206"/>
    </row>
    <row r="76" spans="1:6" ht="12.75" customHeight="1" outlineLevel="1" x14ac:dyDescent="0.2">
      <c r="A76" s="198" t="s">
        <v>572</v>
      </c>
      <c r="B76" s="199">
        <f>'2026.gada budzeta plans_apvieno'!F249</f>
        <v>1597860</v>
      </c>
      <c r="C76" s="199">
        <f>'2026.gada budzeta plans_apvieno'!I249</f>
        <v>247466.18</v>
      </c>
      <c r="D76" s="200">
        <f t="shared" ref="D76:D83" si="2">C76/B76</f>
        <v>0.15487350581402626</v>
      </c>
      <c r="E76" s="197"/>
      <c r="F76" s="206"/>
    </row>
    <row r="77" spans="1:6" ht="12.75" customHeight="1" outlineLevel="1" x14ac:dyDescent="0.2">
      <c r="A77" s="198" t="s">
        <v>563</v>
      </c>
      <c r="B77" s="199">
        <f>'2026.gada budzeta plans_apvieno'!F254</f>
        <v>3367469</v>
      </c>
      <c r="C77" s="199">
        <f>'2026.gada budzeta plans_apvieno'!I254</f>
        <v>792313.00000000012</v>
      </c>
      <c r="D77" s="200">
        <f t="shared" si="2"/>
        <v>0.2352844228113162</v>
      </c>
      <c r="E77" s="197"/>
      <c r="F77" s="206"/>
    </row>
    <row r="78" spans="1:6" ht="12.75" customHeight="1" outlineLevel="1" x14ac:dyDescent="0.2">
      <c r="A78" s="198" t="s">
        <v>1368</v>
      </c>
      <c r="B78" s="199">
        <f>'2026.gada budzeta plans_apvieno'!F258</f>
        <v>3231139</v>
      </c>
      <c r="C78" s="199">
        <f>'2026.gada budzeta plans_apvieno'!I258</f>
        <v>533576.57000000007</v>
      </c>
      <c r="D78" s="200">
        <f t="shared" si="2"/>
        <v>0.16513575243900064</v>
      </c>
      <c r="E78" s="197"/>
      <c r="F78" s="206"/>
    </row>
    <row r="79" spans="1:6" ht="12.75" customHeight="1" outlineLevel="1" x14ac:dyDescent="0.2">
      <c r="A79" s="198" t="s">
        <v>564</v>
      </c>
      <c r="B79" s="199">
        <f>'2026.gada budzeta plans_apvieno'!F270</f>
        <v>8577434</v>
      </c>
      <c r="C79" s="199">
        <f>'2026.gada budzeta plans_apvieno'!I270</f>
        <v>1380277.14</v>
      </c>
      <c r="D79" s="200">
        <f t="shared" si="2"/>
        <v>0.16091958737310014</v>
      </c>
      <c r="E79" s="197"/>
      <c r="F79" s="206"/>
    </row>
    <row r="80" spans="1:6" ht="12.75" customHeight="1" outlineLevel="1" x14ac:dyDescent="0.2">
      <c r="A80" s="198" t="s">
        <v>565</v>
      </c>
      <c r="B80" s="199">
        <f>'2026.gada budzeta plans_apvieno'!F290</f>
        <v>1995994</v>
      </c>
      <c r="C80" s="199">
        <f>'2026.gada budzeta plans_apvieno'!I290</f>
        <v>328853.23</v>
      </c>
      <c r="D80" s="200">
        <f t="shared" si="2"/>
        <v>0.16475662251489734</v>
      </c>
      <c r="E80" s="197"/>
      <c r="F80" s="206"/>
    </row>
    <row r="81" spans="1:18" ht="12.75" customHeight="1" outlineLevel="1" x14ac:dyDescent="0.2">
      <c r="A81" s="198" t="s">
        <v>566</v>
      </c>
      <c r="B81" s="199">
        <f>'2026.gada budzeta plans_apvieno'!F293</f>
        <v>915221</v>
      </c>
      <c r="C81" s="199">
        <f>'2026.gada budzeta plans_apvieno'!I293</f>
        <v>155223.41</v>
      </c>
      <c r="D81" s="200">
        <f t="shared" si="2"/>
        <v>0.16960210703207204</v>
      </c>
      <c r="E81" s="197"/>
      <c r="F81" s="206"/>
    </row>
    <row r="82" spans="1:18" ht="12.75" customHeight="1" outlineLevel="1" x14ac:dyDescent="0.2">
      <c r="A82" s="198" t="s">
        <v>567</v>
      </c>
      <c r="B82" s="199">
        <f>'2026.gada budzeta plans_apvieno'!F296</f>
        <v>806783</v>
      </c>
      <c r="C82" s="199">
        <f>'2026.gada budzeta plans_apvieno'!I296</f>
        <v>87796</v>
      </c>
      <c r="D82" s="200">
        <f t="shared" si="2"/>
        <v>0.10882232273114331</v>
      </c>
      <c r="E82" s="197"/>
      <c r="F82" s="206"/>
    </row>
    <row r="83" spans="1:18" ht="12.75" customHeight="1" outlineLevel="1" x14ac:dyDescent="0.2">
      <c r="A83" s="198" t="s">
        <v>568</v>
      </c>
      <c r="B83" s="199">
        <f>B71-SUM(B72:B82)</f>
        <v>9613449</v>
      </c>
      <c r="C83" s="199">
        <f>C71-SUM(C72:C82)</f>
        <v>1422028.6300000008</v>
      </c>
      <c r="D83" s="200">
        <f t="shared" si="2"/>
        <v>0.14792075455957596</v>
      </c>
      <c r="E83" s="197"/>
      <c r="F83" s="206"/>
    </row>
    <row r="84" spans="1:18" ht="12.75" customHeight="1" x14ac:dyDescent="0.2">
      <c r="A84" s="188" t="s">
        <v>551</v>
      </c>
      <c r="B84" s="196">
        <f>'2026.gada budzeta plans_apvieno'!F311</f>
        <v>3907497</v>
      </c>
      <c r="C84" s="196">
        <f>'2026.gada budzeta plans_apvieno'!I311</f>
        <v>1198414</v>
      </c>
      <c r="D84" s="197">
        <f>C84/B84</f>
        <v>0.30669607679801164</v>
      </c>
      <c r="E84" s="197"/>
      <c r="F84" s="206"/>
    </row>
    <row r="85" spans="1:18" x14ac:dyDescent="0.2">
      <c r="B85" s="196"/>
      <c r="C85" s="196"/>
      <c r="E85" s="197"/>
      <c r="F85" s="206"/>
    </row>
    <row r="86" spans="1:18" x14ac:dyDescent="0.2">
      <c r="B86" s="196">
        <f>B55-'2026.gada budzeta plans_apvieno'!F312</f>
        <v>0</v>
      </c>
      <c r="C86" s="188">
        <f>C55-'2026.gada budzeta plans_apvieno'!I312</f>
        <v>0</v>
      </c>
    </row>
    <row r="88" spans="1:18" x14ac:dyDescent="0.2">
      <c r="A88" s="188" t="s">
        <v>329</v>
      </c>
      <c r="B88" s="196">
        <f>'2026.gada budzeta plans_apvieno'!F320</f>
        <v>25646874</v>
      </c>
      <c r="C88" s="196">
        <f>'2026.gada budzeta plans_apvieno'!I320</f>
        <v>2472735.94</v>
      </c>
      <c r="D88" s="197">
        <f>C88/B88</f>
        <v>9.6414710814269208E-2</v>
      </c>
    </row>
    <row r="89" spans="1:18" x14ac:dyDescent="0.2">
      <c r="B89" s="196"/>
      <c r="C89" s="196"/>
    </row>
    <row r="90" spans="1:18" s="208" customFormat="1" outlineLevel="1" x14ac:dyDescent="0.2">
      <c r="A90" s="351" t="s">
        <v>3</v>
      </c>
      <c r="B90" s="199"/>
      <c r="C90" s="199"/>
      <c r="D90" s="200"/>
    </row>
    <row r="91" spans="1:18" s="208" customFormat="1" outlineLevel="1" x14ac:dyDescent="0.2">
      <c r="A91" s="612" t="s">
        <v>1415</v>
      </c>
      <c r="B91" s="602"/>
      <c r="C91" s="602"/>
      <c r="D91" s="602"/>
      <c r="E91" s="603"/>
      <c r="F91" s="603"/>
      <c r="G91" s="603"/>
      <c r="H91" s="603"/>
      <c r="I91" s="603"/>
      <c r="J91" s="603"/>
      <c r="K91" s="603"/>
      <c r="L91" s="603"/>
      <c r="M91" s="603"/>
      <c r="N91" s="603"/>
      <c r="O91" s="603"/>
      <c r="P91" s="603"/>
      <c r="Q91" s="603"/>
      <c r="R91" s="603"/>
    </row>
    <row r="92" spans="1:18" s="208" customFormat="1" ht="12.75" customHeight="1" outlineLevel="1" x14ac:dyDescent="0.2">
      <c r="A92" s="202" t="s">
        <v>1416</v>
      </c>
      <c r="B92" s="604"/>
      <c r="C92" s="605"/>
      <c r="D92" s="604"/>
      <c r="E92" s="602"/>
      <c r="F92" s="602"/>
      <c r="G92" s="602"/>
      <c r="H92" s="602"/>
      <c r="I92" s="602"/>
      <c r="J92" s="602"/>
      <c r="K92" s="602"/>
      <c r="L92" s="602"/>
      <c r="M92" s="602"/>
      <c r="N92" s="602"/>
      <c r="O92" s="602"/>
      <c r="P92" s="602"/>
      <c r="Q92" s="602"/>
      <c r="R92" s="602"/>
    </row>
    <row r="93" spans="1:18" s="198" customFormat="1" outlineLevel="1" x14ac:dyDescent="0.2">
      <c r="A93" s="202" t="s">
        <v>1417</v>
      </c>
      <c r="B93" s="604"/>
      <c r="C93" s="605"/>
      <c r="D93" s="604"/>
      <c r="E93" s="604"/>
      <c r="F93" s="604"/>
      <c r="G93" s="604"/>
      <c r="H93" s="604"/>
      <c r="I93" s="604"/>
      <c r="J93" s="604"/>
      <c r="K93" s="604"/>
      <c r="L93" s="604"/>
      <c r="M93" s="604"/>
      <c r="N93" s="604"/>
      <c r="O93" s="604"/>
      <c r="P93" s="604"/>
      <c r="Q93" s="604"/>
      <c r="R93" s="604"/>
    </row>
    <row r="94" spans="1:18" s="198" customFormat="1" outlineLevel="1" x14ac:dyDescent="0.2">
      <c r="A94" s="202" t="s">
        <v>651</v>
      </c>
      <c r="B94" s="604"/>
      <c r="C94" s="605"/>
      <c r="D94" s="604"/>
      <c r="E94" s="604"/>
      <c r="F94" s="604"/>
      <c r="G94" s="604"/>
      <c r="H94" s="604"/>
      <c r="I94" s="604"/>
      <c r="J94" s="604"/>
      <c r="K94" s="604"/>
      <c r="L94" s="604"/>
      <c r="M94" s="604"/>
      <c r="N94" s="604"/>
      <c r="O94" s="604"/>
      <c r="P94" s="604"/>
      <c r="Q94" s="604"/>
      <c r="R94" s="604"/>
    </row>
    <row r="95" spans="1:18" s="198" customFormat="1" outlineLevel="1" x14ac:dyDescent="0.2">
      <c r="A95" s="560" t="s">
        <v>1418</v>
      </c>
      <c r="B95" s="603"/>
      <c r="C95" s="606"/>
      <c r="D95" s="603"/>
      <c r="E95" s="604"/>
      <c r="F95" s="604"/>
      <c r="G95" s="604"/>
      <c r="H95" s="604"/>
      <c r="I95" s="604"/>
      <c r="J95" s="604"/>
      <c r="K95" s="604"/>
      <c r="L95" s="604"/>
      <c r="M95" s="604"/>
      <c r="N95" s="604"/>
      <c r="O95" s="604"/>
      <c r="P95" s="604"/>
      <c r="Q95" s="604"/>
      <c r="R95" s="604"/>
    </row>
    <row r="96" spans="1:18" s="208" customFormat="1" outlineLevel="1" x14ac:dyDescent="0.2">
      <c r="A96" s="560" t="s">
        <v>1419</v>
      </c>
      <c r="B96" s="603"/>
      <c r="C96" s="606"/>
      <c r="D96" s="603"/>
      <c r="E96" s="603"/>
      <c r="F96" s="603"/>
      <c r="G96" s="603"/>
      <c r="H96" s="603"/>
      <c r="I96" s="603"/>
      <c r="J96" s="603"/>
      <c r="K96" s="603"/>
      <c r="L96" s="603"/>
      <c r="M96" s="603"/>
      <c r="N96" s="603"/>
      <c r="O96" s="603"/>
      <c r="P96" s="603"/>
      <c r="Q96" s="603"/>
      <c r="R96" s="603"/>
    </row>
    <row r="97" spans="1:18" s="208" customFormat="1" outlineLevel="1" x14ac:dyDescent="0.2">
      <c r="A97" s="560" t="s">
        <v>852</v>
      </c>
      <c r="B97" s="603"/>
      <c r="C97" s="606"/>
      <c r="D97" s="603"/>
      <c r="E97" s="603"/>
      <c r="F97" s="603"/>
      <c r="G97" s="603"/>
      <c r="H97" s="603"/>
      <c r="I97" s="603"/>
      <c r="J97" s="603"/>
      <c r="K97" s="603"/>
      <c r="L97" s="603"/>
      <c r="M97" s="603"/>
      <c r="N97" s="603"/>
      <c r="O97" s="603"/>
      <c r="P97" s="603"/>
      <c r="Q97" s="603"/>
      <c r="R97" s="603"/>
    </row>
    <row r="98" spans="1:18" s="208" customFormat="1" ht="15" customHeight="1" outlineLevel="1" x14ac:dyDescent="0.2">
      <c r="A98" s="560" t="s">
        <v>1420</v>
      </c>
      <c r="B98" s="603"/>
      <c r="C98" s="606"/>
      <c r="D98" s="603"/>
      <c r="E98" s="603"/>
      <c r="F98" s="603"/>
      <c r="G98" s="603"/>
      <c r="H98" s="603"/>
      <c r="I98" s="603"/>
      <c r="J98" s="603"/>
      <c r="K98" s="603"/>
      <c r="L98" s="603"/>
      <c r="M98" s="603"/>
      <c r="N98" s="603"/>
      <c r="O98" s="603"/>
      <c r="P98" s="603"/>
      <c r="Q98" s="603"/>
      <c r="R98" s="603"/>
    </row>
    <row r="99" spans="1:18" s="208" customFormat="1" outlineLevel="1" x14ac:dyDescent="0.2">
      <c r="A99" s="560" t="s">
        <v>1422</v>
      </c>
      <c r="B99" s="603"/>
      <c r="C99" s="606"/>
      <c r="D99" s="603"/>
      <c r="E99" s="603"/>
      <c r="F99" s="603"/>
      <c r="G99" s="603"/>
      <c r="H99" s="603"/>
      <c r="I99" s="603"/>
      <c r="J99" s="603"/>
      <c r="K99" s="603"/>
      <c r="L99" s="603"/>
      <c r="M99" s="603"/>
      <c r="N99" s="603"/>
      <c r="O99" s="603"/>
      <c r="P99" s="603"/>
      <c r="Q99" s="603"/>
      <c r="R99" s="603"/>
    </row>
    <row r="100" spans="1:18" s="208" customFormat="1" ht="15" customHeight="1" outlineLevel="1" x14ac:dyDescent="0.2">
      <c r="A100" s="1085" t="s">
        <v>1423</v>
      </c>
      <c r="B100" s="1085"/>
      <c r="C100" s="1085"/>
      <c r="D100" s="1085"/>
      <c r="E100" s="1085"/>
      <c r="F100" s="1085"/>
      <c r="G100" s="1085"/>
      <c r="H100" s="1085"/>
      <c r="I100" s="1085"/>
      <c r="J100" s="1085"/>
      <c r="K100" s="1085"/>
      <c r="L100" s="1085"/>
      <c r="M100" s="1085"/>
      <c r="N100" s="1085"/>
      <c r="O100" s="1085"/>
      <c r="P100" s="1085"/>
      <c r="Q100" s="1085"/>
      <c r="R100" s="1085"/>
    </row>
    <row r="101" spans="1:18" s="208" customFormat="1" ht="12" customHeight="1" outlineLevel="1" x14ac:dyDescent="0.2">
      <c r="A101" s="202" t="s">
        <v>853</v>
      </c>
      <c r="B101" s="603"/>
      <c r="C101" s="603"/>
      <c r="D101" s="603"/>
      <c r="E101" s="607"/>
      <c r="F101" s="607"/>
      <c r="G101" s="607"/>
      <c r="H101" s="607"/>
      <c r="I101" s="607"/>
      <c r="J101" s="607"/>
      <c r="K101" s="607"/>
      <c r="L101" s="607"/>
      <c r="M101" s="607"/>
      <c r="N101" s="607"/>
      <c r="O101" s="607"/>
      <c r="P101" s="607"/>
      <c r="Q101" s="607"/>
      <c r="R101" s="607"/>
    </row>
    <row r="102" spans="1:18" s="208" customFormat="1" outlineLevel="1" x14ac:dyDescent="0.2">
      <c r="A102" s="202" t="s">
        <v>1424</v>
      </c>
      <c r="B102" s="603"/>
      <c r="C102" s="603"/>
      <c r="D102" s="603"/>
      <c r="E102" s="603"/>
      <c r="F102" s="603"/>
      <c r="G102" s="603"/>
      <c r="H102" s="603"/>
      <c r="I102" s="603"/>
      <c r="J102" s="603"/>
      <c r="K102" s="603"/>
      <c r="L102" s="603"/>
      <c r="M102" s="603"/>
      <c r="N102" s="603"/>
      <c r="O102" s="603"/>
      <c r="P102" s="603"/>
      <c r="Q102" s="603"/>
      <c r="R102" s="603"/>
    </row>
    <row r="103" spans="1:18" s="208" customFormat="1" outlineLevel="1" x14ac:dyDescent="0.2">
      <c r="A103" s="202" t="s">
        <v>854</v>
      </c>
      <c r="B103" s="603"/>
      <c r="C103" s="603"/>
      <c r="D103" s="603"/>
      <c r="E103" s="603"/>
      <c r="F103" s="603"/>
      <c r="G103" s="603"/>
      <c r="H103" s="603"/>
      <c r="I103" s="603"/>
      <c r="J103" s="603"/>
      <c r="K103" s="603"/>
      <c r="L103" s="603"/>
      <c r="M103" s="603"/>
      <c r="N103" s="603"/>
      <c r="O103" s="603"/>
      <c r="P103" s="603"/>
      <c r="Q103" s="603"/>
      <c r="R103" s="603"/>
    </row>
    <row r="104" spans="1:18" s="208" customFormat="1" ht="30" customHeight="1" outlineLevel="1" x14ac:dyDescent="0.2">
      <c r="A104" s="1086" t="s">
        <v>1425</v>
      </c>
      <c r="B104" s="1086"/>
      <c r="C104" s="1086"/>
      <c r="D104" s="1086"/>
      <c r="E104" s="1086"/>
      <c r="F104" s="1086"/>
      <c r="G104" s="1086"/>
      <c r="H104" s="1086"/>
      <c r="I104" s="1086"/>
      <c r="J104" s="1086"/>
      <c r="K104" s="1086"/>
      <c r="L104" s="1086"/>
      <c r="M104" s="1086"/>
      <c r="N104" s="1086"/>
      <c r="O104" s="1086"/>
      <c r="P104" s="1086"/>
      <c r="Q104" s="1086"/>
      <c r="R104" s="1086"/>
    </row>
    <row r="105" spans="1:18" s="208" customFormat="1" ht="19.5" customHeight="1" outlineLevel="1" x14ac:dyDescent="0.2">
      <c r="A105" s="614" t="s">
        <v>1426</v>
      </c>
      <c r="B105" s="609"/>
      <c r="C105" s="609"/>
      <c r="D105" s="609"/>
      <c r="E105" s="608"/>
      <c r="F105" s="608"/>
      <c r="G105" s="608"/>
      <c r="H105" s="608"/>
      <c r="I105" s="608"/>
      <c r="J105" s="608"/>
      <c r="K105" s="608"/>
      <c r="L105" s="608"/>
      <c r="M105" s="603"/>
      <c r="N105" s="603"/>
      <c r="O105" s="603"/>
      <c r="P105" s="603"/>
      <c r="Q105" s="603"/>
      <c r="R105" s="603"/>
    </row>
    <row r="106" spans="1:18" s="208" customFormat="1" ht="13.5" customHeight="1" outlineLevel="1" x14ac:dyDescent="0.2">
      <c r="A106" s="1086" t="s">
        <v>1427</v>
      </c>
      <c r="B106" s="1086"/>
      <c r="C106" s="1086"/>
      <c r="D106" s="1086"/>
      <c r="E106" s="1086"/>
      <c r="F106" s="1086"/>
      <c r="G106" s="1086"/>
      <c r="H106" s="1086"/>
      <c r="I106" s="1086"/>
      <c r="J106" s="1086"/>
      <c r="K106" s="1086"/>
      <c r="L106" s="1086"/>
      <c r="M106" s="1086"/>
      <c r="N106" s="1086"/>
      <c r="O106" s="1086"/>
      <c r="P106" s="1086"/>
      <c r="Q106" s="1086"/>
      <c r="R106" s="603"/>
    </row>
    <row r="107" spans="1:18" s="208" customFormat="1" outlineLevel="1" x14ac:dyDescent="0.2">
      <c r="A107" s="614" t="s">
        <v>1428</v>
      </c>
      <c r="B107" s="608"/>
      <c r="C107" s="608"/>
      <c r="D107" s="608"/>
      <c r="E107" s="603"/>
      <c r="F107" s="603"/>
      <c r="G107" s="603"/>
      <c r="H107" s="603"/>
      <c r="I107" s="603"/>
      <c r="J107" s="603"/>
      <c r="K107" s="603"/>
      <c r="L107" s="603"/>
      <c r="M107" s="603"/>
      <c r="N107" s="603"/>
      <c r="O107" s="603"/>
      <c r="P107" s="603"/>
      <c r="Q107" s="603"/>
      <c r="R107" s="603"/>
    </row>
    <row r="108" spans="1:18" s="198" customFormat="1" ht="12.75" customHeight="1" outlineLevel="1" x14ac:dyDescent="0.2">
      <c r="A108" s="202" t="s">
        <v>1429</v>
      </c>
      <c r="B108" s="603"/>
      <c r="C108" s="603"/>
      <c r="D108" s="603"/>
      <c r="E108" s="608"/>
      <c r="F108" s="608"/>
      <c r="G108" s="608"/>
      <c r="H108" s="608"/>
      <c r="I108" s="608"/>
      <c r="J108" s="608"/>
      <c r="K108" s="608"/>
      <c r="L108" s="608"/>
      <c r="M108" s="603"/>
      <c r="N108" s="603"/>
      <c r="O108" s="603"/>
      <c r="P108" s="603"/>
      <c r="Q108" s="603"/>
      <c r="R108" s="603"/>
    </row>
    <row r="109" spans="1:18" s="198" customFormat="1" outlineLevel="1" x14ac:dyDescent="0.2">
      <c r="A109" s="202" t="s">
        <v>1432</v>
      </c>
      <c r="B109" s="603"/>
      <c r="C109" s="603"/>
      <c r="D109" s="603"/>
      <c r="E109" s="603"/>
      <c r="F109" s="603"/>
      <c r="G109" s="603"/>
      <c r="H109" s="603"/>
      <c r="I109" s="603"/>
      <c r="J109" s="603"/>
      <c r="K109" s="603"/>
      <c r="L109" s="603"/>
      <c r="M109" s="603"/>
      <c r="N109" s="603"/>
      <c r="O109" s="603"/>
      <c r="P109" s="603"/>
      <c r="Q109" s="603"/>
      <c r="R109" s="603"/>
    </row>
    <row r="110" spans="1:18" s="198" customFormat="1" outlineLevel="1" x14ac:dyDescent="0.2">
      <c r="A110" s="202" t="s">
        <v>1430</v>
      </c>
      <c r="B110" s="603"/>
      <c r="C110" s="603"/>
      <c r="D110" s="603"/>
      <c r="E110" s="603"/>
      <c r="F110" s="603"/>
      <c r="G110" s="603"/>
      <c r="H110" s="603"/>
      <c r="I110" s="603"/>
      <c r="J110" s="603"/>
      <c r="K110" s="603"/>
      <c r="L110" s="603"/>
      <c r="M110" s="603"/>
      <c r="N110" s="603"/>
      <c r="O110" s="603"/>
      <c r="P110" s="603"/>
      <c r="Q110" s="603"/>
      <c r="R110" s="603"/>
    </row>
    <row r="111" spans="1:18" s="198" customFormat="1" outlineLevel="1" x14ac:dyDescent="0.2">
      <c r="A111" s="202" t="s">
        <v>1433</v>
      </c>
      <c r="B111" s="604"/>
      <c r="C111" s="604"/>
      <c r="D111" s="604"/>
      <c r="E111" s="603"/>
      <c r="F111" s="603"/>
      <c r="G111" s="603"/>
      <c r="H111" s="603"/>
      <c r="I111" s="603"/>
      <c r="J111" s="603"/>
      <c r="K111" s="603"/>
      <c r="L111" s="603"/>
      <c r="M111" s="603"/>
      <c r="N111" s="603"/>
      <c r="O111" s="603"/>
      <c r="P111" s="603"/>
      <c r="Q111" s="603"/>
      <c r="R111" s="603"/>
    </row>
    <row r="112" spans="1:18" s="198" customFormat="1" outlineLevel="1" x14ac:dyDescent="0.2">
      <c r="A112" s="202" t="s">
        <v>1431</v>
      </c>
      <c r="B112" s="604"/>
      <c r="C112" s="604"/>
      <c r="D112" s="604"/>
      <c r="E112" s="603"/>
      <c r="F112" s="603"/>
      <c r="G112" s="603"/>
      <c r="H112" s="603"/>
      <c r="I112" s="603"/>
      <c r="J112" s="603"/>
      <c r="K112" s="603"/>
      <c r="L112" s="603"/>
      <c r="M112" s="603"/>
      <c r="N112" s="603"/>
      <c r="O112" s="603"/>
      <c r="P112" s="603"/>
      <c r="Q112" s="603"/>
      <c r="R112" s="603"/>
    </row>
    <row r="113" spans="1:18" s="208" customFormat="1" outlineLevel="1" x14ac:dyDescent="0.2">
      <c r="A113" s="202" t="s">
        <v>1434</v>
      </c>
      <c r="B113" s="604"/>
      <c r="C113" s="604"/>
      <c r="D113" s="604"/>
      <c r="E113" s="604"/>
      <c r="F113" s="604"/>
      <c r="G113" s="604"/>
      <c r="H113" s="604"/>
      <c r="I113" s="604"/>
      <c r="J113" s="604"/>
      <c r="K113" s="604"/>
      <c r="L113" s="604"/>
      <c r="M113" s="604"/>
      <c r="N113" s="604"/>
      <c r="O113" s="604"/>
      <c r="P113" s="604"/>
      <c r="Q113" s="604"/>
      <c r="R113" s="604"/>
    </row>
    <row r="114" spans="1:18" s="208" customFormat="1" outlineLevel="1" x14ac:dyDescent="0.2">
      <c r="A114" s="202" t="s">
        <v>1435</v>
      </c>
      <c r="B114" s="604"/>
      <c r="C114" s="604"/>
      <c r="D114" s="604"/>
      <c r="E114" s="604"/>
      <c r="F114" s="604"/>
      <c r="G114" s="604"/>
      <c r="H114" s="604"/>
      <c r="I114" s="604"/>
      <c r="J114" s="604"/>
      <c r="K114" s="604"/>
      <c r="L114" s="604"/>
      <c r="M114" s="604"/>
      <c r="N114" s="604"/>
      <c r="O114" s="604"/>
      <c r="P114" s="604"/>
      <c r="Q114" s="604"/>
      <c r="R114" s="604"/>
    </row>
    <row r="115" spans="1:18" s="208" customFormat="1" outlineLevel="1" x14ac:dyDescent="0.2">
      <c r="A115" s="614" t="s">
        <v>1436</v>
      </c>
      <c r="B115" s="608"/>
      <c r="C115" s="608"/>
      <c r="D115" s="608"/>
      <c r="E115" s="604"/>
      <c r="F115" s="604"/>
      <c r="G115" s="604"/>
      <c r="H115" s="604"/>
      <c r="I115" s="604"/>
      <c r="J115" s="604"/>
      <c r="K115" s="604"/>
      <c r="L115" s="604"/>
      <c r="M115" s="604"/>
      <c r="N115" s="604"/>
      <c r="O115" s="604"/>
      <c r="P115" s="604"/>
      <c r="Q115" s="604"/>
      <c r="R115" s="604"/>
    </row>
    <row r="116" spans="1:18" s="208" customFormat="1" ht="12.75" customHeight="1" outlineLevel="1" x14ac:dyDescent="0.2">
      <c r="A116" s="560" t="s">
        <v>1437</v>
      </c>
      <c r="B116" s="603"/>
      <c r="C116" s="603"/>
      <c r="D116" s="603"/>
      <c r="E116" s="608"/>
      <c r="F116" s="608"/>
      <c r="G116" s="608"/>
      <c r="H116" s="608"/>
      <c r="I116" s="608"/>
      <c r="J116" s="608"/>
      <c r="K116" s="608"/>
      <c r="L116" s="608"/>
      <c r="M116" s="604"/>
      <c r="N116" s="604"/>
      <c r="O116" s="604"/>
      <c r="P116" s="604"/>
      <c r="Q116" s="604"/>
      <c r="R116" s="604"/>
    </row>
    <row r="117" spans="1:18" s="208" customFormat="1" outlineLevel="1" x14ac:dyDescent="0.2">
      <c r="E117" s="350"/>
      <c r="F117" s="350"/>
      <c r="G117" s="350"/>
      <c r="H117" s="350"/>
      <c r="I117" s="350"/>
      <c r="J117" s="350"/>
      <c r="K117" s="350"/>
      <c r="L117" s="350"/>
      <c r="M117" s="350"/>
      <c r="N117" s="350"/>
      <c r="O117" s="350"/>
      <c r="P117" s="350"/>
      <c r="Q117" s="350"/>
      <c r="R117" s="350"/>
    </row>
    <row r="118" spans="1:18" s="208" customFormat="1" outlineLevel="1" x14ac:dyDescent="0.2">
      <c r="A118" s="188"/>
      <c r="B118" s="188"/>
      <c r="C118" s="188"/>
      <c r="D118" s="188"/>
    </row>
  </sheetData>
  <mergeCells count="3">
    <mergeCell ref="A100:R100"/>
    <mergeCell ref="A104:R104"/>
    <mergeCell ref="A106:Q106"/>
  </mergeCells>
  <conditionalFormatting sqref="B26:C26">
    <cfRule type="expression" dxfId="1" priority="2">
      <formula>$B$26=0</formula>
    </cfRule>
  </conditionalFormatting>
  <conditionalFormatting sqref="B86:C86">
    <cfRule type="expression" dxfId="0" priority="1">
      <formula>$B$86=0</formula>
    </cfRule>
  </conditionalFormatting>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Investīcijas_2026</vt:lpstr>
      <vt:lpstr>2026.gada budzeta plans_apvieno</vt:lpstr>
      <vt:lpstr>Grafiki_budžeta_izpilde</vt:lpstr>
      <vt:lpstr>'2026.gada budzeta plans_apvieno'!Print_Area</vt:lpstr>
      <vt:lpstr>'2026.gada budzeta plans_apvieno'!Print_Titles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cp:lastPrinted>2026-01-16T07:33:39Z</cp:lastPrinted>
  <dcterms:created xsi:type="dcterms:W3CDTF">2015-07-17T07:55:13Z</dcterms:created>
  <dcterms:modified xsi:type="dcterms:W3CDTF">2026-04-15T09:51:55Z</dcterms:modified>
</cp:coreProperties>
</file>