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4E3D07D5-E249-4787-8811-765F3CC061AD}" xr6:coauthVersionLast="47" xr6:coauthVersionMax="47" xr10:uidLastSave="{00000000-0000-0000-0000-000000000000}"/>
  <bookViews>
    <workbookView xWindow="-120" yWindow="-120" windowWidth="29040" windowHeight="15720" xr2:uid="{AE7061E4-69DC-453B-942D-49A9B900620B}"/>
  </bookViews>
  <sheets>
    <sheet name="2026.gada budzeta plans_apvieno" sheetId="1" r:id="rId1"/>
    <sheet name="Līgumu saraksts_2026" sheetId="2" r:id="rId2"/>
  </sheets>
  <definedNames>
    <definedName name="_0812">#REF!</definedName>
    <definedName name="_xlnm._FilterDatabase" localSheetId="0" hidden="1">'2026.gada budzeta plans_apvieno'!#REF!</definedName>
    <definedName name="_xlnm._FilterDatabase" localSheetId="1" hidden="1">'Līgumu saraksts_2026'!$A$3:$AX$134</definedName>
    <definedName name="Apmaksa" localSheetId="0">#REF!</definedName>
    <definedName name="Apmaksa">#REF!</definedName>
    <definedName name="Darijums" localSheetId="0">#REF!</definedName>
    <definedName name="Darijums">#REF!</definedName>
    <definedName name="_xlnm.Print_Area" localSheetId="0">'2026.gada budzeta plans_apvieno'!$A$1:$F$310</definedName>
    <definedName name="_xlnm.Print_Titles" localSheetId="0">'2026.gada budzeta plans_apvieno'!$5:$5</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49" i="2" l="1"/>
  <c r="AR149" i="2"/>
  <c r="AM148" i="2"/>
  <c r="AL148" i="2"/>
  <c r="AB148" i="2"/>
  <c r="Z148" i="2"/>
  <c r="R144" i="2"/>
  <c r="R150" i="2" s="1"/>
  <c r="AP143" i="2"/>
  <c r="AO143" i="2"/>
  <c r="AO144" i="2" s="1"/>
  <c r="AO150" i="2" s="1"/>
  <c r="AC143" i="2"/>
  <c r="AC144" i="2" s="1"/>
  <c r="AC150" i="2" s="1"/>
  <c r="AB143" i="2"/>
  <c r="N143" i="2"/>
  <c r="AV142" i="2"/>
  <c r="AB142" i="2"/>
  <c r="AA142" i="2"/>
  <c r="Z142" i="2"/>
  <c r="Y142" i="2"/>
  <c r="X142" i="2"/>
  <c r="W142" i="2"/>
  <c r="V142" i="2"/>
  <c r="U142" i="2"/>
  <c r="T142" i="2"/>
  <c r="S142" i="2"/>
  <c r="AW142" i="2" s="1"/>
  <c r="AS141" i="2"/>
  <c r="AR141" i="2"/>
  <c r="AQ141" i="2"/>
  <c r="AO141" i="2"/>
  <c r="AM141" i="2"/>
  <c r="AL141" i="2"/>
  <c r="AK141" i="2"/>
  <c r="AJ141" i="2"/>
  <c r="AH141" i="2"/>
  <c r="AG141" i="2"/>
  <c r="AF141" i="2"/>
  <c r="AE141" i="2"/>
  <c r="AC141" i="2"/>
  <c r="AA141" i="2"/>
  <c r="Z141" i="2"/>
  <c r="Y141" i="2"/>
  <c r="X141" i="2"/>
  <c r="V141" i="2"/>
  <c r="U141" i="2"/>
  <c r="T141" i="2"/>
  <c r="S141" i="2"/>
  <c r="N141" i="2"/>
  <c r="AI141" i="2" s="1"/>
  <c r="AW140" i="2"/>
  <c r="AV140" i="2"/>
  <c r="AT140" i="2"/>
  <c r="AV139" i="2"/>
  <c r="W139" i="2"/>
  <c r="V139" i="2"/>
  <c r="U139" i="2"/>
  <c r="T139" i="2"/>
  <c r="N139" i="2"/>
  <c r="X139" i="2" s="1"/>
  <c r="AV138" i="2"/>
  <c r="AW138" i="2" s="1"/>
  <c r="AT138" i="2"/>
  <c r="AS133" i="2"/>
  <c r="AR133" i="2"/>
  <c r="AS132" i="2"/>
  <c r="AS134" i="2" s="1"/>
  <c r="AR132" i="2"/>
  <c r="AR134" i="2" s="1"/>
  <c r="AQ132" i="2"/>
  <c r="AP132" i="2"/>
  <c r="AO132" i="2"/>
  <c r="AN132" i="2"/>
  <c r="AN148" i="2" s="1"/>
  <c r="AM132" i="2"/>
  <c r="AL132" i="2"/>
  <c r="AE132" i="2"/>
  <c r="AD132" i="2"/>
  <c r="AC132" i="2"/>
  <c r="AB132" i="2"/>
  <c r="K132" i="2"/>
  <c r="AV131" i="2"/>
  <c r="AW131" i="2" s="1"/>
  <c r="AU131" i="2"/>
  <c r="J131" i="2"/>
  <c r="AA129" i="2"/>
  <c r="Z129" i="2"/>
  <c r="X129" i="2"/>
  <c r="P129" i="2"/>
  <c r="N129" i="2"/>
  <c r="AB129" i="2" s="1"/>
  <c r="AV128" i="2"/>
  <c r="AB128" i="2"/>
  <c r="AA128" i="2"/>
  <c r="Y129" i="2" s="1"/>
  <c r="Z128" i="2"/>
  <c r="Y128" i="2"/>
  <c r="X128" i="2"/>
  <c r="W129" i="2" s="1"/>
  <c r="W128" i="2"/>
  <c r="V128" i="2"/>
  <c r="U128" i="2"/>
  <c r="T128" i="2"/>
  <c r="S128" i="2"/>
  <c r="AW128" i="2" s="1"/>
  <c r="P127" i="2"/>
  <c r="N127" i="2" s="1"/>
  <c r="AW126" i="2"/>
  <c r="AV126" i="2"/>
  <c r="AA126" i="2"/>
  <c r="Z126" i="2"/>
  <c r="Y126" i="2"/>
  <c r="X126" i="2"/>
  <c r="W126" i="2"/>
  <c r="V126" i="2"/>
  <c r="U126" i="2"/>
  <c r="T126" i="2"/>
  <c r="S126" i="2"/>
  <c r="AT126" i="2" s="1"/>
  <c r="AU126" i="2" s="1"/>
  <c r="P125" i="2"/>
  <c r="N125" i="2" s="1"/>
  <c r="AK124" i="2"/>
  <c r="AK132" i="2" s="1"/>
  <c r="AK148" i="2" s="1"/>
  <c r="AJ124" i="2"/>
  <c r="AJ132" i="2" s="1"/>
  <c r="AJ148" i="2" s="1"/>
  <c r="AI124" i="2"/>
  <c r="AI132" i="2" s="1"/>
  <c r="AH124" i="2"/>
  <c r="AH132" i="2" s="1"/>
  <c r="AG124" i="2"/>
  <c r="AG132" i="2" s="1"/>
  <c r="AF124" i="2"/>
  <c r="AE124" i="2"/>
  <c r="AD124" i="2"/>
  <c r="AC124" i="2"/>
  <c r="AB124" i="2"/>
  <c r="AA124" i="2"/>
  <c r="Z124" i="2"/>
  <c r="Y124" i="2"/>
  <c r="X124" i="2"/>
  <c r="W124" i="2"/>
  <c r="V124" i="2"/>
  <c r="U124" i="2"/>
  <c r="U125" i="2" s="1"/>
  <c r="T124" i="2"/>
  <c r="S124" i="2"/>
  <c r="P123" i="2"/>
  <c r="N123" i="2" s="1"/>
  <c r="AC122" i="2"/>
  <c r="AB122" i="2"/>
  <c r="AA122" i="2"/>
  <c r="Z122" i="2"/>
  <c r="Y122" i="2"/>
  <c r="AV122" i="2" s="1"/>
  <c r="X122" i="2"/>
  <c r="W122" i="2"/>
  <c r="V122" i="2"/>
  <c r="U122" i="2"/>
  <c r="T122" i="2"/>
  <c r="S122" i="2"/>
  <c r="R122" i="2"/>
  <c r="AT122" i="2" s="1"/>
  <c r="AU122" i="2" s="1"/>
  <c r="AA121" i="2"/>
  <c r="Z121" i="2"/>
  <c r="Y121" i="2"/>
  <c r="AV121" i="2" s="1"/>
  <c r="P121" i="2"/>
  <c r="N121" i="2" s="1"/>
  <c r="AV120" i="2"/>
  <c r="AA120" i="2"/>
  <c r="Z120" i="2"/>
  <c r="Y120" i="2"/>
  <c r="X120" i="2"/>
  <c r="W120" i="2"/>
  <c r="V120" i="2"/>
  <c r="U120" i="2"/>
  <c r="T120" i="2"/>
  <c r="S120" i="2"/>
  <c r="R120" i="2"/>
  <c r="AW120" i="2" s="1"/>
  <c r="AG119" i="2"/>
  <c r="Y119" i="2"/>
  <c r="X119" i="2"/>
  <c r="W119" i="2"/>
  <c r="P119" i="2"/>
  <c r="N119" i="2"/>
  <c r="AF118" i="2"/>
  <c r="Z119" i="2" s="1"/>
  <c r="AE118" i="2"/>
  <c r="AD118" i="2"/>
  <c r="AC118" i="2"/>
  <c r="AB118" i="2"/>
  <c r="AA118" i="2"/>
  <c r="Z118" i="2"/>
  <c r="Y118" i="2"/>
  <c r="X118" i="2"/>
  <c r="W118" i="2"/>
  <c r="V118" i="2"/>
  <c r="V119" i="2" s="1"/>
  <c r="U118" i="2"/>
  <c r="T118" i="2"/>
  <c r="AV117" i="2"/>
  <c r="P117" i="2"/>
  <c r="N117" i="2"/>
  <c r="AW116" i="2"/>
  <c r="AV116" i="2"/>
  <c r="AU116" i="2"/>
  <c r="AT116" i="2"/>
  <c r="V116" i="2"/>
  <c r="U116" i="2"/>
  <c r="T116" i="2"/>
  <c r="S116" i="2"/>
  <c r="R116" i="2"/>
  <c r="AV115" i="2"/>
  <c r="P115" i="2"/>
  <c r="N115" i="2" s="1"/>
  <c r="AV114" i="2"/>
  <c r="T114" i="2"/>
  <c r="S114" i="2"/>
  <c r="S132" i="2" s="1"/>
  <c r="R114" i="2"/>
  <c r="R132" i="2" s="1"/>
  <c r="P113" i="2"/>
  <c r="N113" i="2" s="1"/>
  <c r="AV112" i="2"/>
  <c r="Y112" i="2"/>
  <c r="X112" i="2"/>
  <c r="W112" i="2"/>
  <c r="V112" i="2"/>
  <c r="U112" i="2"/>
  <c r="T112" i="2"/>
  <c r="S112" i="2"/>
  <c r="R112" i="2"/>
  <c r="X111" i="2"/>
  <c r="W111" i="2"/>
  <c r="N111" i="2"/>
  <c r="AA110" i="2"/>
  <c r="Z110" i="2"/>
  <c r="AT110" i="2" s="1"/>
  <c r="AU110" i="2" s="1"/>
  <c r="Y110" i="2"/>
  <c r="Y132" i="2" s="1"/>
  <c r="X110" i="2"/>
  <c r="W110" i="2"/>
  <c r="V110" i="2"/>
  <c r="U110" i="2"/>
  <c r="T110" i="2"/>
  <c r="S110" i="2"/>
  <c r="R110" i="2"/>
  <c r="AV109" i="2"/>
  <c r="P109" i="2"/>
  <c r="N109" i="2" s="1"/>
  <c r="AV108" i="2"/>
  <c r="U108" i="2"/>
  <c r="Y107" i="2"/>
  <c r="X107" i="2"/>
  <c r="W107" i="2"/>
  <c r="P107" i="2"/>
  <c r="N107" i="2" s="1"/>
  <c r="AV106" i="2"/>
  <c r="AW106" i="2" s="1"/>
  <c r="AU106" i="2"/>
  <c r="AT106" i="2"/>
  <c r="W105" i="2"/>
  <c r="V105" i="2"/>
  <c r="U105" i="2"/>
  <c r="T105" i="2"/>
  <c r="P105" i="2"/>
  <c r="N105" i="2"/>
  <c r="AC105" i="2" s="1"/>
  <c r="Z104" i="2"/>
  <c r="AV103" i="2"/>
  <c r="P103" i="2"/>
  <c r="N103" i="2"/>
  <c r="AV102" i="2"/>
  <c r="AW102" i="2" s="1"/>
  <c r="AT102" i="2"/>
  <c r="AU102" i="2" s="1"/>
  <c r="AA101" i="2"/>
  <c r="Z101" i="2"/>
  <c r="Y101" i="2"/>
  <c r="X101" i="2"/>
  <c r="W101" i="2"/>
  <c r="V101" i="2"/>
  <c r="U101" i="2"/>
  <c r="T101" i="2"/>
  <c r="S101" i="2"/>
  <c r="P101" i="2"/>
  <c r="N101" i="2"/>
  <c r="R101" i="2" s="1"/>
  <c r="AV100" i="2"/>
  <c r="AW100" i="2" s="1"/>
  <c r="AU100" i="2"/>
  <c r="AT100" i="2"/>
  <c r="AV99" i="2"/>
  <c r="P99" i="2"/>
  <c r="N99" i="2"/>
  <c r="AW98" i="2"/>
  <c r="AV98" i="2"/>
  <c r="AT98" i="2"/>
  <c r="AU98" i="2" s="1"/>
  <c r="R98" i="2"/>
  <c r="AV97" i="2"/>
  <c r="W97" i="2"/>
  <c r="V97" i="2"/>
  <c r="U97" i="2"/>
  <c r="T97" i="2"/>
  <c r="S97" i="2"/>
  <c r="R97" i="2"/>
  <c r="P97" i="2"/>
  <c r="N97" i="2"/>
  <c r="X97" i="2" s="1"/>
  <c r="AW96" i="2"/>
  <c r="AV96" i="2"/>
  <c r="AT96" i="2"/>
  <c r="AU96" i="2" s="1"/>
  <c r="AV95" i="2"/>
  <c r="P95" i="2"/>
  <c r="N95" i="2" s="1"/>
  <c r="AW94" i="2"/>
  <c r="AV94" i="2"/>
  <c r="AT94" i="2"/>
  <c r="AU94" i="2" s="1"/>
  <c r="AW93" i="2"/>
  <c r="AV93" i="2"/>
  <c r="AT93" i="2"/>
  <c r="AU93" i="2" s="1"/>
  <c r="S93" i="2"/>
  <c r="R93" i="2"/>
  <c r="P93" i="2"/>
  <c r="N93" i="2"/>
  <c r="AW92" i="2"/>
  <c r="AV92" i="2"/>
  <c r="AT92" i="2"/>
  <c r="AU92" i="2" s="1"/>
  <c r="U91" i="2"/>
  <c r="T91" i="2"/>
  <c r="S91" i="2"/>
  <c r="R91" i="2"/>
  <c r="P91" i="2"/>
  <c r="N91" i="2"/>
  <c r="AC91" i="2" s="1"/>
  <c r="AV90" i="2"/>
  <c r="AW90" i="2" s="1"/>
  <c r="Z90" i="2"/>
  <c r="Z132" i="2" s="1"/>
  <c r="R90" i="2"/>
  <c r="AT90" i="2" s="1"/>
  <c r="AU90" i="2" s="1"/>
  <c r="AV89" i="2"/>
  <c r="W89" i="2"/>
  <c r="V89" i="2"/>
  <c r="U89" i="2"/>
  <c r="T89" i="2"/>
  <c r="S89" i="2"/>
  <c r="P89" i="2"/>
  <c r="N89" i="2"/>
  <c r="R89" i="2" s="1"/>
  <c r="AW89" i="2" s="1"/>
  <c r="AW88" i="2"/>
  <c r="AV88" i="2"/>
  <c r="AT88" i="2"/>
  <c r="AU88" i="2" s="1"/>
  <c r="AV87" i="2"/>
  <c r="S87" i="2"/>
  <c r="P87" i="2"/>
  <c r="N87" i="2"/>
  <c r="R87" i="2" s="1"/>
  <c r="AW86" i="2"/>
  <c r="AV86" i="2"/>
  <c r="AT86" i="2"/>
  <c r="AU86" i="2" s="1"/>
  <c r="AV85" i="2"/>
  <c r="S85" i="2"/>
  <c r="P85" i="2"/>
  <c r="N85" i="2"/>
  <c r="AV84" i="2"/>
  <c r="AW84" i="2" s="1"/>
  <c r="AT84" i="2"/>
  <c r="AU84" i="2" s="1"/>
  <c r="AV83" i="2"/>
  <c r="W83" i="2"/>
  <c r="V83" i="2"/>
  <c r="U83" i="2"/>
  <c r="T83" i="2"/>
  <c r="S83" i="2"/>
  <c r="R83" i="2"/>
  <c r="P83" i="2"/>
  <c r="N83" i="2"/>
  <c r="AW82" i="2"/>
  <c r="AV82" i="2"/>
  <c r="AT82" i="2"/>
  <c r="AU82" i="2" s="1"/>
  <c r="AF81" i="2"/>
  <c r="AE81" i="2"/>
  <c r="X81" i="2"/>
  <c r="W81" i="2"/>
  <c r="V81" i="2"/>
  <c r="U81" i="2"/>
  <c r="P81" i="2"/>
  <c r="N81" i="2"/>
  <c r="AV80" i="2"/>
  <c r="T80" i="2"/>
  <c r="S81" i="2" s="1"/>
  <c r="AV79" i="2"/>
  <c r="P79" i="2"/>
  <c r="N79" i="2"/>
  <c r="R79" i="2" s="1"/>
  <c r="AV78" i="2"/>
  <c r="AW78" i="2" s="1"/>
  <c r="AT78" i="2"/>
  <c r="AU78" i="2" s="1"/>
  <c r="AG77" i="2"/>
  <c r="AF77" i="2"/>
  <c r="AE77" i="2"/>
  <c r="AD77" i="2"/>
  <c r="AA77" i="2"/>
  <c r="Z77" i="2"/>
  <c r="Y77" i="2"/>
  <c r="X77" i="2"/>
  <c r="W77" i="2"/>
  <c r="V77" i="2"/>
  <c r="U77" i="2"/>
  <c r="T77" i="2"/>
  <c r="S77" i="2"/>
  <c r="R77" i="2"/>
  <c r="P77" i="2"/>
  <c r="N77" i="2"/>
  <c r="AC77" i="2" s="1"/>
  <c r="AV76" i="2"/>
  <c r="AW76" i="2" s="1"/>
  <c r="AT76" i="2"/>
  <c r="AU76" i="2" s="1"/>
  <c r="P75" i="2"/>
  <c r="N75" i="2"/>
  <c r="W75" i="2" s="1"/>
  <c r="AW74" i="2"/>
  <c r="AV74" i="2"/>
  <c r="AT74" i="2"/>
  <c r="AU74" i="2" s="1"/>
  <c r="AL73" i="2"/>
  <c r="AK73" i="2"/>
  <c r="AJ73" i="2"/>
  <c r="AF73" i="2"/>
  <c r="AB73" i="2"/>
  <c r="AA73" i="2"/>
  <c r="Z73" i="2"/>
  <c r="W73" i="2"/>
  <c r="V73" i="2"/>
  <c r="U73" i="2"/>
  <c r="P73" i="2"/>
  <c r="N73" i="2"/>
  <c r="AW72" i="2"/>
  <c r="AV72" i="2"/>
  <c r="AT72" i="2"/>
  <c r="AU72" i="2" s="1"/>
  <c r="AA71" i="2"/>
  <c r="Z71" i="2"/>
  <c r="Y71" i="2"/>
  <c r="X71" i="2"/>
  <c r="W71" i="2"/>
  <c r="V71" i="2"/>
  <c r="U71" i="2"/>
  <c r="T71" i="2"/>
  <c r="S71" i="2"/>
  <c r="P71" i="2"/>
  <c r="N71" i="2"/>
  <c r="AD71" i="2" s="1"/>
  <c r="AW70" i="2"/>
  <c r="AV70" i="2"/>
  <c r="AT70" i="2"/>
  <c r="AU70" i="2" s="1"/>
  <c r="AQ69" i="2"/>
  <c r="AM69" i="2"/>
  <c r="AL69" i="2"/>
  <c r="AK69" i="2"/>
  <c r="AJ69" i="2"/>
  <c r="AI69" i="2"/>
  <c r="AH69" i="2"/>
  <c r="AG69" i="2"/>
  <c r="AF69" i="2"/>
  <c r="AE69" i="2"/>
  <c r="AA69" i="2"/>
  <c r="Z69" i="2"/>
  <c r="Y69" i="2"/>
  <c r="X69" i="2"/>
  <c r="W69" i="2"/>
  <c r="V69" i="2"/>
  <c r="U69" i="2"/>
  <c r="T69" i="2"/>
  <c r="S69" i="2"/>
  <c r="P69" i="2"/>
  <c r="N69" i="2"/>
  <c r="AP69" i="2" s="1"/>
  <c r="AV68" i="2"/>
  <c r="AW68" i="2" s="1"/>
  <c r="AT68" i="2"/>
  <c r="AU68" i="2" s="1"/>
  <c r="AQ67" i="2"/>
  <c r="AM67" i="2"/>
  <c r="AL67" i="2"/>
  <c r="AK67" i="2"/>
  <c r="AJ67" i="2"/>
  <c r="AI67" i="2"/>
  <c r="AH67" i="2"/>
  <c r="AG67" i="2"/>
  <c r="AE67" i="2"/>
  <c r="AA67" i="2"/>
  <c r="Z67" i="2"/>
  <c r="Y67" i="2"/>
  <c r="X67" i="2"/>
  <c r="W67" i="2"/>
  <c r="V67" i="2"/>
  <c r="U67" i="2"/>
  <c r="T67" i="2"/>
  <c r="S67" i="2"/>
  <c r="P67" i="2"/>
  <c r="N67" i="2"/>
  <c r="AV66" i="2"/>
  <c r="AW66" i="2" s="1"/>
  <c r="AU66" i="2"/>
  <c r="AT66" i="2"/>
  <c r="AV65" i="2"/>
  <c r="W65" i="2"/>
  <c r="T65" i="2"/>
  <c r="S65" i="2"/>
  <c r="P65" i="2"/>
  <c r="N65" i="2"/>
  <c r="AW64" i="2"/>
  <c r="AV64" i="2"/>
  <c r="AU64" i="2"/>
  <c r="AT64" i="2"/>
  <c r="AP63" i="2"/>
  <c r="AO63" i="2"/>
  <c r="AK63" i="2"/>
  <c r="AD63" i="2"/>
  <c r="AC63" i="2"/>
  <c r="AB63" i="2"/>
  <c r="AA63" i="2"/>
  <c r="W63" i="2"/>
  <c r="P63" i="2"/>
  <c r="N63" i="2"/>
  <c r="AQ63" i="2" s="1"/>
  <c r="AW62" i="2"/>
  <c r="AV62" i="2"/>
  <c r="AU62" i="2"/>
  <c r="AT62" i="2"/>
  <c r="P61" i="2"/>
  <c r="N61" i="2" s="1"/>
  <c r="Y61" i="2" s="1"/>
  <c r="AV60" i="2"/>
  <c r="AW60" i="2" s="1"/>
  <c r="AU60" i="2"/>
  <c r="AT60" i="2"/>
  <c r="AM59" i="2"/>
  <c r="AL59" i="2"/>
  <c r="AG59" i="2"/>
  <c r="AF59" i="2"/>
  <c r="AE59" i="2"/>
  <c r="AD59" i="2"/>
  <c r="Z59" i="2"/>
  <c r="T59" i="2"/>
  <c r="R59" i="2"/>
  <c r="P59" i="2"/>
  <c r="N59" i="2" s="1"/>
  <c r="AV58" i="2"/>
  <c r="AW58" i="2" s="1"/>
  <c r="AT58" i="2"/>
  <c r="AU58" i="2" s="1"/>
  <c r="AA57" i="2"/>
  <c r="Z57" i="2"/>
  <c r="Y57" i="2"/>
  <c r="X57" i="2"/>
  <c r="U57" i="2"/>
  <c r="T57" i="2"/>
  <c r="S57" i="2"/>
  <c r="P57" i="2"/>
  <c r="N57" i="2"/>
  <c r="W57" i="2" s="1"/>
  <c r="AV56" i="2"/>
  <c r="AW56" i="2" s="1"/>
  <c r="AT56" i="2"/>
  <c r="AU56" i="2" s="1"/>
  <c r="AN55" i="2"/>
  <c r="X55" i="2"/>
  <c r="W55" i="2"/>
  <c r="V55" i="2"/>
  <c r="U55" i="2"/>
  <c r="R55" i="2"/>
  <c r="P55" i="2"/>
  <c r="N55" i="2"/>
  <c r="AH55" i="2" s="1"/>
  <c r="AW54" i="2"/>
  <c r="AV54" i="2"/>
  <c r="AT54" i="2"/>
  <c r="AU54" i="2" s="1"/>
  <c r="AD53" i="2"/>
  <c r="AC53" i="2"/>
  <c r="AB53" i="2"/>
  <c r="X53" i="2"/>
  <c r="V53" i="2"/>
  <c r="P53" i="2"/>
  <c r="N53" i="2"/>
  <c r="AW52" i="2"/>
  <c r="AV52" i="2"/>
  <c r="AT52" i="2"/>
  <c r="AU52" i="2" s="1"/>
  <c r="X51" i="2"/>
  <c r="P51" i="2"/>
  <c r="N51" i="2"/>
  <c r="AV50" i="2"/>
  <c r="AW50" i="2" s="1"/>
  <c r="AU50" i="2"/>
  <c r="AT50" i="2"/>
  <c r="P49" i="2"/>
  <c r="N49" i="2" s="1"/>
  <c r="AW48" i="2"/>
  <c r="AV48" i="2"/>
  <c r="AT48" i="2"/>
  <c r="AU48" i="2" s="1"/>
  <c r="AV47" i="2"/>
  <c r="P47" i="2"/>
  <c r="N47" i="2" s="1"/>
  <c r="AV46" i="2"/>
  <c r="AW46" i="2" s="1"/>
  <c r="AT46" i="2"/>
  <c r="AU46" i="2" s="1"/>
  <c r="AA45" i="2"/>
  <c r="Z45" i="2"/>
  <c r="Y45" i="2"/>
  <c r="AV45" i="2" s="1"/>
  <c r="X45" i="2"/>
  <c r="U45" i="2"/>
  <c r="T45" i="2"/>
  <c r="S45" i="2"/>
  <c r="P45" i="2"/>
  <c r="N45" i="2"/>
  <c r="W45" i="2" s="1"/>
  <c r="AV44" i="2"/>
  <c r="AW44" i="2" s="1"/>
  <c r="AT44" i="2"/>
  <c r="AU44" i="2" s="1"/>
  <c r="AD43" i="2"/>
  <c r="Z43" i="2"/>
  <c r="Y43" i="2"/>
  <c r="X43" i="2"/>
  <c r="T43" i="2"/>
  <c r="R43" i="2"/>
  <c r="P43" i="2"/>
  <c r="N43" i="2" s="1"/>
  <c r="AV42" i="2"/>
  <c r="AW42" i="2" s="1"/>
  <c r="AT42" i="2"/>
  <c r="AU42" i="2" s="1"/>
  <c r="AD41" i="2"/>
  <c r="AC41" i="2"/>
  <c r="X41" i="2"/>
  <c r="P41" i="2"/>
  <c r="N41" i="2" s="1"/>
  <c r="R41" i="2" s="1"/>
  <c r="AV40" i="2"/>
  <c r="AW40" i="2" s="1"/>
  <c r="AU40" i="2"/>
  <c r="AT40" i="2"/>
  <c r="AV39" i="2"/>
  <c r="AW39" i="2" s="1"/>
  <c r="T39" i="2"/>
  <c r="S39" i="2"/>
  <c r="R39" i="2"/>
  <c r="P39" i="2"/>
  <c r="N39" i="2"/>
  <c r="AV38" i="2"/>
  <c r="AW38" i="2" s="1"/>
  <c r="AT38" i="2"/>
  <c r="AU38" i="2" s="1"/>
  <c r="Y37" i="2"/>
  <c r="AV37" i="2" s="1"/>
  <c r="X37" i="2"/>
  <c r="S37" i="2"/>
  <c r="P37" i="2"/>
  <c r="N37" i="2" s="1"/>
  <c r="AV36" i="2"/>
  <c r="AW36" i="2" s="1"/>
  <c r="AT36" i="2"/>
  <c r="AU36" i="2" s="1"/>
  <c r="AD35" i="2"/>
  <c r="AC35" i="2"/>
  <c r="AB35" i="2"/>
  <c r="Y35" i="2"/>
  <c r="W35" i="2"/>
  <c r="P35" i="2"/>
  <c r="N35" i="2"/>
  <c r="AV34" i="2"/>
  <c r="AW34" i="2" s="1"/>
  <c r="AT34" i="2"/>
  <c r="AU34" i="2" s="1"/>
  <c r="AD33" i="2"/>
  <c r="AC33" i="2"/>
  <c r="P33" i="2"/>
  <c r="N33" i="2"/>
  <c r="R33" i="2" s="1"/>
  <c r="AW32" i="2"/>
  <c r="AV32" i="2"/>
  <c r="AT32" i="2"/>
  <c r="AU32" i="2" s="1"/>
  <c r="AM31" i="2"/>
  <c r="AL31" i="2"/>
  <c r="AK31" i="2"/>
  <c r="AJ31" i="2"/>
  <c r="AG31" i="2"/>
  <c r="AF31" i="2"/>
  <c r="AE31" i="2"/>
  <c r="AA31" i="2"/>
  <c r="Z31" i="2"/>
  <c r="Y31" i="2"/>
  <c r="X31" i="2"/>
  <c r="U31" i="2"/>
  <c r="T31" i="2"/>
  <c r="S31" i="2"/>
  <c r="P31" i="2"/>
  <c r="N31" i="2"/>
  <c r="AI31" i="2" s="1"/>
  <c r="AV30" i="2"/>
  <c r="AW30" i="2" s="1"/>
  <c r="AT30" i="2"/>
  <c r="AU30" i="2" s="1"/>
  <c r="AN29" i="2"/>
  <c r="X29" i="2"/>
  <c r="W29" i="2"/>
  <c r="V29" i="2"/>
  <c r="U29" i="2"/>
  <c r="R29" i="2"/>
  <c r="P29" i="2"/>
  <c r="N29" i="2"/>
  <c r="AI29" i="2" s="1"/>
  <c r="AV28" i="2"/>
  <c r="AW28" i="2" s="1"/>
  <c r="AT28" i="2"/>
  <c r="AU28" i="2" s="1"/>
  <c r="AV27" i="2"/>
  <c r="S27" i="2"/>
  <c r="R27" i="2"/>
  <c r="AT27" i="2" s="1"/>
  <c r="AU27" i="2" s="1"/>
  <c r="P27" i="2"/>
  <c r="N27" i="2" s="1"/>
  <c r="T27" i="2" s="1"/>
  <c r="AV26" i="2"/>
  <c r="AW26" i="2" s="1"/>
  <c r="AU26" i="2"/>
  <c r="AT26" i="2"/>
  <c r="P25" i="2"/>
  <c r="N25" i="2" s="1"/>
  <c r="AV24" i="2"/>
  <c r="AW24" i="2" s="1"/>
  <c r="AT24" i="2"/>
  <c r="AU24" i="2" s="1"/>
  <c r="P23" i="2"/>
  <c r="N23" i="2"/>
  <c r="W23" i="2" s="1"/>
  <c r="AW22" i="2"/>
  <c r="AV22" i="2"/>
  <c r="AT22" i="2"/>
  <c r="AU22" i="2" s="1"/>
  <c r="AA21" i="2"/>
  <c r="Z21" i="2"/>
  <c r="W21" i="2"/>
  <c r="V21" i="2"/>
  <c r="U21" i="2"/>
  <c r="P21" i="2"/>
  <c r="N21" i="2"/>
  <c r="AC21" i="2" s="1"/>
  <c r="AV20" i="2"/>
  <c r="AW20" i="2" s="1"/>
  <c r="AT20" i="2"/>
  <c r="AU20" i="2" s="1"/>
  <c r="AB19" i="2"/>
  <c r="AA19" i="2"/>
  <c r="Z19" i="2"/>
  <c r="Y19" i="2"/>
  <c r="U19" i="2"/>
  <c r="T19" i="2"/>
  <c r="P19" i="2"/>
  <c r="N19" i="2"/>
  <c r="AV18" i="2"/>
  <c r="AW18" i="2" s="1"/>
  <c r="AU18" i="2"/>
  <c r="AT18" i="2"/>
  <c r="Y17" i="2"/>
  <c r="X17" i="2"/>
  <c r="W17" i="2"/>
  <c r="V17" i="2"/>
  <c r="S17" i="2"/>
  <c r="P17" i="2"/>
  <c r="N17" i="2" s="1"/>
  <c r="AI17" i="2" s="1"/>
  <c r="AV16" i="2"/>
  <c r="AW16" i="2" s="1"/>
  <c r="AU16" i="2"/>
  <c r="AT16" i="2"/>
  <c r="AV15" i="2"/>
  <c r="P15" i="2"/>
  <c r="N15" i="2" s="1"/>
  <c r="AW14" i="2"/>
  <c r="AV14" i="2"/>
  <c r="AT14" i="2"/>
  <c r="AU14" i="2" s="1"/>
  <c r="AV13" i="2"/>
  <c r="P13" i="2"/>
  <c r="N13" i="2"/>
  <c r="V13" i="2" s="1"/>
  <c r="AW12" i="2"/>
  <c r="AV12" i="2"/>
  <c r="AT12" i="2"/>
  <c r="AU12" i="2" s="1"/>
  <c r="AW11" i="2"/>
  <c r="AV11" i="2"/>
  <c r="AT11" i="2"/>
  <c r="AU11" i="2" s="1"/>
  <c r="P11" i="2"/>
  <c r="N11" i="2"/>
  <c r="AV10" i="2"/>
  <c r="AW10" i="2" s="1"/>
  <c r="AU10" i="2"/>
  <c r="AT10" i="2"/>
  <c r="AV9" i="2"/>
  <c r="X9" i="2"/>
  <c r="W9" i="2"/>
  <c r="T9" i="2"/>
  <c r="S9" i="2"/>
  <c r="R9" i="2"/>
  <c r="P9" i="2"/>
  <c r="N9" i="2"/>
  <c r="V9" i="2" s="1"/>
  <c r="AV8" i="2"/>
  <c r="AW8" i="2" s="1"/>
  <c r="AT8" i="2"/>
  <c r="AU8" i="2" s="1"/>
  <c r="P7" i="2"/>
  <c r="N7" i="2"/>
  <c r="AW6" i="2"/>
  <c r="AV6" i="2"/>
  <c r="AT6" i="2"/>
  <c r="AU6" i="2" s="1"/>
  <c r="U15" i="2" l="1"/>
  <c r="T15" i="2"/>
  <c r="S15" i="2"/>
  <c r="V15" i="2"/>
  <c r="R15" i="2"/>
  <c r="W15" i="2"/>
  <c r="X15" i="2"/>
  <c r="AV69" i="2"/>
  <c r="AT9" i="2"/>
  <c r="AU9" i="2" s="1"/>
  <c r="U47" i="2"/>
  <c r="T47" i="2"/>
  <c r="S47" i="2"/>
  <c r="R47" i="2"/>
  <c r="AA127" i="2"/>
  <c r="Z127" i="2"/>
  <c r="Y127" i="2"/>
  <c r="X127" i="2"/>
  <c r="W127" i="2"/>
  <c r="V127" i="2"/>
  <c r="U127" i="2"/>
  <c r="T127" i="2"/>
  <c r="S127" i="2"/>
  <c r="T25" i="2"/>
  <c r="S25" i="2"/>
  <c r="AA25" i="2"/>
  <c r="Z25" i="2"/>
  <c r="Y25" i="2"/>
  <c r="U25" i="2"/>
  <c r="R25" i="2"/>
  <c r="AD25" i="2"/>
  <c r="AC25" i="2"/>
  <c r="W25" i="2"/>
  <c r="AB25" i="2"/>
  <c r="X25" i="2"/>
  <c r="V25" i="2"/>
  <c r="AQ133" i="2"/>
  <c r="AQ149" i="2" s="1"/>
  <c r="AV19" i="2"/>
  <c r="AK49" i="2"/>
  <c r="Y49" i="2"/>
  <c r="AJ49" i="2"/>
  <c r="X49" i="2"/>
  <c r="AF49" i="2"/>
  <c r="T49" i="2"/>
  <c r="AE49" i="2"/>
  <c r="S49" i="2"/>
  <c r="AD49" i="2"/>
  <c r="R49" i="2"/>
  <c r="Z49" i="2"/>
  <c r="W49" i="2"/>
  <c r="V49" i="2"/>
  <c r="AN49" i="2"/>
  <c r="U49" i="2"/>
  <c r="AM49" i="2"/>
  <c r="AL49" i="2"/>
  <c r="AA49" i="2"/>
  <c r="AI49" i="2"/>
  <c r="AB49" i="2"/>
  <c r="AO49" i="2"/>
  <c r="AH49" i="2"/>
  <c r="AC49" i="2"/>
  <c r="AG49" i="2"/>
  <c r="S7" i="2"/>
  <c r="R7" i="2"/>
  <c r="N132" i="2"/>
  <c r="Z7" i="2"/>
  <c r="Y7" i="2"/>
  <c r="X7" i="2"/>
  <c r="U13" i="2"/>
  <c r="AT132" i="2"/>
  <c r="AU132" i="2" s="1"/>
  <c r="R148" i="2"/>
  <c r="W13" i="2"/>
  <c r="AB21" i="2"/>
  <c r="AB29" i="2"/>
  <c r="Z51" i="2"/>
  <c r="V51" i="2"/>
  <c r="U51" i="2"/>
  <c r="T51" i="2"/>
  <c r="AB55" i="2"/>
  <c r="AV129" i="2"/>
  <c r="AA7" i="2"/>
  <c r="AC29" i="2"/>
  <c r="AA35" i="2"/>
  <c r="AV35" i="2" s="1"/>
  <c r="Z35" i="2"/>
  <c r="V35" i="2"/>
  <c r="U35" i="2"/>
  <c r="T35" i="2"/>
  <c r="T53" i="2"/>
  <c r="AE53" i="2"/>
  <c r="S53" i="2"/>
  <c r="AA53" i="2"/>
  <c r="Z53" i="2"/>
  <c r="Y53" i="2"/>
  <c r="AV53" i="2" s="1"/>
  <c r="AC55" i="2"/>
  <c r="AF61" i="2"/>
  <c r="V75" i="2"/>
  <c r="T81" i="2"/>
  <c r="AF125" i="2"/>
  <c r="AM144" i="2"/>
  <c r="AM150" i="2" s="1"/>
  <c r="Z33" i="2"/>
  <c r="Y33" i="2"/>
  <c r="U33" i="2"/>
  <c r="T33" i="2"/>
  <c r="S33" i="2"/>
  <c r="Z61" i="2"/>
  <c r="W7" i="2"/>
  <c r="AC17" i="2"/>
  <c r="X23" i="2"/>
  <c r="U41" i="2"/>
  <c r="T41" i="2"/>
  <c r="AB41" i="2"/>
  <c r="AA41" i="2"/>
  <c r="Z41" i="2"/>
  <c r="AA61" i="2"/>
  <c r="AV61" i="2" s="1"/>
  <c r="AD17" i="2"/>
  <c r="AB7" i="2"/>
  <c r="AE17" i="2"/>
  <c r="X19" i="2"/>
  <c r="W19" i="2"/>
  <c r="S19" i="2"/>
  <c r="AD19" i="2"/>
  <c r="R19" i="2"/>
  <c r="AC19" i="2"/>
  <c r="AW27" i="2"/>
  <c r="AD29" i="2"/>
  <c r="V33" i="2"/>
  <c r="S41" i="2"/>
  <c r="V43" i="2"/>
  <c r="U43" i="2"/>
  <c r="AC43" i="2"/>
  <c r="AB43" i="2"/>
  <c r="AA43" i="2"/>
  <c r="R51" i="2"/>
  <c r="AD55" i="2"/>
  <c r="AH59" i="2"/>
  <c r="V59" i="2"/>
  <c r="AP59" i="2"/>
  <c r="AP133" i="2" s="1"/>
  <c r="AP149" i="2" s="1"/>
  <c r="AC59" i="2"/>
  <c r="AN59" i="2"/>
  <c r="AO59" i="2"/>
  <c r="AB59" i="2"/>
  <c r="AA59" i="2"/>
  <c r="AK59" i="2"/>
  <c r="X59" i="2"/>
  <c r="AJ59" i="2"/>
  <c r="W59" i="2"/>
  <c r="AI59" i="2"/>
  <c r="U59" i="2"/>
  <c r="AT59" i="2" s="1"/>
  <c r="AU59" i="2" s="1"/>
  <c r="AG125" i="2"/>
  <c r="Y144" i="2"/>
  <c r="Y150" i="2" s="1"/>
  <c r="U7" i="2"/>
  <c r="AE75" i="2"/>
  <c r="S75" i="2"/>
  <c r="AD75" i="2"/>
  <c r="R75" i="2"/>
  <c r="AC75" i="2"/>
  <c r="U75" i="2"/>
  <c r="T75" i="2"/>
  <c r="AF75" i="2"/>
  <c r="AB75" i="2"/>
  <c r="AA75" i="2"/>
  <c r="Z75" i="2"/>
  <c r="S148" i="2"/>
  <c r="AH17" i="2"/>
  <c r="AG29" i="2"/>
  <c r="W33" i="2"/>
  <c r="R35" i="2"/>
  <c r="W37" i="2"/>
  <c r="V37" i="2"/>
  <c r="U37" i="2"/>
  <c r="V41" i="2"/>
  <c r="S51" i="2"/>
  <c r="R53" i="2"/>
  <c r="AG55" i="2"/>
  <c r="X75" i="2"/>
  <c r="T115" i="2"/>
  <c r="S115" i="2"/>
  <c r="R115" i="2"/>
  <c r="AE148" i="2"/>
  <c r="V23" i="2"/>
  <c r="V7" i="2"/>
  <c r="AH29" i="2"/>
  <c r="X33" i="2"/>
  <c r="S35" i="2"/>
  <c r="R37" i="2"/>
  <c r="AT39" i="2"/>
  <c r="AU39" i="2" s="1"/>
  <c r="W41" i="2"/>
  <c r="S43" i="2"/>
  <c r="W51" i="2"/>
  <c r="U53" i="2"/>
  <c r="S59" i="2"/>
  <c r="Y75" i="2"/>
  <c r="AG17" i="2"/>
  <c r="U17" i="2"/>
  <c r="AF17" i="2"/>
  <c r="T17" i="2"/>
  <c r="AN17" i="2"/>
  <c r="AN133" i="2" s="1"/>
  <c r="AN149" i="2" s="1"/>
  <c r="AB17" i="2"/>
  <c r="AM17" i="2"/>
  <c r="AA17" i="2"/>
  <c r="AL17" i="2"/>
  <c r="AL133" i="2" s="1"/>
  <c r="Z17" i="2"/>
  <c r="AV17" i="2" s="1"/>
  <c r="AJ17" i="2"/>
  <c r="Y21" i="2"/>
  <c r="X21" i="2"/>
  <c r="T21" i="2"/>
  <c r="S21" i="2"/>
  <c r="AD21" i="2"/>
  <c r="R21" i="2"/>
  <c r="AF29" i="2"/>
  <c r="T29" i="2"/>
  <c r="AE29" i="2"/>
  <c r="S29" i="2"/>
  <c r="AM29" i="2"/>
  <c r="AA29" i="2"/>
  <c r="AL29" i="2"/>
  <c r="Z29" i="2"/>
  <c r="AK29" i="2"/>
  <c r="Y29" i="2"/>
  <c r="AA33" i="2"/>
  <c r="AF55" i="2"/>
  <c r="T55" i="2"/>
  <c r="AE55" i="2"/>
  <c r="S55" i="2"/>
  <c r="AT55" i="2" s="1"/>
  <c r="AU55" i="2" s="1"/>
  <c r="AM55" i="2"/>
  <c r="AA55" i="2"/>
  <c r="AL55" i="2"/>
  <c r="Z55" i="2"/>
  <c r="AK55" i="2"/>
  <c r="Y55" i="2"/>
  <c r="AI55" i="2"/>
  <c r="AI133" i="2" s="1"/>
  <c r="AG75" i="2"/>
  <c r="AW79" i="2"/>
  <c r="AT79" i="2"/>
  <c r="AU79" i="2" s="1"/>
  <c r="R17" i="2"/>
  <c r="AK17" i="2"/>
  <c r="AK133" i="2" s="1"/>
  <c r="V19" i="2"/>
  <c r="AJ29" i="2"/>
  <c r="AB33" i="2"/>
  <c r="X35" i="2"/>
  <c r="T37" i="2"/>
  <c r="Y41" i="2"/>
  <c r="W43" i="2"/>
  <c r="AW43" i="2" s="1"/>
  <c r="Y51" i="2"/>
  <c r="AV51" i="2" s="1"/>
  <c r="W53" i="2"/>
  <c r="AJ55" i="2"/>
  <c r="Y59" i="2"/>
  <c r="AH63" i="2"/>
  <c r="V63" i="2"/>
  <c r="AG63" i="2"/>
  <c r="U63" i="2"/>
  <c r="AN63" i="2"/>
  <c r="Z63" i="2"/>
  <c r="X63" i="2"/>
  <c r="AM63" i="2"/>
  <c r="Y63" i="2"/>
  <c r="AV63" i="2" s="1"/>
  <c r="AL63" i="2"/>
  <c r="AJ63" i="2"/>
  <c r="T63" i="2"/>
  <c r="AI63" i="2"/>
  <c r="S63" i="2"/>
  <c r="AF63" i="2"/>
  <c r="R63" i="2"/>
  <c r="AE63" i="2"/>
  <c r="T125" i="2"/>
  <c r="S125" i="2"/>
  <c r="AD125" i="2"/>
  <c r="Y23" i="2"/>
  <c r="AV23" i="2" s="1"/>
  <c r="U23" i="2"/>
  <c r="T23" i="2"/>
  <c r="S23" i="2"/>
  <c r="W61" i="2"/>
  <c r="V61" i="2"/>
  <c r="U61" i="2"/>
  <c r="S61" i="2"/>
  <c r="T61" i="2"/>
  <c r="AE61" i="2"/>
  <c r="AD61" i="2"/>
  <c r="AC61" i="2"/>
  <c r="AB61" i="2"/>
  <c r="AW87" i="2"/>
  <c r="AT87" i="2"/>
  <c r="AU87" i="2" s="1"/>
  <c r="AG148" i="2"/>
  <c r="S13" i="2"/>
  <c r="R13" i="2"/>
  <c r="X13" i="2"/>
  <c r="AV57" i="2"/>
  <c r="R61" i="2"/>
  <c r="AV71" i="2"/>
  <c r="AW80" i="2"/>
  <c r="T132" i="2"/>
  <c r="AT80" i="2"/>
  <c r="AU80" i="2" s="1"/>
  <c r="AH148" i="2"/>
  <c r="AV43" i="2"/>
  <c r="T7" i="2"/>
  <c r="T13" i="2"/>
  <c r="R23" i="2"/>
  <c r="X61" i="2"/>
  <c r="R113" i="2"/>
  <c r="Z113" i="2"/>
  <c r="Y113" i="2"/>
  <c r="X113" i="2"/>
  <c r="W113" i="2"/>
  <c r="V117" i="2"/>
  <c r="U117" i="2"/>
  <c r="T117" i="2"/>
  <c r="S117" i="2"/>
  <c r="AB123" i="2"/>
  <c r="AA123" i="2"/>
  <c r="Z123" i="2"/>
  <c r="Y123" i="2"/>
  <c r="AJ123" i="2"/>
  <c r="X123" i="2"/>
  <c r="AI123" i="2"/>
  <c r="W123" i="2"/>
  <c r="AH123" i="2"/>
  <c r="V123" i="2"/>
  <c r="AG123" i="2"/>
  <c r="U123" i="2"/>
  <c r="AB31" i="2"/>
  <c r="AV31" i="2" s="1"/>
  <c r="AN31" i="2"/>
  <c r="AQ73" i="2"/>
  <c r="AE73" i="2"/>
  <c r="S73" i="2"/>
  <c r="AP73" i="2"/>
  <c r="AD73" i="2"/>
  <c r="R73" i="2"/>
  <c r="AO73" i="2"/>
  <c r="AC73" i="2"/>
  <c r="AG73" i="2"/>
  <c r="W85" i="2"/>
  <c r="V85" i="2"/>
  <c r="U85" i="2"/>
  <c r="T85" i="2"/>
  <c r="AT89" i="2"/>
  <c r="AU89" i="2" s="1"/>
  <c r="U132" i="2"/>
  <c r="AW132" i="2" s="1"/>
  <c r="AW108" i="2"/>
  <c r="T111" i="2"/>
  <c r="Y111" i="2"/>
  <c r="AV111" i="2" s="1"/>
  <c r="S113" i="2"/>
  <c r="R123" i="2"/>
  <c r="AO148" i="2"/>
  <c r="AA144" i="2"/>
  <c r="AA150" i="2" s="1"/>
  <c r="AI148" i="2"/>
  <c r="AC31" i="2"/>
  <c r="AH73" i="2"/>
  <c r="X103" i="2"/>
  <c r="W103" i="2"/>
  <c r="V103" i="2"/>
  <c r="U103" i="2"/>
  <c r="T103" i="2"/>
  <c r="S103" i="2"/>
  <c r="R103" i="2"/>
  <c r="AT108" i="2"/>
  <c r="AU108" i="2" s="1"/>
  <c r="S111" i="2"/>
  <c r="Z111" i="2"/>
  <c r="T113" i="2"/>
  <c r="R117" i="2"/>
  <c r="AD119" i="2"/>
  <c r="S123" i="2"/>
  <c r="AP148" i="2"/>
  <c r="R31" i="2"/>
  <c r="AD31" i="2"/>
  <c r="R45" i="2"/>
  <c r="R57" i="2"/>
  <c r="T73" i="2"/>
  <c r="AI73" i="2"/>
  <c r="AW83" i="2"/>
  <c r="AT83" i="2"/>
  <c r="AU83" i="2" s="1"/>
  <c r="R85" i="2"/>
  <c r="W132" i="2"/>
  <c r="AW112" i="2"/>
  <c r="U113" i="2"/>
  <c r="AE119" i="2"/>
  <c r="AW122" i="2"/>
  <c r="T123" i="2"/>
  <c r="AC125" i="2"/>
  <c r="AB125" i="2"/>
  <c r="AA125" i="2"/>
  <c r="Z125" i="2"/>
  <c r="AK125" i="2"/>
  <c r="Y125" i="2"/>
  <c r="AJ125" i="2"/>
  <c r="X125" i="2"/>
  <c r="AI125" i="2"/>
  <c r="W125" i="2"/>
  <c r="AH125" i="2"/>
  <c r="V125" i="2"/>
  <c r="AT128" i="2"/>
  <c r="AQ148" i="2"/>
  <c r="AE144" i="2"/>
  <c r="AE150" i="2" s="1"/>
  <c r="V111" i="2"/>
  <c r="V113" i="2"/>
  <c r="T119" i="2"/>
  <c r="S119" i="2"/>
  <c r="R119" i="2"/>
  <c r="AF119" i="2"/>
  <c r="AF132" i="2"/>
  <c r="AT120" i="2"/>
  <c r="AC123" i="2"/>
  <c r="AF144" i="2"/>
  <c r="AF150" i="2" s="1"/>
  <c r="AT142" i="2"/>
  <c r="AM143" i="2"/>
  <c r="AA143" i="2"/>
  <c r="AL143" i="2"/>
  <c r="AL144" i="2" s="1"/>
  <c r="AL150" i="2" s="1"/>
  <c r="Z143" i="2"/>
  <c r="Z144" i="2" s="1"/>
  <c r="Z150" i="2" s="1"/>
  <c r="AK143" i="2"/>
  <c r="Y143" i="2"/>
  <c r="AJ143" i="2"/>
  <c r="X143" i="2"/>
  <c r="AI143" i="2"/>
  <c r="AI144" i="2" s="1"/>
  <c r="AI150" i="2" s="1"/>
  <c r="W143" i="2"/>
  <c r="AH143" i="2"/>
  <c r="AH144" i="2" s="1"/>
  <c r="AH150" i="2" s="1"/>
  <c r="V143" i="2"/>
  <c r="V144" i="2" s="1"/>
  <c r="V150" i="2" s="1"/>
  <c r="AS143" i="2"/>
  <c r="AS144" i="2" s="1"/>
  <c r="AS150" i="2" s="1"/>
  <c r="AG143" i="2"/>
  <c r="AG144" i="2" s="1"/>
  <c r="AG150" i="2" s="1"/>
  <c r="U143" i="2"/>
  <c r="U144" i="2" s="1"/>
  <c r="U150" i="2" s="1"/>
  <c r="AR143" i="2"/>
  <c r="AR144" i="2" s="1"/>
  <c r="AR150" i="2" s="1"/>
  <c r="AF143" i="2"/>
  <c r="T143" i="2"/>
  <c r="AQ143" i="2"/>
  <c r="AQ144" i="2" s="1"/>
  <c r="AQ150" i="2" s="1"/>
  <c r="AE143" i="2"/>
  <c r="S143" i="2"/>
  <c r="U99" i="2"/>
  <c r="T99" i="2"/>
  <c r="S99" i="2"/>
  <c r="R99" i="2"/>
  <c r="U109" i="2"/>
  <c r="T109" i="2"/>
  <c r="S109" i="2"/>
  <c r="R109" i="2"/>
  <c r="Y148" i="2"/>
  <c r="AW114" i="2"/>
  <c r="U119" i="2"/>
  <c r="AT118" i="2"/>
  <c r="AU118" i="2" s="1"/>
  <c r="AD123" i="2"/>
  <c r="AV124" i="2"/>
  <c r="AW124" i="2" s="1"/>
  <c r="AW97" i="2"/>
  <c r="X144" i="2"/>
  <c r="U9" i="2"/>
  <c r="AW9" i="2" s="1"/>
  <c r="V31" i="2"/>
  <c r="AH31" i="2"/>
  <c r="V45" i="2"/>
  <c r="V57" i="2"/>
  <c r="X73" i="2"/>
  <c r="AM73" i="2"/>
  <c r="S105" i="2"/>
  <c r="R105" i="2"/>
  <c r="AV104" i="2"/>
  <c r="AW104" i="2" s="1"/>
  <c r="AT104" i="2"/>
  <c r="AU104" i="2" s="1"/>
  <c r="U107" i="2"/>
  <c r="T107" i="2"/>
  <c r="S107" i="2"/>
  <c r="AD107" i="2"/>
  <c r="R107" i="2"/>
  <c r="AC107" i="2"/>
  <c r="AB107" i="2"/>
  <c r="AA107" i="2"/>
  <c r="Z107" i="2"/>
  <c r="AV107" i="2" s="1"/>
  <c r="AA132" i="2"/>
  <c r="AV132" i="2" s="1"/>
  <c r="AA111" i="2"/>
  <c r="AV118" i="2"/>
  <c r="AW118" i="2" s="1"/>
  <c r="W121" i="2"/>
  <c r="V121" i="2"/>
  <c r="U121" i="2"/>
  <c r="T121" i="2"/>
  <c r="S121" i="2"/>
  <c r="R121" i="2"/>
  <c r="AF123" i="2"/>
  <c r="AC148" i="2"/>
  <c r="T144" i="2"/>
  <c r="T150" i="2" s="1"/>
  <c r="AJ144" i="2"/>
  <c r="AJ150" i="2" s="1"/>
  <c r="AD143" i="2"/>
  <c r="V65" i="2"/>
  <c r="U65" i="2"/>
  <c r="AE123" i="2"/>
  <c r="W31" i="2"/>
  <c r="R65" i="2"/>
  <c r="AP67" i="2"/>
  <c r="AD67" i="2"/>
  <c r="R67" i="2"/>
  <c r="AO67" i="2"/>
  <c r="AC67" i="2"/>
  <c r="AN67" i="2"/>
  <c r="AB67" i="2"/>
  <c r="AV67" i="2" s="1"/>
  <c r="AF67" i="2"/>
  <c r="Y73" i="2"/>
  <c r="AN73" i="2"/>
  <c r="AD81" i="2"/>
  <c r="R81" i="2"/>
  <c r="AC81" i="2"/>
  <c r="AB81" i="2"/>
  <c r="AA81" i="2"/>
  <c r="Z81" i="2"/>
  <c r="Y81" i="2"/>
  <c r="S95" i="2"/>
  <c r="R95" i="2"/>
  <c r="V107" i="2"/>
  <c r="AT114" i="2"/>
  <c r="AU114" i="2" s="1"/>
  <c r="AC119" i="2"/>
  <c r="X121" i="2"/>
  <c r="AT124" i="2"/>
  <c r="AU124" i="2" s="1"/>
  <c r="AE125" i="2"/>
  <c r="T129" i="2"/>
  <c r="AD148" i="2"/>
  <c r="AK144" i="2"/>
  <c r="AK150" i="2" s="1"/>
  <c r="AN143" i="2"/>
  <c r="AB69" i="2"/>
  <c r="AN69" i="2"/>
  <c r="AB71" i="2"/>
  <c r="V91" i="2"/>
  <c r="AT91" i="2" s="1"/>
  <c r="AU91" i="2" s="1"/>
  <c r="AB101" i="2"/>
  <c r="AT101" i="2" s="1"/>
  <c r="AU101" i="2" s="1"/>
  <c r="X105" i="2"/>
  <c r="AV110" i="2"/>
  <c r="AW110" i="2" s="1"/>
  <c r="AA119" i="2"/>
  <c r="AV119" i="2" s="1"/>
  <c r="AB141" i="2"/>
  <c r="AB144" i="2" s="1"/>
  <c r="AB150" i="2" s="1"/>
  <c r="AN141" i="2"/>
  <c r="AC69" i="2"/>
  <c r="AO69" i="2"/>
  <c r="AC71" i="2"/>
  <c r="AB77" i="2"/>
  <c r="AT77" i="2" s="1"/>
  <c r="AU77" i="2" s="1"/>
  <c r="W91" i="2"/>
  <c r="AT97" i="2"/>
  <c r="AU97" i="2" s="1"/>
  <c r="AC101" i="2"/>
  <c r="Y105" i="2"/>
  <c r="AV105" i="2" s="1"/>
  <c r="AT112" i="2"/>
  <c r="AU112" i="2" s="1"/>
  <c r="AB119" i="2"/>
  <c r="R69" i="2"/>
  <c r="AD69" i="2"/>
  <c r="R71" i="2"/>
  <c r="X91" i="2"/>
  <c r="Z105" i="2"/>
  <c r="V132" i="2"/>
  <c r="S139" i="2"/>
  <c r="AD141" i="2"/>
  <c r="AP141" i="2"/>
  <c r="AP144" i="2" s="1"/>
  <c r="AP150" i="2" s="1"/>
  <c r="AR148" i="2"/>
  <c r="Y91" i="2"/>
  <c r="AV91" i="2" s="1"/>
  <c r="AA105" i="2"/>
  <c r="R111" i="2"/>
  <c r="S129" i="2"/>
  <c r="AS148" i="2"/>
  <c r="AS151" i="2" s="1"/>
  <c r="AS153" i="2" s="1"/>
  <c r="Z91" i="2"/>
  <c r="AB105" i="2"/>
  <c r="X132" i="2"/>
  <c r="AA91" i="2"/>
  <c r="U129" i="2"/>
  <c r="AB91" i="2"/>
  <c r="U111" i="2"/>
  <c r="V129" i="2"/>
  <c r="W141" i="2"/>
  <c r="AW29" i="2" l="1"/>
  <c r="AW33" i="2"/>
  <c r="AI149" i="2"/>
  <c r="AI134" i="2"/>
  <c r="AT21" i="2"/>
  <c r="AU21" i="2" s="1"/>
  <c r="AW125" i="2"/>
  <c r="AT125" i="2"/>
  <c r="AU125" i="2" s="1"/>
  <c r="AT49" i="2"/>
  <c r="AU49" i="2" s="1"/>
  <c r="AW49" i="2"/>
  <c r="AO133" i="2"/>
  <c r="AT33" i="2"/>
  <c r="AU33" i="2" s="1"/>
  <c r="AT25" i="2"/>
  <c r="AU25" i="2" s="1"/>
  <c r="AV41" i="2"/>
  <c r="AW41" i="2" s="1"/>
  <c r="AT81" i="2"/>
  <c r="AU81" i="2" s="1"/>
  <c r="AW81" i="2"/>
  <c r="AF148" i="2"/>
  <c r="AT45" i="2"/>
  <c r="AU45" i="2" s="1"/>
  <c r="AW45" i="2"/>
  <c r="AT29" i="2"/>
  <c r="AU29" i="2" s="1"/>
  <c r="AT13" i="2"/>
  <c r="AU13" i="2" s="1"/>
  <c r="AW13" i="2"/>
  <c r="AG133" i="2"/>
  <c r="AT19" i="2"/>
  <c r="AU19" i="2" s="1"/>
  <c r="AW19" i="2"/>
  <c r="AW115" i="2"/>
  <c r="AT115" i="2"/>
  <c r="AU115" i="2" s="1"/>
  <c r="AQ151" i="2"/>
  <c r="AQ153" i="2" s="1"/>
  <c r="AW123" i="2"/>
  <c r="AT123" i="2"/>
  <c r="AU123" i="2" s="1"/>
  <c r="AT37" i="2"/>
  <c r="AU37" i="2" s="1"/>
  <c r="AW37" i="2"/>
  <c r="AQ134" i="2"/>
  <c r="T133" i="2"/>
  <c r="T149" i="2" s="1"/>
  <c r="AV29" i="2"/>
  <c r="AW35" i="2"/>
  <c r="AT35" i="2"/>
  <c r="AU35" i="2" s="1"/>
  <c r="AD144" i="2"/>
  <c r="AD150" i="2" s="1"/>
  <c r="AW65" i="2"/>
  <c r="AT65" i="2"/>
  <c r="AU65" i="2" s="1"/>
  <c r="AT143" i="2"/>
  <c r="AW57" i="2"/>
  <c r="AT57" i="2"/>
  <c r="AU57" i="2" s="1"/>
  <c r="AV55" i="2"/>
  <c r="AW55" i="2" s="1"/>
  <c r="AV33" i="2"/>
  <c r="AV143" i="2"/>
  <c r="AW143" i="2" s="1"/>
  <c r="X148" i="2"/>
  <c r="V148" i="2"/>
  <c r="AI151" i="2"/>
  <c r="AI153" i="2" s="1"/>
  <c r="AW63" i="2"/>
  <c r="AT63" i="2"/>
  <c r="AU63" i="2" s="1"/>
  <c r="AV21" i="2"/>
  <c r="AW21" i="2" s="1"/>
  <c r="AV75" i="2"/>
  <c r="AW75" i="2" s="1"/>
  <c r="AH133" i="2"/>
  <c r="AT75" i="2"/>
  <c r="AU75" i="2" s="1"/>
  <c r="AT51" i="2"/>
  <c r="AU51" i="2" s="1"/>
  <c r="AW51" i="2"/>
  <c r="AV127" i="2"/>
  <c r="AW127" i="2" s="1"/>
  <c r="AA133" i="2"/>
  <c r="AA149" i="2" s="1"/>
  <c r="AW91" i="2"/>
  <c r="AW121" i="2"/>
  <c r="AT121" i="2"/>
  <c r="AW117" i="2"/>
  <c r="AT117" i="2"/>
  <c r="AU117" i="2" s="1"/>
  <c r="AT73" i="2"/>
  <c r="AU73" i="2" s="1"/>
  <c r="AV25" i="2"/>
  <c r="AW25" i="2" s="1"/>
  <c r="S144" i="2"/>
  <c r="AW139" i="2"/>
  <c r="AT139" i="2"/>
  <c r="AT107" i="2"/>
  <c r="AU107" i="2" s="1"/>
  <c r="AW107" i="2"/>
  <c r="AV73" i="2"/>
  <c r="AW73" i="2" s="1"/>
  <c r="AT31" i="2"/>
  <c r="AU31" i="2" s="1"/>
  <c r="AW31" i="2"/>
  <c r="U148" i="2"/>
  <c r="U151" i="2" s="1"/>
  <c r="U153" i="2" s="1"/>
  <c r="AV113" i="2"/>
  <c r="AJ133" i="2"/>
  <c r="V133" i="2"/>
  <c r="V149" i="2" s="1"/>
  <c r="X133" i="2"/>
  <c r="X149" i="2" s="1"/>
  <c r="AT15" i="2"/>
  <c r="AU15" i="2" s="1"/>
  <c r="AW15" i="2"/>
  <c r="AW67" i="2"/>
  <c r="AT67" i="2"/>
  <c r="AU67" i="2" s="1"/>
  <c r="AF133" i="2"/>
  <c r="AF149" i="2" s="1"/>
  <c r="AV101" i="2"/>
  <c r="AW101" i="2" s="1"/>
  <c r="AT109" i="2"/>
  <c r="AU109" i="2" s="1"/>
  <c r="AW109" i="2"/>
  <c r="AT119" i="2"/>
  <c r="AU119" i="2" s="1"/>
  <c r="AW119" i="2"/>
  <c r="AT53" i="2"/>
  <c r="AU53" i="2" s="1"/>
  <c r="AW53" i="2"/>
  <c r="AC133" i="2"/>
  <c r="Y133" i="2"/>
  <c r="AV7" i="2"/>
  <c r="AW7" i="2" s="1"/>
  <c r="AW113" i="2"/>
  <c r="AT113" i="2"/>
  <c r="AU113" i="2" s="1"/>
  <c r="AK149" i="2"/>
  <c r="AK151" i="2" s="1"/>
  <c r="AK153" i="2" s="1"/>
  <c r="AK134" i="2"/>
  <c r="AL149" i="2"/>
  <c r="AL151" i="2" s="1"/>
  <c r="AL153" i="2" s="1"/>
  <c r="AL134" i="2"/>
  <c r="W133" i="2"/>
  <c r="W149" i="2" s="1"/>
  <c r="AV141" i="2"/>
  <c r="AW141" i="2" s="1"/>
  <c r="Z133" i="2"/>
  <c r="AT47" i="2"/>
  <c r="AU47" i="2" s="1"/>
  <c r="AW47" i="2"/>
  <c r="AT23" i="2"/>
  <c r="AU23" i="2" s="1"/>
  <c r="AW23" i="2"/>
  <c r="AW71" i="2"/>
  <c r="AT71" i="2"/>
  <c r="AU71" i="2" s="1"/>
  <c r="AN144" i="2"/>
  <c r="AN150" i="2" s="1"/>
  <c r="AN151" i="2" s="1"/>
  <c r="AN153" i="2" s="1"/>
  <c r="AN134" i="2"/>
  <c r="AV59" i="2"/>
  <c r="AW59" i="2" s="1"/>
  <c r="AE133" i="2"/>
  <c r="AT41" i="2"/>
  <c r="AU41" i="2" s="1"/>
  <c r="AW61" i="2"/>
  <c r="AT61" i="2"/>
  <c r="AU61" i="2" s="1"/>
  <c r="AT103" i="2"/>
  <c r="AU103" i="2" s="1"/>
  <c r="AW103" i="2"/>
  <c r="AV123" i="2"/>
  <c r="AW129" i="2"/>
  <c r="AT129" i="2"/>
  <c r="AV144" i="2"/>
  <c r="X150" i="2"/>
  <c r="AV150" i="2" s="1"/>
  <c r="AW111" i="2"/>
  <c r="AT111" i="2"/>
  <c r="AU111" i="2" s="1"/>
  <c r="AW69" i="2"/>
  <c r="AT69" i="2"/>
  <c r="AU69" i="2" s="1"/>
  <c r="AV81" i="2"/>
  <c r="AV125" i="2"/>
  <c r="AW85" i="2"/>
  <c r="AT85" i="2"/>
  <c r="AU85" i="2" s="1"/>
  <c r="AP151" i="2"/>
  <c r="AP153" i="2" s="1"/>
  <c r="T134" i="2"/>
  <c r="T148" i="2"/>
  <c r="T151" i="2" s="1"/>
  <c r="T153" i="2" s="1"/>
  <c r="AV77" i="2"/>
  <c r="AW77" i="2" s="1"/>
  <c r="AM133" i="2"/>
  <c r="AT43" i="2"/>
  <c r="AU43" i="2" s="1"/>
  <c r="AB133" i="2"/>
  <c r="R133" i="2"/>
  <c r="AT7" i="2"/>
  <c r="AU7" i="2" s="1"/>
  <c r="AV49" i="2"/>
  <c r="AR151" i="2"/>
  <c r="AR153" i="2" s="1"/>
  <c r="AW95" i="2"/>
  <c r="AT95" i="2"/>
  <c r="AU95" i="2" s="1"/>
  <c r="AT141" i="2"/>
  <c r="W134" i="2"/>
  <c r="W148" i="2"/>
  <c r="AW17" i="2"/>
  <c r="AT17" i="2"/>
  <c r="AU17" i="2" s="1"/>
  <c r="W144" i="2"/>
  <c r="W150" i="2" s="1"/>
  <c r="AA148" i="2"/>
  <c r="AA151" i="2" s="1"/>
  <c r="AA153" i="2" s="1"/>
  <c r="AT105" i="2"/>
  <c r="AU105" i="2" s="1"/>
  <c r="AW105" i="2"/>
  <c r="AW99" i="2"/>
  <c r="AT99" i="2"/>
  <c r="AU99" i="2" s="1"/>
  <c r="AP134" i="2"/>
  <c r="U133" i="2"/>
  <c r="U149" i="2" s="1"/>
  <c r="AD133" i="2"/>
  <c r="S133" i="2"/>
  <c r="AT127" i="2"/>
  <c r="AU127" i="2" s="1"/>
  <c r="AF134" i="2" l="1"/>
  <c r="AC149" i="2"/>
  <c r="AC151" i="2" s="1"/>
  <c r="AC153" i="2" s="1"/>
  <c r="AC134" i="2"/>
  <c r="Y149" i="2"/>
  <c r="Y151" i="2" s="1"/>
  <c r="Y153" i="2" s="1"/>
  <c r="AV133" i="2"/>
  <c r="Y134" i="2"/>
  <c r="Z149" i="2"/>
  <c r="Z151" i="2" s="1"/>
  <c r="Z153" i="2" s="1"/>
  <c r="Z134" i="2"/>
  <c r="AF151" i="2"/>
  <c r="AF153" i="2" s="1"/>
  <c r="AA134" i="2"/>
  <c r="AJ149" i="2"/>
  <c r="AJ151" i="2" s="1"/>
  <c r="AJ153" i="2" s="1"/>
  <c r="AJ134" i="2"/>
  <c r="V134" i="2"/>
  <c r="AM149" i="2"/>
  <c r="AM151" i="2" s="1"/>
  <c r="AM153" i="2" s="1"/>
  <c r="AM134" i="2"/>
  <c r="V151" i="2"/>
  <c r="V153" i="2" s="1"/>
  <c r="R149" i="2"/>
  <c r="AW133" i="2"/>
  <c r="AT133" i="2"/>
  <c r="AU133" i="2" s="1"/>
  <c r="R134" i="2"/>
  <c r="AT148" i="2"/>
  <c r="S150" i="2"/>
  <c r="AW144" i="2"/>
  <c r="AT144" i="2"/>
  <c r="X134" i="2"/>
  <c r="S149" i="2"/>
  <c r="S134" i="2"/>
  <c r="AB149" i="2"/>
  <c r="AB151" i="2" s="1"/>
  <c r="AB153" i="2" s="1"/>
  <c r="AB134" i="2"/>
  <c r="AV148" i="2"/>
  <c r="AW148" i="2" s="1"/>
  <c r="X151" i="2"/>
  <c r="AE149" i="2"/>
  <c r="AE151" i="2" s="1"/>
  <c r="AE153" i="2" s="1"/>
  <c r="AE134" i="2"/>
  <c r="AD149" i="2"/>
  <c r="AD151" i="2" s="1"/>
  <c r="AD153" i="2" s="1"/>
  <c r="AD134" i="2"/>
  <c r="AG149" i="2"/>
  <c r="AG151" i="2" s="1"/>
  <c r="AG153" i="2" s="1"/>
  <c r="AG134" i="2"/>
  <c r="W151" i="2"/>
  <c r="W153" i="2" s="1"/>
  <c r="U134" i="2"/>
  <c r="AH149" i="2"/>
  <c r="AH151" i="2" s="1"/>
  <c r="AH153" i="2" s="1"/>
  <c r="AH134" i="2"/>
  <c r="AO149" i="2"/>
  <c r="AO151" i="2" s="1"/>
  <c r="AO153" i="2" s="1"/>
  <c r="AO134" i="2"/>
  <c r="AV134" i="2" l="1"/>
  <c r="AT134" i="2"/>
  <c r="AU134" i="2" s="1"/>
  <c r="AW134" i="2"/>
  <c r="AT149" i="2"/>
  <c r="R151" i="2"/>
  <c r="AT150" i="2"/>
  <c r="AW150" i="2"/>
  <c r="AV151" i="2"/>
  <c r="X153" i="2"/>
  <c r="AV149" i="2"/>
  <c r="AW149" i="2" s="1"/>
  <c r="S151" i="2"/>
  <c r="S153" i="2" s="1"/>
  <c r="R153" i="2" l="1"/>
  <c r="AW151" i="2"/>
  <c r="AT151" i="2"/>
  <c r="D91" i="1" l="1"/>
  <c r="D41" i="1"/>
  <c r="D308" i="1" l="1"/>
  <c r="E308" i="1" s="1"/>
  <c r="E306" i="1"/>
  <c r="E305" i="1"/>
  <c r="D304" i="1"/>
  <c r="C304" i="1"/>
  <c r="E303" i="1"/>
  <c r="E302" i="1"/>
  <c r="C301" i="1"/>
  <c r="D300" i="1"/>
  <c r="E300" i="1" s="1"/>
  <c r="D299" i="1"/>
  <c r="E299" i="1" s="1"/>
  <c r="D298" i="1"/>
  <c r="E298" i="1" s="1"/>
  <c r="D297" i="1"/>
  <c r="E297" i="1" s="1"/>
  <c r="D296" i="1"/>
  <c r="E296" i="1" s="1"/>
  <c r="D295" i="1"/>
  <c r="E295" i="1" s="1"/>
  <c r="D294" i="1"/>
  <c r="E294" i="1" s="1"/>
  <c r="D293" i="1"/>
  <c r="E293" i="1" s="1"/>
  <c r="D292" i="1"/>
  <c r="E292" i="1" s="1"/>
  <c r="D291" i="1"/>
  <c r="E291" i="1" s="1"/>
  <c r="C290" i="1"/>
  <c r="D289" i="1"/>
  <c r="E289" i="1" s="1"/>
  <c r="D288" i="1"/>
  <c r="E288" i="1" s="1"/>
  <c r="C287" i="1"/>
  <c r="D286" i="1"/>
  <c r="E286" i="1" s="1"/>
  <c r="D285" i="1"/>
  <c r="E285" i="1" s="1"/>
  <c r="D284" i="1"/>
  <c r="E284" i="1" s="1"/>
  <c r="D283" i="1"/>
  <c r="F282" i="1"/>
  <c r="C282" i="1"/>
  <c r="D281" i="1"/>
  <c r="E281" i="1" s="1"/>
  <c r="D280" i="1"/>
  <c r="E280" i="1" s="1"/>
  <c r="D279" i="1"/>
  <c r="E279" i="1" s="1"/>
  <c r="D278" i="1"/>
  <c r="E278" i="1" s="1"/>
  <c r="D277" i="1"/>
  <c r="E277" i="1" s="1"/>
  <c r="D276" i="1"/>
  <c r="E276" i="1" s="1"/>
  <c r="D275" i="1"/>
  <c r="E275" i="1" s="1"/>
  <c r="D274" i="1"/>
  <c r="E274" i="1" s="1"/>
  <c r="D273" i="1"/>
  <c r="E273" i="1" s="1"/>
  <c r="D272" i="1"/>
  <c r="E272" i="1" s="1"/>
  <c r="D271" i="1"/>
  <c r="E271" i="1" s="1"/>
  <c r="D270" i="1"/>
  <c r="E270" i="1" s="1"/>
  <c r="D269" i="1"/>
  <c r="C268" i="1"/>
  <c r="D266" i="1"/>
  <c r="E266" i="1" s="1"/>
  <c r="D265" i="1"/>
  <c r="E265" i="1" s="1"/>
  <c r="D264" i="1"/>
  <c r="E264" i="1" s="1"/>
  <c r="D263" i="1"/>
  <c r="E263" i="1" s="1"/>
  <c r="D262" i="1"/>
  <c r="E262" i="1" s="1"/>
  <c r="D261" i="1"/>
  <c r="E261" i="1" s="1"/>
  <c r="D260" i="1"/>
  <c r="E260" i="1" s="1"/>
  <c r="D259" i="1"/>
  <c r="E259" i="1" s="1"/>
  <c r="D258" i="1"/>
  <c r="E258" i="1" s="1"/>
  <c r="D257" i="1"/>
  <c r="E257" i="1" s="1"/>
  <c r="C256" i="1"/>
  <c r="C255" i="1" s="1"/>
  <c r="D254" i="1"/>
  <c r="E254" i="1" s="1"/>
  <c r="D253" i="1"/>
  <c r="E253" i="1" s="1"/>
  <c r="D252" i="1"/>
  <c r="E252" i="1" s="1"/>
  <c r="C251" i="1"/>
  <c r="D250" i="1"/>
  <c r="E250" i="1" s="1"/>
  <c r="D249" i="1"/>
  <c r="E249" i="1" s="1"/>
  <c r="D248" i="1"/>
  <c r="D247" i="1"/>
  <c r="E247" i="1" s="1"/>
  <c r="C246" i="1"/>
  <c r="D245" i="1"/>
  <c r="E245" i="1" s="1"/>
  <c r="D244" i="1"/>
  <c r="E244" i="1" s="1"/>
  <c r="D243" i="1"/>
  <c r="E243" i="1" s="1"/>
  <c r="D242" i="1"/>
  <c r="E242" i="1" s="1"/>
  <c r="F241" i="1"/>
  <c r="C241" i="1"/>
  <c r="D240" i="1"/>
  <c r="E240" i="1" s="1"/>
  <c r="D239" i="1"/>
  <c r="E239" i="1" s="1"/>
  <c r="D238" i="1"/>
  <c r="E238" i="1" s="1"/>
  <c r="D237" i="1"/>
  <c r="E237" i="1" s="1"/>
  <c r="F236" i="1"/>
  <c r="C236" i="1"/>
  <c r="D235" i="1"/>
  <c r="E235" i="1" s="1"/>
  <c r="D234" i="1"/>
  <c r="E234" i="1" s="1"/>
  <c r="D233" i="1"/>
  <c r="D232" i="1"/>
  <c r="E232" i="1" s="1"/>
  <c r="C231" i="1"/>
  <c r="D230" i="1"/>
  <c r="E230" i="1" s="1"/>
  <c r="D228" i="1"/>
  <c r="E228" i="1" s="1"/>
  <c r="D227" i="1"/>
  <c r="E227" i="1" s="1"/>
  <c r="D226" i="1"/>
  <c r="E226" i="1" s="1"/>
  <c r="D225" i="1"/>
  <c r="E225" i="1" s="1"/>
  <c r="D224" i="1"/>
  <c r="E224" i="1" s="1"/>
  <c r="D223" i="1"/>
  <c r="E223" i="1" s="1"/>
  <c r="D222" i="1"/>
  <c r="E222" i="1" s="1"/>
  <c r="D221" i="1"/>
  <c r="E221" i="1" s="1"/>
  <c r="D220" i="1"/>
  <c r="E220" i="1" s="1"/>
  <c r="C219" i="1"/>
  <c r="D218" i="1"/>
  <c r="E218" i="1" s="1"/>
  <c r="D217" i="1"/>
  <c r="E217" i="1" s="1"/>
  <c r="C216" i="1"/>
  <c r="D215" i="1"/>
  <c r="E215" i="1" s="1"/>
  <c r="D214" i="1"/>
  <c r="E214" i="1" s="1"/>
  <c r="D213" i="1"/>
  <c r="E213" i="1" s="1"/>
  <c r="D212" i="1"/>
  <c r="E212" i="1" s="1"/>
  <c r="D211" i="1"/>
  <c r="E211" i="1" s="1"/>
  <c r="C210" i="1"/>
  <c r="D208" i="1"/>
  <c r="E208" i="1" s="1"/>
  <c r="D207" i="1"/>
  <c r="E207" i="1" s="1"/>
  <c r="D206" i="1"/>
  <c r="E206" i="1" s="1"/>
  <c r="D205" i="1"/>
  <c r="C204" i="1"/>
  <c r="D203" i="1"/>
  <c r="E203" i="1" s="1"/>
  <c r="D202" i="1"/>
  <c r="E202" i="1" s="1"/>
  <c r="D201" i="1"/>
  <c r="E201" i="1" s="1"/>
  <c r="D200" i="1"/>
  <c r="E200" i="1" s="1"/>
  <c r="D199" i="1"/>
  <c r="E199" i="1" s="1"/>
  <c r="D198" i="1"/>
  <c r="E198" i="1" s="1"/>
  <c r="D197" i="1"/>
  <c r="E197" i="1" s="1"/>
  <c r="D196" i="1"/>
  <c r="F195" i="1"/>
  <c r="C195" i="1"/>
  <c r="C194" i="1" s="1"/>
  <c r="E193" i="1"/>
  <c r="E192" i="1"/>
  <c r="E191" i="1"/>
  <c r="E190" i="1"/>
  <c r="E189" i="1"/>
  <c r="E188" i="1"/>
  <c r="E187" i="1"/>
  <c r="D186" i="1"/>
  <c r="E186" i="1" s="1"/>
  <c r="D185" i="1"/>
  <c r="E185" i="1" s="1"/>
  <c r="D184" i="1"/>
  <c r="E184" i="1" s="1"/>
  <c r="D183" i="1"/>
  <c r="E183" i="1" s="1"/>
  <c r="D182" i="1"/>
  <c r="E182" i="1" s="1"/>
  <c r="D181" i="1"/>
  <c r="E181" i="1" s="1"/>
  <c r="D180" i="1"/>
  <c r="E180" i="1" s="1"/>
  <c r="C179" i="1"/>
  <c r="C171" i="1" s="1"/>
  <c r="D178" i="1"/>
  <c r="E178" i="1" s="1"/>
  <c r="D177" i="1"/>
  <c r="E177" i="1" s="1"/>
  <c r="D176" i="1"/>
  <c r="E176" i="1" s="1"/>
  <c r="D175" i="1"/>
  <c r="E175" i="1" s="1"/>
  <c r="D174" i="1"/>
  <c r="E174" i="1" s="1"/>
  <c r="D173" i="1"/>
  <c r="E173" i="1" s="1"/>
  <c r="D172" i="1"/>
  <c r="E172" i="1" s="1"/>
  <c r="D170" i="1"/>
  <c r="E170" i="1" s="1"/>
  <c r="D169" i="1"/>
  <c r="E169" i="1" s="1"/>
  <c r="D168" i="1"/>
  <c r="E168" i="1" s="1"/>
  <c r="D167" i="1"/>
  <c r="E167" i="1" s="1"/>
  <c r="D166" i="1"/>
  <c r="E166" i="1" s="1"/>
  <c r="D165" i="1"/>
  <c r="E165" i="1" s="1"/>
  <c r="D164" i="1"/>
  <c r="E164" i="1" s="1"/>
  <c r="D163" i="1"/>
  <c r="E163" i="1" s="1"/>
  <c r="D162" i="1"/>
  <c r="E162" i="1" s="1"/>
  <c r="D161" i="1"/>
  <c r="E161" i="1" s="1"/>
  <c r="D160" i="1"/>
  <c r="E160" i="1" s="1"/>
  <c r="D159" i="1"/>
  <c r="E159" i="1" s="1"/>
  <c r="D158" i="1"/>
  <c r="E158" i="1" s="1"/>
  <c r="D157" i="1"/>
  <c r="D156" i="1"/>
  <c r="E156" i="1" s="1"/>
  <c r="H155" i="1"/>
  <c r="D155" i="1"/>
  <c r="E155" i="1" s="1"/>
  <c r="D154" i="1"/>
  <c r="E154" i="1" s="1"/>
  <c r="C153" i="1"/>
  <c r="D152" i="1"/>
  <c r="E152" i="1" s="1"/>
  <c r="D151" i="1"/>
  <c r="E151" i="1" s="1"/>
  <c r="D150" i="1"/>
  <c r="E150" i="1" s="1"/>
  <c r="D149" i="1"/>
  <c r="E149" i="1" s="1"/>
  <c r="D147" i="1"/>
  <c r="E147" i="1" s="1"/>
  <c r="C146" i="1"/>
  <c r="D145" i="1"/>
  <c r="E145" i="1" s="1"/>
  <c r="D144" i="1"/>
  <c r="E144" i="1" s="1"/>
  <c r="D143" i="1"/>
  <c r="C142" i="1"/>
  <c r="C141" i="1" s="1"/>
  <c r="D140" i="1"/>
  <c r="E140" i="1" s="1"/>
  <c r="D139" i="1"/>
  <c r="E139" i="1" s="1"/>
  <c r="D138" i="1"/>
  <c r="E138" i="1" s="1"/>
  <c r="D137" i="1"/>
  <c r="E137" i="1" s="1"/>
  <c r="D136" i="1"/>
  <c r="E136" i="1" s="1"/>
  <c r="D135" i="1"/>
  <c r="E135" i="1" s="1"/>
  <c r="D134" i="1"/>
  <c r="E134" i="1" s="1"/>
  <c r="D133" i="1"/>
  <c r="E133" i="1" s="1"/>
  <c r="D132" i="1"/>
  <c r="E132" i="1" s="1"/>
  <c r="D131" i="1"/>
  <c r="C130" i="1"/>
  <c r="E129" i="1"/>
  <c r="D129" i="1"/>
  <c r="C129" i="1"/>
  <c r="D123" i="1"/>
  <c r="E123" i="1" s="1"/>
  <c r="D122" i="1"/>
  <c r="E122" i="1" s="1"/>
  <c r="D121" i="1"/>
  <c r="E121" i="1" s="1"/>
  <c r="D120" i="1"/>
  <c r="E120" i="1" s="1"/>
  <c r="D119" i="1"/>
  <c r="E119" i="1" s="1"/>
  <c r="D118" i="1"/>
  <c r="E118" i="1" s="1"/>
  <c r="D117" i="1"/>
  <c r="E117" i="1" s="1"/>
  <c r="D116" i="1"/>
  <c r="E116" i="1" s="1"/>
  <c r="D115" i="1"/>
  <c r="C114" i="1"/>
  <c r="D113" i="1"/>
  <c r="E113" i="1" s="1"/>
  <c r="D112" i="1"/>
  <c r="E112" i="1" s="1"/>
  <c r="C111" i="1"/>
  <c r="D109" i="1"/>
  <c r="E109" i="1" s="1"/>
  <c r="D108" i="1"/>
  <c r="E108" i="1" s="1"/>
  <c r="D107" i="1"/>
  <c r="E107" i="1" s="1"/>
  <c r="C106" i="1"/>
  <c r="D105" i="1"/>
  <c r="E105" i="1" s="1"/>
  <c r="D104" i="1"/>
  <c r="E104" i="1" s="1"/>
  <c r="D103" i="1"/>
  <c r="E103" i="1" s="1"/>
  <c r="C102" i="1"/>
  <c r="D101" i="1"/>
  <c r="E101" i="1" s="1"/>
  <c r="D100" i="1"/>
  <c r="E100" i="1" s="1"/>
  <c r="C99" i="1"/>
  <c r="D98" i="1"/>
  <c r="E98" i="1" s="1"/>
  <c r="D97" i="1"/>
  <c r="E97" i="1" s="1"/>
  <c r="C96" i="1"/>
  <c r="D94" i="1"/>
  <c r="E94" i="1" s="1"/>
  <c r="D93" i="1"/>
  <c r="E93" i="1" s="1"/>
  <c r="C92" i="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C67" i="1"/>
  <c r="D66" i="1"/>
  <c r="E66"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C50" i="1"/>
  <c r="D49" i="1"/>
  <c r="E49" i="1" s="1"/>
  <c r="D48" i="1"/>
  <c r="E48" i="1" s="1"/>
  <c r="C47" i="1"/>
  <c r="C43" i="1" s="1"/>
  <c r="C42" i="1" s="1"/>
  <c r="D46" i="1"/>
  <c r="E46" i="1" s="1"/>
  <c r="D45" i="1"/>
  <c r="E45" i="1" s="1"/>
  <c r="D44" i="1"/>
  <c r="E44" i="1" s="1"/>
  <c r="E41" i="1"/>
  <c r="D40" i="1"/>
  <c r="E40" i="1" s="1"/>
  <c r="D39" i="1"/>
  <c r="E39" i="1" s="1"/>
  <c r="D38" i="1"/>
  <c r="E38" i="1" s="1"/>
  <c r="C37" i="1"/>
  <c r="D36" i="1"/>
  <c r="E36" i="1" s="1"/>
  <c r="D35" i="1"/>
  <c r="E35" i="1" s="1"/>
  <c r="C34" i="1"/>
  <c r="D33" i="1"/>
  <c r="E33" i="1" s="1"/>
  <c r="D32" i="1"/>
  <c r="E32" i="1" s="1"/>
  <c r="D31" i="1"/>
  <c r="E31" i="1" s="1"/>
  <c r="D30" i="1"/>
  <c r="E30" i="1" s="1"/>
  <c r="D29" i="1"/>
  <c r="E29" i="1" s="1"/>
  <c r="D28" i="1"/>
  <c r="C27" i="1"/>
  <c r="D26" i="1"/>
  <c r="E26" i="1" s="1"/>
  <c r="D25" i="1"/>
  <c r="E25" i="1" s="1"/>
  <c r="D24" i="1"/>
  <c r="E24" i="1" s="1"/>
  <c r="C23" i="1"/>
  <c r="D21" i="1"/>
  <c r="E21" i="1" s="1"/>
  <c r="D20" i="1"/>
  <c r="E20" i="1" s="1"/>
  <c r="C19" i="1"/>
  <c r="D18" i="1"/>
  <c r="E18" i="1" s="1"/>
  <c r="D17" i="1"/>
  <c r="E17" i="1" s="1"/>
  <c r="C16" i="1"/>
  <c r="D15" i="1"/>
  <c r="E15" i="1" s="1"/>
  <c r="D14" i="1"/>
  <c r="E14" i="1" s="1"/>
  <c r="C13" i="1"/>
  <c r="D12" i="1"/>
  <c r="E12" i="1" s="1"/>
  <c r="D11" i="1"/>
  <c r="E11" i="1" s="1"/>
  <c r="C10" i="1"/>
  <c r="D8" i="1"/>
  <c r="C7" i="1"/>
  <c r="D34" i="1" l="1"/>
  <c r="E34" i="1" s="1"/>
  <c r="D195" i="1"/>
  <c r="E195" i="1" s="1"/>
  <c r="D16" i="1"/>
  <c r="E16" i="1" s="1"/>
  <c r="C22" i="1"/>
  <c r="D282" i="1"/>
  <c r="C148" i="1"/>
  <c r="C267" i="1"/>
  <c r="C229" i="1" s="1"/>
  <c r="D153" i="1"/>
  <c r="E153" i="1" s="1"/>
  <c r="D111" i="1"/>
  <c r="E111" i="1" s="1"/>
  <c r="D231" i="1"/>
  <c r="E231" i="1" s="1"/>
  <c r="C9" i="1"/>
  <c r="E304" i="1"/>
  <c r="D102" i="1"/>
  <c r="E102" i="1" s="1"/>
  <c r="E157" i="1"/>
  <c r="D204" i="1"/>
  <c r="E204" i="1" s="1"/>
  <c r="D251" i="1"/>
  <c r="E251" i="1" s="1"/>
  <c r="D19" i="1"/>
  <c r="E19" i="1" s="1"/>
  <c r="E196" i="1"/>
  <c r="D92" i="1"/>
  <c r="E92" i="1" s="1"/>
  <c r="D106" i="1"/>
  <c r="E106" i="1" s="1"/>
  <c r="I155" i="1"/>
  <c r="E241" i="1"/>
  <c r="D10" i="1"/>
  <c r="E10" i="1" s="1"/>
  <c r="D301" i="1"/>
  <c r="E301" i="1" s="1"/>
  <c r="D179" i="1"/>
  <c r="E179" i="1" s="1"/>
  <c r="D290" i="1"/>
  <c r="E290" i="1" s="1"/>
  <c r="D96" i="1"/>
  <c r="E96" i="1" s="1"/>
  <c r="D142" i="1"/>
  <c r="E142" i="1" s="1"/>
  <c r="C209" i="1"/>
  <c r="D37" i="1"/>
  <c r="E37" i="1" s="1"/>
  <c r="D256" i="1"/>
  <c r="E256" i="1" s="1"/>
  <c r="D268" i="1"/>
  <c r="E268" i="1" s="1"/>
  <c r="D287" i="1"/>
  <c r="E287" i="1" s="1"/>
  <c r="D23" i="1"/>
  <c r="D27" i="1"/>
  <c r="E27" i="1" s="1"/>
  <c r="D13" i="1"/>
  <c r="E13" i="1" s="1"/>
  <c r="E28" i="1"/>
  <c r="E8" i="1"/>
  <c r="D7" i="1"/>
  <c r="E51" i="1"/>
  <c r="D50" i="1"/>
  <c r="E115" i="1"/>
  <c r="D114" i="1"/>
  <c r="E114" i="1" s="1"/>
  <c r="C6" i="1"/>
  <c r="E236" i="1"/>
  <c r="D67" i="1"/>
  <c r="E67" i="1" s="1"/>
  <c r="E91" i="1"/>
  <c r="C95" i="1"/>
  <c r="D99" i="1"/>
  <c r="D146" i="1"/>
  <c r="E146" i="1" s="1"/>
  <c r="D219" i="1"/>
  <c r="E219" i="1" s="1"/>
  <c r="D210" i="1"/>
  <c r="D216" i="1"/>
  <c r="E216" i="1" s="1"/>
  <c r="D47" i="1"/>
  <c r="E47" i="1" s="1"/>
  <c r="D130" i="1"/>
  <c r="E131" i="1"/>
  <c r="E205" i="1"/>
  <c r="E269" i="1"/>
  <c r="E143" i="1"/>
  <c r="E233" i="1"/>
  <c r="D255" i="1"/>
  <c r="E255" i="1" s="1"/>
  <c r="D246" i="1"/>
  <c r="E246" i="1" s="1"/>
  <c r="E248" i="1"/>
  <c r="D236" i="1"/>
  <c r="E283" i="1"/>
  <c r="E282" i="1" s="1"/>
  <c r="D241" i="1"/>
  <c r="D141" i="1" l="1"/>
  <c r="E141" i="1" s="1"/>
  <c r="C110" i="1"/>
  <c r="C3" i="1" s="1"/>
  <c r="C307" i="1"/>
  <c r="C309" i="1" s="1"/>
  <c r="D171" i="1"/>
  <c r="E171" i="1" s="1"/>
  <c r="D9" i="1"/>
  <c r="E9" i="1" s="1"/>
  <c r="D267" i="1"/>
  <c r="D229" i="1" s="1"/>
  <c r="E229" i="1" s="1"/>
  <c r="D194" i="1"/>
  <c r="E194" i="1" s="1"/>
  <c r="E267" i="1"/>
  <c r="E7" i="1"/>
  <c r="D6" i="1"/>
  <c r="E6" i="1" s="1"/>
  <c r="D22" i="1"/>
  <c r="E22" i="1" s="1"/>
  <c r="E23" i="1"/>
  <c r="E99" i="1"/>
  <c r="D95" i="1"/>
  <c r="E95" i="1" s="1"/>
  <c r="E50" i="1"/>
  <c r="D43" i="1"/>
  <c r="D209" i="1"/>
  <c r="E209" i="1" s="1"/>
  <c r="E210" i="1"/>
  <c r="E130" i="1"/>
  <c r="D148" i="1" l="1"/>
  <c r="E148" i="1" s="1"/>
  <c r="C124" i="1"/>
  <c r="C310" i="1" s="1"/>
  <c r="E43" i="1"/>
  <c r="D42" i="1"/>
  <c r="D307" i="1" l="1"/>
  <c r="D309" i="1" s="1"/>
  <c r="E309" i="1" s="1"/>
  <c r="E42" i="1"/>
  <c r="D110" i="1"/>
  <c r="E307" i="1" l="1"/>
  <c r="J155" i="1"/>
  <c r="E110" i="1"/>
  <c r="D124" i="1"/>
  <c r="D3" i="1"/>
  <c r="D310" i="1" l="1"/>
  <c r="E310" i="1" s="1"/>
  <c r="E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66" authorId="0" shapeId="0" xr:uid="{02896DA3-1F78-4062-B80F-79CF1A05D7FC}">
      <text>
        <r>
          <rPr>
            <b/>
            <sz val="9"/>
            <color indexed="81"/>
            <rFont val="Tahoma"/>
            <family val="2"/>
            <charset val="186"/>
          </rPr>
          <t>Sarmīte Mūze:</t>
        </r>
        <r>
          <rPr>
            <sz val="9"/>
            <color indexed="81"/>
            <rFont val="Tahoma"/>
            <family val="2"/>
            <charset val="186"/>
          </rPr>
          <t xml:space="preserve">
1010 supervizijas EKK 18.6.3.</t>
        </r>
      </text>
    </comment>
    <comment ref="C297" authorId="0" shapeId="0" xr:uid="{48B46D75-8F06-4E68-833E-E356E8F8495F}">
      <text>
        <r>
          <rPr>
            <b/>
            <sz val="9"/>
            <color indexed="81"/>
            <rFont val="Tahoma"/>
            <family val="2"/>
            <charset val="186"/>
          </rPr>
          <t>Sarmīte Mūze:</t>
        </r>
        <r>
          <rPr>
            <sz val="9"/>
            <color indexed="81"/>
            <rFont val="Tahoma"/>
            <family val="2"/>
            <charset val="186"/>
          </rPr>
          <t xml:space="preserve">
Šis ir jāizņem no 0930 un jāliek 0982 algā.
</t>
        </r>
      </text>
    </comment>
    <comment ref="D297" authorId="0" shapeId="0" xr:uid="{52D84899-873C-4E04-A109-857494D96690}">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<sst xmlns="http://schemas.openxmlformats.org/spreadsheetml/2006/main" count="1384" uniqueCount="913">
  <si>
    <t>Ādažu pašvaldības apvienotais budžets</t>
  </si>
  <si>
    <t xml:space="preserve">Ieņēmumu daļa </t>
  </si>
  <si>
    <t xml:space="preserve">N.p.k. </t>
  </si>
  <si>
    <t>Sadaļa</t>
  </si>
  <si>
    <t>2026. gada budžets</t>
  </si>
  <si>
    <t>26.03.2026. grozījumi</t>
  </si>
  <si>
    <t>Izmaiņa 26.03.2026. - 29.01.2026.</t>
  </si>
  <si>
    <t xml:space="preserve">Komentāri </t>
  </si>
  <si>
    <t>1., 2., 3., 4., 5.</t>
  </si>
  <si>
    <t>Nodokļu ieņēmumi</t>
  </si>
  <si>
    <t>1.</t>
  </si>
  <si>
    <t>Iedzīvotāju ienākuma nodoklis</t>
  </si>
  <si>
    <t>1.1.</t>
  </si>
  <si>
    <t>pārskata gada</t>
  </si>
  <si>
    <t>1., 2., 3., 4.</t>
  </si>
  <si>
    <t>Nekustamā īpašuma nodokļu ieņēmumi</t>
  </si>
  <si>
    <t>2.</t>
  </si>
  <si>
    <t>Nekustamā īpašuma nodoklis par zemi</t>
  </si>
  <si>
    <t>2.1.</t>
  </si>
  <si>
    <t>2.2.</t>
  </si>
  <si>
    <t>iepriekšējo gadu parādi</t>
  </si>
  <si>
    <t>3.</t>
  </si>
  <si>
    <t>Nekustamā īpašuma nodoklis par ēkām</t>
  </si>
  <si>
    <t>3.1.</t>
  </si>
  <si>
    <t xml:space="preserve">pārskata gada </t>
  </si>
  <si>
    <t>3.2.</t>
  </si>
  <si>
    <t>4.</t>
  </si>
  <si>
    <t>Nekustamā īpašuma nodoklis par mājokļiem un inženierbūvēm</t>
  </si>
  <si>
    <t>4.1.</t>
  </si>
  <si>
    <t>4.2.</t>
  </si>
  <si>
    <t>5.</t>
  </si>
  <si>
    <t>Nodokļi un maksājumi par tiesībām lietot atsevišķas preces</t>
  </si>
  <si>
    <t>5.1.</t>
  </si>
  <si>
    <t>Azartspēļu nodoklis</t>
  </si>
  <si>
    <t>Dabas resursu nodoklis</t>
  </si>
  <si>
    <t>6.</t>
  </si>
  <si>
    <t>Valsts (pašvaldību) un kancelejas nodevas</t>
  </si>
  <si>
    <t>6.1.</t>
  </si>
  <si>
    <t>valsts nodevas</t>
  </si>
  <si>
    <t>6.1.1.</t>
  </si>
  <si>
    <t>t.sk.: - par apliecinājumiem un citu funkciju pildīšanu bāriņtiesā</t>
  </si>
  <si>
    <t>6.1.2.</t>
  </si>
  <si>
    <t>t.sk.: - par civilstāvokļa aktu reģistrēšanu, grozīšanu un papildināšanu</t>
  </si>
  <si>
    <t>6.1.3.</t>
  </si>
  <si>
    <t>t.sk.: - pārējās valsts nodevas, kuras ieskaita pašvaldību budžetā</t>
  </si>
  <si>
    <t>6.2.</t>
  </si>
  <si>
    <t>pašvaldību nodevas</t>
  </si>
  <si>
    <t>6.2.1.</t>
  </si>
  <si>
    <t>t.sk.: - nodeva par domes izstrādāto oficiālo dokumentu saņemšanu</t>
  </si>
  <si>
    <t>6.2.2.</t>
  </si>
  <si>
    <t>t.sk.: - nodeva par izklaidējoša rakstura pasākumu sarīkošanu publiskās vietās</t>
  </si>
  <si>
    <t>6.2.3.</t>
  </si>
  <si>
    <t>t.sk.: - nodeva par tirdzniecību publiskās vietās</t>
  </si>
  <si>
    <t>6.2.4.</t>
  </si>
  <si>
    <t>t.sk.: - nodeva par reklāmas, afišu un sludinājumu izvietošanu publiskās vietās</t>
  </si>
  <si>
    <t>6.2.5.</t>
  </si>
  <si>
    <t>t.sk.: - nodeva par būvatļaujas saņemšanu</t>
  </si>
  <si>
    <t>6.2.6.</t>
  </si>
  <si>
    <t>t.sk.: - pārējās nodevas</t>
  </si>
  <si>
    <t>7.</t>
  </si>
  <si>
    <t>Naudas sodi un sankcijas</t>
  </si>
  <si>
    <t>7.1.</t>
  </si>
  <si>
    <t>7.2.</t>
  </si>
  <si>
    <t>Naudas sodi, ko uzliek par pārkāpumiem ceļu satiksmē</t>
  </si>
  <si>
    <t>8.</t>
  </si>
  <si>
    <t>Pārējie nenodokļu ieņēmumi</t>
  </si>
  <si>
    <t>8.1.</t>
  </si>
  <si>
    <t>citi nenodokļu ieņēmumi</t>
  </si>
  <si>
    <t>8.2.</t>
  </si>
  <si>
    <t>līgumsodi un procentu maksājumi par saistību neizpildi</t>
  </si>
  <si>
    <t>8.3.</t>
  </si>
  <si>
    <t>ieņēmumi no zvejas tiesību nomas</t>
  </si>
  <si>
    <t>9.</t>
  </si>
  <si>
    <t>Ieņēmumi no pašvaldības īpašuma pārdošana</t>
  </si>
  <si>
    <t>10.</t>
  </si>
  <si>
    <t>Valsts budžeta transferti un projektu finansējums</t>
  </si>
  <si>
    <t>10.1.</t>
  </si>
  <si>
    <t>Valsts budžeta transferti</t>
  </si>
  <si>
    <t>10.1.1.</t>
  </si>
  <si>
    <t>dotācija mākslas skolas algām</t>
  </si>
  <si>
    <t>10.1.2.</t>
  </si>
  <si>
    <t>dotācija sporta skolai</t>
  </si>
  <si>
    <t>10.1.3.</t>
  </si>
  <si>
    <t>dotācija skolēnu ēdināšanai</t>
  </si>
  <si>
    <t>10.1.4.</t>
  </si>
  <si>
    <t>dotācija mācību līdzekļiem</t>
  </si>
  <si>
    <t xml:space="preserve">  10.1.4.1.</t>
  </si>
  <si>
    <t>t.sk.: - dotācija mācību grāmatām</t>
  </si>
  <si>
    <t xml:space="preserve">  10.1.4.2.</t>
  </si>
  <si>
    <t>t.sk.: - dotācija digitālajiem mācību līdzekļiem</t>
  </si>
  <si>
    <t>10.1.5.</t>
  </si>
  <si>
    <t>dotācijas pedagogu algām (vsk., PII)</t>
  </si>
  <si>
    <t xml:space="preserve">  10.1.5.1.</t>
  </si>
  <si>
    <t>t.sk.: - piecgadīgo bērnu apmācība</t>
  </si>
  <si>
    <t xml:space="preserve">  10.1.5.2.</t>
  </si>
  <si>
    <t>t.sk.: - skolotāju algām</t>
  </si>
  <si>
    <t xml:space="preserve">  10.1.5.3.</t>
  </si>
  <si>
    <t>t.sk.: - interešu izglītība</t>
  </si>
  <si>
    <t>10.1.6.</t>
  </si>
  <si>
    <t>dotācija māksliniecisko kolektīvu vadītāju atalgojumam</t>
  </si>
  <si>
    <t>10.1.7.</t>
  </si>
  <si>
    <t>Projekts "Skolas soma" Ādaži</t>
  </si>
  <si>
    <t>Precizēta summa pēc līguma noslēgšanas</t>
  </si>
  <si>
    <t>10.1.8.</t>
  </si>
  <si>
    <t>Projekts "Skolas soma" Carnikava</t>
  </si>
  <si>
    <t>10.1.9.</t>
  </si>
  <si>
    <t>dotācija asistenta pakalpojumu nodrošināšanai</t>
  </si>
  <si>
    <t>10.1.10.</t>
  </si>
  <si>
    <t>dotācija sociālajiem darbiniekiem, kuri strādā ar ģimenēm un bērniem</t>
  </si>
  <si>
    <t>AM līdzfinansējums Vecštāles ceļa rekonstrukcijai</t>
  </si>
  <si>
    <t>10.1.11.</t>
  </si>
  <si>
    <t>valsts dotācija ceļu uzturēšanai</t>
  </si>
  <si>
    <t>Valsts finansējums projektu konkursā "Atbalsts jaunatnes politikas īstenošanai vietējā līmenī" Projekts "Mobilais darbs ar jaunatni Ādažu novadā"</t>
  </si>
  <si>
    <t>10.1.12.</t>
  </si>
  <si>
    <t>Dotācijas Ukrainas pilsoņu atbalstam</t>
  </si>
  <si>
    <t>10.1.13.</t>
  </si>
  <si>
    <t>Dotācijas "Energoresursu atbalsts"</t>
  </si>
  <si>
    <t>10.1.14.</t>
  </si>
  <si>
    <t>Dotācija nodarbinātības pasākumiem</t>
  </si>
  <si>
    <t>10.1.15.</t>
  </si>
  <si>
    <t>EKII</t>
  </si>
  <si>
    <t>10.1.16.</t>
  </si>
  <si>
    <t>pārējās dotācijas</t>
  </si>
  <si>
    <t>10.2.</t>
  </si>
  <si>
    <t>ES struktūrfondu līdzekļi un aktivitāšu līdzfinansējumi</t>
  </si>
  <si>
    <t>10.2.1.</t>
  </si>
  <si>
    <t>Plūdu risku projekts</t>
  </si>
  <si>
    <t>10.2.2.</t>
  </si>
  <si>
    <t>TEP “Atjaunojamo energoresursu izmantošana Ādažu novadā” (EUCF)</t>
  </si>
  <si>
    <t>10.2.3.</t>
  </si>
  <si>
    <t>Projekts “Infrastruktūras uzlabošana uzņēmējdarbības attīstībai Ādažos”</t>
  </si>
  <si>
    <t>Publiskās ārtelpas izveide Gaujas ielā 31 Ādažos</t>
  </si>
  <si>
    <t>10.2.5.</t>
  </si>
  <si>
    <t>ES Kohēzijas fonda projekts "STEM un pilsoniskās līdzdalības norises plašākai izglītības pieredzei un karjeras izvēlei"</t>
  </si>
  <si>
    <t>10.2.6.</t>
  </si>
  <si>
    <t>Projekts jauniešu asociāciju federācija Eiropas mobilitātei. CERV programmas projekts "YOUTth and democracy: empowering Europe's next generation"</t>
  </si>
  <si>
    <t>10.2.7.</t>
  </si>
  <si>
    <t>10.2.8.</t>
  </si>
  <si>
    <t>LIFE NewBauhaus projekts</t>
  </si>
  <si>
    <t>10.2.9.</t>
  </si>
  <si>
    <t>Pedagogu profesionālā atbalsta sistēmas izveide</t>
  </si>
  <si>
    <t>10.2.10.</t>
  </si>
  <si>
    <t>SAM 9.2.4.2. projekts "Pasākumi vietējās sabiedrības veselības veicināšanai Ādažu novadā"</t>
  </si>
  <si>
    <t>10.2.11.</t>
  </si>
  <si>
    <t>Jaunais plūdu projekts - 2.1.3.2. "Nacionālas nozīmes plūdu un krasta erozijas pasākumi" 1.daļa</t>
  </si>
  <si>
    <t>10.2.12.</t>
  </si>
  <si>
    <t>Krastupes ielas projekts</t>
  </si>
  <si>
    <t>10.2.13.</t>
  </si>
  <si>
    <t>10.2.14.</t>
  </si>
  <si>
    <t>Jaunas pirmsskolas izglītības iestādes Podniekos būvniecība</t>
  </si>
  <si>
    <t>10.2.16.</t>
  </si>
  <si>
    <t>Projekts “Izglītības iestāžu nodrošinājums pilnveidotā vispārējās izglītības satura kvalitatīvai ieviešanai Ādažu novadā”</t>
  </si>
  <si>
    <t>Projekts “Digitālā darba ar jaunatni sistēmas attīstība pašvaldībās”</t>
  </si>
  <si>
    <t>10.2.17.</t>
  </si>
  <si>
    <t xml:space="preserve"> ”Mobilitātes punkta infrastruktūras izveidošana Rīgas metropoles areālā – “Carnikava””</t>
  </si>
  <si>
    <t>10.2.18.</t>
  </si>
  <si>
    <t>Maģistrālā  veloceļa izbūve Rīga-Carnikava</t>
  </si>
  <si>
    <t>10.2.20.</t>
  </si>
  <si>
    <t>"Blusu" kroga pārbūves tehniskā projekta izstrāde</t>
  </si>
  <si>
    <t>10.2.21.</t>
  </si>
  <si>
    <t>LEADER projektu realizācija</t>
  </si>
  <si>
    <t>10.2.22.</t>
  </si>
  <si>
    <t>"Upesceļi II/Ūdenstūrisma pieejamības veicināšana (RiverwaysII/Facilitating access to watertourism activities)".</t>
  </si>
  <si>
    <t>10.2.23.</t>
  </si>
  <si>
    <t>Projekts “Bioloģiskās daudzveidības saglabāšana un antropogēnās slodzes mazināšana Natura2000 teritorijās Ādažu novadā”</t>
  </si>
  <si>
    <t xml:space="preserve">Multimodāls sabiedriskā transporta tīkls, 2. kārta” </t>
  </si>
  <si>
    <t>Patvertņu pielāgošana un aprīkošana civiliem aizsardzības mērķiem</t>
  </si>
  <si>
    <t>Šķiroto atkritumu savākšanas laukums Laivu ielā 12, Carnikavā</t>
  </si>
  <si>
    <t>Laveru sūkņu stacijas pārbūve</t>
  </si>
  <si>
    <t>10.3.</t>
  </si>
  <si>
    <t>IIN budžeta dotācija</t>
  </si>
  <si>
    <t>11.</t>
  </si>
  <si>
    <t>Pašvaldību budžeta transferti</t>
  </si>
  <si>
    <t>11.1.</t>
  </si>
  <si>
    <t>no citām pašvaldībām izglītības funkciju nodrošināšanai</t>
  </si>
  <si>
    <t>11.2.</t>
  </si>
  <si>
    <t>citi ieņēmumi no citām pašvaldībam</t>
  </si>
  <si>
    <t>12.</t>
  </si>
  <si>
    <t>Budžeta iestāžu ieņēmumi</t>
  </si>
  <si>
    <t>12.1.</t>
  </si>
  <si>
    <t>maksa par izglītības pakalpojumiem</t>
  </si>
  <si>
    <t>12.1.1.</t>
  </si>
  <si>
    <t>ieņēmumi no vecāku maksām (PII)</t>
  </si>
  <si>
    <t>12.1.2.</t>
  </si>
  <si>
    <t>ieņēmumi no vecāku maksām (ĀMMS; BJSS)</t>
  </si>
  <si>
    <t>12.2.</t>
  </si>
  <si>
    <t>pārrobežu projektu ieņēmumi</t>
  </si>
  <si>
    <t>12.2.1.</t>
  </si>
  <si>
    <t>ERASMUS + projekti</t>
  </si>
  <si>
    <t>12.2.2.</t>
  </si>
  <si>
    <t>citi pārrobežu projektu ieņēmumi</t>
  </si>
  <si>
    <t>12.3.</t>
  </si>
  <si>
    <t>ieņēmumi par nomu un īri</t>
  </si>
  <si>
    <t>12.3.1.</t>
  </si>
  <si>
    <t>ieņēmumi par telpu nomu</t>
  </si>
  <si>
    <t>12.3.2.</t>
  </si>
  <si>
    <t>ieņēmumi par zemes nomu</t>
  </si>
  <si>
    <t>12.3.3.</t>
  </si>
  <si>
    <t>pārējie ieņēmumi par nomu ©</t>
  </si>
  <si>
    <t>12.4.</t>
  </si>
  <si>
    <t>budžeta iestāžu maksas pakalpojumi</t>
  </si>
  <si>
    <t>12.4.1.</t>
  </si>
  <si>
    <t>12.4.2.</t>
  </si>
  <si>
    <t>ieņēmumi no biļešu realizācijas</t>
  </si>
  <si>
    <t>12.5.</t>
  </si>
  <si>
    <t>pārējie ieņēmumi/stāvvietu ieņēmumi</t>
  </si>
  <si>
    <t>2026.gadā noteiktais Ropažu domes līdzmaksājums par Baltezera kapsētas uzturēšanu (0648/21.3.9.9.4.)</t>
  </si>
  <si>
    <t>KOPĀ IEŅĒMUMI:</t>
  </si>
  <si>
    <t>13.</t>
  </si>
  <si>
    <t>Naudas līdzekļu atlikums gada sākumā</t>
  </si>
  <si>
    <t>13.1.</t>
  </si>
  <si>
    <t>Naudas atlikums iezīmētiem mērķiem</t>
  </si>
  <si>
    <t>13.2.</t>
  </si>
  <si>
    <t>Naudas atlikums pašvaldības līdzekļi</t>
  </si>
  <si>
    <t>Precizēts konta atlikums</t>
  </si>
  <si>
    <t xml:space="preserve">14. </t>
  </si>
  <si>
    <t>Valsts Kases kredīti</t>
  </si>
  <si>
    <t>14.1.</t>
  </si>
  <si>
    <t>Aizņēmums Skolas ielas rekonstrukcijai</t>
  </si>
  <si>
    <t>14.2.</t>
  </si>
  <si>
    <t>14.4.</t>
  </si>
  <si>
    <t>Ādažu vidusskolas D korpusa siltināšana</t>
  </si>
  <si>
    <t>14.5.</t>
  </si>
  <si>
    <t>Ādažu vidusskolas ēkas A korpusa, savienojuma daļas starp korpusiem (A un B), kā arī, vidusskolas centrālās daļas, tai skaitā torņa fasādes atjaunošana.</t>
  </si>
  <si>
    <t>14.6.</t>
  </si>
  <si>
    <t xml:space="preserve">Dzirnupes ielas tilta pārbūve I kārta </t>
  </si>
  <si>
    <t>14.7.</t>
  </si>
  <si>
    <t>14.8.</t>
  </si>
  <si>
    <t>14.9.</t>
  </si>
  <si>
    <t>14.10.</t>
  </si>
  <si>
    <t>PAVISAM KOPĀ IEŅĒMUMI:</t>
  </si>
  <si>
    <t xml:space="preserve">Izdevumu daļa </t>
  </si>
  <si>
    <t>Komentāri</t>
  </si>
  <si>
    <t>Vispārējie valdības dienesti</t>
  </si>
  <si>
    <t>pārvalde</t>
  </si>
  <si>
    <t>EUR 28'474 kopienu speciālista izmaksas. Saskaņā ar Domes 26.02.2026. lēmumu Nr.83, kur tiek pārcelta pozīcija kopienu speciālists no Attīstības daļas uz pārvaldi.</t>
  </si>
  <si>
    <t>1.2.</t>
  </si>
  <si>
    <t>deputāti</t>
  </si>
  <si>
    <t>1.3.</t>
  </si>
  <si>
    <t>administratīvā komisija</t>
  </si>
  <si>
    <t>1.4.</t>
  </si>
  <si>
    <t>iepirkumu komisija</t>
  </si>
  <si>
    <t>1.5.</t>
  </si>
  <si>
    <t>vēlēšanu komisija</t>
  </si>
  <si>
    <t>1.6.</t>
  </si>
  <si>
    <t>pārējās komisijas</t>
  </si>
  <si>
    <t>1.7.</t>
  </si>
  <si>
    <t>aizņēmumu procentu maksājumi</t>
  </si>
  <si>
    <t>1.8.</t>
  </si>
  <si>
    <t>Iemaksas PFIF</t>
  </si>
  <si>
    <t>1.9.</t>
  </si>
  <si>
    <t>Informācijas tehnoloģiju nodaļa, vispārējas nozīmes dienestu darbība un pakalpojumi - datortīkla uzturēšana ©</t>
  </si>
  <si>
    <t>Sabiedriskā kārtība un drošība</t>
  </si>
  <si>
    <t>Ekonomiskā darbība</t>
  </si>
  <si>
    <t>Sabiedriskās attiecības, laikraksts</t>
  </si>
  <si>
    <t>3.1.1.</t>
  </si>
  <si>
    <t>Sabiedrisko attiecību nodaļa</t>
  </si>
  <si>
    <t>3.1.2.</t>
  </si>
  <si>
    <t>Ādažu vēstis</t>
  </si>
  <si>
    <t>Autoceļu fonds</t>
  </si>
  <si>
    <t>Vides aizsardzība</t>
  </si>
  <si>
    <t>Dabas resursu nodokļa izlietojums</t>
  </si>
  <si>
    <t>Pašvaldības teritoriju un mājokļu apsaimniekošana</t>
  </si>
  <si>
    <t>Izdevumi neparedzētiem gadījumiem</t>
  </si>
  <si>
    <t>5.2.</t>
  </si>
  <si>
    <t>Līdzdalības budžets</t>
  </si>
  <si>
    <t>5.3.</t>
  </si>
  <si>
    <t>Būvvalde</t>
  </si>
  <si>
    <t>5.4.</t>
  </si>
  <si>
    <t>Teritorijas plānošanas nodaļa</t>
  </si>
  <si>
    <t>5.5.</t>
  </si>
  <si>
    <t>Attīstības un projektu nodaļa</t>
  </si>
  <si>
    <t>5.5.1.</t>
  </si>
  <si>
    <t>nodaļa</t>
  </si>
  <si>
    <t>- EUR 28'474 kopienu speciālista izmaksas. Saskaņā ar Domes 26.02.2026. lēmumu Nr.83, kur tiek pārcelta pozīcija kopienu speciālists no Attīstības daļas uz pārvaldi.</t>
  </si>
  <si>
    <t>5.5.2.</t>
  </si>
  <si>
    <t>Projekts "Sabiedrība ar dvēseli"</t>
  </si>
  <si>
    <t>5.5.3.</t>
  </si>
  <si>
    <t>Iedzīvotāju iniciatīvas un konkursi.</t>
  </si>
  <si>
    <t>5.5.4.</t>
  </si>
  <si>
    <t>5.5.5.</t>
  </si>
  <si>
    <t>”Mobilitātes punkta infrastruktūras izveidošana Rīgas metropoles areālā – “Carnikava””</t>
  </si>
  <si>
    <t>5.5.6.</t>
  </si>
  <si>
    <t>5.5.7.</t>
  </si>
  <si>
    <t>5.5.8.</t>
  </si>
  <si>
    <t>5.5.9.</t>
  </si>
  <si>
    <t>5.5.10.</t>
  </si>
  <si>
    <t>5.5.11.</t>
  </si>
  <si>
    <t>Sskaņā ar Domes 26.02.2026. lēmumu Nr.76 EUR 10'000 no nesadalītā konta atlikuma Pirmā iela 42A metāla konstrukciju un pamatu detalizētai izpētei.</t>
  </si>
  <si>
    <t>5.5.12.</t>
  </si>
  <si>
    <t>"Blusu" kroga pārbūves tehniskā projekta izstrāde.</t>
  </si>
  <si>
    <t>5.5.13.</t>
  </si>
  <si>
    <t>5.5.14.</t>
  </si>
  <si>
    <t>5.5.15.</t>
  </si>
  <si>
    <t>5.5.16.</t>
  </si>
  <si>
    <t>Infrastruktūras uzlabošana uzņēmējdarbības attīstībai Ādažu novadā (Laveru ceļš + Smilgu iela)</t>
  </si>
  <si>
    <t>5.6.</t>
  </si>
  <si>
    <t>Objektu un teritorijas apsaimniekošana un uzturēšana</t>
  </si>
  <si>
    <t>5.6.1.</t>
  </si>
  <si>
    <t xml:space="preserve">Nekustamā īpašuma nodaļa </t>
  </si>
  <si>
    <t>EUR 3'000 + EUR 3'000 no nesadalītā konta atlikuma zemes ierīcības projekta izstrādeiu, lai sadalītu zemi Zvejnieku iela 23 un Tulpju iela 5, lai daļu nodotu SIA "Ādažu namsaimnieks</t>
  </si>
  <si>
    <t>5.6.2.</t>
  </si>
  <si>
    <t>SAM 5.1.1. Pretplūdu pasākumi Ādažu centra polderī, Ādažu novadā</t>
  </si>
  <si>
    <t>5.6.3.</t>
  </si>
  <si>
    <t>5.6.4.</t>
  </si>
  <si>
    <t>Vecštāles ceļa asfaltēšana (AM finansējums)</t>
  </si>
  <si>
    <t>Dzirnupes ielas tilta pārbūve I kārta, MRG būve, Nr.02-20.1/25/167</t>
  </si>
  <si>
    <t>P/A "Carnikavas komunālserviss" teritorijas un īpašumu apsaimniekošana</t>
  </si>
  <si>
    <t>5.6.4.1.</t>
  </si>
  <si>
    <t>Dotācija CKS teritorijas uzturēšanai</t>
  </si>
  <si>
    <t>EUR 9'936 līdzfinansējums daudzdzīvokļu mājām no domes sadaļas uz CKS.</t>
  </si>
  <si>
    <t>5.6.4.2.</t>
  </si>
  <si>
    <t>Dotācija CKS ceļu uzturēšanai</t>
  </si>
  <si>
    <t>5.6.4.3.</t>
  </si>
  <si>
    <t>Teritorijas uzturēšana (Dome)</t>
  </si>
  <si>
    <t>1) 2025.gadā noteiktais Ropažu domes līdzmaksājuma daļa (EUR 29'826) par Baltezera kapsētas uzturēšanu, kas netika izlietots 2025.gada laikā un jāatmaksā atpakaļ.
2) EUR 9'936 līdzfinansējums daudzdzīvokļu mājām no domes sadaļas uz CKS.</t>
  </si>
  <si>
    <t>5.6.5.</t>
  </si>
  <si>
    <t>Investīcijas energosaimniecības uzlabošanā</t>
  </si>
  <si>
    <t>5.6.6.</t>
  </si>
  <si>
    <t>Investīcijas vides pārvaldībā un uzlabošanā</t>
  </si>
  <si>
    <t>5.6.7.</t>
  </si>
  <si>
    <t>Investīcijas ceļu, ielu infrastruktūras attīstībā un uzlabošanā</t>
  </si>
  <si>
    <t>5.6.8.</t>
  </si>
  <si>
    <t>Investīcijas vides un hidromeliorācijas uzturēšanā un attīstībā</t>
  </si>
  <si>
    <t>5.6.10.</t>
  </si>
  <si>
    <t>Dzirnupes ielas tilta projekts, Carnikava</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</si>
  <si>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</si>
  <si>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</si>
  <si>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</si>
  <si>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</si>
  <si>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</si>
  <si>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</si>
  <si>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5.6.14.</t>
  </si>
  <si>
    <t>EKII projekts</t>
  </si>
  <si>
    <t>5.6.15.</t>
  </si>
  <si>
    <t>Kļavu ielā divkārtas virsmas apstrāde 0.35km</t>
  </si>
  <si>
    <t>5.6.16.</t>
  </si>
  <si>
    <t>Mežmalas ielas seguma vienkāršotā atjaunošana, 0.22km, Alderi</t>
  </si>
  <si>
    <t>Atpūta, kultūra un reliģija</t>
  </si>
  <si>
    <t>Kultūra</t>
  </si>
  <si>
    <t xml:space="preserve">Ādažu kultūras centrs </t>
  </si>
  <si>
    <t>Tautas nams "Ozolaine" ©</t>
  </si>
  <si>
    <t>Muzejs un Carnikavas novadpētniecības centrs</t>
  </si>
  <si>
    <t>6.1.4.</t>
  </si>
  <si>
    <t>Tūrisms</t>
  </si>
  <si>
    <t>SAM 5.5.1. Kultūras objektu būvniecība (maksājumi projekta partneriem) ©</t>
  </si>
  <si>
    <t>AND trūkstošais finansējums uz, ko jāatmaksā citām pašv.</t>
  </si>
  <si>
    <t>6.3.</t>
  </si>
  <si>
    <t>ES projekts Eiropa pilsoņiem (diskriminētām personām) ©</t>
  </si>
  <si>
    <t xml:space="preserve">Ādažu bibliotēka </t>
  </si>
  <si>
    <t xml:space="preserve">Carnikavas bibliotēka </t>
  </si>
  <si>
    <t>6.4.</t>
  </si>
  <si>
    <t>Sporta daļa</t>
  </si>
  <si>
    <t>6.4.1.</t>
  </si>
  <si>
    <t>-  sporta funkcijas nodrošināšana</t>
  </si>
  <si>
    <t>6.4.2.</t>
  </si>
  <si>
    <t>- uzturēšanas izmaksas (CKS)</t>
  </si>
  <si>
    <t>6.5.</t>
  </si>
  <si>
    <t>Evaņģēliski luteriskās draudzes</t>
  </si>
  <si>
    <t>6.6.</t>
  </si>
  <si>
    <t>Multihalle</t>
  </si>
  <si>
    <t>Sociālā aizsardzība</t>
  </si>
  <si>
    <t>Sociālais dienests</t>
  </si>
  <si>
    <t>7.1.1.</t>
  </si>
  <si>
    <t xml:space="preserve">Sociālās funkcijas nodrošināšana </t>
  </si>
  <si>
    <t>7.1.2.</t>
  </si>
  <si>
    <t>Pabalsti</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</si>
  <si>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</si>
  <si>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</si>
  <si>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</si>
  <si>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</si>
  <si>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</si>
  <si>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</si>
  <si>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</si>
  <si>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</si>
  <si>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</si>
  <si>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</si>
  <si>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</si>
  <si>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</si>
  <si>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</si>
  <si>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7.3.1.</t>
  </si>
  <si>
    <t>DI centra uzturēšanas izdevumi</t>
  </si>
  <si>
    <t>7.3.2.</t>
  </si>
  <si>
    <t>DI centra uzturēšanas izdevumi (CKS)</t>
  </si>
  <si>
    <t>7.3.3.</t>
  </si>
  <si>
    <t>DI projekts- specializētās darbnīcas</t>
  </si>
  <si>
    <t>7.3.4.</t>
  </si>
  <si>
    <t>DI centra pakalpojumi (projekts)</t>
  </si>
  <si>
    <t>7.4.</t>
  </si>
  <si>
    <t>Bāriņtiesa</t>
  </si>
  <si>
    <t>7.5.</t>
  </si>
  <si>
    <t>7.6.</t>
  </si>
  <si>
    <t>ANM pasākuma "Atbalsta pasākumi cilvēkiem ar invaliditāti mājokļu vides pieejamības nodrošināšanai" projekts</t>
  </si>
  <si>
    <t>7.7.</t>
  </si>
  <si>
    <t>Izglītība</t>
  </si>
  <si>
    <t>Norēķini ar pašvaldību budžetiem par izglītības iestāžu pakalpojumiem</t>
  </si>
  <si>
    <t>Ādažu Pirmsskolas izglītības iestāde</t>
  </si>
  <si>
    <t>8.2.1.</t>
  </si>
  <si>
    <t>pedagogu algas, grāmatas (mērķdotācija)</t>
  </si>
  <si>
    <t>8.2.2.</t>
  </si>
  <si>
    <t>pārējās izmaksas</t>
  </si>
  <si>
    <t>EUR 300 no ĀPII budžeta uz Ādažu vidusskolas budžetu par apmācību vadīšanu Bērnu tiesību aizsardzībā.</t>
  </si>
  <si>
    <t>8.2.3.</t>
  </si>
  <si>
    <t>8.2.4.</t>
  </si>
  <si>
    <t>uzturēšanas izmaksas (CKS)</t>
  </si>
  <si>
    <t>Kadagas PII</t>
  </si>
  <si>
    <t>8.3.1.</t>
  </si>
  <si>
    <t>8.3.2.</t>
  </si>
  <si>
    <t>8.3.3.</t>
  </si>
  <si>
    <t>8.3.4.</t>
  </si>
  <si>
    <t>8.4.</t>
  </si>
  <si>
    <t>Pirmsskolas izglītības iestāde "Riekstiņš"</t>
  </si>
  <si>
    <t>8.4.1.</t>
  </si>
  <si>
    <t>8.4.2.</t>
  </si>
  <si>
    <t>8.4.3.</t>
  </si>
  <si>
    <t>8.4.4.</t>
  </si>
  <si>
    <t>8.5.</t>
  </si>
  <si>
    <t>Pirmsskolas izglītības iestādes "Piejūra"</t>
  </si>
  <si>
    <t>8.5.1.</t>
  </si>
  <si>
    <t>8.5.2.</t>
  </si>
  <si>
    <t>8.5.3.</t>
  </si>
  <si>
    <t>8.5.4.</t>
  </si>
  <si>
    <t>8.6.</t>
  </si>
  <si>
    <t>Privātās izglītības iestādes</t>
  </si>
  <si>
    <t>8.6.1.</t>
  </si>
  <si>
    <t>ĀBVS</t>
  </si>
  <si>
    <t>8.6.2.</t>
  </si>
  <si>
    <t xml:space="preserve">Pārējās privātās PII </t>
  </si>
  <si>
    <t>8.6.3.</t>
  </si>
  <si>
    <t>Pārējās privātās vidējās izglītības iestādes</t>
  </si>
  <si>
    <t>8.7.</t>
  </si>
  <si>
    <t>Carnikavas vidusskola</t>
  </si>
  <si>
    <t>8.7.1.</t>
  </si>
  <si>
    <t>8.7.1.1.</t>
  </si>
  <si>
    <t>MD pedagogiem</t>
  </si>
  <si>
    <t>8.7.1.2.</t>
  </si>
  <si>
    <t>MD interešu izglītība</t>
  </si>
  <si>
    <t>8.7.1.3.</t>
  </si>
  <si>
    <t>MD mācību līdzekļiem</t>
  </si>
  <si>
    <t>8.7.2.</t>
  </si>
  <si>
    <t>ēdināšana (mērķdotācija)</t>
  </si>
  <si>
    <t>8.7.3.</t>
  </si>
  <si>
    <t>8.7.4.</t>
  </si>
  <si>
    <t>8.7.5.</t>
  </si>
  <si>
    <t>projekts "Skolas soma"</t>
  </si>
  <si>
    <t>8.7.6.</t>
  </si>
  <si>
    <t>8.7.7.</t>
  </si>
  <si>
    <t>projekti Erasmus+; NordPlus</t>
  </si>
  <si>
    <t>8.7.8.</t>
  </si>
  <si>
    <t>mācību vides labiekārtošana</t>
  </si>
  <si>
    <t>8.8.</t>
  </si>
  <si>
    <t>Ādažu vidusskola</t>
  </si>
  <si>
    <t>8.8.1.</t>
  </si>
  <si>
    <t>8.8.1.1.</t>
  </si>
  <si>
    <t>8.8.1.2.</t>
  </si>
  <si>
    <t>8.8.1.3.</t>
  </si>
  <si>
    <t>8.8.2.</t>
  </si>
  <si>
    <t>8.8.3.</t>
  </si>
  <si>
    <t>8.8.4.</t>
  </si>
  <si>
    <t>projekts Erasmus+</t>
  </si>
  <si>
    <t>8.8.5.</t>
  </si>
  <si>
    <t>8.8.6.</t>
  </si>
  <si>
    <t>8.8.7.</t>
  </si>
  <si>
    <t>8.8.8.</t>
  </si>
  <si>
    <t>8.8.9.</t>
  </si>
  <si>
    <t>sākumskolas uzturēšanas izmaksas</t>
  </si>
  <si>
    <t>8.8.10.</t>
  </si>
  <si>
    <t>sākumskolas uzturēšanas izmaksas (CKS)</t>
  </si>
  <si>
    <t>8.8.11.</t>
  </si>
  <si>
    <t>sākumskolas ēdināšana (mērķdotācija)</t>
  </si>
  <si>
    <t>8.8.12.</t>
  </si>
  <si>
    <t xml:space="preserve">PII </t>
  </si>
  <si>
    <t>8.8.12.1</t>
  </si>
  <si>
    <t>- pedagogu algas, māc. līdzekļi (mērķdotācija)</t>
  </si>
  <si>
    <t>8.8.12.2.</t>
  </si>
  <si>
    <t>-  uzturēšana</t>
  </si>
  <si>
    <t>8.8.12.3.</t>
  </si>
  <si>
    <t>- ES Kohēzijas fonda projekts "STEM un pilsoniskās līdzdalības norises plašākai izglītības pieredzei un karjeras izvēlei"</t>
  </si>
  <si>
    <t>8.8.12.4.</t>
  </si>
  <si>
    <t>8.9.</t>
  </si>
  <si>
    <t>Ādažu novada  Mākslu skola</t>
  </si>
  <si>
    <t>8.9.1.</t>
  </si>
  <si>
    <t>pedagogu algas (mērķdotācija)</t>
  </si>
  <si>
    <t>8.10.</t>
  </si>
  <si>
    <t>Sporta skola</t>
  </si>
  <si>
    <t>8.10.1.</t>
  </si>
  <si>
    <t>8.10.2.</t>
  </si>
  <si>
    <t>Pašvaldības finansējums</t>
  </si>
  <si>
    <t>8.11</t>
  </si>
  <si>
    <t>Izglītības un jaunatnes nodaļa</t>
  </si>
  <si>
    <t>Saskaņā ar Domes 26.02.2026. lēmumu Nr. 74 EUR 8'000 izglītojamo pārvadājumiem uz speciālās izglītības iestādēm</t>
  </si>
  <si>
    <t>8.12.</t>
  </si>
  <si>
    <t>Līdzfinansējums skolēnu dalībai konkursos</t>
  </si>
  <si>
    <t>8.13.</t>
  </si>
  <si>
    <t xml:space="preserve">ESF projekts Atbalsts priekšlaicīgas mācību pārtraukšanas samazināšanai © </t>
  </si>
  <si>
    <t>KA</t>
  </si>
  <si>
    <t>8.14.</t>
  </si>
  <si>
    <t>ESF projekts Karjeras atbalsts vispārējās un profesionālās izglītības iestādēs ©</t>
  </si>
  <si>
    <t>8.15.</t>
  </si>
  <si>
    <t>Valsts finansējums projektu konkursā "Atbalsts jaunatnes politikas īstenošanai vietējā līmenī"  projekts "Mobilais darbs ar jaunatni Ādažu novadā"</t>
  </si>
  <si>
    <t>Teritorijas novērtēšana pirms būvprojekta izstrādes un būvprojekts jaunas pamatskolas izveidei Ādažu pilsētā</t>
  </si>
  <si>
    <t>Izglītības iestāžu nodrošinājums pilnveidotā vispārējās izglītības satura kvalitatīvai ieviešanai Ādažu novadā</t>
  </si>
  <si>
    <t>8.18.</t>
  </si>
  <si>
    <t>VISA projekts "Atbalsts izglītojamo individuālo kompetenču attīstībai"</t>
  </si>
  <si>
    <t>8.18.1.</t>
  </si>
  <si>
    <t>Ādaži</t>
  </si>
  <si>
    <t>8.18.2</t>
  </si>
  <si>
    <t>Carnikava</t>
  </si>
  <si>
    <t>Ieguldījumi uzņēmumu pamatkapitālā</t>
  </si>
  <si>
    <t>9.1.</t>
  </si>
  <si>
    <t>SIA "Ādažu ūdens"</t>
  </si>
  <si>
    <t>9.2.</t>
  </si>
  <si>
    <t>SIA "Garkalnes ūdens"</t>
  </si>
  <si>
    <t>KOPĀ IZDEVUMI:</t>
  </si>
  <si>
    <t>Kredītu pamatsummas atmaksa</t>
  </si>
  <si>
    <t>PAVISAM KOPĀ IZDEVUMI:</t>
  </si>
  <si>
    <t>-</t>
  </si>
  <si>
    <t>Naudas līdzekļu atlikums uz gada beigām</t>
  </si>
  <si>
    <t>10.2.15.</t>
  </si>
  <si>
    <t>10.2.19.</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</si>
  <si>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</si>
  <si>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</si>
  <si>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</si>
  <si>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</si>
  <si>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</si>
  <si>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</si>
  <si>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</si>
  <si>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</si>
  <si>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</si>
  <si>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</si>
  <si>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</si>
  <si>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</si>
  <si>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</si>
  <si>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</si>
  <si>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</si>
  <si>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</si>
  <si>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</si>
  <si>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</si>
  <si>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</si>
  <si>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2033 - 2053</t>
  </si>
  <si>
    <t>Kopsumma 2026 - 2053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</si>
  <si>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</si>
  <si>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</si>
  <si>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</si>
  <si>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</si>
  <si>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</si>
  <si>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</si>
  <si>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</si>
  <si>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</si>
  <si>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</si>
  <si>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</si>
  <si>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</si>
  <si>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</si>
  <si>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</si>
  <si>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</si>
  <si>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</si>
  <si>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</si>
  <si>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</si>
  <si>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</si>
  <si>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</si>
  <si>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</si>
  <si>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</si>
  <si>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</si>
  <si>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</si>
  <si>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</si>
  <si>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</si>
  <si>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</si>
  <si>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</si>
  <si>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</si>
  <si>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</si>
  <si>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</si>
  <si>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</si>
  <si>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</si>
  <si>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</si>
  <si>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</si>
  <si>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</si>
  <si>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</si>
  <si>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</si>
  <si>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</si>
  <si>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</si>
  <si>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</si>
  <si>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</si>
  <si>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</si>
  <si>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</si>
  <si>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</si>
  <si>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</si>
  <si>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</si>
  <si>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</si>
  <si>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</si>
  <si>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</si>
  <si>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</si>
  <si>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</si>
  <si>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</si>
  <si>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</si>
  <si>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</si>
  <si>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</si>
  <si>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</si>
  <si>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</si>
  <si>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</si>
  <si>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</si>
  <si>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</si>
  <si>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</si>
  <si>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</si>
  <si>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</si>
  <si>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</si>
  <si>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</si>
  <si>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</si>
  <si>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</si>
  <si>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</si>
  <si>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</si>
  <si>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</si>
  <si>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</si>
  <si>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</si>
  <si>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</si>
  <si>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</si>
  <si>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</si>
  <si>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</si>
  <si>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</si>
  <si>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</si>
  <si>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</si>
  <si>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</si>
  <si>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</si>
  <si>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</si>
  <si>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</si>
  <si>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</si>
  <si>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</si>
  <si>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</si>
  <si>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</si>
  <si>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</si>
  <si>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</si>
  <si>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</si>
  <si>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</si>
  <si>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</si>
  <si>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</si>
  <si>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</si>
  <si>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</si>
  <si>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</si>
  <si>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</si>
  <si>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</si>
  <si>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</si>
  <si>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</si>
  <si>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</si>
  <si>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</si>
  <si>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</si>
  <si>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</si>
  <si>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</si>
  <si>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</si>
  <si>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</si>
  <si>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</si>
  <si>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</si>
  <si>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</si>
  <si>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</si>
  <si>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</si>
  <si>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</si>
  <si>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</si>
  <si>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</si>
  <si>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</si>
  <si>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</si>
  <si>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</si>
  <si>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</si>
  <si>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</si>
  <si>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</si>
  <si>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</si>
  <si>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14.11.</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</si>
  <si>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</si>
  <si>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</si>
  <si>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</si>
  <si>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</si>
  <si>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</si>
  <si>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</si>
  <si>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</si>
  <si>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</si>
  <si>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</si>
  <si>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</si>
  <si>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</si>
  <si>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</si>
  <si>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</si>
  <si>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</si>
  <si>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</si>
  <si>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</si>
  <si>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</si>
  <si>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</si>
  <si>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</si>
  <si>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</si>
  <si>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</si>
  <si>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</si>
  <si>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</si>
  <si>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</si>
  <si>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</si>
  <si>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</si>
  <si>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</si>
  <si>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</si>
  <si>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</si>
  <si>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</si>
  <si>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</si>
  <si>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</si>
  <si>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</si>
  <si>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</si>
  <si>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</si>
  <si>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</si>
  <si>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</si>
  <si>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</si>
  <si>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</si>
  <si>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</si>
  <si>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</si>
  <si>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</si>
  <si>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</si>
  <si>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</si>
  <si>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</si>
  <si>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</si>
  <si>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</si>
  <si>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</si>
  <si>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</si>
  <si>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</si>
  <si>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</si>
  <si>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</si>
  <si>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</si>
  <si>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</si>
  <si>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</si>
  <si>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</si>
  <si>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</si>
  <si>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ERAF "Carnikavas pamatskolas pārbūve"</t>
  </si>
  <si>
    <t>A2/1/21/10</t>
  </si>
  <si>
    <t>P-4/2021</t>
  </si>
  <si>
    <t>26.01.2021</t>
  </si>
  <si>
    <t>20.01.2051</t>
  </si>
  <si>
    <t>26.01.</t>
  </si>
  <si>
    <t>LAD  projekts koka laipu taka uz jūru</t>
  </si>
  <si>
    <t>A2/1/21/11</t>
  </si>
  <si>
    <t>P-3/2021</t>
  </si>
  <si>
    <t>20.01.2031</t>
  </si>
  <si>
    <t>FIX</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</si>
  <si>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</si>
  <si>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</si>
  <si>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</si>
  <si>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</si>
  <si>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</si>
  <si>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</si>
  <si>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</si>
  <si>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</si>
  <si>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</si>
  <si>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</si>
  <si>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</si>
  <si>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</si>
  <si>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</si>
  <si>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</si>
  <si>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</si>
  <si>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</si>
  <si>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</si>
  <si>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</si>
  <si>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</si>
  <si>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</si>
  <si>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</si>
  <si>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</si>
  <si>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</si>
  <si>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</si>
  <si>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</si>
  <si>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</si>
  <si>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</si>
  <si>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</si>
  <si>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</si>
  <si>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</si>
  <si>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</si>
  <si>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</si>
  <si>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</si>
  <si>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</si>
  <si>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</si>
  <si>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</si>
  <si>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</si>
  <si>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</si>
  <si>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</si>
  <si>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</si>
  <si>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</si>
  <si>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</si>
  <si>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</si>
  <si>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</si>
  <si>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</si>
  <si>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</si>
  <si>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</si>
  <si>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</si>
  <si>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</si>
  <si>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</si>
  <si>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</si>
  <si>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</si>
  <si>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</si>
  <si>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</si>
  <si>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</si>
  <si>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</si>
  <si>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</si>
  <si>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</si>
  <si>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</si>
  <si>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</si>
  <si>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</si>
  <si>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</si>
  <si>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</si>
  <si>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</si>
  <si>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</si>
  <si>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</si>
  <si>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</si>
  <si>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</si>
  <si>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</si>
  <si>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</si>
  <si>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</si>
  <si>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</si>
  <si>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</si>
  <si>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</si>
  <si>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</si>
  <si>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</si>
  <si>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</si>
  <si>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</si>
  <si>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</si>
  <si>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</si>
  <si>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</si>
  <si>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</si>
  <si>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</si>
  <si>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</si>
  <si>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</si>
  <si>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</si>
  <si>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</si>
  <si>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</si>
  <si>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</si>
  <si>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</si>
  <si>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</si>
  <si>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</si>
  <si>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</si>
  <si>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</si>
  <si>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</si>
  <si>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</si>
  <si>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</si>
  <si>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</si>
  <si>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</si>
  <si>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</si>
  <si>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</si>
  <si>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</si>
  <si>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</si>
  <si>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</si>
  <si>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</si>
  <si>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</si>
  <si>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</si>
  <si>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</si>
  <si>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</si>
  <si>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</si>
  <si>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</si>
  <si>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</si>
  <si>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</si>
  <si>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</si>
  <si>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</si>
  <si>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</si>
  <si>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</si>
  <si>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</si>
  <si>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</si>
  <si>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</si>
  <si>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</si>
  <si>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</si>
  <si>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</si>
  <si>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</si>
  <si>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</si>
  <si>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</si>
  <si>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</si>
  <si>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</si>
  <si>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</si>
  <si>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</si>
  <si>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</si>
  <si>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</si>
  <si>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</si>
  <si>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</si>
  <si>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</si>
  <si>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</si>
  <si>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</si>
  <si>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</si>
  <si>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</si>
  <si>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</si>
  <si>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</si>
  <si>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</si>
  <si>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</si>
  <si>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</si>
  <si>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A2/1/25/343</t>
  </si>
  <si>
    <t>P-324/2025</t>
  </si>
  <si>
    <t>Rīgas metropoles areālā – “Carnikava””</t>
  </si>
  <si>
    <t>Maģistrālā  veloceļa infrastruktūras</t>
  </si>
  <si>
    <t>A2/1/25/348</t>
  </si>
  <si>
    <t>P-333/2025</t>
  </si>
  <si>
    <t xml:space="preserve"> izbūve Rīga-Carnikava</t>
  </si>
  <si>
    <t>A2/1/25/453</t>
  </si>
  <si>
    <t>P-427/2025</t>
  </si>
  <si>
    <t>Dzirnupes tilts</t>
  </si>
  <si>
    <t>A2/1/25/459</t>
  </si>
  <si>
    <t>P-433/2025</t>
  </si>
  <si>
    <t xml:space="preserve">PII Podnieki </t>
  </si>
  <si>
    <t>Plānots</t>
  </si>
  <si>
    <t>Krastupes iela</t>
  </si>
  <si>
    <t xml:space="preserve">Projekts “Infrastruktūras uzlabošana </t>
  </si>
  <si>
    <t>uzņēmējdarbības attīstībai Ādažos”</t>
  </si>
  <si>
    <t>Aizņēmumi kopā:</t>
  </si>
  <si>
    <t>Citas ilgtermiņa saistības.</t>
  </si>
  <si>
    <t>Saistību mērķis</t>
  </si>
  <si>
    <t>Līguma Nr.</t>
  </si>
  <si>
    <t>Trānčes Nr.</t>
  </si>
  <si>
    <t>Aizņēmuma summa</t>
  </si>
  <si>
    <t>2032 - 2053</t>
  </si>
  <si>
    <t>Kopsumma 2025 - 2053</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</si>
  <si>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</si>
  <si>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</si>
  <si>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</si>
  <si>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</si>
  <si>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</si>
  <si>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</si>
  <si>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</si>
  <si>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</si>
  <si>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</si>
  <si>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</si>
  <si>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</si>
  <si>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2026. 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</si>
</sst>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49" x14ac:knownFonts="1">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11"/>
      <color rgb="FFFF0000"/>
      <name val="Times New Roman"/>
      <family val="1"/>
      <charset val="186"/>
    </font>
    <font>
      <sz val="9"/>
      <color theme="1"/>
      <name val="Arial"/>
      <family val="2"/>
      <charset val="186"/>
    </font>
    <font>
      <sz val="11"/>
      <color theme="1"/>
      <name val="Times New Roman"/>
      <family val="1"/>
      <charset val="186"/>
    </font>
    <font>
      <sz val="11"/>
      <color indexed="8"/>
      <name val="Calibri"/>
      <family val="2"/>
      <charset val="186"/>
    </font>
    <font>
      <b/>
      <sz val="16"/>
      <color theme="1"/>
      <name val="Times New Roman"/>
      <family val="1"/>
      <charset val="186"/>
    </font>
    <font>
      <b/>
      <sz val="11"/>
      <color rgb="FFFF0000"/>
      <name val="Times New Roman"/>
      <family val="1"/>
      <charset val="186"/>
    </font>
    <font>
      <b/>
      <sz val="11"/>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indexed="10"/>
      <name val="Times New Roman"/>
      <family val="1"/>
      <charset val="186"/>
    </font>
    <font>
      <i/>
      <sz val="11"/>
      <name val="Times New Roman"/>
      <family val="1"/>
      <charset val="186"/>
    </font>
    <font>
      <sz val="11"/>
      <color rgb="FF000000"/>
      <name val="Calibri"/>
      <family val="2"/>
      <charset val="1"/>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b/>
      <sz val="11"/>
      <color theme="1"/>
      <name val="Calibri"/>
      <family val="2"/>
      <charset val="186"/>
      <scheme val="minor"/>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FF0000"/>
      <name val="Calibri"/>
      <family val="2"/>
      <charset val="186"/>
      <scheme val="minor"/>
    </font>
    <font>
      <sz val="10"/>
      <color rgb="FF7030A0"/>
      <name val="Calibri"/>
      <family val="2"/>
      <charset val="186"/>
      <scheme val="minor"/>
    </font>
    <font>
      <b/>
      <sz val="10"/>
      <color rgb="FFFF0000"/>
      <name val="Calibri"/>
      <family val="2"/>
      <charset val="186"/>
      <scheme val="minor"/>
    </font>
    <font>
      <b/>
      <sz val="10"/>
      <color theme="1"/>
      <name val="Calibri"/>
      <family val="2"/>
      <charset val="186"/>
      <scheme val="minor"/>
    </font>
    <font>
      <sz val="10"/>
      <color theme="1"/>
      <name val="Calibri"/>
      <family val="2"/>
      <charset val="186"/>
      <scheme val="minor"/>
    </font>
    <font>
      <sz val="10"/>
      <color theme="4"/>
      <name val="Calibri"/>
      <family val="2"/>
      <charset val="186"/>
      <scheme val="minor"/>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s>
  <fills count="13">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5">
    <xf numFmtId="0" fontId="0" fillId="0" borderId="0"/>
    <xf numFmtId="43"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12" fillId="0" borderId="0" applyNumberFormat="0" applyFill="0" applyBorder="0" applyAlignment="0" applyProtection="0"/>
    <xf numFmtId="0" fontId="13" fillId="0" borderId="0"/>
    <xf numFmtId="9" fontId="8" fillId="0" borderId="0" applyFont="0" applyFill="0" applyBorder="0" applyAlignment="0" applyProtection="0"/>
    <xf numFmtId="0" fontId="18" fillId="0" borderId="0"/>
    <xf numFmtId="0" fontId="8" fillId="0" borderId="0"/>
    <xf numFmtId="0" fontId="1" fillId="0" borderId="0"/>
    <xf numFmtId="0" fontId="13" fillId="0" borderId="0"/>
    <xf numFmtId="43" fontId="13" fillId="0" borderId="0" applyFill="0" applyBorder="0" applyAlignment="0" applyProtection="0"/>
  </cellStyleXfs>
  <cellXfs count="311">
    <xf numFmtId="0" fontId="0" fillId="0" borderId="0" xfId="0"/>
    <xf numFmtId="0" fontId="2" fillId="0" borderId="0" xfId="3" applyFont="1"/>
    <xf numFmtId="0" fontId="3" fillId="0" borderId="0" xfId="4" applyFont="1"/>
    <xf numFmtId="164" fontId="2" fillId="0" borderId="0" xfId="1" applyNumberFormat="1" applyFont="1" applyAlignment="1">
      <alignment wrapText="1"/>
    </xf>
    <xf numFmtId="0" fontId="2" fillId="0" borderId="0" xfId="3" applyFont="1" applyAlignment="1">
      <alignment wrapText="1"/>
    </xf>
    <xf numFmtId="9" fontId="2" fillId="0" borderId="0" xfId="5" applyFont="1" applyAlignment="1">
      <alignment wrapText="1"/>
    </xf>
    <xf numFmtId="164" fontId="2" fillId="0" borderId="0" xfId="1" applyNumberFormat="1" applyFont="1"/>
    <xf numFmtId="3" fontId="2" fillId="0" borderId="0" xfId="3" applyNumberFormat="1" applyFont="1"/>
    <xf numFmtId="1" fontId="2" fillId="0" borderId="0" xfId="5" applyNumberFormat="1" applyFont="1" applyFill="1"/>
    <xf numFmtId="164" fontId="11" fillId="0" borderId="0" xfId="1" applyNumberFormat="1" applyFont="1"/>
    <xf numFmtId="164" fontId="11" fillId="0" borderId="0" xfId="6" applyNumberFormat="1" applyFont="1"/>
    <xf numFmtId="9" fontId="2" fillId="0" borderId="0" xfId="5" applyFont="1"/>
    <xf numFmtId="0" fontId="12" fillId="0" borderId="0" xfId="7"/>
    <xf numFmtId="0" fontId="11" fillId="0" borderId="1" xfId="3" applyFont="1" applyBorder="1" applyAlignment="1">
      <alignment horizontal="center" vertical="center"/>
    </xf>
    <xf numFmtId="0" fontId="11" fillId="0" borderId="3" xfId="8" applyFont="1" applyBorder="1" applyAlignment="1">
      <alignment horizontal="center" vertical="center" wrapText="1"/>
    </xf>
    <xf numFmtId="164" fontId="11" fillId="0" borderId="3" xfId="1" applyNumberFormat="1" applyFont="1" applyBorder="1" applyAlignment="1">
      <alignment horizontal="center" vertical="center" wrapText="1"/>
    </xf>
    <xf numFmtId="9" fontId="11" fillId="0" borderId="3" xfId="5" applyFont="1" applyBorder="1" applyAlignment="1">
      <alignment horizontal="center" vertical="center" wrapText="1"/>
    </xf>
    <xf numFmtId="0" fontId="11" fillId="2" borderId="4" xfId="3" applyFont="1" applyFill="1" applyBorder="1"/>
    <xf numFmtId="164" fontId="11" fillId="2" borderId="6" xfId="1" applyNumberFormat="1" applyFont="1" applyFill="1" applyBorder="1"/>
    <xf numFmtId="3" fontId="11" fillId="2" borderId="6" xfId="3" applyNumberFormat="1" applyFont="1" applyFill="1" applyBorder="1"/>
    <xf numFmtId="9" fontId="2" fillId="2" borderId="6" xfId="5" applyFont="1" applyFill="1" applyBorder="1" applyAlignment="1">
      <alignment wrapText="1"/>
    </xf>
    <xf numFmtId="0" fontId="14" fillId="0" borderId="0" xfId="3" applyFont="1"/>
    <xf numFmtId="0" fontId="2" fillId="0" borderId="7" xfId="3" applyFont="1" applyBorder="1" applyAlignment="1">
      <alignment horizontal="left" indent="1"/>
    </xf>
    <xf numFmtId="3" fontId="2" fillId="0" borderId="9" xfId="3" applyNumberFormat="1" applyFont="1" applyBorder="1"/>
    <xf numFmtId="164" fontId="2" fillId="0" borderId="9" xfId="1" applyNumberFormat="1" applyFont="1" applyBorder="1"/>
    <xf numFmtId="9" fontId="2" fillId="0" borderId="9" xfId="5" applyFont="1" applyFill="1" applyBorder="1"/>
    <xf numFmtId="3" fontId="11" fillId="3" borderId="9" xfId="3" applyNumberFormat="1" applyFont="1" applyFill="1" applyBorder="1"/>
    <xf numFmtId="164" fontId="11" fillId="3" borderId="9" xfId="1" applyNumberFormat="1" applyFont="1" applyFill="1" applyBorder="1"/>
    <xf numFmtId="9" fontId="11" fillId="3" borderId="9" xfId="5" applyFont="1" applyFill="1" applyBorder="1"/>
    <xf numFmtId="9" fontId="2" fillId="0" borderId="9" xfId="5" applyFont="1" applyBorder="1"/>
    <xf numFmtId="9" fontId="2" fillId="0" borderId="10" xfId="5" applyFont="1" applyFill="1" applyBorder="1"/>
    <xf numFmtId="9" fontId="2" fillId="0" borderId="10" xfId="5" applyFont="1" applyFill="1" applyBorder="1" applyAlignment="1">
      <alignment wrapText="1"/>
    </xf>
    <xf numFmtId="0" fontId="15" fillId="0" borderId="7" xfId="3" applyFont="1" applyBorder="1" applyAlignment="1">
      <alignment horizontal="left" indent="2"/>
    </xf>
    <xf numFmtId="9" fontId="2" fillId="0" borderId="9" xfId="5" applyFont="1" applyFill="1" applyBorder="1" applyAlignment="1">
      <alignment wrapText="1"/>
    </xf>
    <xf numFmtId="0" fontId="2" fillId="2" borderId="7" xfId="3" applyFont="1" applyFill="1" applyBorder="1" applyAlignment="1">
      <alignment horizontal="left" indent="1"/>
    </xf>
    <xf numFmtId="3" fontId="2" fillId="2" borderId="9" xfId="3" applyNumberFormat="1" applyFont="1" applyFill="1" applyBorder="1"/>
    <xf numFmtId="164" fontId="2" fillId="5" borderId="9" xfId="1" applyNumberFormat="1" applyFont="1" applyFill="1" applyBorder="1"/>
    <xf numFmtId="3" fontId="2" fillId="5" borderId="9" xfId="3" applyNumberFormat="1" applyFont="1" applyFill="1" applyBorder="1"/>
    <xf numFmtId="3" fontId="2" fillId="6" borderId="9" xfId="3" applyNumberFormat="1" applyFont="1" applyFill="1" applyBorder="1"/>
    <xf numFmtId="164" fontId="2" fillId="6" borderId="9" xfId="1" applyNumberFormat="1" applyFont="1" applyFill="1" applyBorder="1"/>
    <xf numFmtId="3" fontId="2" fillId="6" borderId="9" xfId="3" applyNumberFormat="1" applyFont="1" applyFill="1" applyBorder="1" applyAlignment="1">
      <alignment wrapText="1"/>
    </xf>
    <xf numFmtId="3" fontId="15" fillId="7" borderId="9" xfId="3" applyNumberFormat="1" applyFont="1" applyFill="1" applyBorder="1"/>
    <xf numFmtId="164" fontId="15" fillId="7" borderId="9" xfId="1" applyNumberFormat="1" applyFont="1" applyFill="1" applyBorder="1"/>
    <xf numFmtId="9" fontId="15" fillId="7" borderId="9" xfId="5" applyFont="1" applyFill="1" applyBorder="1" applyAlignment="1">
      <alignment wrapText="1"/>
    </xf>
    <xf numFmtId="0" fontId="15" fillId="0" borderId="0" xfId="3" applyFont="1"/>
    <xf numFmtId="9" fontId="2" fillId="9" borderId="9" xfId="5" applyFont="1" applyFill="1" applyBorder="1" applyAlignment="1">
      <alignment wrapText="1"/>
    </xf>
    <xf numFmtId="164" fontId="2" fillId="2" borderId="9" xfId="1" applyNumberFormat="1" applyFont="1" applyFill="1" applyBorder="1"/>
    <xf numFmtId="164" fontId="2" fillId="0" borderId="0" xfId="3" applyNumberFormat="1" applyFont="1"/>
    <xf numFmtId="9" fontId="2" fillId="0" borderId="13" xfId="5" applyFont="1" applyFill="1" applyBorder="1"/>
    <xf numFmtId="9" fontId="2" fillId="0" borderId="13" xfId="5" applyFont="1" applyFill="1" applyBorder="1" applyAlignment="1">
      <alignment wrapText="1"/>
    </xf>
    <xf numFmtId="9" fontId="2" fillId="2" borderId="9" xfId="5" applyFont="1" applyFill="1" applyBorder="1" applyAlignment="1">
      <alignment wrapText="1"/>
    </xf>
    <xf numFmtId="0" fontId="2" fillId="4" borderId="7" xfId="3" applyFont="1" applyFill="1" applyBorder="1" applyAlignment="1">
      <alignment horizontal="left" indent="2"/>
    </xf>
    <xf numFmtId="1" fontId="2" fillId="0" borderId="9" xfId="5" applyNumberFormat="1" applyFont="1" applyFill="1" applyBorder="1"/>
    <xf numFmtId="0" fontId="11" fillId="0" borderId="14" xfId="3" applyFont="1" applyBorder="1"/>
    <xf numFmtId="3" fontId="11" fillId="0" borderId="3" xfId="3" applyNumberFormat="1" applyFont="1" applyBorder="1"/>
    <xf numFmtId="164" fontId="11" fillId="0" borderId="3" xfId="1" applyNumberFormat="1" applyFont="1" applyBorder="1"/>
    <xf numFmtId="9" fontId="11" fillId="0" borderId="3" xfId="5" applyFont="1" applyBorder="1"/>
    <xf numFmtId="0" fontId="11" fillId="0" borderId="16" xfId="3" quotePrefix="1" applyFont="1" applyBorder="1"/>
    <xf numFmtId="164" fontId="11" fillId="0" borderId="18" xfId="1" applyNumberFormat="1" applyFont="1" applyBorder="1"/>
    <xf numFmtId="3" fontId="11" fillId="0" borderId="18" xfId="3" applyNumberFormat="1" applyFont="1" applyBorder="1"/>
    <xf numFmtId="9" fontId="11" fillId="0" borderId="18" xfId="5" applyFont="1" applyFill="1" applyBorder="1"/>
    <xf numFmtId="164" fontId="2" fillId="0" borderId="13" xfId="1" applyNumberFormat="1" applyFont="1" applyBorder="1"/>
    <xf numFmtId="164" fontId="2" fillId="0" borderId="9" xfId="1" applyNumberFormat="1" applyFont="1" applyFill="1" applyBorder="1"/>
    <xf numFmtId="3" fontId="2" fillId="0" borderId="19" xfId="3" applyNumberFormat="1" applyFont="1" applyBorder="1"/>
    <xf numFmtId="164" fontId="2" fillId="0" borderId="20" xfId="1" applyNumberFormat="1" applyFont="1" applyBorder="1"/>
    <xf numFmtId="164" fontId="2" fillId="0" borderId="10" xfId="1" applyNumberFormat="1" applyFont="1" applyFill="1" applyBorder="1"/>
    <xf numFmtId="3" fontId="2" fillId="0" borderId="21" xfId="3" applyNumberFormat="1" applyFont="1" applyBorder="1"/>
    <xf numFmtId="164" fontId="2" fillId="0" borderId="13" xfId="1" applyNumberFormat="1" applyFont="1" applyFill="1" applyBorder="1"/>
    <xf numFmtId="9" fontId="2" fillId="0" borderId="6" xfId="5" applyFont="1" applyFill="1" applyBorder="1"/>
    <xf numFmtId="0" fontId="2" fillId="4" borderId="22" xfId="3" applyFont="1" applyFill="1" applyBorder="1" applyAlignment="1">
      <alignment horizontal="left" indent="2"/>
    </xf>
    <xf numFmtId="3" fontId="2" fillId="0" borderId="23" xfId="3" applyNumberFormat="1" applyFont="1" applyBorder="1"/>
    <xf numFmtId="0" fontId="11" fillId="0" borderId="24" xfId="3" applyFont="1" applyBorder="1"/>
    <xf numFmtId="9" fontId="11" fillId="0" borderId="18" xfId="5" applyFont="1" applyBorder="1"/>
    <xf numFmtId="0" fontId="11" fillId="0" borderId="0" xfId="3" applyFont="1"/>
    <xf numFmtId="9" fontId="2" fillId="0" borderId="0" xfId="2" applyFont="1"/>
    <xf numFmtId="10" fontId="2" fillId="0" borderId="0" xfId="9" applyNumberFormat="1" applyFont="1"/>
    <xf numFmtId="49" fontId="2" fillId="2" borderId="7" xfId="3" applyNumberFormat="1" applyFont="1" applyFill="1" applyBorder="1" applyAlignment="1">
      <alignment horizontal="left" indent="1"/>
    </xf>
    <xf numFmtId="9" fontId="2" fillId="2" borderId="9" xfId="5" applyFont="1" applyFill="1" applyBorder="1"/>
    <xf numFmtId="49" fontId="11" fillId="3" borderId="7" xfId="3" applyNumberFormat="1" applyFont="1" applyFill="1" applyBorder="1"/>
    <xf numFmtId="0" fontId="16" fillId="0" borderId="0" xfId="3" applyFont="1"/>
    <xf numFmtId="49" fontId="2" fillId="0" borderId="7" xfId="3" applyNumberFormat="1" applyFont="1" applyBorder="1" applyAlignment="1">
      <alignment horizontal="left" indent="2"/>
    </xf>
    <xf numFmtId="3" fontId="11" fillId="2" borderId="9" xfId="3" applyNumberFormat="1" applyFont="1" applyFill="1" applyBorder="1"/>
    <xf numFmtId="164" fontId="11" fillId="2" borderId="9" xfId="1" applyNumberFormat="1" applyFont="1" applyFill="1" applyBorder="1"/>
    <xf numFmtId="9" fontId="2" fillId="0" borderId="9" xfId="5" quotePrefix="1" applyFont="1" applyBorder="1" applyAlignment="1">
      <alignment wrapText="1"/>
    </xf>
    <xf numFmtId="9" fontId="2" fillId="0" borderId="9" xfId="5" applyFont="1" applyBorder="1" applyAlignment="1">
      <alignment wrapText="1"/>
    </xf>
    <xf numFmtId="9" fontId="11" fillId="2" borderId="9" xfId="5" applyFont="1" applyFill="1" applyBorder="1"/>
    <xf numFmtId="9" fontId="2" fillId="0" borderId="12" xfId="5" applyFont="1" applyBorder="1" applyAlignment="1">
      <alignment wrapText="1"/>
    </xf>
    <xf numFmtId="49" fontId="17" fillId="0" borderId="7" xfId="3" applyNumberFormat="1" applyFont="1" applyBorder="1" applyAlignment="1">
      <alignment horizontal="left" indent="3"/>
    </xf>
    <xf numFmtId="164" fontId="17" fillId="8" borderId="9" xfId="1" applyNumberFormat="1" applyFont="1" applyFill="1" applyBorder="1"/>
    <xf numFmtId="3" fontId="17" fillId="10" borderId="9" xfId="3" applyNumberFormat="1" applyFont="1" applyFill="1" applyBorder="1"/>
    <xf numFmtId="9" fontId="17" fillId="0" borderId="9" xfId="5" applyFont="1" applyBorder="1" applyAlignment="1">
      <alignment wrapText="1"/>
    </xf>
    <xf numFmtId="0" fontId="17" fillId="0" borderId="0" xfId="3" applyFont="1"/>
    <xf numFmtId="3" fontId="17" fillId="0" borderId="9" xfId="3" applyNumberFormat="1" applyFont="1" applyBorder="1"/>
    <xf numFmtId="49" fontId="2" fillId="11" borderId="7" xfId="3" applyNumberFormat="1" applyFont="1" applyFill="1" applyBorder="1" applyAlignment="1">
      <alignment horizontal="left" indent="2"/>
    </xf>
    <xf numFmtId="3" fontId="2" fillId="9" borderId="9" xfId="3" applyNumberFormat="1" applyFont="1" applyFill="1" applyBorder="1"/>
    <xf numFmtId="9" fontId="2" fillId="0" borderId="0" xfId="3" applyNumberFormat="1" applyFont="1"/>
    <xf numFmtId="9" fontId="17" fillId="0" borderId="9" xfId="5" applyFont="1" applyFill="1" applyBorder="1" applyAlignment="1">
      <alignment wrapText="1"/>
    </xf>
    <xf numFmtId="49" fontId="2" fillId="11" borderId="7" xfId="3" applyNumberFormat="1" applyFont="1" applyFill="1" applyBorder="1" applyAlignment="1">
      <alignment horizontal="left" indent="1"/>
    </xf>
    <xf numFmtId="9" fontId="17" fillId="10" borderId="9" xfId="5" applyFont="1" applyFill="1" applyBorder="1" applyAlignment="1">
      <alignment wrapText="1"/>
    </xf>
    <xf numFmtId="9" fontId="17" fillId="2" borderId="9" xfId="5" applyFont="1" applyFill="1" applyBorder="1" applyAlignment="1">
      <alignment wrapText="1"/>
    </xf>
    <xf numFmtId="0" fontId="2" fillId="9" borderId="8" xfId="3" applyFont="1" applyFill="1" applyBorder="1" applyAlignment="1">
      <alignment horizontal="left" indent="2"/>
    </xf>
    <xf numFmtId="9" fontId="2" fillId="0" borderId="11" xfId="5" applyFont="1" applyFill="1" applyBorder="1" applyAlignment="1">
      <alignment wrapText="1"/>
    </xf>
    <xf numFmtId="9" fontId="2" fillId="0" borderId="12" xfId="5" applyFont="1" applyFill="1" applyBorder="1" applyAlignment="1">
      <alignment wrapText="1"/>
    </xf>
    <xf numFmtId="0" fontId="14" fillId="9" borderId="0" xfId="3" applyFont="1" applyFill="1"/>
    <xf numFmtId="164" fontId="2" fillId="9" borderId="9" xfId="1" applyNumberFormat="1" applyFont="1" applyFill="1" applyBorder="1"/>
    <xf numFmtId="9" fontId="2" fillId="9" borderId="9" xfId="5" applyFont="1" applyFill="1" applyBorder="1"/>
    <xf numFmtId="0" fontId="14" fillId="9" borderId="8" xfId="3" applyFont="1" applyFill="1" applyBorder="1" applyAlignment="1">
      <alignment horizontal="left" indent="2"/>
    </xf>
    <xf numFmtId="0" fontId="14" fillId="0" borderId="8" xfId="3" applyFont="1" applyBorder="1" applyAlignment="1">
      <alignment horizontal="left" indent="2"/>
    </xf>
    <xf numFmtId="0" fontId="14" fillId="11" borderId="8" xfId="3" applyFont="1" applyFill="1" applyBorder="1" applyAlignment="1">
      <alignment horizontal="left" indent="2"/>
    </xf>
    <xf numFmtId="165" fontId="2" fillId="0" borderId="0" xfId="3" applyNumberFormat="1" applyFont="1"/>
    <xf numFmtId="3" fontId="2" fillId="4" borderId="9" xfId="3" applyNumberFormat="1" applyFont="1" applyFill="1" applyBorder="1"/>
    <xf numFmtId="164" fontId="2" fillId="4" borderId="9" xfId="1" applyNumberFormat="1" applyFont="1" applyFill="1" applyBorder="1"/>
    <xf numFmtId="9" fontId="2" fillId="0" borderId="30" xfId="5" applyFont="1" applyFill="1" applyBorder="1" applyAlignment="1">
      <alignment wrapText="1"/>
    </xf>
    <xf numFmtId="0" fontId="2" fillId="4" borderId="0" xfId="3" applyFont="1" applyFill="1"/>
    <xf numFmtId="164" fontId="2" fillId="4" borderId="0" xfId="3" applyNumberFormat="1" applyFont="1" applyFill="1"/>
    <xf numFmtId="49" fontId="2" fillId="4" borderId="7" xfId="3" applyNumberFormat="1" applyFont="1" applyFill="1" applyBorder="1" applyAlignment="1">
      <alignment horizontal="left" indent="2"/>
    </xf>
    <xf numFmtId="164" fontId="17" fillId="0" borderId="9" xfId="1" applyNumberFormat="1" applyFont="1" applyBorder="1"/>
    <xf numFmtId="0" fontId="19" fillId="0" borderId="0" xfId="3" applyFont="1"/>
    <xf numFmtId="164" fontId="14" fillId="0" borderId="0" xfId="3" applyNumberFormat="1" applyFont="1"/>
    <xf numFmtId="0" fontId="20" fillId="0" borderId="0" xfId="3" applyFont="1"/>
    <xf numFmtId="164" fontId="20" fillId="0" borderId="0" xfId="3" applyNumberFormat="1" applyFont="1"/>
    <xf numFmtId="49" fontId="11" fillId="0" borderId="7" xfId="3" applyNumberFormat="1" applyFont="1" applyBorder="1" applyAlignment="1">
      <alignment horizontal="left" indent="2"/>
    </xf>
    <xf numFmtId="3" fontId="11" fillId="0" borderId="9" xfId="3" applyNumberFormat="1" applyFont="1" applyBorder="1"/>
    <xf numFmtId="164" fontId="11" fillId="0" borderId="9" xfId="1" applyNumberFormat="1" applyFont="1" applyBorder="1"/>
    <xf numFmtId="0" fontId="21" fillId="0" borderId="0" xfId="3" applyFont="1"/>
    <xf numFmtId="49" fontId="2" fillId="0" borderId="7" xfId="3" applyNumberFormat="1" applyFont="1" applyBorder="1" applyAlignment="1">
      <alignment horizontal="left" indent="3"/>
    </xf>
    <xf numFmtId="164" fontId="11" fillId="0" borderId="0" xfId="3" applyNumberFormat="1" applyFont="1"/>
    <xf numFmtId="49" fontId="11" fillId="2" borderId="7" xfId="3" applyNumberFormat="1" applyFont="1" applyFill="1" applyBorder="1" applyAlignment="1">
      <alignment horizontal="left" indent="1"/>
    </xf>
    <xf numFmtId="9" fontId="15" fillId="0" borderId="9" xfId="5" applyFont="1" applyFill="1" applyBorder="1" applyAlignment="1">
      <alignment wrapText="1"/>
    </xf>
    <xf numFmtId="49" fontId="22" fillId="2" borderId="7" xfId="3" applyNumberFormat="1" applyFont="1" applyFill="1" applyBorder="1" applyAlignment="1">
      <alignment horizontal="left" indent="1"/>
    </xf>
    <xf numFmtId="49" fontId="11" fillId="0" borderId="14" xfId="3" applyNumberFormat="1" applyFont="1" applyBorder="1"/>
    <xf numFmtId="3" fontId="11" fillId="0" borderId="31" xfId="3" applyNumberFormat="1" applyFont="1" applyBorder="1"/>
    <xf numFmtId="164" fontId="11" fillId="0" borderId="31" xfId="1" applyNumberFormat="1" applyFont="1" applyBorder="1"/>
    <xf numFmtId="164" fontId="11" fillId="0" borderId="33" xfId="1" applyNumberFormat="1" applyFont="1" applyBorder="1"/>
    <xf numFmtId="3" fontId="11" fillId="0" borderId="33" xfId="3" applyNumberFormat="1" applyFont="1" applyBorder="1"/>
    <xf numFmtId="9" fontId="2" fillId="0" borderId="33" xfId="5" applyFont="1" applyBorder="1"/>
    <xf numFmtId="9" fontId="2" fillId="0" borderId="0" xfId="5" applyFont="1" applyAlignment="1">
      <alignment horizontal="right"/>
    </xf>
    <xf numFmtId="0" fontId="4" fillId="0" borderId="0" xfId="4" applyFont="1"/>
    <xf numFmtId="0" fontId="11" fillId="0" borderId="2" xfId="3" applyFont="1" applyBorder="1" applyAlignment="1">
      <alignment horizontal="center" vertical="center" wrapText="1"/>
    </xf>
    <xf numFmtId="0" fontId="2" fillId="0" borderId="8" xfId="3" applyFont="1" applyBorder="1" applyAlignment="1">
      <alignment horizontal="left" wrapText="1" indent="2"/>
    </xf>
    <xf numFmtId="0" fontId="15" fillId="0" borderId="8" xfId="3" applyFont="1" applyBorder="1" applyAlignment="1">
      <alignment horizontal="left" wrapText="1" indent="3"/>
    </xf>
    <xf numFmtId="0" fontId="2" fillId="0" borderId="8" xfId="3" applyFont="1" applyBorder="1" applyAlignment="1">
      <alignment horizontal="left" wrapText="1" indent="3"/>
    </xf>
    <xf numFmtId="0" fontId="7" fillId="0" borderId="8" xfId="3" applyFont="1" applyBorder="1" applyAlignment="1">
      <alignment horizontal="left" wrapText="1" indent="3"/>
    </xf>
    <xf numFmtId="0" fontId="11" fillId="0" borderId="15" xfId="3" applyFont="1" applyBorder="1" applyAlignment="1">
      <alignment horizontal="right" wrapText="1"/>
    </xf>
    <xf numFmtId="0" fontId="11" fillId="0" borderId="17" xfId="3" applyFont="1" applyBorder="1" applyAlignment="1">
      <alignment wrapText="1"/>
    </xf>
    <xf numFmtId="49" fontId="2" fillId="0" borderId="19" xfId="3" applyNumberFormat="1" applyFont="1" applyBorder="1" applyAlignment="1">
      <alignment horizontal="left" wrapText="1" indent="4"/>
    </xf>
    <xf numFmtId="49" fontId="2" fillId="0" borderId="8" xfId="3" applyNumberFormat="1" applyFont="1" applyBorder="1" applyAlignment="1">
      <alignment horizontal="left" wrapText="1" indent="4"/>
    </xf>
    <xf numFmtId="49" fontId="2" fillId="0" borderId="20" xfId="3" applyNumberFormat="1" applyFont="1" applyBorder="1" applyAlignment="1">
      <alignment horizontal="left" wrapText="1" indent="4"/>
    </xf>
    <xf numFmtId="0" fontId="11" fillId="0" borderId="25" xfId="3" applyFont="1" applyBorder="1" applyAlignment="1">
      <alignment horizontal="right" wrapText="1"/>
    </xf>
    <xf numFmtId="49" fontId="2" fillId="0" borderId="8" xfId="3" applyNumberFormat="1" applyFont="1" applyBorder="1" applyAlignment="1">
      <alignment horizontal="left" wrapText="1" indent="2"/>
    </xf>
    <xf numFmtId="49" fontId="11" fillId="0" borderId="8" xfId="3" applyNumberFormat="1" applyFont="1" applyBorder="1" applyAlignment="1">
      <alignment wrapText="1"/>
    </xf>
    <xf numFmtId="49" fontId="11" fillId="0" borderId="8" xfId="3" applyNumberFormat="1" applyFont="1" applyBorder="1" applyAlignment="1">
      <alignment horizontal="left" wrapText="1" indent="2"/>
    </xf>
    <xf numFmtId="0" fontId="17" fillId="0" borderId="8" xfId="3" applyFont="1" applyBorder="1" applyAlignment="1">
      <alignment horizontal="left" wrapText="1" indent="6"/>
    </xf>
    <xf numFmtId="49" fontId="5" fillId="0" borderId="8" xfId="3" applyNumberFormat="1" applyFont="1" applyBorder="1" applyAlignment="1">
      <alignment horizontal="left" wrapText="1" indent="2"/>
    </xf>
    <xf numFmtId="0" fontId="2" fillId="0" borderId="29" xfId="3" applyFont="1" applyBorder="1" applyAlignment="1">
      <alignment horizontal="left" indent="3"/>
    </xf>
    <xf numFmtId="49" fontId="11" fillId="0" borderId="8" xfId="3" applyNumberFormat="1" applyFont="1" applyBorder="1" applyAlignment="1">
      <alignment horizontal="left" wrapText="1" indent="4"/>
    </xf>
    <xf numFmtId="49" fontId="11" fillId="0" borderId="15" xfId="3" applyNumberFormat="1" applyFont="1" applyBorder="1" applyAlignment="1">
      <alignment horizontal="right" wrapText="1"/>
    </xf>
    <xf numFmtId="0" fontId="11" fillId="5" borderId="5" xfId="3" applyFont="1" applyFill="1" applyBorder="1" applyAlignment="1">
      <alignment wrapText="1"/>
    </xf>
    <xf numFmtId="0" fontId="2" fillId="5" borderId="8" xfId="3" applyFont="1" applyFill="1" applyBorder="1" applyAlignment="1">
      <alignment horizontal="left" wrapText="1" indent="2"/>
    </xf>
    <xf numFmtId="49" fontId="2" fillId="5" borderId="8" xfId="3" applyNumberFormat="1" applyFont="1" applyFill="1" applyBorder="1" applyAlignment="1">
      <alignment horizontal="left" wrapText="1" indent="2"/>
    </xf>
    <xf numFmtId="49" fontId="11" fillId="5" borderId="8" xfId="3" applyNumberFormat="1" applyFont="1" applyFill="1" applyBorder="1" applyAlignment="1">
      <alignment horizontal="left" wrapText="1" indent="2"/>
    </xf>
    <xf numFmtId="49" fontId="10" fillId="5" borderId="8" xfId="3" applyNumberFormat="1" applyFont="1" applyFill="1" applyBorder="1" applyAlignment="1">
      <alignment horizontal="left" wrapText="1" indent="2"/>
    </xf>
    <xf numFmtId="49" fontId="11" fillId="12" borderId="8" xfId="3" applyNumberFormat="1" applyFont="1" applyFill="1" applyBorder="1" applyAlignment="1">
      <alignment wrapText="1"/>
    </xf>
    <xf numFmtId="49" fontId="11" fillId="12" borderId="35" xfId="3" applyNumberFormat="1" applyFont="1" applyFill="1" applyBorder="1" applyAlignment="1">
      <alignment wrapText="1"/>
    </xf>
    <xf numFmtId="49" fontId="11" fillId="12" borderId="27" xfId="3" applyNumberFormat="1" applyFont="1" applyFill="1" applyBorder="1" applyAlignment="1">
      <alignment wrapText="1"/>
    </xf>
    <xf numFmtId="0" fontId="11" fillId="12" borderId="19" xfId="3" applyFont="1" applyFill="1" applyBorder="1" applyAlignment="1">
      <alignment wrapText="1"/>
    </xf>
    <xf numFmtId="0" fontId="11" fillId="12" borderId="8" xfId="3" applyFont="1" applyFill="1" applyBorder="1" applyAlignment="1">
      <alignment wrapText="1"/>
    </xf>
    <xf numFmtId="0" fontId="11" fillId="12" borderId="4" xfId="3" quotePrefix="1" applyFont="1" applyFill="1" applyBorder="1"/>
    <xf numFmtId="164" fontId="11" fillId="12" borderId="6" xfId="1" applyNumberFormat="1" applyFont="1" applyFill="1" applyBorder="1"/>
    <xf numFmtId="3" fontId="11" fillId="12" borderId="6" xfId="3" applyNumberFormat="1" applyFont="1" applyFill="1" applyBorder="1"/>
    <xf numFmtId="9" fontId="11" fillId="12" borderId="6" xfId="5" applyFont="1" applyFill="1" applyBorder="1"/>
    <xf numFmtId="0" fontId="11" fillId="12" borderId="7" xfId="3" applyFont="1" applyFill="1" applyBorder="1"/>
    <xf numFmtId="3" fontId="11" fillId="12" borderId="9" xfId="3" applyNumberFormat="1" applyFont="1" applyFill="1" applyBorder="1"/>
    <xf numFmtId="164" fontId="11" fillId="12" borderId="9" xfId="1" applyNumberFormat="1" applyFont="1" applyFill="1" applyBorder="1"/>
    <xf numFmtId="9" fontId="11" fillId="12" borderId="9" xfId="5" applyFont="1" applyFill="1" applyBorder="1"/>
    <xf numFmtId="9" fontId="2" fillId="12" borderId="9" xfId="5" applyFont="1" applyFill="1" applyBorder="1" applyAlignment="1">
      <alignment wrapText="1"/>
    </xf>
    <xf numFmtId="0" fontId="11" fillId="12" borderId="7" xfId="3" quotePrefix="1" applyFont="1" applyFill="1" applyBorder="1"/>
    <xf numFmtId="164" fontId="11" fillId="12" borderId="9" xfId="5" applyNumberFormat="1" applyFont="1" applyFill="1" applyBorder="1"/>
    <xf numFmtId="164" fontId="11" fillId="12" borderId="13" xfId="1" applyNumberFormat="1" applyFont="1" applyFill="1" applyBorder="1"/>
    <xf numFmtId="49" fontId="11" fillId="12" borderId="26" xfId="3" applyNumberFormat="1" applyFont="1" applyFill="1" applyBorder="1" applyAlignment="1">
      <alignment horizontal="left" indent="2"/>
    </xf>
    <xf numFmtId="3" fontId="11" fillId="12" borderId="28" xfId="3" applyNumberFormat="1" applyFont="1" applyFill="1" applyBorder="1"/>
    <xf numFmtId="164" fontId="11" fillId="12" borderId="28" xfId="1" applyNumberFormat="1" applyFont="1" applyFill="1" applyBorder="1"/>
    <xf numFmtId="9" fontId="11" fillId="12" borderId="28" xfId="5" applyFont="1" applyFill="1" applyBorder="1"/>
    <xf numFmtId="49" fontId="11" fillId="12" borderId="7" xfId="3" applyNumberFormat="1" applyFont="1" applyFill="1" applyBorder="1"/>
    <xf numFmtId="9" fontId="11" fillId="12" borderId="32" xfId="5" applyFont="1" applyFill="1" applyBorder="1"/>
    <xf numFmtId="49" fontId="11" fillId="12" borderId="34" xfId="3" applyNumberFormat="1" applyFont="1" applyFill="1" applyBorder="1" applyAlignment="1">
      <alignment horizontal="center"/>
    </xf>
    <xf numFmtId="164" fontId="11" fillId="12" borderId="32" xfId="1" applyNumberFormat="1" applyFont="1" applyFill="1" applyBorder="1"/>
    <xf numFmtId="3" fontId="11" fillId="12" borderId="32" xfId="3" applyNumberFormat="1" applyFont="1" applyFill="1" applyBorder="1"/>
    <xf numFmtId="0" fontId="27" fillId="0" borderId="0" xfId="11" applyFont="1"/>
    <xf numFmtId="0" fontId="28" fillId="0" borderId="0" xfId="12" applyFont="1"/>
    <xf numFmtId="0" fontId="29" fillId="0" borderId="0" xfId="11" applyFont="1"/>
    <xf numFmtId="0" fontId="30" fillId="0" borderId="0" xfId="11" applyFont="1"/>
    <xf numFmtId="0" fontId="30" fillId="0" borderId="0" xfId="11" applyFont="1" applyAlignment="1">
      <alignment horizontal="center"/>
    </xf>
    <xf numFmtId="165" fontId="27" fillId="0" borderId="0" xfId="11" applyNumberFormat="1" applyFont="1"/>
    <xf numFmtId="164" fontId="27" fillId="0" borderId="0" xfId="11" applyNumberFormat="1" applyFont="1"/>
    <xf numFmtId="0" fontId="31" fillId="0" borderId="0" xfId="13" applyFont="1"/>
    <xf numFmtId="164" fontId="30" fillId="0" borderId="0" xfId="11" applyNumberFormat="1" applyFont="1" applyAlignment="1">
      <alignment horizontal="center"/>
    </xf>
    <xf numFmtId="0" fontId="32" fillId="0" borderId="0" xfId="13" applyFont="1"/>
    <xf numFmtId="0" fontId="33" fillId="0" borderId="0" xfId="11" applyFont="1"/>
    <xf numFmtId="1" fontId="27" fillId="0" borderId="0" xfId="11" applyNumberFormat="1" applyFont="1"/>
    <xf numFmtId="0" fontId="27" fillId="0" borderId="0" xfId="11" applyFont="1" applyAlignment="1">
      <alignment horizontal="center" vertical="center"/>
    </xf>
    <xf numFmtId="0" fontId="34" fillId="0" borderId="19" xfId="11" applyFont="1" applyBorder="1" applyAlignment="1">
      <alignment horizontal="center" vertical="center"/>
    </xf>
    <xf numFmtId="0" fontId="34" fillId="0" borderId="8" xfId="11" applyFont="1" applyBorder="1" applyAlignment="1">
      <alignment horizontal="center" vertical="center" wrapText="1"/>
    </xf>
    <xf numFmtId="0" fontId="34" fillId="0" borderId="8" xfId="11" applyFont="1" applyBorder="1" applyAlignment="1">
      <alignment horizontal="center" vertical="center"/>
    </xf>
    <xf numFmtId="0" fontId="33" fillId="0" borderId="8" xfId="11" applyFont="1" applyBorder="1" applyAlignment="1">
      <alignment horizontal="center" vertical="center" wrapText="1"/>
    </xf>
    <xf numFmtId="0" fontId="30" fillId="0" borderId="8" xfId="11" applyFont="1" applyBorder="1" applyAlignment="1">
      <alignment horizontal="center" vertical="center" wrapText="1"/>
    </xf>
    <xf numFmtId="0" fontId="33" fillId="0" borderId="19" xfId="11" applyFont="1" applyBorder="1" applyAlignment="1">
      <alignment horizontal="center" vertical="center" wrapText="1"/>
    </xf>
    <xf numFmtId="0" fontId="27" fillId="0" borderId="36" xfId="11" applyFont="1" applyBorder="1" applyAlignment="1">
      <alignment horizontal="center" vertical="center"/>
    </xf>
    <xf numFmtId="0" fontId="34" fillId="0" borderId="0" xfId="11" applyFont="1"/>
    <xf numFmtId="0" fontId="34" fillId="0" borderId="36" xfId="11" applyFont="1" applyBorder="1"/>
    <xf numFmtId="0" fontId="35" fillId="0" borderId="37" xfId="11" applyFont="1" applyBorder="1"/>
    <xf numFmtId="0" fontId="35" fillId="0" borderId="36" xfId="11" applyFont="1" applyBorder="1"/>
    <xf numFmtId="0" fontId="36" fillId="0" borderId="36" xfId="11" applyFont="1" applyBorder="1"/>
    <xf numFmtId="0" fontId="37" fillId="0" borderId="36" xfId="11" applyFont="1" applyBorder="1"/>
    <xf numFmtId="164" fontId="36" fillId="0" borderId="36" xfId="14" applyNumberFormat="1" applyFont="1" applyFill="1" applyBorder="1"/>
    <xf numFmtId="164" fontId="32" fillId="0" borderId="36" xfId="14" applyNumberFormat="1" applyFont="1" applyFill="1" applyBorder="1"/>
    <xf numFmtId="166" fontId="32" fillId="0" borderId="36" xfId="14" applyNumberFormat="1" applyFont="1" applyFill="1" applyBorder="1"/>
    <xf numFmtId="164" fontId="32" fillId="0" borderId="38" xfId="14" applyNumberFormat="1" applyFont="1" applyFill="1" applyBorder="1"/>
    <xf numFmtId="164" fontId="38" fillId="0" borderId="38" xfId="14" applyNumberFormat="1" applyFont="1" applyFill="1" applyBorder="1"/>
    <xf numFmtId="164" fontId="37" fillId="0" borderId="0" xfId="11" applyNumberFormat="1" applyFont="1"/>
    <xf numFmtId="164" fontId="32" fillId="0" borderId="37" xfId="14" applyNumberFormat="1" applyFont="1" applyFill="1" applyBorder="1"/>
    <xf numFmtId="164" fontId="34" fillId="0" borderId="0" xfId="11" applyNumberFormat="1" applyFont="1"/>
    <xf numFmtId="0" fontId="27" fillId="0" borderId="39" xfId="11" applyFont="1" applyBorder="1"/>
    <xf numFmtId="0" fontId="37" fillId="0" borderId="40" xfId="11" applyFont="1" applyBorder="1"/>
    <xf numFmtId="0" fontId="35" fillId="0" borderId="39" xfId="11" applyFont="1" applyBorder="1"/>
    <xf numFmtId="0" fontId="36" fillId="0" borderId="39" xfId="11" applyFont="1" applyBorder="1"/>
    <xf numFmtId="0" fontId="37" fillId="0" borderId="39" xfId="11" applyFont="1" applyBorder="1"/>
    <xf numFmtId="164" fontId="36" fillId="0" borderId="39" xfId="14" applyNumberFormat="1" applyFont="1" applyFill="1" applyBorder="1"/>
    <xf numFmtId="164" fontId="39" fillId="0" borderId="39" xfId="14" applyNumberFormat="1" applyFont="1" applyFill="1" applyBorder="1"/>
    <xf numFmtId="166" fontId="36" fillId="0" borderId="39" xfId="14" applyNumberFormat="1" applyFont="1" applyFill="1" applyBorder="1"/>
    <xf numFmtId="164" fontId="36" fillId="0" borderId="5" xfId="14" applyNumberFormat="1" applyFont="1" applyFill="1" applyBorder="1"/>
    <xf numFmtId="164" fontId="40" fillId="0" borderId="5" xfId="14" applyNumberFormat="1" applyFont="1" applyFill="1" applyBorder="1"/>
    <xf numFmtId="164" fontId="36" fillId="0" borderId="40" xfId="14" applyNumberFormat="1" applyFont="1" applyFill="1" applyBorder="1"/>
    <xf numFmtId="166" fontId="41" fillId="0" borderId="36" xfId="14" applyNumberFormat="1" applyFont="1" applyFill="1" applyBorder="1"/>
    <xf numFmtId="0" fontId="33" fillId="0" borderId="36" xfId="11" applyFont="1" applyBorder="1"/>
    <xf numFmtId="0" fontId="32" fillId="0" borderId="37" xfId="11" applyFont="1" applyBorder="1"/>
    <xf numFmtId="0" fontId="32" fillId="0" borderId="36" xfId="11" applyFont="1" applyBorder="1"/>
    <xf numFmtId="164" fontId="36" fillId="0" borderId="0" xfId="11" applyNumberFormat="1" applyFont="1"/>
    <xf numFmtId="0" fontId="29" fillId="0" borderId="39" xfId="11" applyFont="1" applyBorder="1"/>
    <xf numFmtId="0" fontId="36" fillId="0" borderId="40" xfId="11" applyFont="1" applyBorder="1"/>
    <xf numFmtId="0" fontId="32" fillId="0" borderId="39" xfId="11" applyFont="1" applyBorder="1"/>
    <xf numFmtId="14" fontId="36" fillId="0" borderId="36" xfId="11" applyNumberFormat="1" applyFont="1" applyBorder="1"/>
    <xf numFmtId="166" fontId="39" fillId="0" borderId="36" xfId="14" applyNumberFormat="1" applyFont="1" applyFill="1" applyBorder="1"/>
    <xf numFmtId="166" fontId="36" fillId="0" borderId="36" xfId="14" applyNumberFormat="1" applyFont="1" applyFill="1" applyBorder="1"/>
    <xf numFmtId="0" fontId="32" fillId="0" borderId="40" xfId="11" applyFont="1" applyBorder="1"/>
    <xf numFmtId="0" fontId="26" fillId="0" borderId="36" xfId="11" applyFont="1" applyBorder="1"/>
    <xf numFmtId="0" fontId="42" fillId="0" borderId="37" xfId="11" applyFont="1" applyBorder="1"/>
    <xf numFmtId="0" fontId="42" fillId="0" borderId="36" xfId="11" applyFont="1" applyBorder="1"/>
    <xf numFmtId="0" fontId="43" fillId="0" borderId="36" xfId="11" applyFont="1" applyBorder="1"/>
    <xf numFmtId="14" fontId="43" fillId="0" borderId="36" xfId="11" applyNumberFormat="1" applyFont="1" applyBorder="1"/>
    <xf numFmtId="164" fontId="43" fillId="0" borderId="36" xfId="14" applyNumberFormat="1" applyFont="1" applyFill="1" applyBorder="1"/>
    <xf numFmtId="164" fontId="39" fillId="0" borderId="36" xfId="14" applyNumberFormat="1" applyFont="1" applyFill="1" applyBorder="1"/>
    <xf numFmtId="166" fontId="43" fillId="0" borderId="36" xfId="14" applyNumberFormat="1" applyFont="1" applyFill="1" applyBorder="1"/>
    <xf numFmtId="166" fontId="42" fillId="0" borderId="36" xfId="14" applyNumberFormat="1" applyFont="1" applyFill="1" applyBorder="1"/>
    <xf numFmtId="164" fontId="42" fillId="0" borderId="38" xfId="14" applyNumberFormat="1" applyFont="1" applyFill="1" applyBorder="1"/>
    <xf numFmtId="164" fontId="42" fillId="0" borderId="37" xfId="14" applyNumberFormat="1" applyFont="1" applyFill="1" applyBorder="1"/>
    <xf numFmtId="164" fontId="43" fillId="0" borderId="0" xfId="11" applyNumberFormat="1" applyFont="1"/>
    <xf numFmtId="0" fontId="1" fillId="0" borderId="0" xfId="11" applyFont="1"/>
    <xf numFmtId="164" fontId="26" fillId="0" borderId="0" xfId="11" applyNumberFormat="1" applyFont="1"/>
    <xf numFmtId="0" fontId="1" fillId="0" borderId="39" xfId="11" applyFont="1" applyBorder="1"/>
    <xf numFmtId="0" fontId="42" fillId="0" borderId="40" xfId="11" applyFont="1" applyBorder="1"/>
    <xf numFmtId="0" fontId="42" fillId="0" borderId="39" xfId="11" applyFont="1" applyBorder="1"/>
    <xf numFmtId="0" fontId="43" fillId="0" borderId="39" xfId="11" applyFont="1" applyBorder="1"/>
    <xf numFmtId="164" fontId="43" fillId="0" borderId="39" xfId="14" applyNumberFormat="1" applyFont="1" applyFill="1" applyBorder="1"/>
    <xf numFmtId="166" fontId="43" fillId="0" borderId="39" xfId="14" applyNumberFormat="1" applyFont="1" applyFill="1" applyBorder="1"/>
    <xf numFmtId="164" fontId="43" fillId="0" borderId="5" xfId="14" applyNumberFormat="1" applyFont="1" applyFill="1" applyBorder="1"/>
    <xf numFmtId="164" fontId="43" fillId="0" borderId="40" xfId="14" applyNumberFormat="1" applyFont="1" applyFill="1" applyBorder="1"/>
    <xf numFmtId="0" fontId="26" fillId="0" borderId="0" xfId="11" applyFont="1"/>
    <xf numFmtId="164" fontId="32" fillId="0" borderId="0" xfId="11" applyNumberFormat="1" applyFont="1"/>
    <xf numFmtId="164" fontId="33" fillId="0" borderId="0" xfId="11" applyNumberFormat="1" applyFont="1"/>
    <xf numFmtId="0" fontId="33" fillId="0" borderId="39" xfId="11" applyFont="1" applyBorder="1"/>
    <xf numFmtId="164" fontId="32" fillId="0" borderId="39" xfId="14" applyNumberFormat="1" applyFont="1" applyFill="1" applyBorder="1"/>
    <xf numFmtId="166" fontId="32" fillId="0" borderId="39" xfId="14" applyNumberFormat="1" applyFont="1" applyFill="1" applyBorder="1"/>
    <xf numFmtId="164" fontId="36" fillId="0" borderId="39" xfId="11" applyNumberFormat="1" applyFont="1" applyBorder="1"/>
    <xf numFmtId="164" fontId="36" fillId="0" borderId="0" xfId="14" applyNumberFormat="1" applyFont="1" applyFill="1" applyBorder="1"/>
    <xf numFmtId="166" fontId="36" fillId="0" borderId="0" xfId="14" applyNumberFormat="1" applyFont="1" applyFill="1" applyBorder="1"/>
    <xf numFmtId="164" fontId="44" fillId="0" borderId="39" xfId="11" applyNumberFormat="1" applyFont="1" applyBorder="1"/>
    <xf numFmtId="164" fontId="13" fillId="0" borderId="0" xfId="14" applyNumberFormat="1" applyFill="1"/>
    <xf numFmtId="0" fontId="34" fillId="0" borderId="0" xfId="11" applyFont="1" applyAlignment="1">
      <alignment horizontal="right"/>
    </xf>
    <xf numFmtId="166" fontId="34" fillId="0" borderId="0" xfId="11" applyNumberFormat="1" applyFont="1"/>
    <xf numFmtId="166" fontId="32" fillId="0" borderId="0" xfId="14" applyNumberFormat="1" applyFont="1" applyFill="1" applyBorder="1" applyAlignment="1">
      <alignment horizontal="right"/>
    </xf>
    <xf numFmtId="166" fontId="36" fillId="0" borderId="0" xfId="14" applyNumberFormat="1" applyFont="1" applyFill="1" applyBorder="1" applyAlignment="1">
      <alignment horizontal="right"/>
    </xf>
    <xf numFmtId="164" fontId="33" fillId="0" borderId="5" xfId="11" applyNumberFormat="1" applyFont="1" applyBorder="1"/>
    <xf numFmtId="164" fontId="45" fillId="0" borderId="0" xfId="11" applyNumberFormat="1" applyFont="1"/>
    <xf numFmtId="164" fontId="29" fillId="0" borderId="0" xfId="11" applyNumberFormat="1" applyFont="1"/>
    <xf numFmtId="164" fontId="46" fillId="0" borderId="0" xfId="14" applyNumberFormat="1" applyFont="1" applyFill="1"/>
    <xf numFmtId="166" fontId="32" fillId="0" borderId="41" xfId="14" applyNumberFormat="1" applyFont="1" applyFill="1" applyBorder="1"/>
    <xf numFmtId="0" fontId="35" fillId="0" borderId="0" xfId="11" applyFont="1"/>
    <xf numFmtId="166" fontId="36" fillId="0" borderId="42" xfId="14" applyNumberFormat="1" applyFont="1" applyFill="1" applyBorder="1"/>
    <xf numFmtId="0" fontId="37" fillId="0" borderId="0" xfId="11" applyFont="1"/>
    <xf numFmtId="14" fontId="37" fillId="0" borderId="36" xfId="11" applyNumberFormat="1" applyFont="1" applyBorder="1"/>
    <xf numFmtId="0" fontId="32" fillId="0" borderId="0" xfId="11" applyFont="1"/>
    <xf numFmtId="0" fontId="32" fillId="0" borderId="0" xfId="11" applyFont="1" applyAlignment="1">
      <alignment horizontal="right"/>
    </xf>
    <xf numFmtId="164" fontId="32" fillId="0" borderId="5" xfId="11" applyNumberFormat="1" applyFont="1" applyBorder="1"/>
    <xf numFmtId="164" fontId="32" fillId="0" borderId="8" xfId="14" applyNumberFormat="1" applyFont="1" applyFill="1" applyBorder="1"/>
    <xf numFmtId="164" fontId="32" fillId="0" borderId="8" xfId="11" applyNumberFormat="1" applyFont="1" applyBorder="1"/>
    <xf numFmtId="0" fontId="29" fillId="0" borderId="0" xfId="13" applyFont="1" applyAlignment="1">
      <alignment horizontal="right"/>
    </xf>
    <xf numFmtId="164" fontId="29" fillId="0" borderId="43" xfId="11" applyNumberFormat="1" applyFont="1" applyBorder="1"/>
    <xf numFmtId="164" fontId="32" fillId="0" borderId="43" xfId="14" applyNumberFormat="1" applyFont="1" applyFill="1" applyBorder="1"/>
    <xf numFmtId="164" fontId="36" fillId="0" borderId="43" xfId="14" applyNumberFormat="1" applyFont="1" applyFill="1" applyBorder="1"/>
    <xf numFmtId="0" fontId="33" fillId="0" borderId="0" xfId="11" applyFont="1" applyAlignment="1">
      <alignment horizontal="right"/>
    </xf>
    <xf numFmtId="164" fontId="33" fillId="0" borderId="8" xfId="11" applyNumberFormat="1" applyFont="1" applyBorder="1"/>
    <xf numFmtId="167" fontId="33" fillId="0" borderId="8" xfId="9" applyNumberFormat="1" applyFont="1" applyFill="1" applyBorder="1"/>
    <xf numFmtId="167" fontId="33" fillId="0" borderId="0" xfId="9" applyNumberFormat="1" applyFont="1" applyFill="1"/>
    <xf numFmtId="0" fontId="47" fillId="0" borderId="0" xfId="13" applyFont="1" applyAlignment="1">
      <alignment horizontal="right"/>
    </xf>
    <xf numFmtId="164" fontId="48" fillId="0" borderId="0" xfId="14" applyNumberFormat="1" applyFont="1" applyFill="1"/>
    <xf numFmtId="167" fontId="25" fillId="0" borderId="0" xfId="9" applyNumberFormat="1" applyFont="1" applyFill="1"/>
    <xf numFmtId="164" fontId="39" fillId="0" borderId="0" xfId="14" applyNumberFormat="1" applyFont="1" applyFill="1"/>
    <xf numFmtId="0" fontId="3" fillId="0" borderId="0" xfId="4" applyFont="1"/>
    <xf numFmtId="0" fontId="9" fillId="0" borderId="0" xfId="4" applyFont="1"/>
    <xf numFmtId="0" fontId="1" fillId="0" borderId="0" xfId="3"/>
  </cellXfs>
  <cellStyles count="15">
    <cellStyle name="Comma 2" xfId="14" xr:uid="{32F3B515-4A36-4174-B780-449395BD48BD}"/>
    <cellStyle name="Hipersaite" xfId="7" builtinId="8"/>
    <cellStyle name="Komats" xfId="1" builtinId="3"/>
    <cellStyle name="Komats 10" xfId="6" xr:uid="{8BF2C6C6-1E7D-454A-A3CC-A0EFA346DD36}"/>
    <cellStyle name="Normal 2" xfId="11" xr:uid="{75179804-3E0B-4FDD-8B40-4A72F7AA97D0}"/>
    <cellStyle name="Normal 2 2" xfId="8" xr:uid="{32C24B0A-571D-4645-B9C4-114F37823CA3}"/>
    <cellStyle name="Normal 4" xfId="13" xr:uid="{DC606B29-2D9B-4695-968E-E90586AAEED8}"/>
    <cellStyle name="Parasts" xfId="0" builtinId="0"/>
    <cellStyle name="Parasts 2 2 2 2" xfId="12" xr:uid="{FB3B0858-8AFE-4978-A3C8-30F235BAEC6A}"/>
    <cellStyle name="Parasts 2 2 5" xfId="3" xr:uid="{A9AD2F4E-9AB1-4F98-99B9-B936C85299C6}"/>
    <cellStyle name="Parasts 2 2 5 2" xfId="4" xr:uid="{B4BA7409-4F97-48FD-A232-4664C1F1EB20}"/>
    <cellStyle name="Parasts 2 5" xfId="10" xr:uid="{9EFBDCFD-5D1A-404E-8B42-729394BD55F9}"/>
    <cellStyle name="Percent 4" xfId="9" xr:uid="{EB161811-C0CF-410E-9757-B0AFC7CF90A8}"/>
    <cellStyle name="Procenti" xfId="2" builtinId="5"/>
    <cellStyle name="Procenti 2 3" xfId="5" xr:uid="{6C63B215-B13D-4514-9B7B-3DF0AA49CB25}"/>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E70E-6867-4EFA-906C-EB564B751ACC}">
  <sheetPr>
    <tabColor rgb="FF92D050"/>
  </sheetPr>
  <dimension ref="A1:J323"/>
  <sheetViews>
    <sheetView tabSelected="1" zoomScale="98" zoomScaleNormal="98" zoomScaleSheetLayoutView="80" workbookViewId="0">
      <pane xSplit="2" ySplit="5" topLeftCell="C6" activePane="bottomRight" state="frozen"/>
      <selection activeCell="C1" sqref="C1"/>
      <selection pane="topRight" activeCell="E1" sqref="E1"/>
      <selection pane="bottomLeft" activeCell="C6" sqref="C6"/>
      <selection pane="bottomRight" activeCell="F1" sqref="F1"/>
    </sheetView>
  </sheetViews>
  <sheetFormatPr defaultRowHeight="15" outlineLevelRow="1" x14ac:dyDescent="0.25"/>
  <cols>
    <col min="1" max="1" width="15" style="73" customWidth="1"/>
    <col min="2" max="2" width="56" style="4" customWidth="1"/>
    <col min="3" max="3" width="14.85546875" style="6" customWidth="1"/>
    <col min="4" max="4" width="14.85546875" style="6" customWidth="1" collapsed="1"/>
    <col min="5" max="5" width="14.85546875" style="1" customWidth="1"/>
    <col min="6" max="6" width="70.7109375" style="11" customWidth="1" collapsed="1"/>
    <col min="7" max="7" width="11.85546875" style="1" bestFit="1" customWidth="1"/>
    <col min="8" max="8" width="10.7109375" style="1" bestFit="1" customWidth="1"/>
    <col min="9" max="171" width="9.140625" style="1"/>
    <col min="172" max="173" width="0" style="1" hidden="1" customWidth="1"/>
    <col min="174" max="174" width="13.7109375" style="1" customWidth="1"/>
    <col min="175" max="175" width="52.85546875" style="1" customWidth="1"/>
    <col min="176" max="215" width="0" style="1" hidden="1" customWidth="1"/>
    <col min="216" max="217" width="14.85546875" style="1" customWidth="1"/>
    <col min="218" max="219" width="0" style="1" hidden="1" customWidth="1"/>
    <col min="220" max="220" width="14.85546875" style="1" customWidth="1"/>
    <col min="221" max="222" width="0" style="1" hidden="1" customWidth="1"/>
    <col min="223" max="223" width="14.85546875" style="1" customWidth="1"/>
    <col min="224" max="225" width="0" style="1" hidden="1" customWidth="1"/>
    <col min="226" max="226" width="14.85546875" style="1" customWidth="1"/>
    <col min="227" max="228" width="0" style="1" hidden="1" customWidth="1"/>
    <col min="229" max="229" width="14.85546875" style="1" customWidth="1"/>
    <col min="230" max="231" width="0" style="1" hidden="1" customWidth="1"/>
    <col min="232" max="233" width="14.85546875" style="1" customWidth="1"/>
    <col min="234" max="234" width="44.42578125" style="1" customWidth="1"/>
    <col min="235" max="239" width="14.85546875" style="1" customWidth="1"/>
    <col min="240" max="240" width="63.85546875" style="1" customWidth="1"/>
    <col min="241" max="241" width="13.28515625" style="1" customWidth="1"/>
    <col min="242" max="427" width="9.140625" style="1"/>
    <col min="428" max="429" width="0" style="1" hidden="1" customWidth="1"/>
    <col min="430" max="430" width="13.7109375" style="1" customWidth="1"/>
    <col min="431" max="431" width="52.85546875" style="1" customWidth="1"/>
    <col min="432" max="471" width="0" style="1" hidden="1" customWidth="1"/>
    <col min="472" max="473" width="14.85546875" style="1" customWidth="1"/>
    <col min="474" max="475" width="0" style="1" hidden="1" customWidth="1"/>
    <col min="476" max="476" width="14.85546875" style="1" customWidth="1"/>
    <col min="477" max="478" width="0" style="1" hidden="1" customWidth="1"/>
    <col min="479" max="479" width="14.85546875" style="1" customWidth="1"/>
    <col min="480" max="481" width="0" style="1" hidden="1" customWidth="1"/>
    <col min="482" max="482" width="14.85546875" style="1" customWidth="1"/>
    <col min="483" max="484" width="0" style="1" hidden="1" customWidth="1"/>
    <col min="485" max="485" width="14.85546875" style="1" customWidth="1"/>
    <col min="486" max="487" width="0" style="1" hidden="1" customWidth="1"/>
    <col min="488" max="489" width="14.85546875" style="1" customWidth="1"/>
    <col min="490" max="490" width="44.42578125" style="1" customWidth="1"/>
    <col min="491" max="495" width="14.85546875" style="1" customWidth="1"/>
    <col min="496" max="496" width="63.85546875" style="1" customWidth="1"/>
    <col min="497" max="497" width="13.28515625" style="1" customWidth="1"/>
    <col min="498" max="683" width="9.140625" style="1"/>
    <col min="684" max="685" width="0" style="1" hidden="1" customWidth="1"/>
    <col min="686" max="686" width="13.7109375" style="1" customWidth="1"/>
    <col min="687" max="687" width="52.85546875" style="1" customWidth="1"/>
    <col min="688" max="727" width="0" style="1" hidden="1" customWidth="1"/>
    <col min="728" max="729" width="14.85546875" style="1" customWidth="1"/>
    <col min="730" max="731" width="0" style="1" hidden="1" customWidth="1"/>
    <col min="732" max="732" width="14.85546875" style="1" customWidth="1"/>
    <col min="733" max="734" width="0" style="1" hidden="1" customWidth="1"/>
    <col min="735" max="735" width="14.85546875" style="1" customWidth="1"/>
    <col min="736" max="737" width="0" style="1" hidden="1" customWidth="1"/>
    <col min="738" max="738" width="14.85546875" style="1" customWidth="1"/>
    <col min="739" max="740" width="0" style="1" hidden="1" customWidth="1"/>
    <col min="741" max="741" width="14.85546875" style="1" customWidth="1"/>
    <col min="742" max="743" width="0" style="1" hidden="1" customWidth="1"/>
    <col min="744" max="745" width="14.85546875" style="1" customWidth="1"/>
    <col min="746" max="746" width="44.42578125" style="1" customWidth="1"/>
    <col min="747" max="751" width="14.85546875" style="1" customWidth="1"/>
    <col min="752" max="752" width="63.85546875" style="1" customWidth="1"/>
    <col min="753" max="753" width="13.28515625" style="1" customWidth="1"/>
    <col min="754" max="939" width="9.140625" style="1"/>
    <col min="940" max="941" width="0" style="1" hidden="1" customWidth="1"/>
    <col min="942" max="942" width="13.7109375" style="1" customWidth="1"/>
    <col min="943" max="943" width="52.85546875" style="1" customWidth="1"/>
    <col min="944" max="983" width="0" style="1" hidden="1" customWidth="1"/>
    <col min="984" max="985" width="14.85546875" style="1" customWidth="1"/>
    <col min="986" max="987" width="0" style="1" hidden="1" customWidth="1"/>
    <col min="988" max="988" width="14.85546875" style="1" customWidth="1"/>
    <col min="989" max="990" width="0" style="1" hidden="1" customWidth="1"/>
    <col min="991" max="991" width="14.85546875" style="1" customWidth="1"/>
    <col min="992" max="993" width="0" style="1" hidden="1" customWidth="1"/>
    <col min="994" max="994" width="14.85546875" style="1" customWidth="1"/>
    <col min="995" max="996" width="0" style="1" hidden="1" customWidth="1"/>
    <col min="997" max="997" width="14.85546875" style="1" customWidth="1"/>
    <col min="998" max="999" width="0" style="1" hidden="1" customWidth="1"/>
    <col min="1000" max="1001" width="14.85546875" style="1" customWidth="1"/>
    <col min="1002" max="1002" width="44.42578125" style="1" customWidth="1"/>
    <col min="1003" max="1007" width="14.85546875" style="1" customWidth="1"/>
    <col min="1008" max="1008" width="63.85546875" style="1" customWidth="1"/>
    <col min="1009" max="1009" width="13.28515625" style="1" customWidth="1"/>
    <col min="1010" max="1195" width="9.140625" style="1"/>
    <col min="1196" max="1197" width="0" style="1" hidden="1" customWidth="1"/>
    <col min="1198" max="1198" width="13.7109375" style="1" customWidth="1"/>
    <col min="1199" max="1199" width="52.85546875" style="1" customWidth="1"/>
    <col min="1200" max="1239" width="0" style="1" hidden="1" customWidth="1"/>
    <col min="1240" max="1241" width="14.85546875" style="1" customWidth="1"/>
    <col min="1242" max="1243" width="0" style="1" hidden="1" customWidth="1"/>
    <col min="1244" max="1244" width="14.85546875" style="1" customWidth="1"/>
    <col min="1245" max="1246" width="0" style="1" hidden="1" customWidth="1"/>
    <col min="1247" max="1247" width="14.85546875" style="1" customWidth="1"/>
    <col min="1248" max="1249" width="0" style="1" hidden="1" customWidth="1"/>
    <col min="1250" max="1250" width="14.85546875" style="1" customWidth="1"/>
    <col min="1251" max="1252" width="0" style="1" hidden="1" customWidth="1"/>
    <col min="1253" max="1253" width="14.85546875" style="1" customWidth="1"/>
    <col min="1254" max="1255" width="0" style="1" hidden="1" customWidth="1"/>
    <col min="1256" max="1257" width="14.85546875" style="1" customWidth="1"/>
    <col min="1258" max="1258" width="44.42578125" style="1" customWidth="1"/>
    <col min="1259" max="1263" width="14.85546875" style="1" customWidth="1"/>
    <col min="1264" max="1264" width="63.85546875" style="1" customWidth="1"/>
    <col min="1265" max="1265" width="13.28515625" style="1" customWidth="1"/>
    <col min="1266" max="1451" width="9.140625" style="1"/>
    <col min="1452" max="1453" width="0" style="1" hidden="1" customWidth="1"/>
    <col min="1454" max="1454" width="13.7109375" style="1" customWidth="1"/>
    <col min="1455" max="1455" width="52.85546875" style="1" customWidth="1"/>
    <col min="1456" max="1495" width="0" style="1" hidden="1" customWidth="1"/>
    <col min="1496" max="1497" width="14.85546875" style="1" customWidth="1"/>
    <col min="1498" max="1499" width="0" style="1" hidden="1" customWidth="1"/>
    <col min="1500" max="1500" width="14.85546875" style="1" customWidth="1"/>
    <col min="1501" max="1502" width="0" style="1" hidden="1" customWidth="1"/>
    <col min="1503" max="1503" width="14.85546875" style="1" customWidth="1"/>
    <col min="1504" max="1505" width="0" style="1" hidden="1" customWidth="1"/>
    <col min="1506" max="1506" width="14.85546875" style="1" customWidth="1"/>
    <col min="1507" max="1508" width="0" style="1" hidden="1" customWidth="1"/>
    <col min="1509" max="1509" width="14.85546875" style="1" customWidth="1"/>
    <col min="1510" max="1511" width="0" style="1" hidden="1" customWidth="1"/>
    <col min="1512" max="1513" width="14.85546875" style="1" customWidth="1"/>
    <col min="1514" max="1514" width="44.42578125" style="1" customWidth="1"/>
    <col min="1515" max="1519" width="14.85546875" style="1" customWidth="1"/>
    <col min="1520" max="1520" width="63.85546875" style="1" customWidth="1"/>
    <col min="1521" max="1521" width="13.28515625" style="1" customWidth="1"/>
    <col min="1522" max="1707" width="9.140625" style="1"/>
    <col min="1708" max="1709" width="0" style="1" hidden="1" customWidth="1"/>
    <col min="1710" max="1710" width="13.7109375" style="1" customWidth="1"/>
    <col min="1711" max="1711" width="52.85546875" style="1" customWidth="1"/>
    <col min="1712" max="1751" width="0" style="1" hidden="1" customWidth="1"/>
    <col min="1752" max="1753" width="14.85546875" style="1" customWidth="1"/>
    <col min="1754" max="1755" width="0" style="1" hidden="1" customWidth="1"/>
    <col min="1756" max="1756" width="14.85546875" style="1" customWidth="1"/>
    <col min="1757" max="1758" width="0" style="1" hidden="1" customWidth="1"/>
    <col min="1759" max="1759" width="14.85546875" style="1" customWidth="1"/>
    <col min="1760" max="1761" width="0" style="1" hidden="1" customWidth="1"/>
    <col min="1762" max="1762" width="14.85546875" style="1" customWidth="1"/>
    <col min="1763" max="1764" width="0" style="1" hidden="1" customWidth="1"/>
    <col min="1765" max="1765" width="14.85546875" style="1" customWidth="1"/>
    <col min="1766" max="1767" width="0" style="1" hidden="1" customWidth="1"/>
    <col min="1768" max="1769" width="14.85546875" style="1" customWidth="1"/>
    <col min="1770" max="1770" width="44.42578125" style="1" customWidth="1"/>
    <col min="1771" max="1775" width="14.85546875" style="1" customWidth="1"/>
    <col min="1776" max="1776" width="63.85546875" style="1" customWidth="1"/>
    <col min="1777" max="1777" width="13.28515625" style="1" customWidth="1"/>
    <col min="1778" max="1963" width="9.140625" style="1"/>
    <col min="1964" max="1965" width="0" style="1" hidden="1" customWidth="1"/>
    <col min="1966" max="1966" width="13.7109375" style="1" customWidth="1"/>
    <col min="1967" max="1967" width="52.85546875" style="1" customWidth="1"/>
    <col min="1968" max="2007" width="0" style="1" hidden="1" customWidth="1"/>
    <col min="2008" max="2009" width="14.85546875" style="1" customWidth="1"/>
    <col min="2010" max="2011" width="0" style="1" hidden="1" customWidth="1"/>
    <col min="2012" max="2012" width="14.85546875" style="1" customWidth="1"/>
    <col min="2013" max="2014" width="0" style="1" hidden="1" customWidth="1"/>
    <col min="2015" max="2015" width="14.85546875" style="1" customWidth="1"/>
    <col min="2016" max="2017" width="0" style="1" hidden="1" customWidth="1"/>
    <col min="2018" max="2018" width="14.85546875" style="1" customWidth="1"/>
    <col min="2019" max="2020" width="0" style="1" hidden="1" customWidth="1"/>
    <col min="2021" max="2021" width="14.85546875" style="1" customWidth="1"/>
    <col min="2022" max="2023" width="0" style="1" hidden="1" customWidth="1"/>
    <col min="2024" max="2025" width="14.85546875" style="1" customWidth="1"/>
    <col min="2026" max="2026" width="44.42578125" style="1" customWidth="1"/>
    <col min="2027" max="2031" width="14.85546875" style="1" customWidth="1"/>
    <col min="2032" max="2032" width="63.85546875" style="1" customWidth="1"/>
    <col min="2033" max="2033" width="13.28515625" style="1" customWidth="1"/>
    <col min="2034" max="2219" width="9.140625" style="1"/>
    <col min="2220" max="2221" width="0" style="1" hidden="1" customWidth="1"/>
    <col min="2222" max="2222" width="13.7109375" style="1" customWidth="1"/>
    <col min="2223" max="2223" width="52.85546875" style="1" customWidth="1"/>
    <col min="2224" max="2263" width="0" style="1" hidden="1" customWidth="1"/>
    <col min="2264" max="2265" width="14.85546875" style="1" customWidth="1"/>
    <col min="2266" max="2267" width="0" style="1" hidden="1" customWidth="1"/>
    <col min="2268" max="2268" width="14.85546875" style="1" customWidth="1"/>
    <col min="2269" max="2270" width="0" style="1" hidden="1" customWidth="1"/>
    <col min="2271" max="2271" width="14.85546875" style="1" customWidth="1"/>
    <col min="2272" max="2273" width="0" style="1" hidden="1" customWidth="1"/>
    <col min="2274" max="2274" width="14.85546875" style="1" customWidth="1"/>
    <col min="2275" max="2276" width="0" style="1" hidden="1" customWidth="1"/>
    <col min="2277" max="2277" width="14.85546875" style="1" customWidth="1"/>
    <col min="2278" max="2279" width="0" style="1" hidden="1" customWidth="1"/>
    <col min="2280" max="2281" width="14.85546875" style="1" customWidth="1"/>
    <col min="2282" max="2282" width="44.42578125" style="1" customWidth="1"/>
    <col min="2283" max="2287" width="14.85546875" style="1" customWidth="1"/>
    <col min="2288" max="2288" width="63.85546875" style="1" customWidth="1"/>
    <col min="2289" max="2289" width="13.28515625" style="1" customWidth="1"/>
    <col min="2290" max="2475" width="9.140625" style="1"/>
    <col min="2476" max="2477" width="0" style="1" hidden="1" customWidth="1"/>
    <col min="2478" max="2478" width="13.7109375" style="1" customWidth="1"/>
    <col min="2479" max="2479" width="52.85546875" style="1" customWidth="1"/>
    <col min="2480" max="2519" width="0" style="1" hidden="1" customWidth="1"/>
    <col min="2520" max="2521" width="14.85546875" style="1" customWidth="1"/>
    <col min="2522" max="2523" width="0" style="1" hidden="1" customWidth="1"/>
    <col min="2524" max="2524" width="14.85546875" style="1" customWidth="1"/>
    <col min="2525" max="2526" width="0" style="1" hidden="1" customWidth="1"/>
    <col min="2527" max="2527" width="14.85546875" style="1" customWidth="1"/>
    <col min="2528" max="2529" width="0" style="1" hidden="1" customWidth="1"/>
    <col min="2530" max="2530" width="14.85546875" style="1" customWidth="1"/>
    <col min="2531" max="2532" width="0" style="1" hidden="1" customWidth="1"/>
    <col min="2533" max="2533" width="14.85546875" style="1" customWidth="1"/>
    <col min="2534" max="2535" width="0" style="1" hidden="1" customWidth="1"/>
    <col min="2536" max="2537" width="14.85546875" style="1" customWidth="1"/>
    <col min="2538" max="2538" width="44.42578125" style="1" customWidth="1"/>
    <col min="2539" max="2543" width="14.85546875" style="1" customWidth="1"/>
    <col min="2544" max="2544" width="63.85546875" style="1" customWidth="1"/>
    <col min="2545" max="2545" width="13.28515625" style="1" customWidth="1"/>
    <col min="2546" max="2731" width="9.140625" style="1"/>
    <col min="2732" max="2733" width="0" style="1" hidden="1" customWidth="1"/>
    <col min="2734" max="2734" width="13.7109375" style="1" customWidth="1"/>
    <col min="2735" max="2735" width="52.85546875" style="1" customWidth="1"/>
    <col min="2736" max="2775" width="0" style="1" hidden="1" customWidth="1"/>
    <col min="2776" max="2777" width="14.85546875" style="1" customWidth="1"/>
    <col min="2778" max="2779" width="0" style="1" hidden="1" customWidth="1"/>
    <col min="2780" max="2780" width="14.85546875" style="1" customWidth="1"/>
    <col min="2781" max="2782" width="0" style="1" hidden="1" customWidth="1"/>
    <col min="2783" max="2783" width="14.85546875" style="1" customWidth="1"/>
    <col min="2784" max="2785" width="0" style="1" hidden="1" customWidth="1"/>
    <col min="2786" max="2786" width="14.85546875" style="1" customWidth="1"/>
    <col min="2787" max="2788" width="0" style="1" hidden="1" customWidth="1"/>
    <col min="2789" max="2789" width="14.85546875" style="1" customWidth="1"/>
    <col min="2790" max="2791" width="0" style="1" hidden="1" customWidth="1"/>
    <col min="2792" max="2793" width="14.85546875" style="1" customWidth="1"/>
    <col min="2794" max="2794" width="44.42578125" style="1" customWidth="1"/>
    <col min="2795" max="2799" width="14.85546875" style="1" customWidth="1"/>
    <col min="2800" max="2800" width="63.85546875" style="1" customWidth="1"/>
    <col min="2801" max="2801" width="13.28515625" style="1" customWidth="1"/>
    <col min="2802" max="2987" width="9.140625" style="1"/>
    <col min="2988" max="2989" width="0" style="1" hidden="1" customWidth="1"/>
    <col min="2990" max="2990" width="13.7109375" style="1" customWidth="1"/>
    <col min="2991" max="2991" width="52.85546875" style="1" customWidth="1"/>
    <col min="2992" max="3031" width="0" style="1" hidden="1" customWidth="1"/>
    <col min="3032" max="3033" width="14.85546875" style="1" customWidth="1"/>
    <col min="3034" max="3035" width="0" style="1" hidden="1" customWidth="1"/>
    <col min="3036" max="3036" width="14.85546875" style="1" customWidth="1"/>
    <col min="3037" max="3038" width="0" style="1" hidden="1" customWidth="1"/>
    <col min="3039" max="3039" width="14.85546875" style="1" customWidth="1"/>
    <col min="3040" max="3041" width="0" style="1" hidden="1" customWidth="1"/>
    <col min="3042" max="3042" width="14.85546875" style="1" customWidth="1"/>
    <col min="3043" max="3044" width="0" style="1" hidden="1" customWidth="1"/>
    <col min="3045" max="3045" width="14.85546875" style="1" customWidth="1"/>
    <col min="3046" max="3047" width="0" style="1" hidden="1" customWidth="1"/>
    <col min="3048" max="3049" width="14.85546875" style="1" customWidth="1"/>
    <col min="3050" max="3050" width="44.42578125" style="1" customWidth="1"/>
    <col min="3051" max="3055" width="14.85546875" style="1" customWidth="1"/>
    <col min="3056" max="3056" width="63.85546875" style="1" customWidth="1"/>
    <col min="3057" max="3057" width="13.28515625" style="1" customWidth="1"/>
    <col min="3058" max="3243" width="9.140625" style="1"/>
    <col min="3244" max="3245" width="0" style="1" hidden="1" customWidth="1"/>
    <col min="3246" max="3246" width="13.7109375" style="1" customWidth="1"/>
    <col min="3247" max="3247" width="52.85546875" style="1" customWidth="1"/>
    <col min="3248" max="3287" width="0" style="1" hidden="1" customWidth="1"/>
    <col min="3288" max="3289" width="14.85546875" style="1" customWidth="1"/>
    <col min="3290" max="3291" width="0" style="1" hidden="1" customWidth="1"/>
    <col min="3292" max="3292" width="14.85546875" style="1" customWidth="1"/>
    <col min="3293" max="3294" width="0" style="1" hidden="1" customWidth="1"/>
    <col min="3295" max="3295" width="14.85546875" style="1" customWidth="1"/>
    <col min="3296" max="3297" width="0" style="1" hidden="1" customWidth="1"/>
    <col min="3298" max="3298" width="14.85546875" style="1" customWidth="1"/>
    <col min="3299" max="3300" width="0" style="1" hidden="1" customWidth="1"/>
    <col min="3301" max="3301" width="14.85546875" style="1" customWidth="1"/>
    <col min="3302" max="3303" width="0" style="1" hidden="1" customWidth="1"/>
    <col min="3304" max="3305" width="14.85546875" style="1" customWidth="1"/>
    <col min="3306" max="3306" width="44.42578125" style="1" customWidth="1"/>
    <col min="3307" max="3311" width="14.85546875" style="1" customWidth="1"/>
    <col min="3312" max="3312" width="63.85546875" style="1" customWidth="1"/>
    <col min="3313" max="3313" width="13.28515625" style="1" customWidth="1"/>
    <col min="3314" max="3499" width="9.140625" style="1"/>
    <col min="3500" max="3501" width="0" style="1" hidden="1" customWidth="1"/>
    <col min="3502" max="3502" width="13.7109375" style="1" customWidth="1"/>
    <col min="3503" max="3503" width="52.85546875" style="1" customWidth="1"/>
    <col min="3504" max="3543" width="0" style="1" hidden="1" customWidth="1"/>
    <col min="3544" max="3545" width="14.85546875" style="1" customWidth="1"/>
    <col min="3546" max="3547" width="0" style="1" hidden="1" customWidth="1"/>
    <col min="3548" max="3548" width="14.85546875" style="1" customWidth="1"/>
    <col min="3549" max="3550" width="0" style="1" hidden="1" customWidth="1"/>
    <col min="3551" max="3551" width="14.85546875" style="1" customWidth="1"/>
    <col min="3552" max="3553" width="0" style="1" hidden="1" customWidth="1"/>
    <col min="3554" max="3554" width="14.85546875" style="1" customWidth="1"/>
    <col min="3555" max="3556" width="0" style="1" hidden="1" customWidth="1"/>
    <col min="3557" max="3557" width="14.85546875" style="1" customWidth="1"/>
    <col min="3558" max="3559" width="0" style="1" hidden="1" customWidth="1"/>
    <col min="3560" max="3561" width="14.85546875" style="1" customWidth="1"/>
    <col min="3562" max="3562" width="44.42578125" style="1" customWidth="1"/>
    <col min="3563" max="3567" width="14.85546875" style="1" customWidth="1"/>
    <col min="3568" max="3568" width="63.85546875" style="1" customWidth="1"/>
    <col min="3569" max="3569" width="13.28515625" style="1" customWidth="1"/>
    <col min="3570" max="3755" width="9.140625" style="1"/>
    <col min="3756" max="3757" width="0" style="1" hidden="1" customWidth="1"/>
    <col min="3758" max="3758" width="13.7109375" style="1" customWidth="1"/>
    <col min="3759" max="3759" width="52.85546875" style="1" customWidth="1"/>
    <col min="3760" max="3799" width="0" style="1" hidden="1" customWidth="1"/>
    <col min="3800" max="3801" width="14.85546875" style="1" customWidth="1"/>
    <col min="3802" max="3803" width="0" style="1" hidden="1" customWidth="1"/>
    <col min="3804" max="3804" width="14.85546875" style="1" customWidth="1"/>
    <col min="3805" max="3806" width="0" style="1" hidden="1" customWidth="1"/>
    <col min="3807" max="3807" width="14.85546875" style="1" customWidth="1"/>
    <col min="3808" max="3809" width="0" style="1" hidden="1" customWidth="1"/>
    <col min="3810" max="3810" width="14.85546875" style="1" customWidth="1"/>
    <col min="3811" max="3812" width="0" style="1" hidden="1" customWidth="1"/>
    <col min="3813" max="3813" width="14.85546875" style="1" customWidth="1"/>
    <col min="3814" max="3815" width="0" style="1" hidden="1" customWidth="1"/>
    <col min="3816" max="3817" width="14.85546875" style="1" customWidth="1"/>
    <col min="3818" max="3818" width="44.42578125" style="1" customWidth="1"/>
    <col min="3819" max="3823" width="14.85546875" style="1" customWidth="1"/>
    <col min="3824" max="3824" width="63.85546875" style="1" customWidth="1"/>
    <col min="3825" max="3825" width="13.28515625" style="1" customWidth="1"/>
    <col min="3826" max="4011" width="9.140625" style="1"/>
    <col min="4012" max="4013" width="0" style="1" hidden="1" customWidth="1"/>
    <col min="4014" max="4014" width="13.7109375" style="1" customWidth="1"/>
    <col min="4015" max="4015" width="52.85546875" style="1" customWidth="1"/>
    <col min="4016" max="4055" width="0" style="1" hidden="1" customWidth="1"/>
    <col min="4056" max="4057" width="14.85546875" style="1" customWidth="1"/>
    <col min="4058" max="4059" width="0" style="1" hidden="1" customWidth="1"/>
    <col min="4060" max="4060" width="14.85546875" style="1" customWidth="1"/>
    <col min="4061" max="4062" width="0" style="1" hidden="1" customWidth="1"/>
    <col min="4063" max="4063" width="14.85546875" style="1" customWidth="1"/>
    <col min="4064" max="4065" width="0" style="1" hidden="1" customWidth="1"/>
    <col min="4066" max="4066" width="14.85546875" style="1" customWidth="1"/>
    <col min="4067" max="4068" width="0" style="1" hidden="1" customWidth="1"/>
    <col min="4069" max="4069" width="14.85546875" style="1" customWidth="1"/>
    <col min="4070" max="4071" width="0" style="1" hidden="1" customWidth="1"/>
    <col min="4072" max="4073" width="14.85546875" style="1" customWidth="1"/>
    <col min="4074" max="4074" width="44.42578125" style="1" customWidth="1"/>
    <col min="4075" max="4079" width="14.85546875" style="1" customWidth="1"/>
    <col min="4080" max="4080" width="63.85546875" style="1" customWidth="1"/>
    <col min="4081" max="4081" width="13.28515625" style="1" customWidth="1"/>
    <col min="4082" max="4267" width="9.140625" style="1"/>
    <col min="4268" max="4269" width="0" style="1" hidden="1" customWidth="1"/>
    <col min="4270" max="4270" width="13.7109375" style="1" customWidth="1"/>
    <col min="4271" max="4271" width="52.85546875" style="1" customWidth="1"/>
    <col min="4272" max="4311" width="0" style="1" hidden="1" customWidth="1"/>
    <col min="4312" max="4313" width="14.85546875" style="1" customWidth="1"/>
    <col min="4314" max="4315" width="0" style="1" hidden="1" customWidth="1"/>
    <col min="4316" max="4316" width="14.85546875" style="1" customWidth="1"/>
    <col min="4317" max="4318" width="0" style="1" hidden="1" customWidth="1"/>
    <col min="4319" max="4319" width="14.85546875" style="1" customWidth="1"/>
    <col min="4320" max="4321" width="0" style="1" hidden="1" customWidth="1"/>
    <col min="4322" max="4322" width="14.85546875" style="1" customWidth="1"/>
    <col min="4323" max="4324" width="0" style="1" hidden="1" customWidth="1"/>
    <col min="4325" max="4325" width="14.85546875" style="1" customWidth="1"/>
    <col min="4326" max="4327" width="0" style="1" hidden="1" customWidth="1"/>
    <col min="4328" max="4329" width="14.85546875" style="1" customWidth="1"/>
    <col min="4330" max="4330" width="44.42578125" style="1" customWidth="1"/>
    <col min="4331" max="4335" width="14.85546875" style="1" customWidth="1"/>
    <col min="4336" max="4336" width="63.85546875" style="1" customWidth="1"/>
    <col min="4337" max="4337" width="13.28515625" style="1" customWidth="1"/>
    <col min="4338" max="4523" width="9.140625" style="1"/>
    <col min="4524" max="4525" width="0" style="1" hidden="1" customWidth="1"/>
    <col min="4526" max="4526" width="13.7109375" style="1" customWidth="1"/>
    <col min="4527" max="4527" width="52.85546875" style="1" customWidth="1"/>
    <col min="4528" max="4567" width="0" style="1" hidden="1" customWidth="1"/>
    <col min="4568" max="4569" width="14.85546875" style="1" customWidth="1"/>
    <col min="4570" max="4571" width="0" style="1" hidden="1" customWidth="1"/>
    <col min="4572" max="4572" width="14.85546875" style="1" customWidth="1"/>
    <col min="4573" max="4574" width="0" style="1" hidden="1" customWidth="1"/>
    <col min="4575" max="4575" width="14.85546875" style="1" customWidth="1"/>
    <col min="4576" max="4577" width="0" style="1" hidden="1" customWidth="1"/>
    <col min="4578" max="4578" width="14.85546875" style="1" customWidth="1"/>
    <col min="4579" max="4580" width="0" style="1" hidden="1" customWidth="1"/>
    <col min="4581" max="4581" width="14.85546875" style="1" customWidth="1"/>
    <col min="4582" max="4583" width="0" style="1" hidden="1" customWidth="1"/>
    <col min="4584" max="4585" width="14.85546875" style="1" customWidth="1"/>
    <col min="4586" max="4586" width="44.42578125" style="1" customWidth="1"/>
    <col min="4587" max="4591" width="14.85546875" style="1" customWidth="1"/>
    <col min="4592" max="4592" width="63.85546875" style="1" customWidth="1"/>
    <col min="4593" max="4593" width="13.28515625" style="1" customWidth="1"/>
    <col min="4594" max="4779" width="9.140625" style="1"/>
    <col min="4780" max="4781" width="0" style="1" hidden="1" customWidth="1"/>
    <col min="4782" max="4782" width="13.7109375" style="1" customWidth="1"/>
    <col min="4783" max="4783" width="52.85546875" style="1" customWidth="1"/>
    <col min="4784" max="4823" width="0" style="1" hidden="1" customWidth="1"/>
    <col min="4824" max="4825" width="14.85546875" style="1" customWidth="1"/>
    <col min="4826" max="4827" width="0" style="1" hidden="1" customWidth="1"/>
    <col min="4828" max="4828" width="14.85546875" style="1" customWidth="1"/>
    <col min="4829" max="4830" width="0" style="1" hidden="1" customWidth="1"/>
    <col min="4831" max="4831" width="14.85546875" style="1" customWidth="1"/>
    <col min="4832" max="4833" width="0" style="1" hidden="1" customWidth="1"/>
    <col min="4834" max="4834" width="14.85546875" style="1" customWidth="1"/>
    <col min="4835" max="4836" width="0" style="1" hidden="1" customWidth="1"/>
    <col min="4837" max="4837" width="14.85546875" style="1" customWidth="1"/>
    <col min="4838" max="4839" width="0" style="1" hidden="1" customWidth="1"/>
    <col min="4840" max="4841" width="14.85546875" style="1" customWidth="1"/>
    <col min="4842" max="4842" width="44.42578125" style="1" customWidth="1"/>
    <col min="4843" max="4847" width="14.85546875" style="1" customWidth="1"/>
    <col min="4848" max="4848" width="63.85546875" style="1" customWidth="1"/>
    <col min="4849" max="4849" width="13.28515625" style="1" customWidth="1"/>
    <col min="4850" max="5035" width="9.140625" style="1"/>
    <col min="5036" max="5037" width="0" style="1" hidden="1" customWidth="1"/>
    <col min="5038" max="5038" width="13.7109375" style="1" customWidth="1"/>
    <col min="5039" max="5039" width="52.85546875" style="1" customWidth="1"/>
    <col min="5040" max="5079" width="0" style="1" hidden="1" customWidth="1"/>
    <col min="5080" max="5081" width="14.85546875" style="1" customWidth="1"/>
    <col min="5082" max="5083" width="0" style="1" hidden="1" customWidth="1"/>
    <col min="5084" max="5084" width="14.85546875" style="1" customWidth="1"/>
    <col min="5085" max="5086" width="0" style="1" hidden="1" customWidth="1"/>
    <col min="5087" max="5087" width="14.85546875" style="1" customWidth="1"/>
    <col min="5088" max="5089" width="0" style="1" hidden="1" customWidth="1"/>
    <col min="5090" max="5090" width="14.85546875" style="1" customWidth="1"/>
    <col min="5091" max="5092" width="0" style="1" hidden="1" customWidth="1"/>
    <col min="5093" max="5093" width="14.85546875" style="1" customWidth="1"/>
    <col min="5094" max="5095" width="0" style="1" hidden="1" customWidth="1"/>
    <col min="5096" max="5097" width="14.85546875" style="1" customWidth="1"/>
    <col min="5098" max="5098" width="44.42578125" style="1" customWidth="1"/>
    <col min="5099" max="5103" width="14.85546875" style="1" customWidth="1"/>
    <col min="5104" max="5104" width="63.85546875" style="1" customWidth="1"/>
    <col min="5105" max="5105" width="13.28515625" style="1" customWidth="1"/>
    <col min="5106" max="5291" width="9.140625" style="1"/>
    <col min="5292" max="5293" width="0" style="1" hidden="1" customWidth="1"/>
    <col min="5294" max="5294" width="13.7109375" style="1" customWidth="1"/>
    <col min="5295" max="5295" width="52.85546875" style="1" customWidth="1"/>
    <col min="5296" max="5335" width="0" style="1" hidden="1" customWidth="1"/>
    <col min="5336" max="5337" width="14.85546875" style="1" customWidth="1"/>
    <col min="5338" max="5339" width="0" style="1" hidden="1" customWidth="1"/>
    <col min="5340" max="5340" width="14.85546875" style="1" customWidth="1"/>
    <col min="5341" max="5342" width="0" style="1" hidden="1" customWidth="1"/>
    <col min="5343" max="5343" width="14.85546875" style="1" customWidth="1"/>
    <col min="5344" max="5345" width="0" style="1" hidden="1" customWidth="1"/>
    <col min="5346" max="5346" width="14.85546875" style="1" customWidth="1"/>
    <col min="5347" max="5348" width="0" style="1" hidden="1" customWidth="1"/>
    <col min="5349" max="5349" width="14.85546875" style="1" customWidth="1"/>
    <col min="5350" max="5351" width="0" style="1" hidden="1" customWidth="1"/>
    <col min="5352" max="5353" width="14.85546875" style="1" customWidth="1"/>
    <col min="5354" max="5354" width="44.42578125" style="1" customWidth="1"/>
    <col min="5355" max="5359" width="14.85546875" style="1" customWidth="1"/>
    <col min="5360" max="5360" width="63.85546875" style="1" customWidth="1"/>
    <col min="5361" max="5361" width="13.28515625" style="1" customWidth="1"/>
    <col min="5362" max="5547" width="9.140625" style="1"/>
    <col min="5548" max="5549" width="0" style="1" hidden="1" customWidth="1"/>
    <col min="5550" max="5550" width="13.7109375" style="1" customWidth="1"/>
    <col min="5551" max="5551" width="52.85546875" style="1" customWidth="1"/>
    <col min="5552" max="5591" width="0" style="1" hidden="1" customWidth="1"/>
    <col min="5592" max="5593" width="14.85546875" style="1" customWidth="1"/>
    <col min="5594" max="5595" width="0" style="1" hidden="1" customWidth="1"/>
    <col min="5596" max="5596" width="14.85546875" style="1" customWidth="1"/>
    <col min="5597" max="5598" width="0" style="1" hidden="1" customWidth="1"/>
    <col min="5599" max="5599" width="14.85546875" style="1" customWidth="1"/>
    <col min="5600" max="5601" width="0" style="1" hidden="1" customWidth="1"/>
    <col min="5602" max="5602" width="14.85546875" style="1" customWidth="1"/>
    <col min="5603" max="5604" width="0" style="1" hidden="1" customWidth="1"/>
    <col min="5605" max="5605" width="14.85546875" style="1" customWidth="1"/>
    <col min="5606" max="5607" width="0" style="1" hidden="1" customWidth="1"/>
    <col min="5608" max="5609" width="14.85546875" style="1" customWidth="1"/>
    <col min="5610" max="5610" width="44.42578125" style="1" customWidth="1"/>
    <col min="5611" max="5615" width="14.85546875" style="1" customWidth="1"/>
    <col min="5616" max="5616" width="63.85546875" style="1" customWidth="1"/>
    <col min="5617" max="5617" width="13.28515625" style="1" customWidth="1"/>
    <col min="5618" max="5803" width="9.140625" style="1"/>
    <col min="5804" max="5805" width="0" style="1" hidden="1" customWidth="1"/>
    <col min="5806" max="5806" width="13.7109375" style="1" customWidth="1"/>
    <col min="5807" max="5807" width="52.85546875" style="1" customWidth="1"/>
    <col min="5808" max="5847" width="0" style="1" hidden="1" customWidth="1"/>
    <col min="5848" max="5849" width="14.85546875" style="1" customWidth="1"/>
    <col min="5850" max="5851" width="0" style="1" hidden="1" customWidth="1"/>
    <col min="5852" max="5852" width="14.85546875" style="1" customWidth="1"/>
    <col min="5853" max="5854" width="0" style="1" hidden="1" customWidth="1"/>
    <col min="5855" max="5855" width="14.85546875" style="1" customWidth="1"/>
    <col min="5856" max="5857" width="0" style="1" hidden="1" customWidth="1"/>
    <col min="5858" max="5858" width="14.85546875" style="1" customWidth="1"/>
    <col min="5859" max="5860" width="0" style="1" hidden="1" customWidth="1"/>
    <col min="5861" max="5861" width="14.85546875" style="1" customWidth="1"/>
    <col min="5862" max="5863" width="0" style="1" hidden="1" customWidth="1"/>
    <col min="5864" max="5865" width="14.85546875" style="1" customWidth="1"/>
    <col min="5866" max="5866" width="44.42578125" style="1" customWidth="1"/>
    <col min="5867" max="5871" width="14.85546875" style="1" customWidth="1"/>
    <col min="5872" max="5872" width="63.85546875" style="1" customWidth="1"/>
    <col min="5873" max="5873" width="13.28515625" style="1" customWidth="1"/>
    <col min="5874" max="6059" width="9.140625" style="1"/>
    <col min="6060" max="6061" width="0" style="1" hidden="1" customWidth="1"/>
    <col min="6062" max="6062" width="13.7109375" style="1" customWidth="1"/>
    <col min="6063" max="6063" width="52.85546875" style="1" customWidth="1"/>
    <col min="6064" max="6103" width="0" style="1" hidden="1" customWidth="1"/>
    <col min="6104" max="6105" width="14.85546875" style="1" customWidth="1"/>
    <col min="6106" max="6107" width="0" style="1" hidden="1" customWidth="1"/>
    <col min="6108" max="6108" width="14.85546875" style="1" customWidth="1"/>
    <col min="6109" max="6110" width="0" style="1" hidden="1" customWidth="1"/>
    <col min="6111" max="6111" width="14.85546875" style="1" customWidth="1"/>
    <col min="6112" max="6113" width="0" style="1" hidden="1" customWidth="1"/>
    <col min="6114" max="6114" width="14.85546875" style="1" customWidth="1"/>
    <col min="6115" max="6116" width="0" style="1" hidden="1" customWidth="1"/>
    <col min="6117" max="6117" width="14.85546875" style="1" customWidth="1"/>
    <col min="6118" max="6119" width="0" style="1" hidden="1" customWidth="1"/>
    <col min="6120" max="6121" width="14.85546875" style="1" customWidth="1"/>
    <col min="6122" max="6122" width="44.42578125" style="1" customWidth="1"/>
    <col min="6123" max="6127" width="14.85546875" style="1" customWidth="1"/>
    <col min="6128" max="6128" width="63.85546875" style="1" customWidth="1"/>
    <col min="6129" max="6129" width="13.28515625" style="1" customWidth="1"/>
    <col min="6130" max="6315" width="9.140625" style="1"/>
    <col min="6316" max="6317" width="0" style="1" hidden="1" customWidth="1"/>
    <col min="6318" max="6318" width="13.7109375" style="1" customWidth="1"/>
    <col min="6319" max="6319" width="52.85546875" style="1" customWidth="1"/>
    <col min="6320" max="6359" width="0" style="1" hidden="1" customWidth="1"/>
    <col min="6360" max="6361" width="14.85546875" style="1" customWidth="1"/>
    <col min="6362" max="6363" width="0" style="1" hidden="1" customWidth="1"/>
    <col min="6364" max="6364" width="14.85546875" style="1" customWidth="1"/>
    <col min="6365" max="6366" width="0" style="1" hidden="1" customWidth="1"/>
    <col min="6367" max="6367" width="14.85546875" style="1" customWidth="1"/>
    <col min="6368" max="6369" width="0" style="1" hidden="1" customWidth="1"/>
    <col min="6370" max="6370" width="14.85546875" style="1" customWidth="1"/>
    <col min="6371" max="6372" width="0" style="1" hidden="1" customWidth="1"/>
    <col min="6373" max="6373" width="14.85546875" style="1" customWidth="1"/>
    <col min="6374" max="6375" width="0" style="1" hidden="1" customWidth="1"/>
    <col min="6376" max="6377" width="14.85546875" style="1" customWidth="1"/>
    <col min="6378" max="6378" width="44.42578125" style="1" customWidth="1"/>
    <col min="6379" max="6383" width="14.85546875" style="1" customWidth="1"/>
    <col min="6384" max="6384" width="63.85546875" style="1" customWidth="1"/>
    <col min="6385" max="6385" width="13.28515625" style="1" customWidth="1"/>
    <col min="6386" max="6571" width="9.140625" style="1"/>
    <col min="6572" max="6573" width="0" style="1" hidden="1" customWidth="1"/>
    <col min="6574" max="6574" width="13.7109375" style="1" customWidth="1"/>
    <col min="6575" max="6575" width="52.85546875" style="1" customWidth="1"/>
    <col min="6576" max="6615" width="0" style="1" hidden="1" customWidth="1"/>
    <col min="6616" max="6617" width="14.85546875" style="1" customWidth="1"/>
    <col min="6618" max="6619" width="0" style="1" hidden="1" customWidth="1"/>
    <col min="6620" max="6620" width="14.85546875" style="1" customWidth="1"/>
    <col min="6621" max="6622" width="0" style="1" hidden="1" customWidth="1"/>
    <col min="6623" max="6623" width="14.85546875" style="1" customWidth="1"/>
    <col min="6624" max="6625" width="0" style="1" hidden="1" customWidth="1"/>
    <col min="6626" max="6626" width="14.85546875" style="1" customWidth="1"/>
    <col min="6627" max="6628" width="0" style="1" hidden="1" customWidth="1"/>
    <col min="6629" max="6629" width="14.85546875" style="1" customWidth="1"/>
    <col min="6630" max="6631" width="0" style="1" hidden="1" customWidth="1"/>
    <col min="6632" max="6633" width="14.85546875" style="1" customWidth="1"/>
    <col min="6634" max="6634" width="44.42578125" style="1" customWidth="1"/>
    <col min="6635" max="6639" width="14.85546875" style="1" customWidth="1"/>
    <col min="6640" max="6640" width="63.85546875" style="1" customWidth="1"/>
    <col min="6641" max="6641" width="13.28515625" style="1" customWidth="1"/>
    <col min="6642" max="6827" width="9.140625" style="1"/>
    <col min="6828" max="6829" width="0" style="1" hidden="1" customWidth="1"/>
    <col min="6830" max="6830" width="13.7109375" style="1" customWidth="1"/>
    <col min="6831" max="6831" width="52.85546875" style="1" customWidth="1"/>
    <col min="6832" max="6871" width="0" style="1" hidden="1" customWidth="1"/>
    <col min="6872" max="6873" width="14.85546875" style="1" customWidth="1"/>
    <col min="6874" max="6875" width="0" style="1" hidden="1" customWidth="1"/>
    <col min="6876" max="6876" width="14.85546875" style="1" customWidth="1"/>
    <col min="6877" max="6878" width="0" style="1" hidden="1" customWidth="1"/>
    <col min="6879" max="6879" width="14.85546875" style="1" customWidth="1"/>
    <col min="6880" max="6881" width="0" style="1" hidden="1" customWidth="1"/>
    <col min="6882" max="6882" width="14.85546875" style="1" customWidth="1"/>
    <col min="6883" max="6884" width="0" style="1" hidden="1" customWidth="1"/>
    <col min="6885" max="6885" width="14.85546875" style="1" customWidth="1"/>
    <col min="6886" max="6887" width="0" style="1" hidden="1" customWidth="1"/>
    <col min="6888" max="6889" width="14.85546875" style="1" customWidth="1"/>
    <col min="6890" max="6890" width="44.42578125" style="1" customWidth="1"/>
    <col min="6891" max="6895" width="14.85546875" style="1" customWidth="1"/>
    <col min="6896" max="6896" width="63.85546875" style="1" customWidth="1"/>
    <col min="6897" max="6897" width="13.28515625" style="1" customWidth="1"/>
    <col min="6898" max="7083" width="9.140625" style="1"/>
    <col min="7084" max="7085" width="0" style="1" hidden="1" customWidth="1"/>
    <col min="7086" max="7086" width="13.7109375" style="1" customWidth="1"/>
    <col min="7087" max="7087" width="52.85546875" style="1" customWidth="1"/>
    <col min="7088" max="7127" width="0" style="1" hidden="1" customWidth="1"/>
    <col min="7128" max="7129" width="14.85546875" style="1" customWidth="1"/>
    <col min="7130" max="7131" width="0" style="1" hidden="1" customWidth="1"/>
    <col min="7132" max="7132" width="14.85546875" style="1" customWidth="1"/>
    <col min="7133" max="7134" width="0" style="1" hidden="1" customWidth="1"/>
    <col min="7135" max="7135" width="14.85546875" style="1" customWidth="1"/>
    <col min="7136" max="7137" width="0" style="1" hidden="1" customWidth="1"/>
    <col min="7138" max="7138" width="14.85546875" style="1" customWidth="1"/>
    <col min="7139" max="7140" width="0" style="1" hidden="1" customWidth="1"/>
    <col min="7141" max="7141" width="14.85546875" style="1" customWidth="1"/>
    <col min="7142" max="7143" width="0" style="1" hidden="1" customWidth="1"/>
    <col min="7144" max="7145" width="14.85546875" style="1" customWidth="1"/>
    <col min="7146" max="7146" width="44.42578125" style="1" customWidth="1"/>
    <col min="7147" max="7151" width="14.85546875" style="1" customWidth="1"/>
    <col min="7152" max="7152" width="63.85546875" style="1" customWidth="1"/>
    <col min="7153" max="7153" width="13.28515625" style="1" customWidth="1"/>
    <col min="7154" max="7339" width="9.140625" style="1"/>
    <col min="7340" max="7341" width="0" style="1" hidden="1" customWidth="1"/>
    <col min="7342" max="7342" width="13.7109375" style="1" customWidth="1"/>
    <col min="7343" max="7343" width="52.85546875" style="1" customWidth="1"/>
    <col min="7344" max="7383" width="0" style="1" hidden="1" customWidth="1"/>
    <col min="7384" max="7385" width="14.85546875" style="1" customWidth="1"/>
    <col min="7386" max="7387" width="0" style="1" hidden="1" customWidth="1"/>
    <col min="7388" max="7388" width="14.85546875" style="1" customWidth="1"/>
    <col min="7389" max="7390" width="0" style="1" hidden="1" customWidth="1"/>
    <col min="7391" max="7391" width="14.85546875" style="1" customWidth="1"/>
    <col min="7392" max="7393" width="0" style="1" hidden="1" customWidth="1"/>
    <col min="7394" max="7394" width="14.85546875" style="1" customWidth="1"/>
    <col min="7395" max="7396" width="0" style="1" hidden="1" customWidth="1"/>
    <col min="7397" max="7397" width="14.85546875" style="1" customWidth="1"/>
    <col min="7398" max="7399" width="0" style="1" hidden="1" customWidth="1"/>
    <col min="7400" max="7401" width="14.85546875" style="1" customWidth="1"/>
    <col min="7402" max="7402" width="44.42578125" style="1" customWidth="1"/>
    <col min="7403" max="7407" width="14.85546875" style="1" customWidth="1"/>
    <col min="7408" max="7408" width="63.85546875" style="1" customWidth="1"/>
    <col min="7409" max="7409" width="13.28515625" style="1" customWidth="1"/>
    <col min="7410" max="7595" width="9.140625" style="1"/>
    <col min="7596" max="7597" width="0" style="1" hidden="1" customWidth="1"/>
    <col min="7598" max="7598" width="13.7109375" style="1" customWidth="1"/>
    <col min="7599" max="7599" width="52.85546875" style="1" customWidth="1"/>
    <col min="7600" max="7639" width="0" style="1" hidden="1" customWidth="1"/>
    <col min="7640" max="7641" width="14.85546875" style="1" customWidth="1"/>
    <col min="7642" max="7643" width="0" style="1" hidden="1" customWidth="1"/>
    <col min="7644" max="7644" width="14.85546875" style="1" customWidth="1"/>
    <col min="7645" max="7646" width="0" style="1" hidden="1" customWidth="1"/>
    <col min="7647" max="7647" width="14.85546875" style="1" customWidth="1"/>
    <col min="7648" max="7649" width="0" style="1" hidden="1" customWidth="1"/>
    <col min="7650" max="7650" width="14.85546875" style="1" customWidth="1"/>
    <col min="7651" max="7652" width="0" style="1" hidden="1" customWidth="1"/>
    <col min="7653" max="7653" width="14.85546875" style="1" customWidth="1"/>
    <col min="7654" max="7655" width="0" style="1" hidden="1" customWidth="1"/>
    <col min="7656" max="7657" width="14.85546875" style="1" customWidth="1"/>
    <col min="7658" max="7658" width="44.42578125" style="1" customWidth="1"/>
    <col min="7659" max="7663" width="14.85546875" style="1" customWidth="1"/>
    <col min="7664" max="7664" width="63.85546875" style="1" customWidth="1"/>
    <col min="7665" max="7665" width="13.28515625" style="1" customWidth="1"/>
    <col min="7666" max="7851" width="9.140625" style="1"/>
    <col min="7852" max="7853" width="0" style="1" hidden="1" customWidth="1"/>
    <col min="7854" max="7854" width="13.7109375" style="1" customWidth="1"/>
    <col min="7855" max="7855" width="52.85546875" style="1" customWidth="1"/>
    <col min="7856" max="7895" width="0" style="1" hidden="1" customWidth="1"/>
    <col min="7896" max="7897" width="14.85546875" style="1" customWidth="1"/>
    <col min="7898" max="7899" width="0" style="1" hidden="1" customWidth="1"/>
    <col min="7900" max="7900" width="14.85546875" style="1" customWidth="1"/>
    <col min="7901" max="7902" width="0" style="1" hidden="1" customWidth="1"/>
    <col min="7903" max="7903" width="14.85546875" style="1" customWidth="1"/>
    <col min="7904" max="7905" width="0" style="1" hidden="1" customWidth="1"/>
    <col min="7906" max="7906" width="14.85546875" style="1" customWidth="1"/>
    <col min="7907" max="7908" width="0" style="1" hidden="1" customWidth="1"/>
    <col min="7909" max="7909" width="14.85546875" style="1" customWidth="1"/>
    <col min="7910" max="7911" width="0" style="1" hidden="1" customWidth="1"/>
    <col min="7912" max="7913" width="14.85546875" style="1" customWidth="1"/>
    <col min="7914" max="7914" width="44.42578125" style="1" customWidth="1"/>
    <col min="7915" max="7919" width="14.85546875" style="1" customWidth="1"/>
    <col min="7920" max="7920" width="63.85546875" style="1" customWidth="1"/>
    <col min="7921" max="7921" width="13.28515625" style="1" customWidth="1"/>
    <col min="7922" max="8107" width="9.140625" style="1"/>
    <col min="8108" max="8109" width="0" style="1" hidden="1" customWidth="1"/>
    <col min="8110" max="8110" width="13.7109375" style="1" customWidth="1"/>
    <col min="8111" max="8111" width="52.85546875" style="1" customWidth="1"/>
    <col min="8112" max="8151" width="0" style="1" hidden="1" customWidth="1"/>
    <col min="8152" max="8153" width="14.85546875" style="1" customWidth="1"/>
    <col min="8154" max="8155" width="0" style="1" hidden="1" customWidth="1"/>
    <col min="8156" max="8156" width="14.85546875" style="1" customWidth="1"/>
    <col min="8157" max="8158" width="0" style="1" hidden="1" customWidth="1"/>
    <col min="8159" max="8159" width="14.85546875" style="1" customWidth="1"/>
    <col min="8160" max="8161" width="0" style="1" hidden="1" customWidth="1"/>
    <col min="8162" max="8162" width="14.85546875" style="1" customWidth="1"/>
    <col min="8163" max="8164" width="0" style="1" hidden="1" customWidth="1"/>
    <col min="8165" max="8165" width="14.85546875" style="1" customWidth="1"/>
    <col min="8166" max="8167" width="0" style="1" hidden="1" customWidth="1"/>
    <col min="8168" max="8169" width="14.85546875" style="1" customWidth="1"/>
    <col min="8170" max="8170" width="44.42578125" style="1" customWidth="1"/>
    <col min="8171" max="8175" width="14.85546875" style="1" customWidth="1"/>
    <col min="8176" max="8176" width="63.85546875" style="1" customWidth="1"/>
    <col min="8177" max="8177" width="13.28515625" style="1" customWidth="1"/>
    <col min="8178" max="8363" width="9.140625" style="1"/>
    <col min="8364" max="8365" width="0" style="1" hidden="1" customWidth="1"/>
    <col min="8366" max="8366" width="13.7109375" style="1" customWidth="1"/>
    <col min="8367" max="8367" width="52.85546875" style="1" customWidth="1"/>
    <col min="8368" max="8407" width="0" style="1" hidden="1" customWidth="1"/>
    <col min="8408" max="8409" width="14.85546875" style="1" customWidth="1"/>
    <col min="8410" max="8411" width="0" style="1" hidden="1" customWidth="1"/>
    <col min="8412" max="8412" width="14.85546875" style="1" customWidth="1"/>
    <col min="8413" max="8414" width="0" style="1" hidden="1" customWidth="1"/>
    <col min="8415" max="8415" width="14.85546875" style="1" customWidth="1"/>
    <col min="8416" max="8417" width="0" style="1" hidden="1" customWidth="1"/>
    <col min="8418" max="8418" width="14.85546875" style="1" customWidth="1"/>
    <col min="8419" max="8420" width="0" style="1" hidden="1" customWidth="1"/>
    <col min="8421" max="8421" width="14.85546875" style="1" customWidth="1"/>
    <col min="8422" max="8423" width="0" style="1" hidden="1" customWidth="1"/>
    <col min="8424" max="8425" width="14.85546875" style="1" customWidth="1"/>
    <col min="8426" max="8426" width="44.42578125" style="1" customWidth="1"/>
    <col min="8427" max="8431" width="14.85546875" style="1" customWidth="1"/>
    <col min="8432" max="8432" width="63.85546875" style="1" customWidth="1"/>
    <col min="8433" max="8433" width="13.28515625" style="1" customWidth="1"/>
    <col min="8434" max="8619" width="9.140625" style="1"/>
    <col min="8620" max="8621" width="0" style="1" hidden="1" customWidth="1"/>
    <col min="8622" max="8622" width="13.7109375" style="1" customWidth="1"/>
    <col min="8623" max="8623" width="52.85546875" style="1" customWidth="1"/>
    <col min="8624" max="8663" width="0" style="1" hidden="1" customWidth="1"/>
    <col min="8664" max="8665" width="14.85546875" style="1" customWidth="1"/>
    <col min="8666" max="8667" width="0" style="1" hidden="1" customWidth="1"/>
    <col min="8668" max="8668" width="14.85546875" style="1" customWidth="1"/>
    <col min="8669" max="8670" width="0" style="1" hidden="1" customWidth="1"/>
    <col min="8671" max="8671" width="14.85546875" style="1" customWidth="1"/>
    <col min="8672" max="8673" width="0" style="1" hidden="1" customWidth="1"/>
    <col min="8674" max="8674" width="14.85546875" style="1" customWidth="1"/>
    <col min="8675" max="8676" width="0" style="1" hidden="1" customWidth="1"/>
    <col min="8677" max="8677" width="14.85546875" style="1" customWidth="1"/>
    <col min="8678" max="8679" width="0" style="1" hidden="1" customWidth="1"/>
    <col min="8680" max="8681" width="14.85546875" style="1" customWidth="1"/>
    <col min="8682" max="8682" width="44.42578125" style="1" customWidth="1"/>
    <col min="8683" max="8687" width="14.85546875" style="1" customWidth="1"/>
    <col min="8688" max="8688" width="63.85546875" style="1" customWidth="1"/>
    <col min="8689" max="8689" width="13.28515625" style="1" customWidth="1"/>
    <col min="8690" max="8875" width="9.140625" style="1"/>
    <col min="8876" max="8877" width="0" style="1" hidden="1" customWidth="1"/>
    <col min="8878" max="8878" width="13.7109375" style="1" customWidth="1"/>
    <col min="8879" max="8879" width="52.85546875" style="1" customWidth="1"/>
    <col min="8880" max="8919" width="0" style="1" hidden="1" customWidth="1"/>
    <col min="8920" max="8921" width="14.85546875" style="1" customWidth="1"/>
    <col min="8922" max="8923" width="0" style="1" hidden="1" customWidth="1"/>
    <col min="8924" max="8924" width="14.85546875" style="1" customWidth="1"/>
    <col min="8925" max="8926" width="0" style="1" hidden="1" customWidth="1"/>
    <col min="8927" max="8927" width="14.85546875" style="1" customWidth="1"/>
    <col min="8928" max="8929" width="0" style="1" hidden="1" customWidth="1"/>
    <col min="8930" max="8930" width="14.85546875" style="1" customWidth="1"/>
    <col min="8931" max="8932" width="0" style="1" hidden="1" customWidth="1"/>
    <col min="8933" max="8933" width="14.85546875" style="1" customWidth="1"/>
    <col min="8934" max="8935" width="0" style="1" hidden="1" customWidth="1"/>
    <col min="8936" max="8937" width="14.85546875" style="1" customWidth="1"/>
    <col min="8938" max="8938" width="44.42578125" style="1" customWidth="1"/>
    <col min="8939" max="8943" width="14.85546875" style="1" customWidth="1"/>
    <col min="8944" max="8944" width="63.85546875" style="1" customWidth="1"/>
    <col min="8945" max="8945" width="13.28515625" style="1" customWidth="1"/>
    <col min="8946" max="9131" width="9.140625" style="1"/>
    <col min="9132" max="9133" width="0" style="1" hidden="1" customWidth="1"/>
    <col min="9134" max="9134" width="13.7109375" style="1" customWidth="1"/>
    <col min="9135" max="9135" width="52.85546875" style="1" customWidth="1"/>
    <col min="9136" max="9175" width="0" style="1" hidden="1" customWidth="1"/>
    <col min="9176" max="9177" width="14.85546875" style="1" customWidth="1"/>
    <col min="9178" max="9179" width="0" style="1" hidden="1" customWidth="1"/>
    <col min="9180" max="9180" width="14.85546875" style="1" customWidth="1"/>
    <col min="9181" max="9182" width="0" style="1" hidden="1" customWidth="1"/>
    <col min="9183" max="9183" width="14.85546875" style="1" customWidth="1"/>
    <col min="9184" max="9185" width="0" style="1" hidden="1" customWidth="1"/>
    <col min="9186" max="9186" width="14.85546875" style="1" customWidth="1"/>
    <col min="9187" max="9188" width="0" style="1" hidden="1" customWidth="1"/>
    <col min="9189" max="9189" width="14.85546875" style="1" customWidth="1"/>
    <col min="9190" max="9191" width="0" style="1" hidden="1" customWidth="1"/>
    <col min="9192" max="9193" width="14.85546875" style="1" customWidth="1"/>
    <col min="9194" max="9194" width="44.42578125" style="1" customWidth="1"/>
    <col min="9195" max="9199" width="14.85546875" style="1" customWidth="1"/>
    <col min="9200" max="9200" width="63.85546875" style="1" customWidth="1"/>
    <col min="9201" max="9201" width="13.28515625" style="1" customWidth="1"/>
    <col min="9202" max="9387" width="9.140625" style="1"/>
    <col min="9388" max="9389" width="0" style="1" hidden="1" customWidth="1"/>
    <col min="9390" max="9390" width="13.7109375" style="1" customWidth="1"/>
    <col min="9391" max="9391" width="52.85546875" style="1" customWidth="1"/>
    <col min="9392" max="9431" width="0" style="1" hidden="1" customWidth="1"/>
    <col min="9432" max="9433" width="14.85546875" style="1" customWidth="1"/>
    <col min="9434" max="9435" width="0" style="1" hidden="1" customWidth="1"/>
    <col min="9436" max="9436" width="14.85546875" style="1" customWidth="1"/>
    <col min="9437" max="9438" width="0" style="1" hidden="1" customWidth="1"/>
    <col min="9439" max="9439" width="14.85546875" style="1" customWidth="1"/>
    <col min="9440" max="9441" width="0" style="1" hidden="1" customWidth="1"/>
    <col min="9442" max="9442" width="14.85546875" style="1" customWidth="1"/>
    <col min="9443" max="9444" width="0" style="1" hidden="1" customWidth="1"/>
    <col min="9445" max="9445" width="14.85546875" style="1" customWidth="1"/>
    <col min="9446" max="9447" width="0" style="1" hidden="1" customWidth="1"/>
    <col min="9448" max="9449" width="14.85546875" style="1" customWidth="1"/>
    <col min="9450" max="9450" width="44.42578125" style="1" customWidth="1"/>
    <col min="9451" max="9455" width="14.85546875" style="1" customWidth="1"/>
    <col min="9456" max="9456" width="63.85546875" style="1" customWidth="1"/>
    <col min="9457" max="9457" width="13.28515625" style="1" customWidth="1"/>
    <col min="9458" max="9643" width="9.140625" style="1"/>
    <col min="9644" max="9645" width="0" style="1" hidden="1" customWidth="1"/>
    <col min="9646" max="9646" width="13.7109375" style="1" customWidth="1"/>
    <col min="9647" max="9647" width="52.85546875" style="1" customWidth="1"/>
    <col min="9648" max="9687" width="0" style="1" hidden="1" customWidth="1"/>
    <col min="9688" max="9689" width="14.85546875" style="1" customWidth="1"/>
    <col min="9690" max="9691" width="0" style="1" hidden="1" customWidth="1"/>
    <col min="9692" max="9692" width="14.85546875" style="1" customWidth="1"/>
    <col min="9693" max="9694" width="0" style="1" hidden="1" customWidth="1"/>
    <col min="9695" max="9695" width="14.85546875" style="1" customWidth="1"/>
    <col min="9696" max="9697" width="0" style="1" hidden="1" customWidth="1"/>
    <col min="9698" max="9698" width="14.85546875" style="1" customWidth="1"/>
    <col min="9699" max="9700" width="0" style="1" hidden="1" customWidth="1"/>
    <col min="9701" max="9701" width="14.85546875" style="1" customWidth="1"/>
    <col min="9702" max="9703" width="0" style="1" hidden="1" customWidth="1"/>
    <col min="9704" max="9705" width="14.85546875" style="1" customWidth="1"/>
    <col min="9706" max="9706" width="44.42578125" style="1" customWidth="1"/>
    <col min="9707" max="9711" width="14.85546875" style="1" customWidth="1"/>
    <col min="9712" max="9712" width="63.85546875" style="1" customWidth="1"/>
    <col min="9713" max="9713" width="13.28515625" style="1" customWidth="1"/>
    <col min="9714" max="9899" width="9.140625" style="1"/>
    <col min="9900" max="9901" width="0" style="1" hidden="1" customWidth="1"/>
    <col min="9902" max="9902" width="13.7109375" style="1" customWidth="1"/>
    <col min="9903" max="9903" width="52.85546875" style="1" customWidth="1"/>
    <col min="9904" max="9943" width="0" style="1" hidden="1" customWidth="1"/>
    <col min="9944" max="9945" width="14.85546875" style="1" customWidth="1"/>
    <col min="9946" max="9947" width="0" style="1" hidden="1" customWidth="1"/>
    <col min="9948" max="9948" width="14.85546875" style="1" customWidth="1"/>
    <col min="9949" max="9950" width="0" style="1" hidden="1" customWidth="1"/>
    <col min="9951" max="9951" width="14.85546875" style="1" customWidth="1"/>
    <col min="9952" max="9953" width="0" style="1" hidden="1" customWidth="1"/>
    <col min="9954" max="9954" width="14.85546875" style="1" customWidth="1"/>
    <col min="9955" max="9956" width="0" style="1" hidden="1" customWidth="1"/>
    <col min="9957" max="9957" width="14.85546875" style="1" customWidth="1"/>
    <col min="9958" max="9959" width="0" style="1" hidden="1" customWidth="1"/>
    <col min="9960" max="9961" width="14.85546875" style="1" customWidth="1"/>
    <col min="9962" max="9962" width="44.42578125" style="1" customWidth="1"/>
    <col min="9963" max="9967" width="14.85546875" style="1" customWidth="1"/>
    <col min="9968" max="9968" width="63.85546875" style="1" customWidth="1"/>
    <col min="9969" max="9969" width="13.28515625" style="1" customWidth="1"/>
    <col min="9970" max="10155" width="9.140625" style="1"/>
    <col min="10156" max="10157" width="0" style="1" hidden="1" customWidth="1"/>
    <col min="10158" max="10158" width="13.7109375" style="1" customWidth="1"/>
    <col min="10159" max="10159" width="52.85546875" style="1" customWidth="1"/>
    <col min="10160" max="10199" width="0" style="1" hidden="1" customWidth="1"/>
    <col min="10200" max="10201" width="14.85546875" style="1" customWidth="1"/>
    <col min="10202" max="10203" width="0" style="1" hidden="1" customWidth="1"/>
    <col min="10204" max="10204" width="14.85546875" style="1" customWidth="1"/>
    <col min="10205" max="10206" width="0" style="1" hidden="1" customWidth="1"/>
    <col min="10207" max="10207" width="14.85546875" style="1" customWidth="1"/>
    <col min="10208" max="10209" width="0" style="1" hidden="1" customWidth="1"/>
    <col min="10210" max="10210" width="14.85546875" style="1" customWidth="1"/>
    <col min="10211" max="10212" width="0" style="1" hidden="1" customWidth="1"/>
    <col min="10213" max="10213" width="14.85546875" style="1" customWidth="1"/>
    <col min="10214" max="10215" width="0" style="1" hidden="1" customWidth="1"/>
    <col min="10216" max="10217" width="14.85546875" style="1" customWidth="1"/>
    <col min="10218" max="10218" width="44.42578125" style="1" customWidth="1"/>
    <col min="10219" max="10223" width="14.85546875" style="1" customWidth="1"/>
    <col min="10224" max="10224" width="63.85546875" style="1" customWidth="1"/>
    <col min="10225" max="10225" width="13.28515625" style="1" customWidth="1"/>
    <col min="10226" max="10411" width="9.140625" style="1"/>
    <col min="10412" max="10413" width="0" style="1" hidden="1" customWidth="1"/>
    <col min="10414" max="10414" width="13.7109375" style="1" customWidth="1"/>
    <col min="10415" max="10415" width="52.85546875" style="1" customWidth="1"/>
    <col min="10416" max="10455" width="0" style="1" hidden="1" customWidth="1"/>
    <col min="10456" max="10457" width="14.85546875" style="1" customWidth="1"/>
    <col min="10458" max="10459" width="0" style="1" hidden="1" customWidth="1"/>
    <col min="10460" max="10460" width="14.85546875" style="1" customWidth="1"/>
    <col min="10461" max="10462" width="0" style="1" hidden="1" customWidth="1"/>
    <col min="10463" max="10463" width="14.85546875" style="1" customWidth="1"/>
    <col min="10464" max="10465" width="0" style="1" hidden="1" customWidth="1"/>
    <col min="10466" max="10466" width="14.85546875" style="1" customWidth="1"/>
    <col min="10467" max="10468" width="0" style="1" hidden="1" customWidth="1"/>
    <col min="10469" max="10469" width="14.85546875" style="1" customWidth="1"/>
    <col min="10470" max="10471" width="0" style="1" hidden="1" customWidth="1"/>
    <col min="10472" max="10473" width="14.85546875" style="1" customWidth="1"/>
    <col min="10474" max="10474" width="44.42578125" style="1" customWidth="1"/>
    <col min="10475" max="10479" width="14.85546875" style="1" customWidth="1"/>
    <col min="10480" max="10480" width="63.85546875" style="1" customWidth="1"/>
    <col min="10481" max="10481" width="13.28515625" style="1" customWidth="1"/>
    <col min="10482" max="10667" width="9.140625" style="1"/>
    <col min="10668" max="10669" width="0" style="1" hidden="1" customWidth="1"/>
    <col min="10670" max="10670" width="13.7109375" style="1" customWidth="1"/>
    <col min="10671" max="10671" width="52.85546875" style="1" customWidth="1"/>
    <col min="10672" max="10711" width="0" style="1" hidden="1" customWidth="1"/>
    <col min="10712" max="10713" width="14.85546875" style="1" customWidth="1"/>
    <col min="10714" max="10715" width="0" style="1" hidden="1" customWidth="1"/>
    <col min="10716" max="10716" width="14.85546875" style="1" customWidth="1"/>
    <col min="10717" max="10718" width="0" style="1" hidden="1" customWidth="1"/>
    <col min="10719" max="10719" width="14.85546875" style="1" customWidth="1"/>
    <col min="10720" max="10721" width="0" style="1" hidden="1" customWidth="1"/>
    <col min="10722" max="10722" width="14.85546875" style="1" customWidth="1"/>
    <col min="10723" max="10724" width="0" style="1" hidden="1" customWidth="1"/>
    <col min="10725" max="10725" width="14.85546875" style="1" customWidth="1"/>
    <col min="10726" max="10727" width="0" style="1" hidden="1" customWidth="1"/>
    <col min="10728" max="10729" width="14.85546875" style="1" customWidth="1"/>
    <col min="10730" max="10730" width="44.42578125" style="1" customWidth="1"/>
    <col min="10731" max="10735" width="14.85546875" style="1" customWidth="1"/>
    <col min="10736" max="10736" width="63.85546875" style="1" customWidth="1"/>
    <col min="10737" max="10737" width="13.28515625" style="1" customWidth="1"/>
    <col min="10738" max="10923" width="9.140625" style="1"/>
    <col min="10924" max="10925" width="0" style="1" hidden="1" customWidth="1"/>
    <col min="10926" max="10926" width="13.7109375" style="1" customWidth="1"/>
    <col min="10927" max="10927" width="52.85546875" style="1" customWidth="1"/>
    <col min="10928" max="10967" width="0" style="1" hidden="1" customWidth="1"/>
    <col min="10968" max="10969" width="14.85546875" style="1" customWidth="1"/>
    <col min="10970" max="10971" width="0" style="1" hidden="1" customWidth="1"/>
    <col min="10972" max="10972" width="14.85546875" style="1" customWidth="1"/>
    <col min="10973" max="10974" width="0" style="1" hidden="1" customWidth="1"/>
    <col min="10975" max="10975" width="14.85546875" style="1" customWidth="1"/>
    <col min="10976" max="10977" width="0" style="1" hidden="1" customWidth="1"/>
    <col min="10978" max="10978" width="14.85546875" style="1" customWidth="1"/>
    <col min="10979" max="10980" width="0" style="1" hidden="1" customWidth="1"/>
    <col min="10981" max="10981" width="14.85546875" style="1" customWidth="1"/>
    <col min="10982" max="10983" width="0" style="1" hidden="1" customWidth="1"/>
    <col min="10984" max="10985" width="14.85546875" style="1" customWidth="1"/>
    <col min="10986" max="10986" width="44.42578125" style="1" customWidth="1"/>
    <col min="10987" max="10991" width="14.85546875" style="1" customWidth="1"/>
    <col min="10992" max="10992" width="63.85546875" style="1" customWidth="1"/>
    <col min="10993" max="10993" width="13.28515625" style="1" customWidth="1"/>
    <col min="10994" max="11179" width="9.140625" style="1"/>
    <col min="11180" max="11181" width="0" style="1" hidden="1" customWidth="1"/>
    <col min="11182" max="11182" width="13.7109375" style="1" customWidth="1"/>
    <col min="11183" max="11183" width="52.85546875" style="1" customWidth="1"/>
    <col min="11184" max="11223" width="0" style="1" hidden="1" customWidth="1"/>
    <col min="11224" max="11225" width="14.85546875" style="1" customWidth="1"/>
    <col min="11226" max="11227" width="0" style="1" hidden="1" customWidth="1"/>
    <col min="11228" max="11228" width="14.85546875" style="1" customWidth="1"/>
    <col min="11229" max="11230" width="0" style="1" hidden="1" customWidth="1"/>
    <col min="11231" max="11231" width="14.85546875" style="1" customWidth="1"/>
    <col min="11232" max="11233" width="0" style="1" hidden="1" customWidth="1"/>
    <col min="11234" max="11234" width="14.85546875" style="1" customWidth="1"/>
    <col min="11235" max="11236" width="0" style="1" hidden="1" customWidth="1"/>
    <col min="11237" max="11237" width="14.85546875" style="1" customWidth="1"/>
    <col min="11238" max="11239" width="0" style="1" hidden="1" customWidth="1"/>
    <col min="11240" max="11241" width="14.85546875" style="1" customWidth="1"/>
    <col min="11242" max="11242" width="44.42578125" style="1" customWidth="1"/>
    <col min="11243" max="11247" width="14.85546875" style="1" customWidth="1"/>
    <col min="11248" max="11248" width="63.85546875" style="1" customWidth="1"/>
    <col min="11249" max="11249" width="13.28515625" style="1" customWidth="1"/>
    <col min="11250" max="11435" width="9.140625" style="1"/>
    <col min="11436" max="11437" width="0" style="1" hidden="1" customWidth="1"/>
    <col min="11438" max="11438" width="13.7109375" style="1" customWidth="1"/>
    <col min="11439" max="11439" width="52.85546875" style="1" customWidth="1"/>
    <col min="11440" max="11479" width="0" style="1" hidden="1" customWidth="1"/>
    <col min="11480" max="11481" width="14.85546875" style="1" customWidth="1"/>
    <col min="11482" max="11483" width="0" style="1" hidden="1" customWidth="1"/>
    <col min="11484" max="11484" width="14.85546875" style="1" customWidth="1"/>
    <col min="11485" max="11486" width="0" style="1" hidden="1" customWidth="1"/>
    <col min="11487" max="11487" width="14.85546875" style="1" customWidth="1"/>
    <col min="11488" max="11489" width="0" style="1" hidden="1" customWidth="1"/>
    <col min="11490" max="11490" width="14.85546875" style="1" customWidth="1"/>
    <col min="11491" max="11492" width="0" style="1" hidden="1" customWidth="1"/>
    <col min="11493" max="11493" width="14.85546875" style="1" customWidth="1"/>
    <col min="11494" max="11495" width="0" style="1" hidden="1" customWidth="1"/>
    <col min="11496" max="11497" width="14.85546875" style="1" customWidth="1"/>
    <col min="11498" max="11498" width="44.42578125" style="1" customWidth="1"/>
    <col min="11499" max="11503" width="14.85546875" style="1" customWidth="1"/>
    <col min="11504" max="11504" width="63.85546875" style="1" customWidth="1"/>
    <col min="11505" max="11505" width="13.28515625" style="1" customWidth="1"/>
    <col min="11506" max="11691" width="9.140625" style="1"/>
    <col min="11692" max="11693" width="0" style="1" hidden="1" customWidth="1"/>
    <col min="11694" max="11694" width="13.7109375" style="1" customWidth="1"/>
    <col min="11695" max="11695" width="52.85546875" style="1" customWidth="1"/>
    <col min="11696" max="11735" width="0" style="1" hidden="1" customWidth="1"/>
    <col min="11736" max="11737" width="14.85546875" style="1" customWidth="1"/>
    <col min="11738" max="11739" width="0" style="1" hidden="1" customWidth="1"/>
    <col min="11740" max="11740" width="14.85546875" style="1" customWidth="1"/>
    <col min="11741" max="11742" width="0" style="1" hidden="1" customWidth="1"/>
    <col min="11743" max="11743" width="14.85546875" style="1" customWidth="1"/>
    <col min="11744" max="11745" width="0" style="1" hidden="1" customWidth="1"/>
    <col min="11746" max="11746" width="14.85546875" style="1" customWidth="1"/>
    <col min="11747" max="11748" width="0" style="1" hidden="1" customWidth="1"/>
    <col min="11749" max="11749" width="14.85546875" style="1" customWidth="1"/>
    <col min="11750" max="11751" width="0" style="1" hidden="1" customWidth="1"/>
    <col min="11752" max="11753" width="14.85546875" style="1" customWidth="1"/>
    <col min="11754" max="11754" width="44.42578125" style="1" customWidth="1"/>
    <col min="11755" max="11759" width="14.85546875" style="1" customWidth="1"/>
    <col min="11760" max="11760" width="63.85546875" style="1" customWidth="1"/>
    <col min="11761" max="11761" width="13.28515625" style="1" customWidth="1"/>
    <col min="11762" max="11947" width="9.140625" style="1"/>
    <col min="11948" max="11949" width="0" style="1" hidden="1" customWidth="1"/>
    <col min="11950" max="11950" width="13.7109375" style="1" customWidth="1"/>
    <col min="11951" max="11951" width="52.85546875" style="1" customWidth="1"/>
    <col min="11952" max="11991" width="0" style="1" hidden="1" customWidth="1"/>
    <col min="11992" max="11993" width="14.85546875" style="1" customWidth="1"/>
    <col min="11994" max="11995" width="0" style="1" hidden="1" customWidth="1"/>
    <col min="11996" max="11996" width="14.85546875" style="1" customWidth="1"/>
    <col min="11997" max="11998" width="0" style="1" hidden="1" customWidth="1"/>
    <col min="11999" max="11999" width="14.85546875" style="1" customWidth="1"/>
    <col min="12000" max="12001" width="0" style="1" hidden="1" customWidth="1"/>
    <col min="12002" max="12002" width="14.85546875" style="1" customWidth="1"/>
    <col min="12003" max="12004" width="0" style="1" hidden="1" customWidth="1"/>
    <col min="12005" max="12005" width="14.85546875" style="1" customWidth="1"/>
    <col min="12006" max="12007" width="0" style="1" hidden="1" customWidth="1"/>
    <col min="12008" max="12009" width="14.85546875" style="1" customWidth="1"/>
    <col min="12010" max="12010" width="44.42578125" style="1" customWidth="1"/>
    <col min="12011" max="12015" width="14.85546875" style="1" customWidth="1"/>
    <col min="12016" max="12016" width="63.85546875" style="1" customWidth="1"/>
    <col min="12017" max="12017" width="13.28515625" style="1" customWidth="1"/>
    <col min="12018" max="12203" width="9.140625" style="1"/>
    <col min="12204" max="12205" width="0" style="1" hidden="1" customWidth="1"/>
    <col min="12206" max="12206" width="13.7109375" style="1" customWidth="1"/>
    <col min="12207" max="12207" width="52.85546875" style="1" customWidth="1"/>
    <col min="12208" max="12247" width="0" style="1" hidden="1" customWidth="1"/>
    <col min="12248" max="12249" width="14.85546875" style="1" customWidth="1"/>
    <col min="12250" max="12251" width="0" style="1" hidden="1" customWidth="1"/>
    <col min="12252" max="12252" width="14.85546875" style="1" customWidth="1"/>
    <col min="12253" max="12254" width="0" style="1" hidden="1" customWidth="1"/>
    <col min="12255" max="12255" width="14.85546875" style="1" customWidth="1"/>
    <col min="12256" max="12257" width="0" style="1" hidden="1" customWidth="1"/>
    <col min="12258" max="12258" width="14.85546875" style="1" customWidth="1"/>
    <col min="12259" max="12260" width="0" style="1" hidden="1" customWidth="1"/>
    <col min="12261" max="12261" width="14.85546875" style="1" customWidth="1"/>
    <col min="12262" max="12263" width="0" style="1" hidden="1" customWidth="1"/>
    <col min="12264" max="12265" width="14.85546875" style="1" customWidth="1"/>
    <col min="12266" max="12266" width="44.42578125" style="1" customWidth="1"/>
    <col min="12267" max="12271" width="14.85546875" style="1" customWidth="1"/>
    <col min="12272" max="12272" width="63.85546875" style="1" customWidth="1"/>
    <col min="12273" max="12273" width="13.28515625" style="1" customWidth="1"/>
    <col min="12274" max="12459" width="9.140625" style="1"/>
    <col min="12460" max="12461" width="0" style="1" hidden="1" customWidth="1"/>
    <col min="12462" max="12462" width="13.7109375" style="1" customWidth="1"/>
    <col min="12463" max="12463" width="52.85546875" style="1" customWidth="1"/>
    <col min="12464" max="12503" width="0" style="1" hidden="1" customWidth="1"/>
    <col min="12504" max="12505" width="14.85546875" style="1" customWidth="1"/>
    <col min="12506" max="12507" width="0" style="1" hidden="1" customWidth="1"/>
    <col min="12508" max="12508" width="14.85546875" style="1" customWidth="1"/>
    <col min="12509" max="12510" width="0" style="1" hidden="1" customWidth="1"/>
    <col min="12511" max="12511" width="14.85546875" style="1" customWidth="1"/>
    <col min="12512" max="12513" width="0" style="1" hidden="1" customWidth="1"/>
    <col min="12514" max="12514" width="14.85546875" style="1" customWidth="1"/>
    <col min="12515" max="12516" width="0" style="1" hidden="1" customWidth="1"/>
    <col min="12517" max="12517" width="14.85546875" style="1" customWidth="1"/>
    <col min="12518" max="12519" width="0" style="1" hidden="1" customWidth="1"/>
    <col min="12520" max="12521" width="14.85546875" style="1" customWidth="1"/>
    <col min="12522" max="12522" width="44.42578125" style="1" customWidth="1"/>
    <col min="12523" max="12527" width="14.85546875" style="1" customWidth="1"/>
    <col min="12528" max="12528" width="63.85546875" style="1" customWidth="1"/>
    <col min="12529" max="12529" width="13.28515625" style="1" customWidth="1"/>
    <col min="12530" max="12715" width="9.140625" style="1"/>
    <col min="12716" max="12717" width="0" style="1" hidden="1" customWidth="1"/>
    <col min="12718" max="12718" width="13.7109375" style="1" customWidth="1"/>
    <col min="12719" max="12719" width="52.85546875" style="1" customWidth="1"/>
    <col min="12720" max="12759" width="0" style="1" hidden="1" customWidth="1"/>
    <col min="12760" max="12761" width="14.85546875" style="1" customWidth="1"/>
    <col min="12762" max="12763" width="0" style="1" hidden="1" customWidth="1"/>
    <col min="12764" max="12764" width="14.85546875" style="1" customWidth="1"/>
    <col min="12765" max="12766" width="0" style="1" hidden="1" customWidth="1"/>
    <col min="12767" max="12767" width="14.85546875" style="1" customWidth="1"/>
    <col min="12768" max="12769" width="0" style="1" hidden="1" customWidth="1"/>
    <col min="12770" max="12770" width="14.85546875" style="1" customWidth="1"/>
    <col min="12771" max="12772" width="0" style="1" hidden="1" customWidth="1"/>
    <col min="12773" max="12773" width="14.85546875" style="1" customWidth="1"/>
    <col min="12774" max="12775" width="0" style="1" hidden="1" customWidth="1"/>
    <col min="12776" max="12777" width="14.85546875" style="1" customWidth="1"/>
    <col min="12778" max="12778" width="44.42578125" style="1" customWidth="1"/>
    <col min="12779" max="12783" width="14.85546875" style="1" customWidth="1"/>
    <col min="12784" max="12784" width="63.85546875" style="1" customWidth="1"/>
    <col min="12785" max="12785" width="13.28515625" style="1" customWidth="1"/>
    <col min="12786" max="12971" width="9.140625" style="1"/>
    <col min="12972" max="12973" width="0" style="1" hidden="1" customWidth="1"/>
    <col min="12974" max="12974" width="13.7109375" style="1" customWidth="1"/>
    <col min="12975" max="12975" width="52.85546875" style="1" customWidth="1"/>
    <col min="12976" max="13015" width="0" style="1" hidden="1" customWidth="1"/>
    <col min="13016" max="13017" width="14.85546875" style="1" customWidth="1"/>
    <col min="13018" max="13019" width="0" style="1" hidden="1" customWidth="1"/>
    <col min="13020" max="13020" width="14.85546875" style="1" customWidth="1"/>
    <col min="13021" max="13022" width="0" style="1" hidden="1" customWidth="1"/>
    <col min="13023" max="13023" width="14.85546875" style="1" customWidth="1"/>
    <col min="13024" max="13025" width="0" style="1" hidden="1" customWidth="1"/>
    <col min="13026" max="13026" width="14.85546875" style="1" customWidth="1"/>
    <col min="13027" max="13028" width="0" style="1" hidden="1" customWidth="1"/>
    <col min="13029" max="13029" width="14.85546875" style="1" customWidth="1"/>
    <col min="13030" max="13031" width="0" style="1" hidden="1" customWidth="1"/>
    <col min="13032" max="13033" width="14.85546875" style="1" customWidth="1"/>
    <col min="13034" max="13034" width="44.42578125" style="1" customWidth="1"/>
    <col min="13035" max="13039" width="14.85546875" style="1" customWidth="1"/>
    <col min="13040" max="13040" width="63.85546875" style="1" customWidth="1"/>
    <col min="13041" max="13041" width="13.28515625" style="1" customWidth="1"/>
    <col min="13042" max="13227" width="9.140625" style="1"/>
    <col min="13228" max="13229" width="0" style="1" hidden="1" customWidth="1"/>
    <col min="13230" max="13230" width="13.7109375" style="1" customWidth="1"/>
    <col min="13231" max="13231" width="52.85546875" style="1" customWidth="1"/>
    <col min="13232" max="13271" width="0" style="1" hidden="1" customWidth="1"/>
    <col min="13272" max="13273" width="14.85546875" style="1" customWidth="1"/>
    <col min="13274" max="13275" width="0" style="1" hidden="1" customWidth="1"/>
    <col min="13276" max="13276" width="14.85546875" style="1" customWidth="1"/>
    <col min="13277" max="13278" width="0" style="1" hidden="1" customWidth="1"/>
    <col min="13279" max="13279" width="14.85546875" style="1" customWidth="1"/>
    <col min="13280" max="13281" width="0" style="1" hidden="1" customWidth="1"/>
    <col min="13282" max="13282" width="14.85546875" style="1" customWidth="1"/>
    <col min="13283" max="13284" width="0" style="1" hidden="1" customWidth="1"/>
    <col min="13285" max="13285" width="14.85546875" style="1" customWidth="1"/>
    <col min="13286" max="13287" width="0" style="1" hidden="1" customWidth="1"/>
    <col min="13288" max="13289" width="14.85546875" style="1" customWidth="1"/>
    <col min="13290" max="13290" width="44.42578125" style="1" customWidth="1"/>
    <col min="13291" max="13295" width="14.85546875" style="1" customWidth="1"/>
    <col min="13296" max="13296" width="63.85546875" style="1" customWidth="1"/>
    <col min="13297" max="13297" width="13.28515625" style="1" customWidth="1"/>
    <col min="13298" max="13483" width="9.140625" style="1"/>
    <col min="13484" max="13485" width="0" style="1" hidden="1" customWidth="1"/>
    <col min="13486" max="13486" width="13.7109375" style="1" customWidth="1"/>
    <col min="13487" max="13487" width="52.85546875" style="1" customWidth="1"/>
    <col min="13488" max="13527" width="0" style="1" hidden="1" customWidth="1"/>
    <col min="13528" max="13529" width="14.85546875" style="1" customWidth="1"/>
    <col min="13530" max="13531" width="0" style="1" hidden="1" customWidth="1"/>
    <col min="13532" max="13532" width="14.85546875" style="1" customWidth="1"/>
    <col min="13533" max="13534" width="0" style="1" hidden="1" customWidth="1"/>
    <col min="13535" max="13535" width="14.85546875" style="1" customWidth="1"/>
    <col min="13536" max="13537" width="0" style="1" hidden="1" customWidth="1"/>
    <col min="13538" max="13538" width="14.85546875" style="1" customWidth="1"/>
    <col min="13539" max="13540" width="0" style="1" hidden="1" customWidth="1"/>
    <col min="13541" max="13541" width="14.85546875" style="1" customWidth="1"/>
    <col min="13542" max="13543" width="0" style="1" hidden="1" customWidth="1"/>
    <col min="13544" max="13545" width="14.85546875" style="1" customWidth="1"/>
    <col min="13546" max="13546" width="44.42578125" style="1" customWidth="1"/>
    <col min="13547" max="13551" width="14.85546875" style="1" customWidth="1"/>
    <col min="13552" max="13552" width="63.85546875" style="1" customWidth="1"/>
    <col min="13553" max="13553" width="13.28515625" style="1" customWidth="1"/>
    <col min="13554" max="13739" width="9.140625" style="1"/>
    <col min="13740" max="13741" width="0" style="1" hidden="1" customWidth="1"/>
    <col min="13742" max="13742" width="13.7109375" style="1" customWidth="1"/>
    <col min="13743" max="13743" width="52.85546875" style="1" customWidth="1"/>
    <col min="13744" max="13783" width="0" style="1" hidden="1" customWidth="1"/>
    <col min="13784" max="13785" width="14.85546875" style="1" customWidth="1"/>
    <col min="13786" max="13787" width="0" style="1" hidden="1" customWidth="1"/>
    <col min="13788" max="13788" width="14.85546875" style="1" customWidth="1"/>
    <col min="13789" max="13790" width="0" style="1" hidden="1" customWidth="1"/>
    <col min="13791" max="13791" width="14.85546875" style="1" customWidth="1"/>
    <col min="13792" max="13793" width="0" style="1" hidden="1" customWidth="1"/>
    <col min="13794" max="13794" width="14.85546875" style="1" customWidth="1"/>
    <col min="13795" max="13796" width="0" style="1" hidden="1" customWidth="1"/>
    <col min="13797" max="13797" width="14.85546875" style="1" customWidth="1"/>
    <col min="13798" max="13799" width="0" style="1" hidden="1" customWidth="1"/>
    <col min="13800" max="13801" width="14.85546875" style="1" customWidth="1"/>
    <col min="13802" max="13802" width="44.42578125" style="1" customWidth="1"/>
    <col min="13803" max="13807" width="14.85546875" style="1" customWidth="1"/>
    <col min="13808" max="13808" width="63.85546875" style="1" customWidth="1"/>
    <col min="13809" max="13809" width="13.28515625" style="1" customWidth="1"/>
    <col min="13810" max="13995" width="9.140625" style="1"/>
    <col min="13996" max="13997" width="0" style="1" hidden="1" customWidth="1"/>
    <col min="13998" max="13998" width="13.7109375" style="1" customWidth="1"/>
    <col min="13999" max="13999" width="52.85546875" style="1" customWidth="1"/>
    <col min="14000" max="14039" width="0" style="1" hidden="1" customWidth="1"/>
    <col min="14040" max="14041" width="14.85546875" style="1" customWidth="1"/>
    <col min="14042" max="14043" width="0" style="1" hidden="1" customWidth="1"/>
    <col min="14044" max="14044" width="14.85546875" style="1" customWidth="1"/>
    <col min="14045" max="14046" width="0" style="1" hidden="1" customWidth="1"/>
    <col min="14047" max="14047" width="14.85546875" style="1" customWidth="1"/>
    <col min="14048" max="14049" width="0" style="1" hidden="1" customWidth="1"/>
    <col min="14050" max="14050" width="14.85546875" style="1" customWidth="1"/>
    <col min="14051" max="14052" width="0" style="1" hidden="1" customWidth="1"/>
    <col min="14053" max="14053" width="14.85546875" style="1" customWidth="1"/>
    <col min="14054" max="14055" width="0" style="1" hidden="1" customWidth="1"/>
    <col min="14056" max="14057" width="14.85546875" style="1" customWidth="1"/>
    <col min="14058" max="14058" width="44.42578125" style="1" customWidth="1"/>
    <col min="14059" max="14063" width="14.85546875" style="1" customWidth="1"/>
    <col min="14064" max="14064" width="63.85546875" style="1" customWidth="1"/>
    <col min="14065" max="14065" width="13.28515625" style="1" customWidth="1"/>
    <col min="14066" max="14251" width="9.140625" style="1"/>
    <col min="14252" max="14253" width="0" style="1" hidden="1" customWidth="1"/>
    <col min="14254" max="14254" width="13.7109375" style="1" customWidth="1"/>
    <col min="14255" max="14255" width="52.85546875" style="1" customWidth="1"/>
    <col min="14256" max="14295" width="0" style="1" hidden="1" customWidth="1"/>
    <col min="14296" max="14297" width="14.85546875" style="1" customWidth="1"/>
    <col min="14298" max="14299" width="0" style="1" hidden="1" customWidth="1"/>
    <col min="14300" max="14300" width="14.85546875" style="1" customWidth="1"/>
    <col min="14301" max="14302" width="0" style="1" hidden="1" customWidth="1"/>
    <col min="14303" max="14303" width="14.85546875" style="1" customWidth="1"/>
    <col min="14304" max="14305" width="0" style="1" hidden="1" customWidth="1"/>
    <col min="14306" max="14306" width="14.85546875" style="1" customWidth="1"/>
    <col min="14307" max="14308" width="0" style="1" hidden="1" customWidth="1"/>
    <col min="14309" max="14309" width="14.85546875" style="1" customWidth="1"/>
    <col min="14310" max="14311" width="0" style="1" hidden="1" customWidth="1"/>
    <col min="14312" max="14313" width="14.85546875" style="1" customWidth="1"/>
    <col min="14314" max="14314" width="44.42578125" style="1" customWidth="1"/>
    <col min="14315" max="14319" width="14.85546875" style="1" customWidth="1"/>
    <col min="14320" max="14320" width="63.85546875" style="1" customWidth="1"/>
    <col min="14321" max="14321" width="13.28515625" style="1" customWidth="1"/>
    <col min="14322" max="14507" width="9.140625" style="1"/>
    <col min="14508" max="14509" width="0" style="1" hidden="1" customWidth="1"/>
    <col min="14510" max="14510" width="13.7109375" style="1" customWidth="1"/>
    <col min="14511" max="14511" width="52.85546875" style="1" customWidth="1"/>
    <col min="14512" max="14551" width="0" style="1" hidden="1" customWidth="1"/>
    <col min="14552" max="14553" width="14.85546875" style="1" customWidth="1"/>
    <col min="14554" max="14555" width="0" style="1" hidden="1" customWidth="1"/>
    <col min="14556" max="14556" width="14.85546875" style="1" customWidth="1"/>
    <col min="14557" max="14558" width="0" style="1" hidden="1" customWidth="1"/>
    <col min="14559" max="14559" width="14.85546875" style="1" customWidth="1"/>
    <col min="14560" max="14561" width="0" style="1" hidden="1" customWidth="1"/>
    <col min="14562" max="14562" width="14.85546875" style="1" customWidth="1"/>
    <col min="14563" max="14564" width="0" style="1" hidden="1" customWidth="1"/>
    <col min="14565" max="14565" width="14.85546875" style="1" customWidth="1"/>
    <col min="14566" max="14567" width="0" style="1" hidden="1" customWidth="1"/>
    <col min="14568" max="14569" width="14.85546875" style="1" customWidth="1"/>
    <col min="14570" max="14570" width="44.42578125" style="1" customWidth="1"/>
    <col min="14571" max="14575" width="14.85546875" style="1" customWidth="1"/>
    <col min="14576" max="14576" width="63.85546875" style="1" customWidth="1"/>
    <col min="14577" max="14577" width="13.28515625" style="1" customWidth="1"/>
    <col min="14578" max="14763" width="9.140625" style="1"/>
    <col min="14764" max="14765" width="0" style="1" hidden="1" customWidth="1"/>
    <col min="14766" max="14766" width="13.7109375" style="1" customWidth="1"/>
    <col min="14767" max="14767" width="52.85546875" style="1" customWidth="1"/>
    <col min="14768" max="14807" width="0" style="1" hidden="1" customWidth="1"/>
    <col min="14808" max="14809" width="14.85546875" style="1" customWidth="1"/>
    <col min="14810" max="14811" width="0" style="1" hidden="1" customWidth="1"/>
    <col min="14812" max="14812" width="14.85546875" style="1" customWidth="1"/>
    <col min="14813" max="14814" width="0" style="1" hidden="1" customWidth="1"/>
    <col min="14815" max="14815" width="14.85546875" style="1" customWidth="1"/>
    <col min="14816" max="14817" width="0" style="1" hidden="1" customWidth="1"/>
    <col min="14818" max="14818" width="14.85546875" style="1" customWidth="1"/>
    <col min="14819" max="14820" width="0" style="1" hidden="1" customWidth="1"/>
    <col min="14821" max="14821" width="14.85546875" style="1" customWidth="1"/>
    <col min="14822" max="14823" width="0" style="1" hidden="1" customWidth="1"/>
    <col min="14824" max="14825" width="14.85546875" style="1" customWidth="1"/>
    <col min="14826" max="14826" width="44.42578125" style="1" customWidth="1"/>
    <col min="14827" max="14831" width="14.85546875" style="1" customWidth="1"/>
    <col min="14832" max="14832" width="63.85546875" style="1" customWidth="1"/>
    <col min="14833" max="14833" width="13.28515625" style="1" customWidth="1"/>
    <col min="14834" max="15019" width="9.140625" style="1"/>
    <col min="15020" max="15021" width="0" style="1" hidden="1" customWidth="1"/>
    <col min="15022" max="15022" width="13.7109375" style="1" customWidth="1"/>
    <col min="15023" max="15023" width="52.85546875" style="1" customWidth="1"/>
    <col min="15024" max="15063" width="0" style="1" hidden="1" customWidth="1"/>
    <col min="15064" max="15065" width="14.85546875" style="1" customWidth="1"/>
    <col min="15066" max="15067" width="0" style="1" hidden="1" customWidth="1"/>
    <col min="15068" max="15068" width="14.85546875" style="1" customWidth="1"/>
    <col min="15069" max="15070" width="0" style="1" hidden="1" customWidth="1"/>
    <col min="15071" max="15071" width="14.85546875" style="1" customWidth="1"/>
    <col min="15072" max="15073" width="0" style="1" hidden="1" customWidth="1"/>
    <col min="15074" max="15074" width="14.85546875" style="1" customWidth="1"/>
    <col min="15075" max="15076" width="0" style="1" hidden="1" customWidth="1"/>
    <col min="15077" max="15077" width="14.85546875" style="1" customWidth="1"/>
    <col min="15078" max="15079" width="0" style="1" hidden="1" customWidth="1"/>
    <col min="15080" max="15081" width="14.85546875" style="1" customWidth="1"/>
    <col min="15082" max="15082" width="44.42578125" style="1" customWidth="1"/>
    <col min="15083" max="15087" width="14.85546875" style="1" customWidth="1"/>
    <col min="15088" max="15088" width="63.85546875" style="1" customWidth="1"/>
    <col min="15089" max="15089" width="13.28515625" style="1" customWidth="1"/>
    <col min="15090" max="15275" width="9.140625" style="1"/>
    <col min="15276" max="15277" width="0" style="1" hidden="1" customWidth="1"/>
    <col min="15278" max="15278" width="13.7109375" style="1" customWidth="1"/>
    <col min="15279" max="15279" width="52.85546875" style="1" customWidth="1"/>
    <col min="15280" max="15319" width="0" style="1" hidden="1" customWidth="1"/>
    <col min="15320" max="15321" width="14.85546875" style="1" customWidth="1"/>
    <col min="15322" max="15323" width="0" style="1" hidden="1" customWidth="1"/>
    <col min="15324" max="15324" width="14.85546875" style="1" customWidth="1"/>
    <col min="15325" max="15326" width="0" style="1" hidden="1" customWidth="1"/>
    <col min="15327" max="15327" width="14.85546875" style="1" customWidth="1"/>
    <col min="15328" max="15329" width="0" style="1" hidden="1" customWidth="1"/>
    <col min="15330" max="15330" width="14.85546875" style="1" customWidth="1"/>
    <col min="15331" max="15332" width="0" style="1" hidden="1" customWidth="1"/>
    <col min="15333" max="15333" width="14.85546875" style="1" customWidth="1"/>
    <col min="15334" max="15335" width="0" style="1" hidden="1" customWidth="1"/>
    <col min="15336" max="15337" width="14.85546875" style="1" customWidth="1"/>
    <col min="15338" max="15338" width="44.42578125" style="1" customWidth="1"/>
    <col min="15339" max="15343" width="14.85546875" style="1" customWidth="1"/>
    <col min="15344" max="15344" width="63.85546875" style="1" customWidth="1"/>
    <col min="15345" max="15345" width="13.28515625" style="1" customWidth="1"/>
    <col min="15346" max="15531" width="9.140625" style="1"/>
    <col min="15532" max="15533" width="0" style="1" hidden="1" customWidth="1"/>
    <col min="15534" max="15534" width="13.7109375" style="1" customWidth="1"/>
    <col min="15535" max="15535" width="52.85546875" style="1" customWidth="1"/>
    <col min="15536" max="15575" width="0" style="1" hidden="1" customWidth="1"/>
    <col min="15576" max="15577" width="14.85546875" style="1" customWidth="1"/>
    <col min="15578" max="15579" width="0" style="1" hidden="1" customWidth="1"/>
    <col min="15580" max="15580" width="14.85546875" style="1" customWidth="1"/>
    <col min="15581" max="15582" width="0" style="1" hidden="1" customWidth="1"/>
    <col min="15583" max="15583" width="14.85546875" style="1" customWidth="1"/>
    <col min="15584" max="15585" width="0" style="1" hidden="1" customWidth="1"/>
    <col min="15586" max="15586" width="14.85546875" style="1" customWidth="1"/>
    <col min="15587" max="15588" width="0" style="1" hidden="1" customWidth="1"/>
    <col min="15589" max="15589" width="14.85546875" style="1" customWidth="1"/>
    <col min="15590" max="15591" width="0" style="1" hidden="1" customWidth="1"/>
    <col min="15592" max="15593" width="14.85546875" style="1" customWidth="1"/>
    <col min="15594" max="15594" width="44.42578125" style="1" customWidth="1"/>
    <col min="15595" max="15599" width="14.85546875" style="1" customWidth="1"/>
    <col min="15600" max="15600" width="63.85546875" style="1" customWidth="1"/>
    <col min="15601" max="15601" width="13.28515625" style="1" customWidth="1"/>
    <col min="15602" max="15787" width="9.140625" style="1"/>
    <col min="15788" max="15789" width="0" style="1" hidden="1" customWidth="1"/>
    <col min="15790" max="15790" width="13.7109375" style="1" customWidth="1"/>
    <col min="15791" max="15791" width="52.85546875" style="1" customWidth="1"/>
    <col min="15792" max="15831" width="0" style="1" hidden="1" customWidth="1"/>
    <col min="15832" max="15833" width="14.85546875" style="1" customWidth="1"/>
    <col min="15834" max="15835" width="0" style="1" hidden="1" customWidth="1"/>
    <col min="15836" max="15836" width="14.85546875" style="1" customWidth="1"/>
    <col min="15837" max="15838" width="0" style="1" hidden="1" customWidth="1"/>
    <col min="15839" max="15839" width="14.85546875" style="1" customWidth="1"/>
    <col min="15840" max="15841" width="0" style="1" hidden="1" customWidth="1"/>
    <col min="15842" max="15842" width="14.85546875" style="1" customWidth="1"/>
    <col min="15843" max="15844" width="0" style="1" hidden="1" customWidth="1"/>
    <col min="15845" max="15845" width="14.85546875" style="1" customWidth="1"/>
    <col min="15846" max="15847" width="0" style="1" hidden="1" customWidth="1"/>
    <col min="15848" max="15849" width="14.85546875" style="1" customWidth="1"/>
    <col min="15850" max="15850" width="44.42578125" style="1" customWidth="1"/>
    <col min="15851" max="15855" width="14.85546875" style="1" customWidth="1"/>
    <col min="15856" max="15856" width="63.85546875" style="1" customWidth="1"/>
    <col min="15857" max="15857" width="13.28515625" style="1" customWidth="1"/>
    <col min="15858" max="16043" width="9.140625" style="1"/>
    <col min="16044" max="16045" width="0" style="1" hidden="1" customWidth="1"/>
    <col min="16046" max="16046" width="13.7109375" style="1" customWidth="1"/>
    <col min="16047" max="16047" width="52.85546875" style="1" customWidth="1"/>
    <col min="16048" max="16087" width="0" style="1" hidden="1" customWidth="1"/>
    <col min="16088" max="16089" width="14.85546875" style="1" customWidth="1"/>
    <col min="16090" max="16091" width="0" style="1" hidden="1" customWidth="1"/>
    <col min="16092" max="16092" width="14.85546875" style="1" customWidth="1"/>
    <col min="16093" max="16094" width="0" style="1" hidden="1" customWidth="1"/>
    <col min="16095" max="16095" width="14.85546875" style="1" customWidth="1"/>
    <col min="16096" max="16097" width="0" style="1" hidden="1" customWidth="1"/>
    <col min="16098" max="16098" width="14.85546875" style="1" customWidth="1"/>
    <col min="16099" max="16100" width="0" style="1" hidden="1" customWidth="1"/>
    <col min="16101" max="16101" width="14.85546875" style="1" customWidth="1"/>
    <col min="16102" max="16103" width="0" style="1" hidden="1" customWidth="1"/>
    <col min="16104" max="16105" width="14.85546875" style="1" customWidth="1"/>
    <col min="16106" max="16106" width="44.42578125" style="1" customWidth="1"/>
    <col min="16107" max="16111" width="14.85546875" style="1" customWidth="1"/>
    <col min="16112" max="16112" width="63.85546875" style="1" customWidth="1"/>
    <col min="16113" max="16113" width="13.28515625" style="1" customWidth="1"/>
    <col min="16114" max="16312" width="9.140625" style="1"/>
    <col min="16313" max="16345" width="9.140625" style="1" customWidth="1"/>
    <col min="16346" max="16353" width="9.140625" style="1"/>
    <col min="16354" max="16354" width="9.140625" style="1" customWidth="1"/>
    <col min="16355" max="16360" width="9.140625" style="1"/>
    <col min="16361" max="16369" width="9.140625" style="1" customWidth="1"/>
    <col min="16370" max="16384" width="9.140625" style="1"/>
  </cols>
  <sheetData>
    <row r="1" spans="1:6" ht="25.5" outlineLevel="1" x14ac:dyDescent="0.35">
      <c r="A1" s="2" t="s">
        <v>0</v>
      </c>
      <c r="B1" s="137"/>
      <c r="C1" s="3"/>
      <c r="D1" s="3"/>
      <c r="E1" s="4"/>
      <c r="F1" s="5"/>
    </row>
    <row r="2" spans="1:6" ht="25.5" outlineLevel="1" x14ac:dyDescent="0.35">
      <c r="A2" s="308" t="s">
        <v>912</v>
      </c>
      <c r="B2" s="308"/>
      <c r="E2" s="7"/>
      <c r="F2" s="8"/>
    </row>
    <row r="3" spans="1:6" ht="20.25" outlineLevel="1" x14ac:dyDescent="0.3">
      <c r="A3" s="309" t="s">
        <v>1</v>
      </c>
      <c r="B3" s="309"/>
      <c r="C3" s="9">
        <f>C110-C138-C42</f>
        <v>38975952</v>
      </c>
      <c r="D3" s="9">
        <f>D110-D138-D42</f>
        <v>38989882</v>
      </c>
      <c r="E3" s="10"/>
    </row>
    <row r="4" spans="1:6" ht="15.75" outlineLevel="1" thickBot="1" x14ac:dyDescent="0.3">
      <c r="A4" s="12"/>
      <c r="C4" s="9"/>
      <c r="D4" s="9"/>
      <c r="E4" s="11"/>
    </row>
    <row r="5" spans="1:6" ht="55.15" customHeight="1" thickBot="1" x14ac:dyDescent="0.3">
      <c r="A5" s="13" t="s">
        <v>2</v>
      </c>
      <c r="B5" s="138" t="s">
        <v>3</v>
      </c>
      <c r="C5" s="15" t="s">
        <v>4</v>
      </c>
      <c r="D5" s="15" t="s">
        <v>5</v>
      </c>
      <c r="E5" s="14" t="s">
        <v>6</v>
      </c>
      <c r="F5" s="16" t="s">
        <v>7</v>
      </c>
    </row>
    <row r="6" spans="1:6" x14ac:dyDescent="0.25">
      <c r="A6" s="17" t="s">
        <v>8</v>
      </c>
      <c r="B6" s="18" t="s">
        <v>9</v>
      </c>
      <c r="C6" s="18">
        <f>ROUND((C7+C10+C13+C16+C19),0)</f>
        <v>44951568</v>
      </c>
      <c r="D6" s="18">
        <f t="shared" ref="D6" si="0">ROUND((D7+D10+D13+D16+D19),0)</f>
        <v>44951568</v>
      </c>
      <c r="E6" s="19">
        <f>D6-C6</f>
        <v>0</v>
      </c>
      <c r="F6" s="20"/>
    </row>
    <row r="7" spans="1:6" x14ac:dyDescent="0.25">
      <c r="A7" s="167" t="s">
        <v>10</v>
      </c>
      <c r="B7" s="168" t="s">
        <v>11</v>
      </c>
      <c r="C7" s="168">
        <f t="shared" ref="C7" si="1">SUM(C8:C8)</f>
        <v>41652563</v>
      </c>
      <c r="D7" s="168">
        <f>SUM(D8:D8)</f>
        <v>41652563</v>
      </c>
      <c r="E7" s="169">
        <f t="shared" ref="E7:E71" si="2">D7-C7</f>
        <v>0</v>
      </c>
      <c r="F7" s="170"/>
    </row>
    <row r="8" spans="1:6" ht="33" customHeight="1" x14ac:dyDescent="0.25">
      <c r="A8" s="22" t="s">
        <v>12</v>
      </c>
      <c r="B8" s="139" t="s">
        <v>13</v>
      </c>
      <c r="C8" s="24">
        <v>41652563</v>
      </c>
      <c r="D8" s="24">
        <f>ROUND(C8,0)</f>
        <v>41652563</v>
      </c>
      <c r="E8" s="23">
        <f t="shared" si="2"/>
        <v>0</v>
      </c>
      <c r="F8" s="25"/>
    </row>
    <row r="9" spans="1:6" ht="32.450000000000003" customHeight="1" x14ac:dyDescent="0.25">
      <c r="A9" s="17" t="s">
        <v>14</v>
      </c>
      <c r="B9" s="157" t="s">
        <v>15</v>
      </c>
      <c r="C9" s="18">
        <f>C10+C13+C16</f>
        <v>3224005</v>
      </c>
      <c r="D9" s="18">
        <f>D10+D13+D16</f>
        <v>3224005</v>
      </c>
      <c r="E9" s="19">
        <f t="shared" si="2"/>
        <v>0</v>
      </c>
      <c r="F9" s="20"/>
    </row>
    <row r="10" spans="1:6" x14ac:dyDescent="0.25">
      <c r="A10" s="171" t="s">
        <v>16</v>
      </c>
      <c r="B10" s="166" t="s">
        <v>17</v>
      </c>
      <c r="C10" s="173">
        <f>SUM(C11:C12)</f>
        <v>2046793</v>
      </c>
      <c r="D10" s="173">
        <f>SUM(D11:D12)</f>
        <v>2046793</v>
      </c>
      <c r="E10" s="172">
        <f t="shared" si="2"/>
        <v>0</v>
      </c>
      <c r="F10" s="174"/>
    </row>
    <row r="11" spans="1:6" x14ac:dyDescent="0.25">
      <c r="A11" s="22" t="s">
        <v>18</v>
      </c>
      <c r="B11" s="139" t="s">
        <v>13</v>
      </c>
      <c r="C11" s="24">
        <v>1945591</v>
      </c>
      <c r="D11" s="24">
        <f>ROUND(C11,0)</f>
        <v>1945591</v>
      </c>
      <c r="E11" s="23">
        <f t="shared" si="2"/>
        <v>0</v>
      </c>
      <c r="F11" s="29"/>
    </row>
    <row r="12" spans="1:6" x14ac:dyDescent="0.25">
      <c r="A12" s="22" t="s">
        <v>19</v>
      </c>
      <c r="B12" s="139" t="s">
        <v>20</v>
      </c>
      <c r="C12" s="24">
        <v>101202</v>
      </c>
      <c r="D12" s="24">
        <f>ROUND(C12,0)</f>
        <v>101202</v>
      </c>
      <c r="E12" s="23">
        <f t="shared" si="2"/>
        <v>0</v>
      </c>
      <c r="F12" s="25"/>
    </row>
    <row r="13" spans="1:6" x14ac:dyDescent="0.25">
      <c r="A13" s="171" t="s">
        <v>21</v>
      </c>
      <c r="B13" s="166" t="s">
        <v>22</v>
      </c>
      <c r="C13" s="173">
        <f>SUM(C14:C15)</f>
        <v>446928</v>
      </c>
      <c r="D13" s="173">
        <f>SUM(D14:D15)</f>
        <v>446928</v>
      </c>
      <c r="E13" s="172">
        <f t="shared" si="2"/>
        <v>0</v>
      </c>
      <c r="F13" s="174"/>
    </row>
    <row r="14" spans="1:6" x14ac:dyDescent="0.25">
      <c r="A14" s="22" t="s">
        <v>23</v>
      </c>
      <c r="B14" s="139" t="s">
        <v>24</v>
      </c>
      <c r="C14" s="24">
        <v>392304</v>
      </c>
      <c r="D14" s="24">
        <f>ROUND(C14,0)</f>
        <v>392304</v>
      </c>
      <c r="E14" s="23">
        <f t="shared" si="2"/>
        <v>0</v>
      </c>
      <c r="F14" s="30"/>
    </row>
    <row r="15" spans="1:6" x14ac:dyDescent="0.25">
      <c r="A15" s="22" t="s">
        <v>25</v>
      </c>
      <c r="B15" s="139" t="s">
        <v>20</v>
      </c>
      <c r="C15" s="24">
        <v>54624</v>
      </c>
      <c r="D15" s="24">
        <f>ROUND(C15,0)</f>
        <v>54624</v>
      </c>
      <c r="E15" s="23">
        <f t="shared" si="2"/>
        <v>0</v>
      </c>
      <c r="F15" s="25"/>
    </row>
    <row r="16" spans="1:6" ht="29.25" x14ac:dyDescent="0.25">
      <c r="A16" s="171" t="s">
        <v>26</v>
      </c>
      <c r="B16" s="166" t="s">
        <v>27</v>
      </c>
      <c r="C16" s="173">
        <f>SUM(C17:C18)</f>
        <v>730284</v>
      </c>
      <c r="D16" s="173">
        <f>SUM(D17:D18)</f>
        <v>730284</v>
      </c>
      <c r="E16" s="172">
        <f t="shared" si="2"/>
        <v>0</v>
      </c>
      <c r="F16" s="174"/>
    </row>
    <row r="17" spans="1:6" ht="18.75" customHeight="1" x14ac:dyDescent="0.25">
      <c r="A17" s="22" t="s">
        <v>28</v>
      </c>
      <c r="B17" s="139" t="s">
        <v>24</v>
      </c>
      <c r="C17" s="24">
        <v>670099</v>
      </c>
      <c r="D17" s="24">
        <f>ROUND(C17,0)</f>
        <v>670099</v>
      </c>
      <c r="E17" s="23">
        <f t="shared" si="2"/>
        <v>0</v>
      </c>
      <c r="F17" s="30"/>
    </row>
    <row r="18" spans="1:6" x14ac:dyDescent="0.25">
      <c r="A18" s="22" t="s">
        <v>29</v>
      </c>
      <c r="B18" s="139" t="s">
        <v>20</v>
      </c>
      <c r="C18" s="24">
        <v>60185</v>
      </c>
      <c r="D18" s="24">
        <f>ROUND(C18,0)</f>
        <v>60185</v>
      </c>
      <c r="E18" s="23">
        <f t="shared" si="2"/>
        <v>0</v>
      </c>
      <c r="F18" s="29"/>
    </row>
    <row r="19" spans="1:6" ht="29.25" x14ac:dyDescent="0.25">
      <c r="A19" s="171" t="s">
        <v>30</v>
      </c>
      <c r="B19" s="166" t="s">
        <v>31</v>
      </c>
      <c r="C19" s="173">
        <f>SUM(C20:C21)</f>
        <v>75000</v>
      </c>
      <c r="D19" s="173">
        <f t="shared" ref="D19" si="3">SUM(D20:D21)</f>
        <v>75000</v>
      </c>
      <c r="E19" s="172">
        <f t="shared" si="2"/>
        <v>0</v>
      </c>
      <c r="F19" s="174"/>
    </row>
    <row r="20" spans="1:6" ht="14.45" customHeight="1" outlineLevel="1" x14ac:dyDescent="0.25">
      <c r="A20" s="22" t="s">
        <v>32</v>
      </c>
      <c r="B20" s="139" t="s">
        <v>33</v>
      </c>
      <c r="C20" s="24">
        <v>5000</v>
      </c>
      <c r="D20" s="24">
        <f>ROUND(C20,0)</f>
        <v>5000</v>
      </c>
      <c r="E20" s="23">
        <f t="shared" si="2"/>
        <v>0</v>
      </c>
      <c r="F20" s="30"/>
    </row>
    <row r="21" spans="1:6" ht="15.6" customHeight="1" x14ac:dyDescent="0.25">
      <c r="A21" s="22" t="s">
        <v>32</v>
      </c>
      <c r="B21" s="139" t="s">
        <v>34</v>
      </c>
      <c r="C21" s="24">
        <v>70000</v>
      </c>
      <c r="D21" s="24">
        <f>ROUND(C21,0)</f>
        <v>70000</v>
      </c>
      <c r="E21" s="23">
        <f t="shared" si="2"/>
        <v>0</v>
      </c>
      <c r="F21" s="31"/>
    </row>
    <row r="22" spans="1:6" ht="15.75" customHeight="1" x14ac:dyDescent="0.25">
      <c r="A22" s="171" t="s">
        <v>35</v>
      </c>
      <c r="B22" s="166" t="s">
        <v>36</v>
      </c>
      <c r="C22" s="173">
        <f>C23+C27</f>
        <v>144300</v>
      </c>
      <c r="D22" s="173">
        <f t="shared" ref="D22" si="4">D23+D27</f>
        <v>144300</v>
      </c>
      <c r="E22" s="172">
        <f t="shared" si="2"/>
        <v>0</v>
      </c>
      <c r="F22" s="174"/>
    </row>
    <row r="23" spans="1:6" x14ac:dyDescent="0.25">
      <c r="A23" s="22" t="s">
        <v>37</v>
      </c>
      <c r="B23" s="139" t="s">
        <v>38</v>
      </c>
      <c r="C23" s="24">
        <f>C24+C25+C26</f>
        <v>6100</v>
      </c>
      <c r="D23" s="24">
        <f>D24+D25+D26</f>
        <v>6100</v>
      </c>
      <c r="E23" s="23">
        <f t="shared" si="2"/>
        <v>0</v>
      </c>
      <c r="F23" s="29"/>
    </row>
    <row r="24" spans="1:6" x14ac:dyDescent="0.25">
      <c r="A24" s="32" t="s">
        <v>39</v>
      </c>
      <c r="B24" s="140" t="s">
        <v>40</v>
      </c>
      <c r="C24" s="24">
        <v>1100</v>
      </c>
      <c r="D24" s="24">
        <f>ROUND(C24,0)</f>
        <v>1100</v>
      </c>
      <c r="E24" s="23">
        <f t="shared" si="2"/>
        <v>0</v>
      </c>
      <c r="F24" s="29"/>
    </row>
    <row r="25" spans="1:6" ht="26.25" x14ac:dyDescent="0.25">
      <c r="A25" s="32" t="s">
        <v>41</v>
      </c>
      <c r="B25" s="140" t="s">
        <v>42</v>
      </c>
      <c r="C25" s="24">
        <v>4500</v>
      </c>
      <c r="D25" s="24">
        <f>ROUND(C25,0)</f>
        <v>4500</v>
      </c>
      <c r="E25" s="23">
        <f t="shared" si="2"/>
        <v>0</v>
      </c>
      <c r="F25" s="29"/>
    </row>
    <row r="26" spans="1:6" x14ac:dyDescent="0.25">
      <c r="A26" s="32" t="s">
        <v>43</v>
      </c>
      <c r="B26" s="140" t="s">
        <v>44</v>
      </c>
      <c r="C26" s="24">
        <v>500</v>
      </c>
      <c r="D26" s="24">
        <f>ROUND(C26,0)</f>
        <v>500</v>
      </c>
      <c r="E26" s="23">
        <f t="shared" si="2"/>
        <v>0</v>
      </c>
      <c r="F26" s="29"/>
    </row>
    <row r="27" spans="1:6" x14ac:dyDescent="0.25">
      <c r="A27" s="22" t="s">
        <v>45</v>
      </c>
      <c r="B27" s="139" t="s">
        <v>46</v>
      </c>
      <c r="C27" s="24">
        <f>SUM(C28:C33)</f>
        <v>138200</v>
      </c>
      <c r="D27" s="24">
        <f t="shared" ref="D27" si="5">SUM(D28:D33)</f>
        <v>138200</v>
      </c>
      <c r="E27" s="23">
        <f t="shared" si="2"/>
        <v>0</v>
      </c>
      <c r="F27" s="29"/>
    </row>
    <row r="28" spans="1:6" ht="26.25" x14ac:dyDescent="0.25">
      <c r="A28" s="32" t="s">
        <v>47</v>
      </c>
      <c r="B28" s="140" t="s">
        <v>48</v>
      </c>
      <c r="C28" s="24">
        <v>100</v>
      </c>
      <c r="D28" s="24">
        <f t="shared" ref="D28:D33" si="6">ROUND(C28,0)</f>
        <v>100</v>
      </c>
      <c r="E28" s="23">
        <f t="shared" si="2"/>
        <v>0</v>
      </c>
      <c r="F28" s="29"/>
    </row>
    <row r="29" spans="1:6" ht="26.25" x14ac:dyDescent="0.25">
      <c r="A29" s="32" t="s">
        <v>49</v>
      </c>
      <c r="B29" s="140" t="s">
        <v>50</v>
      </c>
      <c r="C29" s="24">
        <v>4300</v>
      </c>
      <c r="D29" s="24">
        <f t="shared" si="6"/>
        <v>4300</v>
      </c>
      <c r="E29" s="23">
        <f t="shared" si="2"/>
        <v>0</v>
      </c>
      <c r="F29" s="29"/>
    </row>
    <row r="30" spans="1:6" ht="25.9" customHeight="1" x14ac:dyDescent="0.25">
      <c r="A30" s="32" t="s">
        <v>51</v>
      </c>
      <c r="B30" s="140" t="s">
        <v>52</v>
      </c>
      <c r="C30" s="24">
        <v>37000</v>
      </c>
      <c r="D30" s="24">
        <f t="shared" si="6"/>
        <v>37000</v>
      </c>
      <c r="E30" s="23">
        <f t="shared" si="2"/>
        <v>0</v>
      </c>
      <c r="F30" s="29"/>
    </row>
    <row r="31" spans="1:6" ht="26.25" x14ac:dyDescent="0.25">
      <c r="A31" s="32" t="s">
        <v>53</v>
      </c>
      <c r="B31" s="140" t="s">
        <v>54</v>
      </c>
      <c r="C31" s="24">
        <v>22000</v>
      </c>
      <c r="D31" s="24">
        <f t="shared" si="6"/>
        <v>22000</v>
      </c>
      <c r="E31" s="23">
        <f t="shared" si="2"/>
        <v>0</v>
      </c>
      <c r="F31" s="29"/>
    </row>
    <row r="32" spans="1:6" x14ac:dyDescent="0.25">
      <c r="A32" s="32" t="s">
        <v>55</v>
      </c>
      <c r="B32" s="140" t="s">
        <v>56</v>
      </c>
      <c r="C32" s="24">
        <v>70000</v>
      </c>
      <c r="D32" s="24">
        <f t="shared" si="6"/>
        <v>70000</v>
      </c>
      <c r="E32" s="23">
        <f t="shared" si="2"/>
        <v>0</v>
      </c>
      <c r="F32" s="29"/>
    </row>
    <row r="33" spans="1:6" x14ac:dyDescent="0.25">
      <c r="A33" s="32" t="s">
        <v>57</v>
      </c>
      <c r="B33" s="140" t="s">
        <v>58</v>
      </c>
      <c r="C33" s="24">
        <v>4800</v>
      </c>
      <c r="D33" s="24">
        <f t="shared" si="6"/>
        <v>4800</v>
      </c>
      <c r="E33" s="23">
        <f t="shared" si="2"/>
        <v>0</v>
      </c>
      <c r="F33" s="29"/>
    </row>
    <row r="34" spans="1:6" ht="18" customHeight="1" x14ac:dyDescent="0.25">
      <c r="A34" s="171" t="s">
        <v>59</v>
      </c>
      <c r="B34" s="166" t="s">
        <v>60</v>
      </c>
      <c r="C34" s="173">
        <f>C35+C36</f>
        <v>130000</v>
      </c>
      <c r="D34" s="173">
        <f>D35+D36</f>
        <v>130000</v>
      </c>
      <c r="E34" s="172">
        <f t="shared" si="2"/>
        <v>0</v>
      </c>
      <c r="F34" s="175"/>
    </row>
    <row r="35" spans="1:6" ht="16.5" customHeight="1" x14ac:dyDescent="0.25">
      <c r="A35" s="22" t="s">
        <v>61</v>
      </c>
      <c r="B35" s="139" t="s">
        <v>60</v>
      </c>
      <c r="C35" s="24">
        <v>90000</v>
      </c>
      <c r="D35" s="24">
        <f>ROUND(C35,0)</f>
        <v>90000</v>
      </c>
      <c r="E35" s="23">
        <f t="shared" si="2"/>
        <v>0</v>
      </c>
      <c r="F35" s="25"/>
    </row>
    <row r="36" spans="1:6" x14ac:dyDescent="0.25">
      <c r="A36" s="22" t="s">
        <v>62</v>
      </c>
      <c r="B36" s="139" t="s">
        <v>63</v>
      </c>
      <c r="C36" s="24">
        <v>40000</v>
      </c>
      <c r="D36" s="24">
        <f>ROUND(C36,0)</f>
        <v>40000</v>
      </c>
      <c r="E36" s="23">
        <f t="shared" si="2"/>
        <v>0</v>
      </c>
      <c r="F36" s="25"/>
    </row>
    <row r="37" spans="1:6" ht="15" customHeight="1" x14ac:dyDescent="0.25">
      <c r="A37" s="171" t="s">
        <v>64</v>
      </c>
      <c r="B37" s="166" t="s">
        <v>65</v>
      </c>
      <c r="C37" s="173">
        <f>C38+C39+C40</f>
        <v>38728</v>
      </c>
      <c r="D37" s="173">
        <f>D38+D39+D40</f>
        <v>38728</v>
      </c>
      <c r="E37" s="172">
        <f t="shared" si="2"/>
        <v>0</v>
      </c>
      <c r="F37" s="174"/>
    </row>
    <row r="38" spans="1:6" ht="19.5" customHeight="1" x14ac:dyDescent="0.25">
      <c r="A38" s="22" t="s">
        <v>66</v>
      </c>
      <c r="B38" s="139" t="s">
        <v>67</v>
      </c>
      <c r="C38" s="24">
        <v>28728</v>
      </c>
      <c r="D38" s="24">
        <f>ROUND(C38,0)</f>
        <v>28728</v>
      </c>
      <c r="E38" s="23">
        <f t="shared" si="2"/>
        <v>0</v>
      </c>
      <c r="F38" s="33"/>
    </row>
    <row r="39" spans="1:6" ht="27.75" customHeight="1" x14ac:dyDescent="0.25">
      <c r="A39" s="22" t="s">
        <v>68</v>
      </c>
      <c r="B39" s="139" t="s">
        <v>69</v>
      </c>
      <c r="C39" s="24">
        <v>0</v>
      </c>
      <c r="D39" s="24">
        <f>ROUND(C39,0)</f>
        <v>0</v>
      </c>
      <c r="E39" s="23">
        <f t="shared" si="2"/>
        <v>0</v>
      </c>
      <c r="F39" s="33"/>
    </row>
    <row r="40" spans="1:6" x14ac:dyDescent="0.25">
      <c r="A40" s="22" t="s">
        <v>70</v>
      </c>
      <c r="B40" s="139" t="s">
        <v>71</v>
      </c>
      <c r="C40" s="24">
        <v>10000</v>
      </c>
      <c r="D40" s="24">
        <f>ROUND(C40,0)</f>
        <v>10000</v>
      </c>
      <c r="E40" s="23">
        <f t="shared" si="2"/>
        <v>0</v>
      </c>
      <c r="F40" s="25"/>
    </row>
    <row r="41" spans="1:6" ht="27" customHeight="1" x14ac:dyDescent="0.25">
      <c r="A41" s="176" t="s">
        <v>72</v>
      </c>
      <c r="B41" s="166" t="s">
        <v>73</v>
      </c>
      <c r="C41" s="173">
        <v>0</v>
      </c>
      <c r="D41" s="173">
        <f>ROUND(C41,0)</f>
        <v>0</v>
      </c>
      <c r="E41" s="172">
        <f t="shared" si="2"/>
        <v>0</v>
      </c>
      <c r="F41" s="175"/>
    </row>
    <row r="42" spans="1:6" ht="31.5" customHeight="1" x14ac:dyDescent="0.25">
      <c r="A42" s="176" t="s">
        <v>74</v>
      </c>
      <c r="B42" s="166" t="s">
        <v>75</v>
      </c>
      <c r="C42" s="173">
        <f>C43+C67+C91</f>
        <v>21107234</v>
      </c>
      <c r="D42" s="173">
        <f>D43+D67+D91</f>
        <v>21107274</v>
      </c>
      <c r="E42" s="172">
        <f t="shared" si="2"/>
        <v>40</v>
      </c>
      <c r="F42" s="172"/>
    </row>
    <row r="43" spans="1:6" ht="17.45" customHeight="1" x14ac:dyDescent="0.25">
      <c r="A43" s="34" t="s">
        <v>76</v>
      </c>
      <c r="B43" s="158" t="s">
        <v>77</v>
      </c>
      <c r="C43" s="36">
        <f t="shared" ref="C43" si="7">SUM(C44:C47)+C50+SUM(C54:C66)</f>
        <v>10832171</v>
      </c>
      <c r="D43" s="36">
        <f>SUM(D44:D47)+D50+SUM(D54:D66)</f>
        <v>10832211</v>
      </c>
      <c r="E43" s="37">
        <f t="shared" si="2"/>
        <v>40</v>
      </c>
      <c r="F43" s="37"/>
    </row>
    <row r="44" spans="1:6" ht="16.899999999999999" customHeight="1" x14ac:dyDescent="0.25">
      <c r="A44" s="32" t="s">
        <v>78</v>
      </c>
      <c r="B44" s="139" t="s">
        <v>79</v>
      </c>
      <c r="C44" s="24">
        <v>849067</v>
      </c>
      <c r="D44" s="24">
        <f>ROUND(C44,0)</f>
        <v>849067</v>
      </c>
      <c r="E44" s="23">
        <f t="shared" si="2"/>
        <v>0</v>
      </c>
      <c r="F44" s="33"/>
    </row>
    <row r="45" spans="1:6" ht="13.9" customHeight="1" x14ac:dyDescent="0.25">
      <c r="A45" s="32" t="s">
        <v>80</v>
      </c>
      <c r="B45" s="139" t="s">
        <v>81</v>
      </c>
      <c r="C45" s="24">
        <v>339462</v>
      </c>
      <c r="D45" s="24">
        <f>ROUND(C45,0)</f>
        <v>339462</v>
      </c>
      <c r="E45" s="23">
        <f t="shared" si="2"/>
        <v>0</v>
      </c>
      <c r="F45" s="25"/>
    </row>
    <row r="46" spans="1:6" x14ac:dyDescent="0.25">
      <c r="A46" s="32" t="s">
        <v>82</v>
      </c>
      <c r="B46" s="139" t="s">
        <v>83</v>
      </c>
      <c r="C46" s="24">
        <v>388794</v>
      </c>
      <c r="D46" s="24">
        <f>ROUND(C46,0)</f>
        <v>388794</v>
      </c>
      <c r="E46" s="23">
        <f t="shared" si="2"/>
        <v>0</v>
      </c>
      <c r="F46" s="33"/>
    </row>
    <row r="47" spans="1:6" ht="14.25" customHeight="1" x14ac:dyDescent="0.25">
      <c r="A47" s="32" t="s">
        <v>84</v>
      </c>
      <c r="B47" s="139" t="s">
        <v>85</v>
      </c>
      <c r="C47" s="23">
        <f>C48+C49</f>
        <v>0</v>
      </c>
      <c r="D47" s="24">
        <f t="shared" ref="D47" si="8">D48+D49</f>
        <v>0</v>
      </c>
      <c r="E47" s="23">
        <f t="shared" si="2"/>
        <v>0</v>
      </c>
      <c r="F47" s="23"/>
    </row>
    <row r="48" spans="1:6" ht="14.25" customHeight="1" x14ac:dyDescent="0.25">
      <c r="A48" s="32" t="s">
        <v>86</v>
      </c>
      <c r="B48" s="140" t="s">
        <v>87</v>
      </c>
      <c r="C48" s="24">
        <v>0</v>
      </c>
      <c r="D48" s="24">
        <f>ROUND(C48,0)</f>
        <v>0</v>
      </c>
      <c r="E48" s="23">
        <f t="shared" si="2"/>
        <v>0</v>
      </c>
      <c r="F48" s="33"/>
    </row>
    <row r="49" spans="1:6" ht="29.45" customHeight="1" x14ac:dyDescent="0.25">
      <c r="A49" s="32" t="s">
        <v>88</v>
      </c>
      <c r="B49" s="140" t="s">
        <v>89</v>
      </c>
      <c r="C49" s="24">
        <v>0</v>
      </c>
      <c r="D49" s="24">
        <f>ROUND(C49,0)</f>
        <v>0</v>
      </c>
      <c r="E49" s="23">
        <f t="shared" si="2"/>
        <v>0</v>
      </c>
      <c r="F49" s="33"/>
    </row>
    <row r="50" spans="1:6" ht="13.9" customHeight="1" x14ac:dyDescent="0.25">
      <c r="A50" s="32" t="s">
        <v>90</v>
      </c>
      <c r="B50" s="139" t="s">
        <v>91</v>
      </c>
      <c r="C50" s="39">
        <f>C51+C52+C53</f>
        <v>7742323</v>
      </c>
      <c r="D50" s="39">
        <f>D51+D52+D53</f>
        <v>7742323</v>
      </c>
      <c r="E50" s="38">
        <f t="shared" si="2"/>
        <v>0</v>
      </c>
      <c r="F50" s="40"/>
    </row>
    <row r="51" spans="1:6" s="44" customFormat="1" ht="12.75" x14ac:dyDescent="0.2">
      <c r="A51" s="32" t="s">
        <v>92</v>
      </c>
      <c r="B51" s="140" t="s">
        <v>93</v>
      </c>
      <c r="C51" s="42">
        <v>997247</v>
      </c>
      <c r="D51" s="42">
        <f t="shared" ref="D51:D64" si="9">ROUND(C51,0)</f>
        <v>997247</v>
      </c>
      <c r="E51" s="41">
        <f t="shared" si="2"/>
        <v>0</v>
      </c>
      <c r="F51" s="43"/>
    </row>
    <row r="52" spans="1:6" s="44" customFormat="1" ht="12.75" x14ac:dyDescent="0.2">
      <c r="A52" s="32" t="s">
        <v>94</v>
      </c>
      <c r="B52" s="140" t="s">
        <v>95</v>
      </c>
      <c r="C52" s="42">
        <v>6172209</v>
      </c>
      <c r="D52" s="42">
        <f t="shared" si="9"/>
        <v>6172209</v>
      </c>
      <c r="E52" s="41">
        <f t="shared" si="2"/>
        <v>0</v>
      </c>
      <c r="F52" s="43"/>
    </row>
    <row r="53" spans="1:6" s="44" customFormat="1" ht="18" customHeight="1" x14ac:dyDescent="0.2">
      <c r="A53" s="32" t="s">
        <v>96</v>
      </c>
      <c r="B53" s="140" t="s">
        <v>97</v>
      </c>
      <c r="C53" s="42">
        <v>572867</v>
      </c>
      <c r="D53" s="42">
        <f>ROUND(C53,0)</f>
        <v>572867</v>
      </c>
      <c r="E53" s="41">
        <f t="shared" si="2"/>
        <v>0</v>
      </c>
      <c r="F53" s="43"/>
    </row>
    <row r="54" spans="1:6" ht="31.5" customHeight="1" x14ac:dyDescent="0.25">
      <c r="A54" s="32" t="s">
        <v>98</v>
      </c>
      <c r="B54" s="139" t="s">
        <v>99</v>
      </c>
      <c r="C54" s="24">
        <v>26226</v>
      </c>
      <c r="D54" s="24">
        <f t="shared" si="9"/>
        <v>26226</v>
      </c>
      <c r="E54" s="23">
        <f t="shared" si="2"/>
        <v>0</v>
      </c>
      <c r="F54" s="29"/>
    </row>
    <row r="55" spans="1:6" ht="19.149999999999999" customHeight="1" x14ac:dyDescent="0.25">
      <c r="A55" s="32" t="s">
        <v>100</v>
      </c>
      <c r="B55" s="139" t="s">
        <v>101</v>
      </c>
      <c r="C55" s="24">
        <v>42000</v>
      </c>
      <c r="D55" s="24">
        <f>ROUND(C55,0)+80</f>
        <v>42080</v>
      </c>
      <c r="E55" s="23">
        <f t="shared" si="2"/>
        <v>80</v>
      </c>
      <c r="F55" s="25" t="s">
        <v>102</v>
      </c>
    </row>
    <row r="56" spans="1:6" ht="19.149999999999999" customHeight="1" x14ac:dyDescent="0.25">
      <c r="A56" s="32" t="s">
        <v>103</v>
      </c>
      <c r="B56" s="139" t="s">
        <v>104</v>
      </c>
      <c r="C56" s="24">
        <v>15980</v>
      </c>
      <c r="D56" s="24">
        <f>ROUND(C56,0)-40</f>
        <v>15940</v>
      </c>
      <c r="E56" s="23">
        <f t="shared" si="2"/>
        <v>-40</v>
      </c>
      <c r="F56" s="25" t="s">
        <v>102</v>
      </c>
    </row>
    <row r="57" spans="1:6" ht="30.6" customHeight="1" x14ac:dyDescent="0.25">
      <c r="A57" s="32" t="s">
        <v>105</v>
      </c>
      <c r="B57" s="139" t="s">
        <v>106</v>
      </c>
      <c r="C57" s="24">
        <v>642000</v>
      </c>
      <c r="D57" s="24">
        <f t="shared" si="9"/>
        <v>642000</v>
      </c>
      <c r="E57" s="23">
        <f t="shared" si="2"/>
        <v>0</v>
      </c>
      <c r="F57" s="33"/>
    </row>
    <row r="58" spans="1:6" ht="31.5" customHeight="1" x14ac:dyDescent="0.25">
      <c r="A58" s="32" t="s">
        <v>107</v>
      </c>
      <c r="B58" s="139" t="s">
        <v>108</v>
      </c>
      <c r="C58" s="24">
        <v>0</v>
      </c>
      <c r="D58" s="24">
        <f t="shared" si="9"/>
        <v>0</v>
      </c>
      <c r="E58" s="23">
        <f t="shared" si="2"/>
        <v>0</v>
      </c>
      <c r="F58" s="25"/>
    </row>
    <row r="59" spans="1:6" ht="31.5" customHeight="1" x14ac:dyDescent="0.25">
      <c r="A59" s="32"/>
      <c r="B59" s="139" t="s">
        <v>109</v>
      </c>
      <c r="C59" s="24">
        <v>0</v>
      </c>
      <c r="D59" s="24">
        <f t="shared" si="9"/>
        <v>0</v>
      </c>
      <c r="E59" s="23">
        <f t="shared" si="2"/>
        <v>0</v>
      </c>
      <c r="F59" s="25"/>
    </row>
    <row r="60" spans="1:6" ht="28.15" customHeight="1" x14ac:dyDescent="0.25">
      <c r="A60" s="32" t="s">
        <v>110</v>
      </c>
      <c r="B60" s="139" t="s">
        <v>111</v>
      </c>
      <c r="C60" s="24">
        <v>401002</v>
      </c>
      <c r="D60" s="24">
        <f t="shared" si="9"/>
        <v>401002</v>
      </c>
      <c r="E60" s="23">
        <f t="shared" si="2"/>
        <v>0</v>
      </c>
      <c r="F60" s="33"/>
    </row>
    <row r="61" spans="1:6" ht="58.9" customHeight="1" x14ac:dyDescent="0.25">
      <c r="A61" s="32"/>
      <c r="B61" s="139" t="s">
        <v>112</v>
      </c>
      <c r="C61" s="24">
        <v>0</v>
      </c>
      <c r="D61" s="24">
        <f t="shared" si="9"/>
        <v>0</v>
      </c>
      <c r="E61" s="23">
        <f t="shared" si="2"/>
        <v>0</v>
      </c>
      <c r="F61" s="33"/>
    </row>
    <row r="62" spans="1:6" ht="33.75" customHeight="1" x14ac:dyDescent="0.25">
      <c r="A62" s="32" t="s">
        <v>113</v>
      </c>
      <c r="B62" s="139" t="s">
        <v>114</v>
      </c>
      <c r="C62" s="24">
        <v>52500</v>
      </c>
      <c r="D62" s="24">
        <f t="shared" si="9"/>
        <v>52500</v>
      </c>
      <c r="E62" s="23">
        <f t="shared" si="2"/>
        <v>0</v>
      </c>
      <c r="F62" s="33"/>
    </row>
    <row r="63" spans="1:6" ht="17.45" customHeight="1" x14ac:dyDescent="0.25">
      <c r="A63" s="32" t="s">
        <v>115</v>
      </c>
      <c r="B63" s="139" t="s">
        <v>116</v>
      </c>
      <c r="C63" s="24">
        <v>0</v>
      </c>
      <c r="D63" s="24">
        <f t="shared" si="9"/>
        <v>0</v>
      </c>
      <c r="E63" s="23">
        <f t="shared" si="2"/>
        <v>0</v>
      </c>
      <c r="F63" s="33"/>
    </row>
    <row r="64" spans="1:6" x14ac:dyDescent="0.25">
      <c r="A64" s="32" t="s">
        <v>117</v>
      </c>
      <c r="B64" s="141" t="s">
        <v>118</v>
      </c>
      <c r="C64" s="24">
        <v>5000</v>
      </c>
      <c r="D64" s="24">
        <f t="shared" si="9"/>
        <v>5000</v>
      </c>
      <c r="E64" s="23">
        <f t="shared" si="2"/>
        <v>0</v>
      </c>
      <c r="F64" s="45"/>
    </row>
    <row r="65" spans="1:6" x14ac:dyDescent="0.25">
      <c r="A65" s="32" t="s">
        <v>119</v>
      </c>
      <c r="B65" s="141" t="s">
        <v>120</v>
      </c>
      <c r="C65" s="24"/>
      <c r="D65" s="24"/>
      <c r="E65" s="23"/>
      <c r="F65" s="45"/>
    </row>
    <row r="66" spans="1:6" ht="17.25" customHeight="1" x14ac:dyDescent="0.25">
      <c r="A66" s="32" t="s">
        <v>121</v>
      </c>
      <c r="B66" s="139" t="s">
        <v>122</v>
      </c>
      <c r="C66" s="24">
        <v>327817</v>
      </c>
      <c r="D66" s="24">
        <f>ROUND(C66,0)</f>
        <v>327817</v>
      </c>
      <c r="E66" s="23">
        <f t="shared" si="2"/>
        <v>0</v>
      </c>
      <c r="F66" s="45"/>
    </row>
    <row r="67" spans="1:6" ht="33" customHeight="1" x14ac:dyDescent="0.25">
      <c r="A67" s="34" t="s">
        <v>123</v>
      </c>
      <c r="B67" s="158" t="s">
        <v>124</v>
      </c>
      <c r="C67" s="46">
        <f>SUM(C68:C90)</f>
        <v>9327908</v>
      </c>
      <c r="D67" s="46">
        <f>SUM(D68:D90)</f>
        <v>9327908</v>
      </c>
      <c r="E67" s="46">
        <f t="shared" si="2"/>
        <v>0</v>
      </c>
      <c r="F67" s="46"/>
    </row>
    <row r="68" spans="1:6" x14ac:dyDescent="0.25">
      <c r="A68" s="32" t="s">
        <v>125</v>
      </c>
      <c r="B68" s="141" t="s">
        <v>126</v>
      </c>
      <c r="C68" s="24">
        <v>0</v>
      </c>
      <c r="D68" s="24">
        <f t="shared" ref="D68:D91" si="10">ROUND(C68,0)</f>
        <v>0</v>
      </c>
      <c r="E68" s="23">
        <f t="shared" si="2"/>
        <v>0</v>
      </c>
      <c r="F68" s="30"/>
    </row>
    <row r="69" spans="1:6" ht="28.5" customHeight="1" x14ac:dyDescent="0.25">
      <c r="A69" s="32" t="s">
        <v>127</v>
      </c>
      <c r="B69" s="141" t="s">
        <v>128</v>
      </c>
      <c r="C69" s="24">
        <v>0</v>
      </c>
      <c r="D69" s="24">
        <f t="shared" si="10"/>
        <v>0</v>
      </c>
      <c r="E69" s="23">
        <f t="shared" si="2"/>
        <v>0</v>
      </c>
      <c r="F69" s="33"/>
    </row>
    <row r="70" spans="1:6" ht="30" customHeight="1" x14ac:dyDescent="0.25">
      <c r="A70" s="32" t="s">
        <v>129</v>
      </c>
      <c r="B70" s="141" t="s">
        <v>130</v>
      </c>
      <c r="C70" s="24">
        <v>918723</v>
      </c>
      <c r="D70" s="24">
        <f t="shared" si="10"/>
        <v>918723</v>
      </c>
      <c r="E70" s="23">
        <f t="shared" si="2"/>
        <v>0</v>
      </c>
      <c r="F70" s="30"/>
    </row>
    <row r="71" spans="1:6" x14ac:dyDescent="0.25">
      <c r="A71" s="32" t="s">
        <v>125</v>
      </c>
      <c r="B71" s="141" t="s">
        <v>131</v>
      </c>
      <c r="C71" s="24">
        <v>357424</v>
      </c>
      <c r="D71" s="24">
        <f t="shared" si="10"/>
        <v>357424</v>
      </c>
      <c r="E71" s="23">
        <f t="shared" si="2"/>
        <v>0</v>
      </c>
      <c r="F71" s="30"/>
    </row>
    <row r="72" spans="1:6" ht="45" x14ac:dyDescent="0.25">
      <c r="A72" s="32" t="s">
        <v>132</v>
      </c>
      <c r="B72" s="141" t="s">
        <v>133</v>
      </c>
      <c r="C72" s="24">
        <v>7315</v>
      </c>
      <c r="D72" s="24">
        <f t="shared" si="10"/>
        <v>7315</v>
      </c>
      <c r="E72" s="23">
        <f t="shared" ref="E72:E124" si="11">D72-C72</f>
        <v>0</v>
      </c>
      <c r="F72" s="30"/>
    </row>
    <row r="73" spans="1:6" ht="27.6" customHeight="1" x14ac:dyDescent="0.25">
      <c r="A73" s="32" t="s">
        <v>134</v>
      </c>
      <c r="B73" s="141" t="s">
        <v>140</v>
      </c>
      <c r="C73" s="24">
        <v>60717</v>
      </c>
      <c r="D73" s="24">
        <f t="shared" si="10"/>
        <v>60717</v>
      </c>
      <c r="E73" s="23">
        <f t="shared" si="11"/>
        <v>0</v>
      </c>
      <c r="F73" s="30"/>
    </row>
    <row r="74" spans="1:6" ht="30" x14ac:dyDescent="0.25">
      <c r="A74" s="32" t="s">
        <v>136</v>
      </c>
      <c r="B74" s="141" t="s">
        <v>142</v>
      </c>
      <c r="C74" s="24">
        <v>9799</v>
      </c>
      <c r="D74" s="24">
        <f t="shared" si="10"/>
        <v>9799</v>
      </c>
      <c r="E74" s="23">
        <f t="shared" si="11"/>
        <v>0</v>
      </c>
      <c r="F74" s="31"/>
    </row>
    <row r="75" spans="1:6" ht="30" x14ac:dyDescent="0.25">
      <c r="A75" s="32" t="s">
        <v>137</v>
      </c>
      <c r="B75" s="141" t="s">
        <v>144</v>
      </c>
      <c r="C75" s="24">
        <v>0</v>
      </c>
      <c r="D75" s="24">
        <f t="shared" si="10"/>
        <v>0</v>
      </c>
      <c r="E75" s="23">
        <f t="shared" si="11"/>
        <v>0</v>
      </c>
      <c r="F75" s="48"/>
    </row>
    <row r="76" spans="1:6" x14ac:dyDescent="0.25">
      <c r="A76" s="32" t="s">
        <v>139</v>
      </c>
      <c r="B76" s="141" t="s">
        <v>146</v>
      </c>
      <c r="C76" s="24">
        <v>971940</v>
      </c>
      <c r="D76" s="24">
        <f t="shared" si="10"/>
        <v>971940</v>
      </c>
      <c r="E76" s="23">
        <f t="shared" si="11"/>
        <v>0</v>
      </c>
      <c r="F76" s="48"/>
    </row>
    <row r="77" spans="1:6" x14ac:dyDescent="0.25">
      <c r="A77" s="32" t="s">
        <v>141</v>
      </c>
      <c r="B77" s="141" t="s">
        <v>120</v>
      </c>
      <c r="C77" s="24">
        <v>0</v>
      </c>
      <c r="D77" s="24">
        <f t="shared" si="10"/>
        <v>0</v>
      </c>
      <c r="E77" s="23">
        <f t="shared" si="11"/>
        <v>0</v>
      </c>
      <c r="F77" s="48"/>
    </row>
    <row r="78" spans="1:6" x14ac:dyDescent="0.25">
      <c r="A78" s="32" t="s">
        <v>143</v>
      </c>
      <c r="B78" s="141" t="s">
        <v>149</v>
      </c>
      <c r="C78" s="24">
        <v>1403714</v>
      </c>
      <c r="D78" s="24">
        <f t="shared" si="10"/>
        <v>1403714</v>
      </c>
      <c r="E78" s="23">
        <f t="shared" si="11"/>
        <v>0</v>
      </c>
      <c r="F78" s="48"/>
    </row>
    <row r="79" spans="1:6" ht="44.45" customHeight="1" x14ac:dyDescent="0.25">
      <c r="A79" s="32" t="s">
        <v>145</v>
      </c>
      <c r="B79" s="141" t="s">
        <v>151</v>
      </c>
      <c r="C79" s="24">
        <v>529141</v>
      </c>
      <c r="D79" s="24">
        <f>ROUND(C79,0)</f>
        <v>529141</v>
      </c>
      <c r="E79" s="23">
        <f>D79-C79</f>
        <v>0</v>
      </c>
      <c r="F79" s="49"/>
    </row>
    <row r="80" spans="1:6" ht="30.75" customHeight="1" x14ac:dyDescent="0.25">
      <c r="A80" s="32" t="s">
        <v>147</v>
      </c>
      <c r="B80" s="141" t="s">
        <v>152</v>
      </c>
      <c r="C80" s="24">
        <v>714</v>
      </c>
      <c r="D80" s="24">
        <f>ROUND(C80,0)</f>
        <v>714</v>
      </c>
      <c r="E80" s="23">
        <f t="shared" si="11"/>
        <v>0</v>
      </c>
      <c r="F80" s="49"/>
    </row>
    <row r="81" spans="1:6" ht="48.6" customHeight="1" x14ac:dyDescent="0.25">
      <c r="A81" s="32" t="s">
        <v>148</v>
      </c>
      <c r="B81" s="141" t="s">
        <v>154</v>
      </c>
      <c r="C81" s="24">
        <v>345549</v>
      </c>
      <c r="D81" s="24">
        <f t="shared" si="10"/>
        <v>345549</v>
      </c>
      <c r="E81" s="23">
        <f t="shared" si="11"/>
        <v>0</v>
      </c>
      <c r="F81" s="48"/>
    </row>
    <row r="82" spans="1:6" x14ac:dyDescent="0.25">
      <c r="A82" s="32" t="s">
        <v>518</v>
      </c>
      <c r="B82" s="141" t="s">
        <v>156</v>
      </c>
      <c r="C82" s="24">
        <v>3050102</v>
      </c>
      <c r="D82" s="24">
        <f t="shared" si="10"/>
        <v>3050102</v>
      </c>
      <c r="E82" s="23">
        <f t="shared" si="11"/>
        <v>0</v>
      </c>
      <c r="F82" s="48"/>
    </row>
    <row r="83" spans="1:6" x14ac:dyDescent="0.25">
      <c r="A83" s="32" t="s">
        <v>150</v>
      </c>
      <c r="B83" s="141" t="s">
        <v>158</v>
      </c>
      <c r="C83" s="24">
        <v>0</v>
      </c>
      <c r="D83" s="24">
        <f t="shared" si="10"/>
        <v>0</v>
      </c>
      <c r="E83" s="23">
        <f t="shared" si="11"/>
        <v>0</v>
      </c>
      <c r="F83" s="48"/>
    </row>
    <row r="84" spans="1:6" ht="18.75" customHeight="1" x14ac:dyDescent="0.25">
      <c r="A84" s="32" t="s">
        <v>153</v>
      </c>
      <c r="B84" s="141" t="s">
        <v>160</v>
      </c>
      <c r="C84" s="24">
        <v>49416</v>
      </c>
      <c r="D84" s="24">
        <f t="shared" si="10"/>
        <v>49416</v>
      </c>
      <c r="E84" s="23">
        <f t="shared" si="11"/>
        <v>0</v>
      </c>
      <c r="F84" s="48"/>
    </row>
    <row r="85" spans="1:6" ht="46.5" customHeight="1" x14ac:dyDescent="0.25">
      <c r="A85" s="32" t="s">
        <v>155</v>
      </c>
      <c r="B85" s="141" t="s">
        <v>162</v>
      </c>
      <c r="C85" s="24">
        <v>36495</v>
      </c>
      <c r="D85" s="24">
        <f t="shared" si="10"/>
        <v>36495</v>
      </c>
      <c r="E85" s="23">
        <f t="shared" si="11"/>
        <v>0</v>
      </c>
      <c r="F85" s="48"/>
    </row>
    <row r="86" spans="1:6" ht="63" customHeight="1" x14ac:dyDescent="0.25">
      <c r="A86" s="32" t="s">
        <v>519</v>
      </c>
      <c r="B86" s="141" t="s">
        <v>164</v>
      </c>
      <c r="C86" s="24">
        <v>768795</v>
      </c>
      <c r="D86" s="24">
        <f t="shared" si="10"/>
        <v>768795</v>
      </c>
      <c r="E86" s="23">
        <f t="shared" si="11"/>
        <v>0</v>
      </c>
      <c r="F86" s="48"/>
    </row>
    <row r="87" spans="1:6" ht="33.75" customHeight="1" x14ac:dyDescent="0.25">
      <c r="A87" s="32" t="s">
        <v>157</v>
      </c>
      <c r="B87" s="141" t="s">
        <v>165</v>
      </c>
      <c r="C87" s="24">
        <v>309907</v>
      </c>
      <c r="D87" s="24">
        <f t="shared" si="10"/>
        <v>309907</v>
      </c>
      <c r="E87" s="23">
        <f t="shared" si="11"/>
        <v>0</v>
      </c>
      <c r="F87" s="48"/>
    </row>
    <row r="88" spans="1:6" ht="36" customHeight="1" x14ac:dyDescent="0.25">
      <c r="A88" s="32" t="s">
        <v>159</v>
      </c>
      <c r="B88" s="141" t="s">
        <v>166</v>
      </c>
      <c r="C88" s="24">
        <v>97353</v>
      </c>
      <c r="D88" s="24">
        <f t="shared" si="10"/>
        <v>97353</v>
      </c>
      <c r="E88" s="23">
        <f t="shared" si="11"/>
        <v>0</v>
      </c>
      <c r="F88" s="48"/>
    </row>
    <row r="89" spans="1:6" ht="36" customHeight="1" x14ac:dyDescent="0.25">
      <c r="A89" s="32" t="s">
        <v>161</v>
      </c>
      <c r="B89" s="142" t="s">
        <v>167</v>
      </c>
      <c r="C89" s="24">
        <v>140804</v>
      </c>
      <c r="D89" s="24">
        <f t="shared" si="10"/>
        <v>140804</v>
      </c>
      <c r="E89" s="23">
        <f t="shared" si="11"/>
        <v>0</v>
      </c>
      <c r="F89" s="48"/>
    </row>
    <row r="90" spans="1:6" ht="18.75" customHeight="1" x14ac:dyDescent="0.25">
      <c r="A90" s="32" t="s">
        <v>163</v>
      </c>
      <c r="B90" s="142" t="s">
        <v>168</v>
      </c>
      <c r="C90" s="24">
        <v>270000</v>
      </c>
      <c r="D90" s="24">
        <f t="shared" si="10"/>
        <v>270000</v>
      </c>
      <c r="E90" s="23">
        <f t="shared" si="11"/>
        <v>0</v>
      </c>
      <c r="F90" s="48"/>
    </row>
    <row r="91" spans="1:6" ht="22.5" customHeight="1" x14ac:dyDescent="0.25">
      <c r="A91" s="34" t="s">
        <v>169</v>
      </c>
      <c r="B91" s="158" t="s">
        <v>170</v>
      </c>
      <c r="C91" s="46">
        <v>947155</v>
      </c>
      <c r="D91" s="46">
        <f t="shared" si="10"/>
        <v>947155</v>
      </c>
      <c r="E91" s="35">
        <f t="shared" si="11"/>
        <v>0</v>
      </c>
      <c r="F91" s="50"/>
    </row>
    <row r="92" spans="1:6" x14ac:dyDescent="0.25">
      <c r="A92" s="176" t="s">
        <v>171</v>
      </c>
      <c r="B92" s="166" t="s">
        <v>172</v>
      </c>
      <c r="C92" s="173">
        <f>C93+C94</f>
        <v>355000</v>
      </c>
      <c r="D92" s="173">
        <f>D93+D94</f>
        <v>355000</v>
      </c>
      <c r="E92" s="172">
        <f t="shared" si="11"/>
        <v>0</v>
      </c>
      <c r="F92" s="174"/>
    </row>
    <row r="93" spans="1:6" ht="32.25" customHeight="1" x14ac:dyDescent="0.25">
      <c r="A93" s="22" t="s">
        <v>173</v>
      </c>
      <c r="B93" s="139" t="s">
        <v>174</v>
      </c>
      <c r="C93" s="24">
        <v>355000</v>
      </c>
      <c r="D93" s="24">
        <f>ROUND(C93,0)</f>
        <v>355000</v>
      </c>
      <c r="E93" s="23">
        <f t="shared" si="11"/>
        <v>0</v>
      </c>
      <c r="F93" s="33"/>
    </row>
    <row r="94" spans="1:6" ht="16.149999999999999" customHeight="1" x14ac:dyDescent="0.25">
      <c r="A94" s="22" t="s">
        <v>175</v>
      </c>
      <c r="B94" s="139" t="s">
        <v>176</v>
      </c>
      <c r="C94" s="24">
        <v>0</v>
      </c>
      <c r="D94" s="24">
        <f>ROUND(C94,0)</f>
        <v>0</v>
      </c>
      <c r="E94" s="23">
        <f t="shared" si="11"/>
        <v>0</v>
      </c>
      <c r="F94" s="25"/>
    </row>
    <row r="95" spans="1:6" ht="35.450000000000003" customHeight="1" x14ac:dyDescent="0.25">
      <c r="A95" s="176" t="s">
        <v>177</v>
      </c>
      <c r="B95" s="166" t="s">
        <v>178</v>
      </c>
      <c r="C95" s="173">
        <f t="shared" ref="C95" si="12">C96+C99+C102+C106+C109</f>
        <v>733037</v>
      </c>
      <c r="D95" s="173">
        <f>D96+D99+D102+D106+D109</f>
        <v>746967</v>
      </c>
      <c r="E95" s="172">
        <f t="shared" si="11"/>
        <v>13930</v>
      </c>
      <c r="F95" s="177"/>
    </row>
    <row r="96" spans="1:6" x14ac:dyDescent="0.25">
      <c r="A96" s="22" t="s">
        <v>179</v>
      </c>
      <c r="B96" s="139" t="s">
        <v>180</v>
      </c>
      <c r="C96" s="24">
        <f>SUM(C97:C98)</f>
        <v>175118</v>
      </c>
      <c r="D96" s="24">
        <f>SUM(D97:D98)</f>
        <v>175118</v>
      </c>
      <c r="E96" s="23">
        <f t="shared" si="11"/>
        <v>0</v>
      </c>
      <c r="F96" s="25"/>
    </row>
    <row r="97" spans="1:6" ht="14.25" customHeight="1" x14ac:dyDescent="0.25">
      <c r="A97" s="51" t="s">
        <v>181</v>
      </c>
      <c r="B97" s="141" t="s">
        <v>182</v>
      </c>
      <c r="C97" s="24">
        <v>12318</v>
      </c>
      <c r="D97" s="24">
        <f>ROUND(C97,0)</f>
        <v>12318</v>
      </c>
      <c r="E97" s="23">
        <f t="shared" si="11"/>
        <v>0</v>
      </c>
      <c r="F97" s="29"/>
    </row>
    <row r="98" spans="1:6" ht="30" customHeight="1" x14ac:dyDescent="0.25">
      <c r="A98" s="51" t="s">
        <v>183</v>
      </c>
      <c r="B98" s="141" t="s">
        <v>184</v>
      </c>
      <c r="C98" s="24">
        <v>162800</v>
      </c>
      <c r="D98" s="24">
        <f>ROUND(C98,0)</f>
        <v>162800</v>
      </c>
      <c r="E98" s="23">
        <f t="shared" si="11"/>
        <v>0</v>
      </c>
      <c r="F98" s="29"/>
    </row>
    <row r="99" spans="1:6" ht="13.9" customHeight="1" x14ac:dyDescent="0.25">
      <c r="A99" s="22" t="s">
        <v>185</v>
      </c>
      <c r="B99" s="139" t="s">
        <v>186</v>
      </c>
      <c r="C99" s="24">
        <f t="shared" ref="C99:D99" si="13">C100+C101</f>
        <v>17472</v>
      </c>
      <c r="D99" s="24">
        <f t="shared" si="13"/>
        <v>17472</v>
      </c>
      <c r="E99" s="23">
        <f t="shared" si="11"/>
        <v>0</v>
      </c>
      <c r="F99" s="52"/>
    </row>
    <row r="100" spans="1:6" x14ac:dyDescent="0.25">
      <c r="A100" s="51" t="s">
        <v>187</v>
      </c>
      <c r="B100" s="141" t="s">
        <v>188</v>
      </c>
      <c r="C100" s="24">
        <v>17472</v>
      </c>
      <c r="D100" s="24">
        <f>ROUND(C100,0)</f>
        <v>17472</v>
      </c>
      <c r="E100" s="23">
        <f>D100-C100</f>
        <v>0</v>
      </c>
      <c r="F100" s="45"/>
    </row>
    <row r="101" spans="1:6" ht="15.75" customHeight="1" x14ac:dyDescent="0.25">
      <c r="A101" s="51" t="s">
        <v>189</v>
      </c>
      <c r="B101" s="141" t="s">
        <v>190</v>
      </c>
      <c r="C101" s="24">
        <v>0</v>
      </c>
      <c r="D101" s="24">
        <f>ROUND(C101,0)</f>
        <v>0</v>
      </c>
      <c r="E101" s="23">
        <f t="shared" si="11"/>
        <v>0</v>
      </c>
      <c r="F101" s="29"/>
    </row>
    <row r="102" spans="1:6" x14ac:dyDescent="0.25">
      <c r="A102" s="22" t="s">
        <v>191</v>
      </c>
      <c r="B102" s="139" t="s">
        <v>192</v>
      </c>
      <c r="C102" s="24">
        <f>SUM(C103:C105)</f>
        <v>339912</v>
      </c>
      <c r="D102" s="24">
        <f>SUM(D103:D105)</f>
        <v>339912</v>
      </c>
      <c r="E102" s="23">
        <f t="shared" si="11"/>
        <v>0</v>
      </c>
      <c r="F102" s="25"/>
    </row>
    <row r="103" spans="1:6" ht="16.5" customHeight="1" x14ac:dyDescent="0.25">
      <c r="A103" s="51" t="s">
        <v>193</v>
      </c>
      <c r="B103" s="141" t="s">
        <v>194</v>
      </c>
      <c r="C103" s="24">
        <v>236912</v>
      </c>
      <c r="D103" s="24">
        <f>ROUND(C103,0)</f>
        <v>236912</v>
      </c>
      <c r="E103" s="23">
        <f t="shared" si="11"/>
        <v>0</v>
      </c>
      <c r="F103" s="33"/>
    </row>
    <row r="104" spans="1:6" x14ac:dyDescent="0.25">
      <c r="A104" s="51" t="s">
        <v>195</v>
      </c>
      <c r="B104" s="141" t="s">
        <v>196</v>
      </c>
      <c r="C104" s="24">
        <v>103000</v>
      </c>
      <c r="D104" s="24">
        <f>ROUND(C104,0)</f>
        <v>103000</v>
      </c>
      <c r="E104" s="23">
        <f t="shared" si="11"/>
        <v>0</v>
      </c>
      <c r="F104" s="25"/>
    </row>
    <row r="105" spans="1:6" x14ac:dyDescent="0.25">
      <c r="A105" s="51" t="s">
        <v>197</v>
      </c>
      <c r="B105" s="141" t="s">
        <v>198</v>
      </c>
      <c r="C105" s="24">
        <v>0</v>
      </c>
      <c r="D105" s="24">
        <f>ROUND(C105,0)</f>
        <v>0</v>
      </c>
      <c r="E105" s="23">
        <f t="shared" si="11"/>
        <v>0</v>
      </c>
      <c r="F105" s="25"/>
    </row>
    <row r="106" spans="1:6" ht="25.15" customHeight="1" x14ac:dyDescent="0.25">
      <c r="A106" s="22" t="s">
        <v>199</v>
      </c>
      <c r="B106" s="139" t="s">
        <v>200</v>
      </c>
      <c r="C106" s="24">
        <f>SUM(C107:C108)</f>
        <v>110535</v>
      </c>
      <c r="D106" s="24">
        <f t="shared" ref="D106" si="14">SUM(D107:D108)</f>
        <v>110535</v>
      </c>
      <c r="E106" s="23">
        <f t="shared" si="11"/>
        <v>0</v>
      </c>
      <c r="F106" s="33"/>
    </row>
    <row r="107" spans="1:6" ht="28.15" customHeight="1" x14ac:dyDescent="0.25">
      <c r="A107" s="51" t="s">
        <v>201</v>
      </c>
      <c r="B107" s="141" t="s">
        <v>200</v>
      </c>
      <c r="C107" s="24">
        <v>108535</v>
      </c>
      <c r="D107" s="24">
        <f>ROUND(C107,0)</f>
        <v>108535</v>
      </c>
      <c r="E107" s="23">
        <f t="shared" si="11"/>
        <v>0</v>
      </c>
      <c r="F107" s="25"/>
    </row>
    <row r="108" spans="1:6" ht="16.5" customHeight="1" x14ac:dyDescent="0.25">
      <c r="A108" s="51" t="s">
        <v>202</v>
      </c>
      <c r="B108" s="141" t="s">
        <v>203</v>
      </c>
      <c r="C108" s="24">
        <v>2000</v>
      </c>
      <c r="D108" s="24">
        <f>ROUND(C108,0)</f>
        <v>2000</v>
      </c>
      <c r="E108" s="23">
        <f t="shared" si="11"/>
        <v>0</v>
      </c>
      <c r="F108" s="25"/>
    </row>
    <row r="109" spans="1:6" ht="32.450000000000003" customHeight="1" thickBot="1" x14ac:dyDescent="0.3">
      <c r="A109" s="22" t="s">
        <v>204</v>
      </c>
      <c r="B109" s="139" t="s">
        <v>205</v>
      </c>
      <c r="C109" s="24">
        <v>90000</v>
      </c>
      <c r="D109" s="24">
        <f>ROUND(C109,0)+13930</f>
        <v>103930</v>
      </c>
      <c r="E109" s="23">
        <f t="shared" si="11"/>
        <v>13930</v>
      </c>
      <c r="F109" s="33" t="s">
        <v>206</v>
      </c>
    </row>
    <row r="110" spans="1:6" ht="15" customHeight="1" thickBot="1" x14ac:dyDescent="0.3">
      <c r="A110" s="53"/>
      <c r="B110" s="143" t="s">
        <v>207</v>
      </c>
      <c r="C110" s="55">
        <f>C7+C10+C13+C16+C19+C22+C34+C37+C41+C42+C92+C95</f>
        <v>67459867</v>
      </c>
      <c r="D110" s="55">
        <f>D7+D10+D13+D16+D19+D22+D34+D37+D41+D42+D92+D95</f>
        <v>67473837</v>
      </c>
      <c r="E110" s="54">
        <f t="shared" si="11"/>
        <v>13970</v>
      </c>
      <c r="F110" s="56"/>
    </row>
    <row r="111" spans="1:6" ht="15.75" thickBot="1" x14ac:dyDescent="0.3">
      <c r="A111" s="57" t="s">
        <v>208</v>
      </c>
      <c r="B111" s="144" t="s">
        <v>209</v>
      </c>
      <c r="C111" s="58">
        <f>SUM(C112:C113)+0.2</f>
        <v>8710284.1999999993</v>
      </c>
      <c r="D111" s="58">
        <f>SUM(D112:D113)</f>
        <v>8711325</v>
      </c>
      <c r="E111" s="59">
        <f t="shared" si="11"/>
        <v>1040.8000000007451</v>
      </c>
      <c r="F111" s="60"/>
    </row>
    <row r="112" spans="1:6" ht="14.45" customHeight="1" x14ac:dyDescent="0.25">
      <c r="A112" s="22" t="s">
        <v>210</v>
      </c>
      <c r="B112" s="139" t="s">
        <v>211</v>
      </c>
      <c r="C112" s="24">
        <v>2007294</v>
      </c>
      <c r="D112" s="24">
        <f>ROUND(C112,0)</f>
        <v>2007294</v>
      </c>
      <c r="E112" s="23">
        <f t="shared" si="11"/>
        <v>0</v>
      </c>
      <c r="F112" s="33"/>
    </row>
    <row r="113" spans="1:6" x14ac:dyDescent="0.25">
      <c r="A113" s="22" t="s">
        <v>212</v>
      </c>
      <c r="B113" s="139" t="s">
        <v>213</v>
      </c>
      <c r="C113" s="24">
        <v>6702990</v>
      </c>
      <c r="D113" s="24">
        <f>ROUND(C113,0)+1041</f>
        <v>6704031</v>
      </c>
      <c r="E113" s="23">
        <f t="shared" si="11"/>
        <v>1041</v>
      </c>
      <c r="F113" s="25" t="s">
        <v>214</v>
      </c>
    </row>
    <row r="114" spans="1:6" x14ac:dyDescent="0.25">
      <c r="A114" s="176" t="s">
        <v>215</v>
      </c>
      <c r="B114" s="165" t="s">
        <v>216</v>
      </c>
      <c r="C114" s="178">
        <f t="shared" ref="C114:D114" si="15">SUM(C115:C123)</f>
        <v>10307001</v>
      </c>
      <c r="D114" s="178">
        <f t="shared" si="15"/>
        <v>10307001</v>
      </c>
      <c r="E114" s="172">
        <f t="shared" si="11"/>
        <v>0</v>
      </c>
      <c r="F114" s="174"/>
    </row>
    <row r="115" spans="1:6" outlineLevel="1" x14ac:dyDescent="0.25">
      <c r="A115" s="51" t="s">
        <v>217</v>
      </c>
      <c r="B115" s="145" t="s">
        <v>218</v>
      </c>
      <c r="C115" s="61">
        <v>0</v>
      </c>
      <c r="D115" s="62">
        <f t="shared" ref="D115:D123" si="16">ROUND(C115,0)</f>
        <v>0</v>
      </c>
      <c r="E115" s="63">
        <f t="shared" si="11"/>
        <v>0</v>
      </c>
      <c r="F115" s="31"/>
    </row>
    <row r="116" spans="1:6" ht="30" customHeight="1" x14ac:dyDescent="0.25">
      <c r="A116" s="51" t="s">
        <v>219</v>
      </c>
      <c r="B116" s="145" t="s">
        <v>149</v>
      </c>
      <c r="C116" s="61">
        <v>7506469</v>
      </c>
      <c r="D116" s="62">
        <f t="shared" si="16"/>
        <v>7506469</v>
      </c>
      <c r="E116" s="63">
        <f t="shared" si="11"/>
        <v>0</v>
      </c>
      <c r="F116" s="31"/>
    </row>
    <row r="117" spans="1:6" ht="32.450000000000003" customHeight="1" x14ac:dyDescent="0.25">
      <c r="A117" s="51" t="s">
        <v>220</v>
      </c>
      <c r="B117" s="145" t="s">
        <v>221</v>
      </c>
      <c r="C117" s="61">
        <v>49699</v>
      </c>
      <c r="D117" s="62">
        <f t="shared" si="16"/>
        <v>49699</v>
      </c>
      <c r="E117" s="63">
        <f t="shared" si="11"/>
        <v>0</v>
      </c>
      <c r="F117" s="30"/>
    </row>
    <row r="118" spans="1:6" ht="67.900000000000006" customHeight="1" x14ac:dyDescent="0.25">
      <c r="A118" s="51" t="s">
        <v>222</v>
      </c>
      <c r="B118" s="146" t="s">
        <v>223</v>
      </c>
      <c r="C118" s="64">
        <v>0</v>
      </c>
      <c r="D118" s="65">
        <f t="shared" si="16"/>
        <v>0</v>
      </c>
      <c r="E118" s="66">
        <f t="shared" si="11"/>
        <v>0</v>
      </c>
      <c r="F118" s="30"/>
    </row>
    <row r="119" spans="1:6" ht="16.899999999999999" customHeight="1" x14ac:dyDescent="0.25">
      <c r="A119" s="51" t="s">
        <v>224</v>
      </c>
      <c r="B119" s="145" t="s">
        <v>225</v>
      </c>
      <c r="C119" s="61">
        <v>479480</v>
      </c>
      <c r="D119" s="67">
        <f t="shared" si="16"/>
        <v>479480</v>
      </c>
      <c r="E119" s="66">
        <f t="shared" si="11"/>
        <v>0</v>
      </c>
      <c r="F119" s="30"/>
    </row>
    <row r="120" spans="1:6" ht="29.25" customHeight="1" x14ac:dyDescent="0.25">
      <c r="A120" s="51" t="s">
        <v>226</v>
      </c>
      <c r="B120" s="146" t="s">
        <v>130</v>
      </c>
      <c r="C120" s="64">
        <v>240428</v>
      </c>
      <c r="D120" s="65">
        <f t="shared" si="16"/>
        <v>240428</v>
      </c>
      <c r="E120" s="23">
        <f t="shared" si="11"/>
        <v>0</v>
      </c>
      <c r="F120" s="68"/>
    </row>
    <row r="121" spans="1:6" ht="18.600000000000001" customHeight="1" outlineLevel="1" x14ac:dyDescent="0.25">
      <c r="A121" s="69" t="s">
        <v>227</v>
      </c>
      <c r="B121" s="146" t="s">
        <v>146</v>
      </c>
      <c r="C121" s="64">
        <v>1153191</v>
      </c>
      <c r="D121" s="65">
        <f t="shared" si="16"/>
        <v>1153191</v>
      </c>
      <c r="E121" s="70">
        <f t="shared" si="11"/>
        <v>0</v>
      </c>
      <c r="F121" s="30"/>
    </row>
    <row r="122" spans="1:6" ht="27.6" customHeight="1" outlineLevel="1" x14ac:dyDescent="0.25">
      <c r="A122" s="51" t="s">
        <v>228</v>
      </c>
      <c r="B122" s="146" t="s">
        <v>154</v>
      </c>
      <c r="C122" s="64">
        <v>8588</v>
      </c>
      <c r="D122" s="65">
        <f t="shared" si="16"/>
        <v>8588</v>
      </c>
      <c r="E122" s="66">
        <f t="shared" si="11"/>
        <v>0</v>
      </c>
      <c r="F122" s="30"/>
    </row>
    <row r="123" spans="1:6" ht="26.45" customHeight="1" outlineLevel="1" x14ac:dyDescent="0.25">
      <c r="A123" s="51" t="s">
        <v>229</v>
      </c>
      <c r="B123" s="147" t="s">
        <v>156</v>
      </c>
      <c r="C123" s="64">
        <v>869146</v>
      </c>
      <c r="D123" s="65">
        <f t="shared" si="16"/>
        <v>869146</v>
      </c>
      <c r="E123" s="23">
        <f t="shared" si="11"/>
        <v>0</v>
      </c>
      <c r="F123" s="68"/>
    </row>
    <row r="124" spans="1:6" ht="15.75" thickBot="1" x14ac:dyDescent="0.3">
      <c r="A124" s="71"/>
      <c r="B124" s="148" t="s">
        <v>230</v>
      </c>
      <c r="C124" s="58">
        <f t="shared" ref="C124:D124" si="17">C110+C111+C114</f>
        <v>86477152.200000003</v>
      </c>
      <c r="D124" s="58">
        <f t="shared" si="17"/>
        <v>86492163</v>
      </c>
      <c r="E124" s="59">
        <f t="shared" si="11"/>
        <v>15010.79999999702</v>
      </c>
      <c r="F124" s="72"/>
    </row>
    <row r="126" spans="1:6" x14ac:dyDescent="0.25">
      <c r="E126" s="7"/>
    </row>
    <row r="127" spans="1:6" ht="20.25" x14ac:dyDescent="0.3">
      <c r="A127" s="309" t="s">
        <v>231</v>
      </c>
      <c r="B127" s="309"/>
      <c r="E127" s="7"/>
    </row>
    <row r="128" spans="1:6" ht="15.75" thickBot="1" x14ac:dyDescent="0.3">
      <c r="A128" s="310"/>
      <c r="B128" s="310"/>
      <c r="E128" s="75"/>
    </row>
    <row r="129" spans="1:6" ht="57" customHeight="1" thickBot="1" x14ac:dyDescent="0.3">
      <c r="A129" s="13" t="s">
        <v>2</v>
      </c>
      <c r="B129" s="138" t="s">
        <v>3</v>
      </c>
      <c r="C129" s="15" t="str">
        <f>C5</f>
        <v>2026. gada budžets</v>
      </c>
      <c r="D129" s="15" t="str">
        <f>D5</f>
        <v>26.03.2026. grozījumi</v>
      </c>
      <c r="E129" s="15" t="str">
        <f>E5</f>
        <v>Izmaiņa 26.03.2026. - 29.01.2026.</v>
      </c>
      <c r="F129" s="16" t="s">
        <v>232</v>
      </c>
    </row>
    <row r="130" spans="1:6" x14ac:dyDescent="0.25">
      <c r="A130" s="179" t="s">
        <v>10</v>
      </c>
      <c r="B130" s="164" t="s">
        <v>233</v>
      </c>
      <c r="C130" s="181">
        <f>SUM(C131:C139)</f>
        <v>12115776</v>
      </c>
      <c r="D130" s="181">
        <f t="shared" ref="D130" si="18">SUM(D131:D139)</f>
        <v>12144250</v>
      </c>
      <c r="E130" s="180">
        <f t="shared" ref="E130:E202" si="19">D130-C130</f>
        <v>28474</v>
      </c>
      <c r="F130" s="182"/>
    </row>
    <row r="131" spans="1:6" ht="42.6" customHeight="1" x14ac:dyDescent="0.25">
      <c r="A131" s="76" t="s">
        <v>12</v>
      </c>
      <c r="B131" s="159" t="s">
        <v>234</v>
      </c>
      <c r="C131" s="46">
        <v>2251986</v>
      </c>
      <c r="D131" s="46">
        <f>ROUND(C131,0)+28474</f>
        <v>2280460</v>
      </c>
      <c r="E131" s="35">
        <f t="shared" si="19"/>
        <v>28474</v>
      </c>
      <c r="F131" s="50" t="s">
        <v>235</v>
      </c>
    </row>
    <row r="132" spans="1:6" x14ac:dyDescent="0.25">
      <c r="A132" s="76" t="s">
        <v>236</v>
      </c>
      <c r="B132" s="159" t="s">
        <v>237</v>
      </c>
      <c r="C132" s="46">
        <v>339144</v>
      </c>
      <c r="D132" s="46">
        <f t="shared" ref="D132:D140" si="20">ROUND(C132,0)</f>
        <v>339144</v>
      </c>
      <c r="E132" s="35">
        <f t="shared" si="19"/>
        <v>0</v>
      </c>
      <c r="F132" s="77"/>
    </row>
    <row r="133" spans="1:6" ht="13.15" customHeight="1" x14ac:dyDescent="0.25">
      <c r="A133" s="76" t="s">
        <v>238</v>
      </c>
      <c r="B133" s="159" t="s">
        <v>239</v>
      </c>
      <c r="C133" s="46">
        <v>43957</v>
      </c>
      <c r="D133" s="46">
        <f t="shared" si="20"/>
        <v>43957</v>
      </c>
      <c r="E133" s="35">
        <f t="shared" si="19"/>
        <v>0</v>
      </c>
      <c r="F133" s="50"/>
    </row>
    <row r="134" spans="1:6" ht="14.45" customHeight="1" x14ac:dyDescent="0.25">
      <c r="A134" s="76" t="s">
        <v>240</v>
      </c>
      <c r="B134" s="159" t="s">
        <v>241</v>
      </c>
      <c r="C134" s="46">
        <v>45157</v>
      </c>
      <c r="D134" s="46">
        <f t="shared" si="20"/>
        <v>45157</v>
      </c>
      <c r="E134" s="35">
        <f t="shared" si="19"/>
        <v>0</v>
      </c>
      <c r="F134" s="50"/>
    </row>
    <row r="135" spans="1:6" ht="15.6" customHeight="1" x14ac:dyDescent="0.25">
      <c r="A135" s="76" t="s">
        <v>242</v>
      </c>
      <c r="B135" s="159" t="s">
        <v>243</v>
      </c>
      <c r="C135" s="46">
        <v>99246</v>
      </c>
      <c r="D135" s="46">
        <f t="shared" si="20"/>
        <v>99246</v>
      </c>
      <c r="E135" s="35">
        <f t="shared" si="19"/>
        <v>0</v>
      </c>
      <c r="F135" s="50"/>
    </row>
    <row r="136" spans="1:6" ht="14.45" customHeight="1" x14ac:dyDescent="0.25">
      <c r="A136" s="76" t="s">
        <v>244</v>
      </c>
      <c r="B136" s="159" t="s">
        <v>245</v>
      </c>
      <c r="C136" s="46">
        <v>16344</v>
      </c>
      <c r="D136" s="46">
        <f t="shared" si="20"/>
        <v>16344</v>
      </c>
      <c r="E136" s="35">
        <f t="shared" si="19"/>
        <v>0</v>
      </c>
      <c r="F136" s="77"/>
    </row>
    <row r="137" spans="1:6" ht="16.5" customHeight="1" x14ac:dyDescent="0.25">
      <c r="A137" s="76" t="s">
        <v>246</v>
      </c>
      <c r="B137" s="159" t="s">
        <v>247</v>
      </c>
      <c r="C137" s="46">
        <v>1402431</v>
      </c>
      <c r="D137" s="46">
        <f t="shared" si="20"/>
        <v>1402431</v>
      </c>
      <c r="E137" s="35">
        <f t="shared" si="19"/>
        <v>0</v>
      </c>
      <c r="F137" s="50"/>
    </row>
    <row r="138" spans="1:6" ht="13.9" customHeight="1" x14ac:dyDescent="0.25">
      <c r="A138" s="76" t="s">
        <v>248</v>
      </c>
      <c r="B138" s="159" t="s">
        <v>249</v>
      </c>
      <c r="C138" s="46">
        <v>7376681</v>
      </c>
      <c r="D138" s="46">
        <f t="shared" si="20"/>
        <v>7376681</v>
      </c>
      <c r="E138" s="35">
        <f t="shared" si="19"/>
        <v>0</v>
      </c>
      <c r="F138" s="77"/>
    </row>
    <row r="139" spans="1:6" ht="42" customHeight="1" x14ac:dyDescent="0.25">
      <c r="A139" s="76" t="s">
        <v>250</v>
      </c>
      <c r="B139" s="159" t="s">
        <v>251</v>
      </c>
      <c r="C139" s="46">
        <v>540830</v>
      </c>
      <c r="D139" s="46">
        <f t="shared" si="20"/>
        <v>540830</v>
      </c>
      <c r="E139" s="35">
        <f t="shared" si="19"/>
        <v>0</v>
      </c>
      <c r="F139" s="50"/>
    </row>
    <row r="140" spans="1:6" ht="34.5" customHeight="1" collapsed="1" x14ac:dyDescent="0.25">
      <c r="A140" s="183" t="s">
        <v>16</v>
      </c>
      <c r="B140" s="162" t="s">
        <v>252</v>
      </c>
      <c r="C140" s="173">
        <v>1223875</v>
      </c>
      <c r="D140" s="173">
        <f t="shared" si="20"/>
        <v>1223875</v>
      </c>
      <c r="E140" s="172">
        <f t="shared" si="19"/>
        <v>0</v>
      </c>
      <c r="F140" s="175"/>
    </row>
    <row r="141" spans="1:6" s="79" customFormat="1" ht="16.899999999999999" customHeight="1" x14ac:dyDescent="0.25">
      <c r="A141" s="183" t="s">
        <v>21</v>
      </c>
      <c r="B141" s="162" t="s">
        <v>253</v>
      </c>
      <c r="C141" s="173">
        <f>C142+C145</f>
        <v>718532</v>
      </c>
      <c r="D141" s="173">
        <f t="shared" ref="D141" si="21">D142+D145</f>
        <v>718532</v>
      </c>
      <c r="E141" s="172">
        <f t="shared" si="19"/>
        <v>0</v>
      </c>
      <c r="F141" s="175"/>
    </row>
    <row r="142" spans="1:6" x14ac:dyDescent="0.25">
      <c r="A142" s="76" t="s">
        <v>23</v>
      </c>
      <c r="B142" s="159" t="s">
        <v>254</v>
      </c>
      <c r="C142" s="46">
        <f>SUM(C143:C144)</f>
        <v>236187</v>
      </c>
      <c r="D142" s="46">
        <f>SUM(D143:D144)</f>
        <v>236187</v>
      </c>
      <c r="E142" s="35">
        <f t="shared" si="19"/>
        <v>0</v>
      </c>
      <c r="F142" s="35"/>
    </row>
    <row r="143" spans="1:6" ht="15.75" customHeight="1" x14ac:dyDescent="0.25">
      <c r="A143" s="80" t="s">
        <v>255</v>
      </c>
      <c r="B143" s="149" t="s">
        <v>256</v>
      </c>
      <c r="C143" s="24">
        <v>200420</v>
      </c>
      <c r="D143" s="24">
        <f>ROUND(C143,0)</f>
        <v>200420</v>
      </c>
      <c r="E143" s="23">
        <f t="shared" si="19"/>
        <v>0</v>
      </c>
      <c r="F143" s="25"/>
    </row>
    <row r="144" spans="1:6" ht="15.6" customHeight="1" x14ac:dyDescent="0.25">
      <c r="A144" s="80" t="s">
        <v>257</v>
      </c>
      <c r="B144" s="149" t="s">
        <v>258</v>
      </c>
      <c r="C144" s="24">
        <v>35767</v>
      </c>
      <c r="D144" s="24">
        <f>ROUND(C144,0)</f>
        <v>35767</v>
      </c>
      <c r="E144" s="23">
        <f t="shared" si="19"/>
        <v>0</v>
      </c>
      <c r="F144" s="25"/>
    </row>
    <row r="145" spans="1:10" x14ac:dyDescent="0.25">
      <c r="A145" s="76" t="s">
        <v>25</v>
      </c>
      <c r="B145" s="159" t="s">
        <v>259</v>
      </c>
      <c r="C145" s="46">
        <v>482345</v>
      </c>
      <c r="D145" s="46">
        <f>ROUND(C145,0)</f>
        <v>482345</v>
      </c>
      <c r="E145" s="35">
        <f t="shared" si="19"/>
        <v>0</v>
      </c>
      <c r="F145" s="50"/>
    </row>
    <row r="146" spans="1:10" x14ac:dyDescent="0.25">
      <c r="A146" s="183" t="s">
        <v>26</v>
      </c>
      <c r="B146" s="162" t="s">
        <v>260</v>
      </c>
      <c r="C146" s="173">
        <f t="shared" ref="C146:D146" si="22">C147</f>
        <v>35606</v>
      </c>
      <c r="D146" s="173">
        <f t="shared" si="22"/>
        <v>35606</v>
      </c>
      <c r="E146" s="172">
        <f t="shared" si="19"/>
        <v>0</v>
      </c>
      <c r="F146" s="174"/>
    </row>
    <row r="147" spans="1:10" ht="16.149999999999999" customHeight="1" x14ac:dyDescent="0.25">
      <c r="A147" s="76" t="s">
        <v>28</v>
      </c>
      <c r="B147" s="159" t="s">
        <v>261</v>
      </c>
      <c r="C147" s="46">
        <v>35606</v>
      </c>
      <c r="D147" s="46">
        <f>ROUND(C147,0)</f>
        <v>35606</v>
      </c>
      <c r="E147" s="35">
        <f t="shared" si="19"/>
        <v>0</v>
      </c>
      <c r="F147" s="50"/>
    </row>
    <row r="148" spans="1:10" x14ac:dyDescent="0.25">
      <c r="A148" s="183" t="s">
        <v>30</v>
      </c>
      <c r="B148" s="162" t="s">
        <v>262</v>
      </c>
      <c r="C148" s="173">
        <f>C149+C150+C151+C152+C153+C171</f>
        <v>24806240</v>
      </c>
      <c r="D148" s="173">
        <f>D149+D150+D151+D152+D153+D171</f>
        <v>24823592</v>
      </c>
      <c r="E148" s="172">
        <f t="shared" si="19"/>
        <v>17352</v>
      </c>
      <c r="F148" s="172"/>
    </row>
    <row r="149" spans="1:10" ht="15.6" customHeight="1" x14ac:dyDescent="0.25">
      <c r="A149" s="76" t="s">
        <v>32</v>
      </c>
      <c r="B149" s="160" t="s">
        <v>263</v>
      </c>
      <c r="C149" s="82">
        <v>70000</v>
      </c>
      <c r="D149" s="46">
        <f>ROUND(C149,0)</f>
        <v>70000</v>
      </c>
      <c r="E149" s="35">
        <f t="shared" si="19"/>
        <v>0</v>
      </c>
      <c r="F149" s="77"/>
    </row>
    <row r="150" spans="1:10" ht="15.6" customHeight="1" x14ac:dyDescent="0.25">
      <c r="A150" s="76" t="s">
        <v>264</v>
      </c>
      <c r="B150" s="160" t="s">
        <v>265</v>
      </c>
      <c r="C150" s="82">
        <v>81528</v>
      </c>
      <c r="D150" s="46">
        <f>ROUND(C150,0)</f>
        <v>81528</v>
      </c>
      <c r="E150" s="35">
        <f t="shared" si="19"/>
        <v>0</v>
      </c>
      <c r="F150" s="77"/>
    </row>
    <row r="151" spans="1:10" ht="15" customHeight="1" x14ac:dyDescent="0.25">
      <c r="A151" s="76" t="s">
        <v>266</v>
      </c>
      <c r="B151" s="160" t="s">
        <v>267</v>
      </c>
      <c r="C151" s="82">
        <v>356794</v>
      </c>
      <c r="D151" s="82">
        <f>ROUND(C151,0)</f>
        <v>356794</v>
      </c>
      <c r="E151" s="81">
        <f t="shared" si="19"/>
        <v>0</v>
      </c>
      <c r="F151" s="50"/>
    </row>
    <row r="152" spans="1:10" ht="15" customHeight="1" x14ac:dyDescent="0.25">
      <c r="A152" s="76" t="s">
        <v>268</v>
      </c>
      <c r="B152" s="160" t="s">
        <v>269</v>
      </c>
      <c r="C152" s="82">
        <v>291217</v>
      </c>
      <c r="D152" s="82">
        <f>ROUND(C152,0)</f>
        <v>291217</v>
      </c>
      <c r="E152" s="81">
        <f t="shared" si="19"/>
        <v>0</v>
      </c>
      <c r="F152" s="50"/>
    </row>
    <row r="153" spans="1:10" x14ac:dyDescent="0.25">
      <c r="A153" s="76" t="s">
        <v>270</v>
      </c>
      <c r="B153" s="160" t="s">
        <v>271</v>
      </c>
      <c r="C153" s="82">
        <f>SUM(C154:C170)</f>
        <v>12178159</v>
      </c>
      <c r="D153" s="82">
        <f>SUM(D154:D170)</f>
        <v>12159685</v>
      </c>
      <c r="E153" s="81">
        <f t="shared" si="19"/>
        <v>-18474</v>
      </c>
      <c r="F153" s="81"/>
    </row>
    <row r="154" spans="1:10" ht="42" customHeight="1" x14ac:dyDescent="0.25">
      <c r="A154" s="80" t="s">
        <v>272</v>
      </c>
      <c r="B154" s="146" t="s">
        <v>273</v>
      </c>
      <c r="C154" s="24">
        <v>741080</v>
      </c>
      <c r="D154" s="24">
        <f>ROUND(C154,0)-28474</f>
        <v>712606</v>
      </c>
      <c r="E154" s="23">
        <f t="shared" si="19"/>
        <v>-28474</v>
      </c>
      <c r="F154" s="83" t="s">
        <v>274</v>
      </c>
    </row>
    <row r="155" spans="1:10" ht="18.600000000000001" customHeight="1" x14ac:dyDescent="0.25">
      <c r="A155" s="80" t="s">
        <v>275</v>
      </c>
      <c r="B155" s="146" t="s">
        <v>276</v>
      </c>
      <c r="C155" s="24">
        <v>40150</v>
      </c>
      <c r="D155" s="24">
        <f t="shared" ref="D155:D165" si="23">ROUND(C155,0)</f>
        <v>40150</v>
      </c>
      <c r="E155" s="23">
        <f t="shared" si="19"/>
        <v>0</v>
      </c>
      <c r="F155" s="84"/>
      <c r="G155" s="47"/>
      <c r="H155" s="47" t="e">
        <f>#REF!+#REF!+#REF!+#REF!+#REF!+#REF!+#REF!+#REF!+#REF!+#REF!+#REF!+#REF!+#REF!+#REF!+#REF!+#REF!+#REF!+#REF!+#REF!+#REF!+#REF!+#REF!</f>
        <v>#REF!</v>
      </c>
      <c r="I155" s="74" t="e">
        <f>H155/G155</f>
        <v>#REF!</v>
      </c>
      <c r="J155" s="74" t="e">
        <f>H155/#REF!</f>
        <v>#REF!</v>
      </c>
    </row>
    <row r="156" spans="1:10" ht="30" customHeight="1" x14ac:dyDescent="0.25">
      <c r="A156" s="80" t="s">
        <v>277</v>
      </c>
      <c r="B156" s="146" t="s">
        <v>278</v>
      </c>
      <c r="C156" s="24">
        <v>11400</v>
      </c>
      <c r="D156" s="24">
        <f>ROUND(C156,0)</f>
        <v>11400</v>
      </c>
      <c r="E156" s="23">
        <f t="shared" si="19"/>
        <v>0</v>
      </c>
      <c r="F156" s="84"/>
      <c r="G156" s="74"/>
    </row>
    <row r="157" spans="1:10" ht="32.25" customHeight="1" x14ac:dyDescent="0.25">
      <c r="A157" s="80" t="s">
        <v>279</v>
      </c>
      <c r="B157" s="141" t="s">
        <v>128</v>
      </c>
      <c r="C157" s="24">
        <v>30654</v>
      </c>
      <c r="D157" s="24">
        <f t="shared" si="23"/>
        <v>30654</v>
      </c>
      <c r="E157" s="23">
        <f t="shared" si="19"/>
        <v>0</v>
      </c>
      <c r="F157" s="84"/>
    </row>
    <row r="158" spans="1:10" ht="45.6" customHeight="1" x14ac:dyDescent="0.25">
      <c r="A158" s="80" t="s">
        <v>280</v>
      </c>
      <c r="B158" s="141" t="s">
        <v>281</v>
      </c>
      <c r="C158" s="24">
        <v>354137</v>
      </c>
      <c r="D158" s="24">
        <f t="shared" si="23"/>
        <v>354137</v>
      </c>
      <c r="E158" s="23">
        <f t="shared" si="19"/>
        <v>0</v>
      </c>
      <c r="F158" s="84"/>
    </row>
    <row r="159" spans="1:10" ht="28.9" customHeight="1" x14ac:dyDescent="0.25">
      <c r="A159" s="80" t="s">
        <v>282</v>
      </c>
      <c r="B159" s="141" t="s">
        <v>156</v>
      </c>
      <c r="C159" s="24">
        <v>3925860</v>
      </c>
      <c r="D159" s="24">
        <f t="shared" si="23"/>
        <v>3925860</v>
      </c>
      <c r="E159" s="23">
        <f t="shared" si="19"/>
        <v>0</v>
      </c>
      <c r="F159" s="84"/>
    </row>
    <row r="160" spans="1:10" ht="42.75" customHeight="1" x14ac:dyDescent="0.25">
      <c r="A160" s="80" t="s">
        <v>283</v>
      </c>
      <c r="B160" s="141" t="s">
        <v>162</v>
      </c>
      <c r="C160" s="24">
        <v>42495</v>
      </c>
      <c r="D160" s="24">
        <f t="shared" si="23"/>
        <v>42495</v>
      </c>
      <c r="E160" s="23">
        <f t="shared" si="19"/>
        <v>0</v>
      </c>
      <c r="F160" s="33"/>
    </row>
    <row r="161" spans="1:6" ht="33.75" customHeight="1" x14ac:dyDescent="0.25">
      <c r="A161" s="80" t="s">
        <v>284</v>
      </c>
      <c r="B161" s="141" t="s">
        <v>130</v>
      </c>
      <c r="C161" s="24">
        <v>1271381</v>
      </c>
      <c r="D161" s="24">
        <f>ROUND(C161,0)</f>
        <v>1271381</v>
      </c>
      <c r="E161" s="23">
        <f t="shared" si="19"/>
        <v>0</v>
      </c>
      <c r="F161" s="33"/>
    </row>
    <row r="162" spans="1:6" ht="27.75" customHeight="1" x14ac:dyDescent="0.25">
      <c r="A162" s="80" t="s">
        <v>285</v>
      </c>
      <c r="B162" s="141" t="s">
        <v>131</v>
      </c>
      <c r="C162" s="24">
        <v>660558</v>
      </c>
      <c r="D162" s="24">
        <f t="shared" si="23"/>
        <v>660558</v>
      </c>
      <c r="E162" s="23">
        <f t="shared" si="19"/>
        <v>0</v>
      </c>
      <c r="F162" s="33"/>
    </row>
    <row r="163" spans="1:6" ht="62.25" customHeight="1" x14ac:dyDescent="0.25">
      <c r="A163" s="80" t="s">
        <v>286</v>
      </c>
      <c r="B163" s="141" t="s">
        <v>135</v>
      </c>
      <c r="C163" s="24">
        <v>0</v>
      </c>
      <c r="D163" s="24">
        <f t="shared" si="23"/>
        <v>0</v>
      </c>
      <c r="E163" s="23">
        <f t="shared" si="19"/>
        <v>0</v>
      </c>
      <c r="F163" s="33"/>
    </row>
    <row r="164" spans="1:6" ht="46.9" customHeight="1" x14ac:dyDescent="0.25">
      <c r="A164" s="80" t="s">
        <v>287</v>
      </c>
      <c r="B164" s="141" t="s">
        <v>138</v>
      </c>
      <c r="C164" s="24">
        <v>850912</v>
      </c>
      <c r="D164" s="24">
        <f>ROUND(C164,0)+10000</f>
        <v>860912</v>
      </c>
      <c r="E164" s="23">
        <f t="shared" si="19"/>
        <v>10000</v>
      </c>
      <c r="F164" s="33" t="s">
        <v>288</v>
      </c>
    </row>
    <row r="165" spans="1:6" ht="30" customHeight="1" x14ac:dyDescent="0.25">
      <c r="A165" s="80" t="s">
        <v>289</v>
      </c>
      <c r="B165" s="141" t="s">
        <v>290</v>
      </c>
      <c r="C165" s="24">
        <v>404972</v>
      </c>
      <c r="D165" s="24">
        <f t="shared" si="23"/>
        <v>404972</v>
      </c>
      <c r="E165" s="23">
        <f t="shared" si="19"/>
        <v>0</v>
      </c>
      <c r="F165" s="33"/>
    </row>
    <row r="166" spans="1:6" ht="16.5" customHeight="1" x14ac:dyDescent="0.25">
      <c r="A166" s="80" t="s">
        <v>291</v>
      </c>
      <c r="B166" s="141" t="s">
        <v>146</v>
      </c>
      <c r="C166" s="24">
        <v>2415898</v>
      </c>
      <c r="D166" s="24">
        <f>ROUND(C166,0)</f>
        <v>2415898</v>
      </c>
      <c r="E166" s="23">
        <f t="shared" si="19"/>
        <v>0</v>
      </c>
      <c r="F166" s="84"/>
    </row>
    <row r="167" spans="1:6" ht="60.6" customHeight="1" x14ac:dyDescent="0.25">
      <c r="A167" s="80" t="s">
        <v>292</v>
      </c>
      <c r="B167" s="141" t="s">
        <v>164</v>
      </c>
      <c r="C167" s="24">
        <v>987120</v>
      </c>
      <c r="D167" s="24">
        <f>ROUND(C167,0)</f>
        <v>987120</v>
      </c>
      <c r="E167" s="23">
        <f t="shared" si="19"/>
        <v>0</v>
      </c>
      <c r="F167" s="84"/>
    </row>
    <row r="168" spans="1:6" ht="30" customHeight="1" x14ac:dyDescent="0.25">
      <c r="A168" s="80" t="s">
        <v>293</v>
      </c>
      <c r="B168" s="141" t="s">
        <v>165</v>
      </c>
      <c r="C168" s="24">
        <v>326348</v>
      </c>
      <c r="D168" s="24">
        <f>ROUND(C168,0)</f>
        <v>326348</v>
      </c>
      <c r="E168" s="23">
        <f t="shared" si="19"/>
        <v>0</v>
      </c>
      <c r="F168" s="84"/>
    </row>
    <row r="169" spans="1:6" ht="30" customHeight="1" x14ac:dyDescent="0.25">
      <c r="A169" s="80" t="s">
        <v>294</v>
      </c>
      <c r="B169" s="141" t="s">
        <v>166</v>
      </c>
      <c r="C169" s="24">
        <v>115194</v>
      </c>
      <c r="D169" s="24">
        <f>ROUND(C169,0)</f>
        <v>115194</v>
      </c>
      <c r="E169" s="23">
        <f>D169-C169</f>
        <v>0</v>
      </c>
      <c r="F169" s="84"/>
    </row>
    <row r="170" spans="1:6" ht="46.15" customHeight="1" x14ac:dyDescent="0.25">
      <c r="A170" s="80" t="s">
        <v>294</v>
      </c>
      <c r="B170" s="141" t="s">
        <v>295</v>
      </c>
      <c r="C170" s="24">
        <v>0</v>
      </c>
      <c r="D170" s="24">
        <f>ROUND(C170,0)</f>
        <v>0</v>
      </c>
      <c r="E170" s="23">
        <f t="shared" si="19"/>
        <v>0</v>
      </c>
      <c r="F170" s="84"/>
    </row>
    <row r="171" spans="1:6" ht="29.25" customHeight="1" x14ac:dyDescent="0.25">
      <c r="A171" s="76" t="s">
        <v>296</v>
      </c>
      <c r="B171" s="160" t="s">
        <v>297</v>
      </c>
      <c r="C171" s="82">
        <f>SUM(C172:C179,C183:C193)</f>
        <v>11828542</v>
      </c>
      <c r="D171" s="82">
        <f>SUM(D172:D179,D183:D193)</f>
        <v>11864368</v>
      </c>
      <c r="E171" s="81">
        <f t="shared" si="19"/>
        <v>35826</v>
      </c>
      <c r="F171" s="85"/>
    </row>
    <row r="172" spans="1:6" ht="45.75" customHeight="1" x14ac:dyDescent="0.25">
      <c r="A172" s="80" t="s">
        <v>298</v>
      </c>
      <c r="B172" s="141" t="s">
        <v>299</v>
      </c>
      <c r="C172" s="24">
        <v>209419</v>
      </c>
      <c r="D172" s="24">
        <f>ROUND(C172,0)+3000+3000</f>
        <v>215419</v>
      </c>
      <c r="E172" s="23">
        <f t="shared" si="19"/>
        <v>6000</v>
      </c>
      <c r="F172" s="86" t="s">
        <v>300</v>
      </c>
    </row>
    <row r="173" spans="1:6" ht="45" customHeight="1" x14ac:dyDescent="0.25">
      <c r="A173" s="80" t="s">
        <v>301</v>
      </c>
      <c r="B173" s="141" t="s">
        <v>302</v>
      </c>
      <c r="C173" s="24">
        <v>191255</v>
      </c>
      <c r="D173" s="24">
        <f>ROUND(C173,0)</f>
        <v>191255</v>
      </c>
      <c r="E173" s="23">
        <f t="shared" si="19"/>
        <v>0</v>
      </c>
      <c r="F173" s="84"/>
    </row>
    <row r="174" spans="1:6" ht="30" customHeight="1" x14ac:dyDescent="0.25">
      <c r="A174" s="80" t="s">
        <v>303</v>
      </c>
      <c r="B174" s="141" t="s">
        <v>144</v>
      </c>
      <c r="C174" s="24">
        <v>193242</v>
      </c>
      <c r="D174" s="24">
        <f>ROUND(C174,0)</f>
        <v>193242</v>
      </c>
      <c r="E174" s="23">
        <f t="shared" si="19"/>
        <v>0</v>
      </c>
      <c r="F174" s="84"/>
    </row>
    <row r="175" spans="1:6" ht="28.9" customHeight="1" x14ac:dyDescent="0.25">
      <c r="A175" s="80" t="s">
        <v>304</v>
      </c>
      <c r="B175" s="141" t="s">
        <v>305</v>
      </c>
      <c r="C175" s="24">
        <v>888703</v>
      </c>
      <c r="D175" s="24">
        <f t="shared" ref="D175:D178" si="24">ROUND(C175,0)</f>
        <v>888703</v>
      </c>
      <c r="E175" s="23">
        <f t="shared" si="19"/>
        <v>0</v>
      </c>
      <c r="F175" s="84"/>
    </row>
    <row r="176" spans="1:6" ht="30" customHeight="1" x14ac:dyDescent="0.25">
      <c r="A176" s="80"/>
      <c r="B176" s="141" t="s">
        <v>306</v>
      </c>
      <c r="C176" s="24">
        <v>575345</v>
      </c>
      <c r="D176" s="24">
        <f t="shared" si="24"/>
        <v>575345</v>
      </c>
      <c r="E176" s="23">
        <f t="shared" si="19"/>
        <v>0</v>
      </c>
      <c r="F176" s="84"/>
    </row>
    <row r="177" spans="1:6" ht="30" customHeight="1" x14ac:dyDescent="0.25">
      <c r="A177" s="80"/>
      <c r="B177" s="141" t="s">
        <v>167</v>
      </c>
      <c r="C177" s="24">
        <v>268729</v>
      </c>
      <c r="D177" s="24">
        <f t="shared" si="24"/>
        <v>268729</v>
      </c>
      <c r="E177" s="23">
        <f t="shared" si="19"/>
        <v>0</v>
      </c>
      <c r="F177" s="84"/>
    </row>
    <row r="178" spans="1:6" ht="17.25" customHeight="1" x14ac:dyDescent="0.25">
      <c r="A178" s="80"/>
      <c r="B178" s="141" t="s">
        <v>168</v>
      </c>
      <c r="C178" s="24">
        <v>613434</v>
      </c>
      <c r="D178" s="24">
        <f t="shared" si="24"/>
        <v>613434</v>
      </c>
      <c r="E178" s="23">
        <f t="shared" si="19"/>
        <v>0</v>
      </c>
      <c r="F178" s="84"/>
    </row>
    <row r="179" spans="1:6" ht="32.25" customHeight="1" x14ac:dyDescent="0.25">
      <c r="A179" s="80" t="s">
        <v>304</v>
      </c>
      <c r="B179" s="141" t="s">
        <v>307</v>
      </c>
      <c r="C179" s="62">
        <f>SUM(C180:C182)</f>
        <v>6348646</v>
      </c>
      <c r="D179" s="62">
        <f>SUM(D180:D182)</f>
        <v>6378472</v>
      </c>
      <c r="E179" s="23">
        <f t="shared" si="19"/>
        <v>29826</v>
      </c>
      <c r="F179" s="84"/>
    </row>
    <row r="180" spans="1:6" s="91" customFormat="1" ht="30" customHeight="1" x14ac:dyDescent="0.25">
      <c r="A180" s="87" t="s">
        <v>308</v>
      </c>
      <c r="B180" s="152" t="s">
        <v>309</v>
      </c>
      <c r="C180" s="88">
        <v>5630271</v>
      </c>
      <c r="D180" s="88">
        <f>ROUND(C180,0)+9936</f>
        <v>5640207</v>
      </c>
      <c r="E180" s="89">
        <f t="shared" si="19"/>
        <v>9936</v>
      </c>
      <c r="F180" s="90" t="s">
        <v>310</v>
      </c>
    </row>
    <row r="181" spans="1:6" s="91" customFormat="1" ht="17.25" customHeight="1" x14ac:dyDescent="0.25">
      <c r="A181" s="87" t="s">
        <v>311</v>
      </c>
      <c r="B181" s="152" t="s">
        <v>312</v>
      </c>
      <c r="C181" s="88">
        <v>484720</v>
      </c>
      <c r="D181" s="88">
        <f>ROUND(C181,0)</f>
        <v>484720</v>
      </c>
      <c r="E181" s="92">
        <f t="shared" si="19"/>
        <v>0</v>
      </c>
      <c r="F181" s="90"/>
    </row>
    <row r="182" spans="1:6" s="91" customFormat="1" ht="75" customHeight="1" x14ac:dyDescent="0.25">
      <c r="A182" s="87" t="s">
        <v>313</v>
      </c>
      <c r="B182" s="152" t="s">
        <v>314</v>
      </c>
      <c r="C182" s="88">
        <v>233655</v>
      </c>
      <c r="D182" s="88">
        <f>ROUND(C182,0)+29826-9936</f>
        <v>253545</v>
      </c>
      <c r="E182" s="92">
        <f t="shared" si="19"/>
        <v>19890</v>
      </c>
      <c r="F182" s="90" t="s">
        <v>315</v>
      </c>
    </row>
    <row r="183" spans="1:6" ht="27.6" customHeight="1" x14ac:dyDescent="0.25">
      <c r="A183" s="93" t="s">
        <v>316</v>
      </c>
      <c r="B183" s="141" t="s">
        <v>317</v>
      </c>
      <c r="C183" s="24">
        <v>516833</v>
      </c>
      <c r="D183" s="24">
        <f>ROUND(C183,0)</f>
        <v>516833</v>
      </c>
      <c r="E183" s="23">
        <f t="shared" si="19"/>
        <v>0</v>
      </c>
      <c r="F183" s="84"/>
    </row>
    <row r="184" spans="1:6" ht="28.15" customHeight="1" x14ac:dyDescent="0.25">
      <c r="A184" s="93" t="s">
        <v>318</v>
      </c>
      <c r="B184" s="141" t="s">
        <v>319</v>
      </c>
      <c r="C184" s="24">
        <v>0</v>
      </c>
      <c r="D184" s="24">
        <f>ROUND(C184,0)</f>
        <v>0</v>
      </c>
      <c r="E184" s="23">
        <f t="shared" si="19"/>
        <v>0</v>
      </c>
      <c r="F184" s="84"/>
    </row>
    <row r="185" spans="1:6" ht="50.25" customHeight="1" x14ac:dyDescent="0.25">
      <c r="A185" s="93" t="s">
        <v>320</v>
      </c>
      <c r="B185" s="141" t="s">
        <v>321</v>
      </c>
      <c r="C185" s="24">
        <v>1925648</v>
      </c>
      <c r="D185" s="24">
        <f>ROUND(C185,0)</f>
        <v>1925648</v>
      </c>
      <c r="E185" s="23">
        <f>D185-C185</f>
        <v>0</v>
      </c>
      <c r="F185" s="84"/>
    </row>
    <row r="186" spans="1:6" ht="50.25" customHeight="1" x14ac:dyDescent="0.25">
      <c r="A186" s="93" t="s">
        <v>322</v>
      </c>
      <c r="B186" s="141" t="s">
        <v>323</v>
      </c>
      <c r="C186" s="24">
        <v>97288</v>
      </c>
      <c r="D186" s="24">
        <f>ROUND(C186,0)</f>
        <v>97288</v>
      </c>
      <c r="E186" s="23">
        <f t="shared" si="19"/>
        <v>0</v>
      </c>
      <c r="F186" s="84"/>
    </row>
    <row r="187" spans="1:6" ht="18.600000000000001" hidden="1" customHeight="1" outlineLevel="1" x14ac:dyDescent="0.25">
      <c r="A187" s="93" t="s">
        <v>324</v>
      </c>
      <c r="B187" s="141" t="s">
        <v>325</v>
      </c>
      <c r="C187" s="24"/>
      <c r="D187" s="24"/>
      <c r="E187" s="23">
        <f t="shared" si="19"/>
        <v>0</v>
      </c>
      <c r="F187" s="84"/>
    </row>
    <row r="188" spans="1:6" ht="43.5" hidden="1" customHeight="1" outlineLevel="1" x14ac:dyDescent="0.25">
      <c r="A188" s="93" t="s">
        <v>326</v>
      </c>
      <c r="B188" s="141" t="s">
        <v>327</v>
      </c>
      <c r="C188" s="24"/>
      <c r="D188" s="24"/>
      <c r="E188" s="23">
        <f t="shared" si="19"/>
        <v>0</v>
      </c>
      <c r="F188" s="84"/>
    </row>
    <row r="189" spans="1:6" ht="25.9" hidden="1" customHeight="1" outlineLevel="1" x14ac:dyDescent="0.25">
      <c r="A189" s="93" t="s">
        <v>328</v>
      </c>
      <c r="B189" s="141" t="s">
        <v>329</v>
      </c>
      <c r="C189" s="24"/>
      <c r="D189" s="24"/>
      <c r="E189" s="23">
        <f t="shared" si="19"/>
        <v>0</v>
      </c>
      <c r="F189" s="84"/>
    </row>
    <row r="190" spans="1:6" ht="45.6" hidden="1" customHeight="1" outlineLevel="1" x14ac:dyDescent="0.25">
      <c r="A190" s="93" t="s">
        <v>330</v>
      </c>
      <c r="B190" s="141" t="s">
        <v>331</v>
      </c>
      <c r="C190" s="24"/>
      <c r="D190" s="24"/>
      <c r="E190" s="23">
        <f t="shared" si="19"/>
        <v>0</v>
      </c>
      <c r="F190" s="84"/>
    </row>
    <row r="191" spans="1:6" ht="18.600000000000001" hidden="1" customHeight="1" outlineLevel="1" x14ac:dyDescent="0.25">
      <c r="A191" s="93" t="s">
        <v>332</v>
      </c>
      <c r="B191" s="141" t="s">
        <v>333</v>
      </c>
      <c r="C191" s="24"/>
      <c r="D191" s="24"/>
      <c r="E191" s="23">
        <f t="shared" si="19"/>
        <v>0</v>
      </c>
      <c r="F191" s="84"/>
    </row>
    <row r="192" spans="1:6" ht="29.45" hidden="1" customHeight="1" outlineLevel="1" x14ac:dyDescent="0.25">
      <c r="A192" s="93" t="s">
        <v>334</v>
      </c>
      <c r="B192" s="141" t="s">
        <v>335</v>
      </c>
      <c r="C192" s="24">
        <v>0</v>
      </c>
      <c r="D192" s="24"/>
      <c r="E192" s="23">
        <f t="shared" si="19"/>
        <v>0</v>
      </c>
      <c r="F192" s="84"/>
    </row>
    <row r="193" spans="1:7" ht="29.45" hidden="1" customHeight="1" outlineLevel="1" x14ac:dyDescent="0.25">
      <c r="A193" s="93" t="s">
        <v>336</v>
      </c>
      <c r="B193" s="141" t="s">
        <v>337</v>
      </c>
      <c r="C193" s="24">
        <v>0</v>
      </c>
      <c r="D193" s="24"/>
      <c r="E193" s="23">
        <f t="shared" si="19"/>
        <v>0</v>
      </c>
      <c r="F193" s="33"/>
    </row>
    <row r="194" spans="1:7" collapsed="1" x14ac:dyDescent="0.25">
      <c r="A194" s="183" t="s">
        <v>35</v>
      </c>
      <c r="B194" s="162" t="s">
        <v>338</v>
      </c>
      <c r="C194" s="172">
        <f>SUM(C195,C200:C204)+C207+C208</f>
        <v>2992843</v>
      </c>
      <c r="D194" s="173">
        <f>SUM(D195,D200:D204)+D207+D208</f>
        <v>2992843</v>
      </c>
      <c r="E194" s="172">
        <f t="shared" si="19"/>
        <v>0</v>
      </c>
      <c r="F194" s="172"/>
    </row>
    <row r="195" spans="1:7" ht="23.25" customHeight="1" x14ac:dyDescent="0.25">
      <c r="A195" s="76" t="s">
        <v>37</v>
      </c>
      <c r="B195" s="159" t="s">
        <v>339</v>
      </c>
      <c r="C195" s="46">
        <f>SUM(C196:C199)</f>
        <v>1635359</v>
      </c>
      <c r="D195" s="46">
        <f>SUM(D196:D199)</f>
        <v>1635359</v>
      </c>
      <c r="E195" s="46">
        <f t="shared" si="19"/>
        <v>0</v>
      </c>
      <c r="F195" s="46">
        <f>SUM(F196:F199)</f>
        <v>0</v>
      </c>
      <c r="G195" s="74"/>
    </row>
    <row r="196" spans="1:7" ht="15.6" customHeight="1" x14ac:dyDescent="0.25">
      <c r="A196" s="80" t="s">
        <v>39</v>
      </c>
      <c r="B196" s="149" t="s">
        <v>340</v>
      </c>
      <c r="C196" s="24">
        <v>815272</v>
      </c>
      <c r="D196" s="24">
        <f t="shared" ref="D196:D203" si="25">ROUND(C196,0)</f>
        <v>815272</v>
      </c>
      <c r="E196" s="23">
        <f t="shared" si="19"/>
        <v>0</v>
      </c>
      <c r="F196" s="84"/>
    </row>
    <row r="197" spans="1:7" ht="14.25" customHeight="1" x14ac:dyDescent="0.25">
      <c r="A197" s="80" t="s">
        <v>41</v>
      </c>
      <c r="B197" s="149" t="s">
        <v>341</v>
      </c>
      <c r="C197" s="24">
        <v>566368</v>
      </c>
      <c r="D197" s="24">
        <f t="shared" si="25"/>
        <v>566368</v>
      </c>
      <c r="E197" s="23">
        <f t="shared" si="19"/>
        <v>0</v>
      </c>
      <c r="F197" s="84"/>
    </row>
    <row r="198" spans="1:7" ht="25.9" customHeight="1" x14ac:dyDescent="0.25">
      <c r="A198" s="80" t="s">
        <v>43</v>
      </c>
      <c r="B198" s="149" t="s">
        <v>342</v>
      </c>
      <c r="C198" s="24">
        <v>207547</v>
      </c>
      <c r="D198" s="24">
        <f t="shared" si="25"/>
        <v>207547</v>
      </c>
      <c r="E198" s="23">
        <f t="shared" si="19"/>
        <v>0</v>
      </c>
      <c r="F198" s="33"/>
      <c r="G198" s="95"/>
    </row>
    <row r="199" spans="1:7" ht="13.9" customHeight="1" x14ac:dyDescent="0.25">
      <c r="A199" s="80" t="s">
        <v>343</v>
      </c>
      <c r="B199" s="149" t="s">
        <v>344</v>
      </c>
      <c r="C199" s="62">
        <v>46172</v>
      </c>
      <c r="D199" s="62">
        <f t="shared" si="25"/>
        <v>46172</v>
      </c>
      <c r="E199" s="23">
        <f t="shared" si="19"/>
        <v>0</v>
      </c>
      <c r="F199" s="96"/>
    </row>
    <row r="200" spans="1:7" ht="29.45" hidden="1" customHeight="1" outlineLevel="1" x14ac:dyDescent="0.25">
      <c r="A200" s="97" t="s">
        <v>45</v>
      </c>
      <c r="B200" s="153" t="s">
        <v>345</v>
      </c>
      <c r="C200" s="46"/>
      <c r="D200" s="46">
        <f t="shared" si="25"/>
        <v>0</v>
      </c>
      <c r="E200" s="35">
        <f t="shared" si="19"/>
        <v>0</v>
      </c>
      <c r="F200" s="98" t="s">
        <v>346</v>
      </c>
    </row>
    <row r="201" spans="1:7" ht="27" hidden="1" customHeight="1" outlineLevel="1" x14ac:dyDescent="0.25">
      <c r="A201" s="97" t="s">
        <v>347</v>
      </c>
      <c r="B201" s="153" t="s">
        <v>348</v>
      </c>
      <c r="C201" s="46"/>
      <c r="D201" s="46">
        <f t="shared" si="25"/>
        <v>0</v>
      </c>
      <c r="E201" s="35">
        <f t="shared" si="19"/>
        <v>0</v>
      </c>
      <c r="F201" s="50"/>
    </row>
    <row r="202" spans="1:7" ht="15" customHeight="1" collapsed="1" x14ac:dyDescent="0.25">
      <c r="A202" s="76" t="s">
        <v>45</v>
      </c>
      <c r="B202" s="159" t="s">
        <v>349</v>
      </c>
      <c r="C202" s="46">
        <v>162922</v>
      </c>
      <c r="D202" s="46">
        <f t="shared" si="25"/>
        <v>162922</v>
      </c>
      <c r="E202" s="35">
        <f t="shared" si="19"/>
        <v>0</v>
      </c>
      <c r="F202" s="99"/>
    </row>
    <row r="203" spans="1:7" ht="15.6" customHeight="1" x14ac:dyDescent="0.25">
      <c r="A203" s="76" t="s">
        <v>347</v>
      </c>
      <c r="B203" s="159" t="s">
        <v>350</v>
      </c>
      <c r="C203" s="46">
        <v>77820</v>
      </c>
      <c r="D203" s="46">
        <f t="shared" si="25"/>
        <v>77820</v>
      </c>
      <c r="E203" s="35">
        <f t="shared" ref="E203:E271" si="26">D203-C203</f>
        <v>0</v>
      </c>
      <c r="F203" s="99"/>
    </row>
    <row r="204" spans="1:7" ht="15" customHeight="1" x14ac:dyDescent="0.25">
      <c r="A204" s="76" t="s">
        <v>351</v>
      </c>
      <c r="B204" s="159" t="s">
        <v>352</v>
      </c>
      <c r="C204" s="46">
        <f>C205+C206</f>
        <v>1091514</v>
      </c>
      <c r="D204" s="46">
        <f t="shared" ref="D204" si="27">D205+D206</f>
        <v>1091514</v>
      </c>
      <c r="E204" s="35">
        <f t="shared" si="26"/>
        <v>0</v>
      </c>
      <c r="F204" s="50"/>
    </row>
    <row r="205" spans="1:7" ht="16.5" customHeight="1" x14ac:dyDescent="0.25">
      <c r="A205" s="100" t="s">
        <v>353</v>
      </c>
      <c r="B205" s="149" t="s">
        <v>354</v>
      </c>
      <c r="C205" s="62">
        <v>757264</v>
      </c>
      <c r="D205" s="62">
        <f>ROUND(C205,0)</f>
        <v>757264</v>
      </c>
      <c r="E205" s="94">
        <f t="shared" si="26"/>
        <v>0</v>
      </c>
      <c r="F205" s="101"/>
    </row>
    <row r="206" spans="1:7" ht="16.5" customHeight="1" x14ac:dyDescent="0.25">
      <c r="A206" s="100" t="s">
        <v>355</v>
      </c>
      <c r="B206" s="149" t="s">
        <v>356</v>
      </c>
      <c r="C206" s="62">
        <v>334250</v>
      </c>
      <c r="D206" s="62">
        <f>ROUND(C206,0)</f>
        <v>334250</v>
      </c>
      <c r="E206" s="94">
        <f t="shared" si="26"/>
        <v>0</v>
      </c>
      <c r="F206" s="102"/>
    </row>
    <row r="207" spans="1:7" ht="15.6" customHeight="1" x14ac:dyDescent="0.25">
      <c r="A207" s="76" t="s">
        <v>357</v>
      </c>
      <c r="B207" s="159" t="s">
        <v>358</v>
      </c>
      <c r="C207" s="46">
        <v>6000</v>
      </c>
      <c r="D207" s="46">
        <f>ROUND(C207,0)</f>
        <v>6000</v>
      </c>
      <c r="E207" s="35">
        <f t="shared" si="26"/>
        <v>0</v>
      </c>
      <c r="F207" s="77"/>
    </row>
    <row r="208" spans="1:7" ht="15.6" customHeight="1" x14ac:dyDescent="0.25">
      <c r="A208" s="76" t="s">
        <v>359</v>
      </c>
      <c r="B208" s="159" t="s">
        <v>360</v>
      </c>
      <c r="C208" s="46">
        <v>19228</v>
      </c>
      <c r="D208" s="46">
        <f>ROUND(C208,0)</f>
        <v>19228</v>
      </c>
      <c r="E208" s="35">
        <f t="shared" si="26"/>
        <v>0</v>
      </c>
      <c r="F208" s="77"/>
    </row>
    <row r="209" spans="1:6" s="73" customFormat="1" ht="15.6" customHeight="1" x14ac:dyDescent="0.2">
      <c r="A209" s="183" t="s">
        <v>59</v>
      </c>
      <c r="B209" s="162" t="s">
        <v>361</v>
      </c>
      <c r="C209" s="172">
        <f>C210+C216+C219+C224+C225+C226+C227+C228</f>
        <v>3909733</v>
      </c>
      <c r="D209" s="172">
        <f>D210+D216+D219+D224+D225+D226+D227+D228</f>
        <v>3909733</v>
      </c>
      <c r="E209" s="172">
        <f t="shared" si="26"/>
        <v>0</v>
      </c>
      <c r="F209" s="172"/>
    </row>
    <row r="210" spans="1:6" s="73" customFormat="1" ht="15" customHeight="1" x14ac:dyDescent="0.25">
      <c r="A210" s="76" t="s">
        <v>61</v>
      </c>
      <c r="B210" s="159" t="s">
        <v>362</v>
      </c>
      <c r="C210" s="35">
        <f>SUM(C211:C215)</f>
        <v>3179724</v>
      </c>
      <c r="D210" s="35">
        <f>SUM(D211:D215)</f>
        <v>3179724</v>
      </c>
      <c r="E210" s="35">
        <f t="shared" si="26"/>
        <v>0</v>
      </c>
      <c r="F210" s="35"/>
    </row>
    <row r="211" spans="1:6" s="103" customFormat="1" ht="18" customHeight="1" outlineLevel="1" x14ac:dyDescent="0.25">
      <c r="A211" s="100" t="s">
        <v>363</v>
      </c>
      <c r="B211" s="154" t="s">
        <v>364</v>
      </c>
      <c r="C211" s="104">
        <v>685615</v>
      </c>
      <c r="D211" s="104">
        <f>ROUND(C211,0)</f>
        <v>685615</v>
      </c>
      <c r="E211" s="94">
        <f t="shared" si="26"/>
        <v>0</v>
      </c>
      <c r="F211" s="45"/>
    </row>
    <row r="212" spans="1:6" s="103" customFormat="1" ht="15.6" customHeight="1" outlineLevel="1" x14ac:dyDescent="0.25">
      <c r="A212" s="100" t="s">
        <v>365</v>
      </c>
      <c r="B212" s="154" t="s">
        <v>366</v>
      </c>
      <c r="C212" s="104">
        <v>1850342</v>
      </c>
      <c r="D212" s="104">
        <f t="shared" ref="D212:D254" si="28">ROUND(C212,0)</f>
        <v>1850342</v>
      </c>
      <c r="E212" s="94">
        <f t="shared" si="26"/>
        <v>0</v>
      </c>
      <c r="F212" s="33"/>
    </row>
    <row r="213" spans="1:6" s="103" customFormat="1" ht="17.45" customHeight="1" outlineLevel="1" x14ac:dyDescent="0.25">
      <c r="A213" s="100" t="s">
        <v>367</v>
      </c>
      <c r="B213" s="154" t="s">
        <v>368</v>
      </c>
      <c r="C213" s="104">
        <v>0</v>
      </c>
      <c r="D213" s="104">
        <f t="shared" si="28"/>
        <v>0</v>
      </c>
      <c r="E213" s="94">
        <f t="shared" si="26"/>
        <v>0</v>
      </c>
      <c r="F213" s="45"/>
    </row>
    <row r="214" spans="1:6" s="103" customFormat="1" outlineLevel="1" x14ac:dyDescent="0.25">
      <c r="A214" s="100" t="s">
        <v>369</v>
      </c>
      <c r="B214" s="154" t="s">
        <v>370</v>
      </c>
      <c r="C214" s="104">
        <v>642000</v>
      </c>
      <c r="D214" s="104">
        <f t="shared" si="28"/>
        <v>642000</v>
      </c>
      <c r="E214" s="94">
        <f t="shared" si="26"/>
        <v>0</v>
      </c>
      <c r="F214" s="105"/>
    </row>
    <row r="215" spans="1:6" s="103" customFormat="1" outlineLevel="1" x14ac:dyDescent="0.25">
      <c r="A215" s="100" t="s">
        <v>371</v>
      </c>
      <c r="B215" s="154" t="s">
        <v>372</v>
      </c>
      <c r="C215" s="104">
        <v>1767</v>
      </c>
      <c r="D215" s="104">
        <f t="shared" si="28"/>
        <v>1767</v>
      </c>
      <c r="E215" s="94">
        <f t="shared" si="26"/>
        <v>0</v>
      </c>
      <c r="F215" s="105"/>
    </row>
    <row r="216" spans="1:6" s="73" customFormat="1" ht="19.5" customHeight="1" x14ac:dyDescent="0.25">
      <c r="A216" s="76" t="s">
        <v>62</v>
      </c>
      <c r="B216" s="159" t="s">
        <v>373</v>
      </c>
      <c r="C216" s="46">
        <f>C217+C218</f>
        <v>6869</v>
      </c>
      <c r="D216" s="46">
        <f>D217+D218</f>
        <v>6869</v>
      </c>
      <c r="E216" s="35">
        <f t="shared" si="26"/>
        <v>0</v>
      </c>
      <c r="F216" s="50"/>
    </row>
    <row r="217" spans="1:6" s="103" customFormat="1" outlineLevel="1" x14ac:dyDescent="0.25">
      <c r="A217" s="106" t="s">
        <v>374</v>
      </c>
      <c r="B217" s="154" t="s">
        <v>375</v>
      </c>
      <c r="C217" s="104">
        <v>1000</v>
      </c>
      <c r="D217" s="104">
        <f t="shared" si="28"/>
        <v>1000</v>
      </c>
      <c r="E217" s="94">
        <f t="shared" si="26"/>
        <v>0</v>
      </c>
      <c r="F217" s="105"/>
    </row>
    <row r="218" spans="1:6" s="103" customFormat="1" outlineLevel="1" x14ac:dyDescent="0.25">
      <c r="A218" s="106" t="s">
        <v>376</v>
      </c>
      <c r="B218" s="154" t="s">
        <v>377</v>
      </c>
      <c r="C218" s="104">
        <v>5869</v>
      </c>
      <c r="D218" s="104">
        <f t="shared" si="28"/>
        <v>5869</v>
      </c>
      <c r="E218" s="94">
        <f t="shared" si="26"/>
        <v>0</v>
      </c>
      <c r="F218" s="105"/>
    </row>
    <row r="219" spans="1:6" s="73" customFormat="1" ht="26.25" customHeight="1" x14ac:dyDescent="0.25">
      <c r="A219" s="76" t="s">
        <v>378</v>
      </c>
      <c r="B219" s="159" t="s">
        <v>379</v>
      </c>
      <c r="C219" s="36">
        <f>SUM(C220:C223)</f>
        <v>454885</v>
      </c>
      <c r="D219" s="36">
        <f t="shared" ref="D219" si="29">SUM(D220:D223)</f>
        <v>454885</v>
      </c>
      <c r="E219" s="37">
        <f t="shared" si="26"/>
        <v>0</v>
      </c>
      <c r="F219" s="77"/>
    </row>
    <row r="220" spans="1:6" s="73" customFormat="1" ht="15" customHeight="1" x14ac:dyDescent="0.25">
      <c r="A220" s="107" t="s">
        <v>380</v>
      </c>
      <c r="B220" s="154" t="s">
        <v>381</v>
      </c>
      <c r="C220" s="24">
        <v>443236</v>
      </c>
      <c r="D220" s="24">
        <f t="shared" si="28"/>
        <v>443236</v>
      </c>
      <c r="E220" s="23">
        <f t="shared" si="26"/>
        <v>0</v>
      </c>
      <c r="F220" s="25"/>
    </row>
    <row r="221" spans="1:6" s="73" customFormat="1" ht="15" customHeight="1" x14ac:dyDescent="0.25">
      <c r="A221" s="107" t="s">
        <v>382</v>
      </c>
      <c r="B221" s="154" t="s">
        <v>383</v>
      </c>
      <c r="C221" s="24">
        <v>11649</v>
      </c>
      <c r="D221" s="24">
        <f t="shared" si="28"/>
        <v>11649</v>
      </c>
      <c r="E221" s="23">
        <f t="shared" si="26"/>
        <v>0</v>
      </c>
      <c r="F221" s="25"/>
    </row>
    <row r="222" spans="1:6" s="73" customFormat="1" ht="15.75" customHeight="1" x14ac:dyDescent="0.25">
      <c r="A222" s="108" t="s">
        <v>384</v>
      </c>
      <c r="B222" s="154" t="s">
        <v>385</v>
      </c>
      <c r="C222" s="24">
        <v>0</v>
      </c>
      <c r="D222" s="24">
        <f t="shared" si="28"/>
        <v>0</v>
      </c>
      <c r="E222" s="23">
        <f t="shared" si="26"/>
        <v>0</v>
      </c>
      <c r="F222" s="25"/>
    </row>
    <row r="223" spans="1:6" s="73" customFormat="1" ht="15.6" customHeight="1" x14ac:dyDescent="0.25">
      <c r="A223" s="107" t="s">
        <v>386</v>
      </c>
      <c r="B223" s="154" t="s">
        <v>387</v>
      </c>
      <c r="C223" s="24">
        <v>0</v>
      </c>
      <c r="D223" s="24">
        <f t="shared" si="28"/>
        <v>0</v>
      </c>
      <c r="E223" s="23">
        <f t="shared" si="26"/>
        <v>0</v>
      </c>
      <c r="F223" s="25"/>
    </row>
    <row r="224" spans="1:6" s="73" customFormat="1" ht="16.149999999999999" customHeight="1" x14ac:dyDescent="0.25">
      <c r="A224" s="76" t="s">
        <v>388</v>
      </c>
      <c r="B224" s="159" t="s">
        <v>389</v>
      </c>
      <c r="C224" s="46">
        <v>167400</v>
      </c>
      <c r="D224" s="46">
        <f t="shared" si="28"/>
        <v>167400</v>
      </c>
      <c r="E224" s="35">
        <f t="shared" si="26"/>
        <v>0</v>
      </c>
      <c r="F224" s="77"/>
    </row>
    <row r="225" spans="1:7" s="73" customFormat="1" ht="16.5" customHeight="1" x14ac:dyDescent="0.25">
      <c r="A225" s="76" t="s">
        <v>390</v>
      </c>
      <c r="B225" s="159" t="s">
        <v>114</v>
      </c>
      <c r="C225" s="46">
        <v>53636</v>
      </c>
      <c r="D225" s="46">
        <f t="shared" si="28"/>
        <v>53636</v>
      </c>
      <c r="E225" s="35">
        <f t="shared" si="26"/>
        <v>0</v>
      </c>
      <c r="F225" s="77"/>
    </row>
    <row r="226" spans="1:7" s="73" customFormat="1" ht="18.75" hidden="1" customHeight="1" outlineLevel="1" x14ac:dyDescent="0.25">
      <c r="A226" s="76" t="s">
        <v>391</v>
      </c>
      <c r="B226" s="153" t="s">
        <v>116</v>
      </c>
      <c r="C226" s="46">
        <v>0</v>
      </c>
      <c r="D226" s="46">
        <f t="shared" si="28"/>
        <v>0</v>
      </c>
      <c r="E226" s="35">
        <f t="shared" si="26"/>
        <v>0</v>
      </c>
      <c r="F226" s="77"/>
    </row>
    <row r="227" spans="1:7" s="73" customFormat="1" ht="45" customHeight="1" collapsed="1" x14ac:dyDescent="0.25">
      <c r="A227" s="76" t="s">
        <v>391</v>
      </c>
      <c r="B227" s="159" t="s">
        <v>392</v>
      </c>
      <c r="C227" s="46">
        <v>0</v>
      </c>
      <c r="D227" s="46">
        <f t="shared" si="28"/>
        <v>0</v>
      </c>
      <c r="E227" s="35">
        <f t="shared" si="26"/>
        <v>0</v>
      </c>
      <c r="F227" s="77"/>
    </row>
    <row r="228" spans="1:7" ht="43.5" customHeight="1" x14ac:dyDescent="0.25">
      <c r="A228" s="76" t="s">
        <v>393</v>
      </c>
      <c r="B228" s="159" t="s">
        <v>142</v>
      </c>
      <c r="C228" s="46">
        <v>47219</v>
      </c>
      <c r="D228" s="46">
        <f t="shared" si="28"/>
        <v>47219</v>
      </c>
      <c r="E228" s="35">
        <f t="shared" si="26"/>
        <v>0</v>
      </c>
      <c r="F228" s="77"/>
    </row>
    <row r="229" spans="1:7" x14ac:dyDescent="0.25">
      <c r="A229" s="183" t="s">
        <v>64</v>
      </c>
      <c r="B229" s="162" t="s">
        <v>394</v>
      </c>
      <c r="C229" s="172">
        <f t="shared" ref="C229:D229" si="30">C230+C231+C236+C241+C246+C251+C255+C267+C287+C290+C293+C294+C295+C296+C297+C298+C299+C300+C301</f>
        <v>36616746</v>
      </c>
      <c r="D229" s="172">
        <f t="shared" si="30"/>
        <v>36624786</v>
      </c>
      <c r="E229" s="172">
        <f t="shared" si="26"/>
        <v>8040</v>
      </c>
      <c r="F229" s="172"/>
      <c r="G229" s="109"/>
    </row>
    <row r="230" spans="1:7" ht="27.6" customHeight="1" x14ac:dyDescent="0.25">
      <c r="A230" s="76" t="s">
        <v>66</v>
      </c>
      <c r="B230" s="160" t="s">
        <v>395</v>
      </c>
      <c r="C230" s="46">
        <v>800000</v>
      </c>
      <c r="D230" s="46">
        <f t="shared" si="28"/>
        <v>800000</v>
      </c>
      <c r="E230" s="35">
        <f t="shared" si="26"/>
        <v>0</v>
      </c>
      <c r="F230" s="50"/>
    </row>
    <row r="231" spans="1:7" ht="17.45" customHeight="1" x14ac:dyDescent="0.25">
      <c r="A231" s="76" t="s">
        <v>68</v>
      </c>
      <c r="B231" s="160" t="s">
        <v>396</v>
      </c>
      <c r="C231" s="46">
        <f t="shared" ref="C231:D231" si="31">SUM(C232:C235)</f>
        <v>2528122</v>
      </c>
      <c r="D231" s="46">
        <f t="shared" si="31"/>
        <v>2527822</v>
      </c>
      <c r="E231" s="35">
        <f t="shared" si="26"/>
        <v>-300</v>
      </c>
      <c r="F231" s="77"/>
    </row>
    <row r="232" spans="1:7" ht="25.15" customHeight="1" x14ac:dyDescent="0.25">
      <c r="A232" s="80" t="s">
        <v>397</v>
      </c>
      <c r="B232" s="146" t="s">
        <v>398</v>
      </c>
      <c r="C232" s="111">
        <v>386470</v>
      </c>
      <c r="D232" s="111">
        <f t="shared" si="28"/>
        <v>386470</v>
      </c>
      <c r="E232" s="110">
        <f t="shared" si="26"/>
        <v>0</v>
      </c>
      <c r="F232" s="33"/>
    </row>
    <row r="233" spans="1:7" ht="32.25" customHeight="1" x14ac:dyDescent="0.25">
      <c r="A233" s="80" t="s">
        <v>399</v>
      </c>
      <c r="B233" s="146" t="s">
        <v>400</v>
      </c>
      <c r="C233" s="111">
        <v>1691795</v>
      </c>
      <c r="D233" s="111">
        <f>ROUND(C233,0)-300</f>
        <v>1691495</v>
      </c>
      <c r="E233" s="110">
        <f t="shared" si="26"/>
        <v>-300</v>
      </c>
      <c r="F233" s="101" t="s">
        <v>401</v>
      </c>
      <c r="G233" s="47"/>
    </row>
    <row r="234" spans="1:7" ht="44.25" customHeight="1" x14ac:dyDescent="0.25">
      <c r="A234" s="80" t="s">
        <v>402</v>
      </c>
      <c r="B234" s="146" t="s">
        <v>133</v>
      </c>
      <c r="C234" s="111">
        <v>2857</v>
      </c>
      <c r="D234" s="111">
        <f>ROUND(C234,0)</f>
        <v>2857</v>
      </c>
      <c r="E234" s="110">
        <f t="shared" si="26"/>
        <v>0</v>
      </c>
      <c r="F234" s="112"/>
      <c r="G234" s="47"/>
    </row>
    <row r="235" spans="1:7" ht="17.25" customHeight="1" x14ac:dyDescent="0.25">
      <c r="A235" s="80" t="s">
        <v>403</v>
      </c>
      <c r="B235" s="146" t="s">
        <v>404</v>
      </c>
      <c r="C235" s="111">
        <v>447000</v>
      </c>
      <c r="D235" s="111">
        <f>ROUND(C235,0)</f>
        <v>447000</v>
      </c>
      <c r="E235" s="110">
        <f t="shared" si="26"/>
        <v>0</v>
      </c>
      <c r="F235" s="102"/>
    </row>
    <row r="236" spans="1:7" ht="18" customHeight="1" x14ac:dyDescent="0.25">
      <c r="A236" s="76" t="s">
        <v>70</v>
      </c>
      <c r="B236" s="160" t="s">
        <v>405</v>
      </c>
      <c r="C236" s="46">
        <f t="shared" ref="C236:F236" si="32">C237+C238+C239+C240</f>
        <v>1472568</v>
      </c>
      <c r="D236" s="46">
        <f t="shared" si="32"/>
        <v>1472568</v>
      </c>
      <c r="E236" s="35">
        <f t="shared" si="32"/>
        <v>0</v>
      </c>
      <c r="F236" s="77">
        <f t="shared" si="32"/>
        <v>0</v>
      </c>
    </row>
    <row r="237" spans="1:7" ht="25.9" customHeight="1" x14ac:dyDescent="0.25">
      <c r="A237" s="80" t="s">
        <v>406</v>
      </c>
      <c r="B237" s="146" t="s">
        <v>398</v>
      </c>
      <c r="C237" s="24">
        <v>167072</v>
      </c>
      <c r="D237" s="24">
        <f t="shared" si="28"/>
        <v>167072</v>
      </c>
      <c r="E237" s="23">
        <f t="shared" si="26"/>
        <v>0</v>
      </c>
      <c r="F237" s="33"/>
    </row>
    <row r="238" spans="1:7" ht="13.5" customHeight="1" x14ac:dyDescent="0.25">
      <c r="A238" s="80" t="s">
        <v>407</v>
      </c>
      <c r="B238" s="146" t="s">
        <v>400</v>
      </c>
      <c r="C238" s="24">
        <v>1068814</v>
      </c>
      <c r="D238" s="24">
        <f t="shared" si="28"/>
        <v>1068814</v>
      </c>
      <c r="E238" s="23">
        <f t="shared" si="26"/>
        <v>0</v>
      </c>
      <c r="F238" s="33"/>
      <c r="G238" s="47"/>
    </row>
    <row r="239" spans="1:7" ht="45" customHeight="1" x14ac:dyDescent="0.25">
      <c r="A239" s="80" t="s">
        <v>408</v>
      </c>
      <c r="B239" s="146" t="s">
        <v>133</v>
      </c>
      <c r="C239" s="24">
        <v>1643</v>
      </c>
      <c r="D239" s="24">
        <f t="shared" si="28"/>
        <v>1643</v>
      </c>
      <c r="E239" s="23">
        <f t="shared" si="26"/>
        <v>0</v>
      </c>
      <c r="F239" s="33"/>
      <c r="G239" s="47"/>
    </row>
    <row r="240" spans="1:7" ht="16.899999999999999" customHeight="1" x14ac:dyDescent="0.25">
      <c r="A240" s="80" t="s">
        <v>409</v>
      </c>
      <c r="B240" s="146" t="s">
        <v>404</v>
      </c>
      <c r="C240" s="24">
        <v>235039</v>
      </c>
      <c r="D240" s="24">
        <f t="shared" si="28"/>
        <v>235039</v>
      </c>
      <c r="E240" s="23">
        <f t="shared" si="26"/>
        <v>0</v>
      </c>
      <c r="F240" s="33"/>
    </row>
    <row r="241" spans="1:7" ht="27.6" customHeight="1" x14ac:dyDescent="0.25">
      <c r="A241" s="76" t="s">
        <v>410</v>
      </c>
      <c r="B241" s="160" t="s">
        <v>411</v>
      </c>
      <c r="C241" s="46">
        <f t="shared" ref="C241:F241" si="33">C242+C243+C244+C245</f>
        <v>1764581</v>
      </c>
      <c r="D241" s="46">
        <f t="shared" si="33"/>
        <v>1764581</v>
      </c>
      <c r="E241" s="35">
        <f t="shared" si="33"/>
        <v>0</v>
      </c>
      <c r="F241" s="77">
        <f t="shared" si="33"/>
        <v>0</v>
      </c>
    </row>
    <row r="242" spans="1:7" ht="13.5" customHeight="1" x14ac:dyDescent="0.25">
      <c r="A242" s="80" t="s">
        <v>412</v>
      </c>
      <c r="B242" s="146" t="s">
        <v>398</v>
      </c>
      <c r="C242" s="24">
        <v>201671</v>
      </c>
      <c r="D242" s="24">
        <f t="shared" si="28"/>
        <v>201671</v>
      </c>
      <c r="E242" s="23">
        <f t="shared" si="26"/>
        <v>0</v>
      </c>
      <c r="F242" s="33"/>
    </row>
    <row r="243" spans="1:7" ht="15.6" customHeight="1" x14ac:dyDescent="0.25">
      <c r="A243" s="80" t="s">
        <v>413</v>
      </c>
      <c r="B243" s="146" t="s">
        <v>400</v>
      </c>
      <c r="C243" s="24">
        <v>1322431</v>
      </c>
      <c r="D243" s="24">
        <f t="shared" si="28"/>
        <v>1322431</v>
      </c>
      <c r="E243" s="23">
        <f t="shared" si="26"/>
        <v>0</v>
      </c>
      <c r="F243" s="101"/>
      <c r="G243" s="47"/>
    </row>
    <row r="244" spans="1:7" ht="44.25" customHeight="1" x14ac:dyDescent="0.25">
      <c r="A244" s="80" t="s">
        <v>414</v>
      </c>
      <c r="B244" s="146" t="s">
        <v>133</v>
      </c>
      <c r="C244" s="24">
        <v>2219</v>
      </c>
      <c r="D244" s="24">
        <f t="shared" si="28"/>
        <v>2219</v>
      </c>
      <c r="E244" s="23">
        <f t="shared" si="26"/>
        <v>0</v>
      </c>
      <c r="F244" s="112"/>
      <c r="G244" s="47"/>
    </row>
    <row r="245" spans="1:7" ht="17.45" customHeight="1" x14ac:dyDescent="0.25">
      <c r="A245" s="80" t="s">
        <v>415</v>
      </c>
      <c r="B245" s="146" t="s">
        <v>404</v>
      </c>
      <c r="C245" s="24">
        <v>238260</v>
      </c>
      <c r="D245" s="24">
        <f t="shared" si="28"/>
        <v>238260</v>
      </c>
      <c r="E245" s="23">
        <f t="shared" si="26"/>
        <v>0</v>
      </c>
      <c r="F245" s="102"/>
    </row>
    <row r="246" spans="1:7" x14ac:dyDescent="0.25">
      <c r="A246" s="76" t="s">
        <v>416</v>
      </c>
      <c r="B246" s="160" t="s">
        <v>417</v>
      </c>
      <c r="C246" s="46">
        <f>SUM(C247:C250)</f>
        <v>1597860</v>
      </c>
      <c r="D246" s="46">
        <f>SUM(D247:D250)</f>
        <v>1597860</v>
      </c>
      <c r="E246" s="35">
        <f t="shared" si="26"/>
        <v>0</v>
      </c>
      <c r="F246" s="77"/>
    </row>
    <row r="247" spans="1:7" s="113" customFormat="1" ht="26.45" customHeight="1" x14ac:dyDescent="0.25">
      <c r="A247" s="80" t="s">
        <v>418</v>
      </c>
      <c r="B247" s="146" t="s">
        <v>398</v>
      </c>
      <c r="C247" s="24">
        <v>213378</v>
      </c>
      <c r="D247" s="24">
        <f t="shared" si="28"/>
        <v>213378</v>
      </c>
      <c r="E247" s="110">
        <f t="shared" si="26"/>
        <v>0</v>
      </c>
      <c r="F247" s="33"/>
    </row>
    <row r="248" spans="1:7" s="113" customFormat="1" ht="15.6" customHeight="1" x14ac:dyDescent="0.25">
      <c r="A248" s="80" t="s">
        <v>419</v>
      </c>
      <c r="B248" s="146" t="s">
        <v>400</v>
      </c>
      <c r="C248" s="24">
        <v>1205664</v>
      </c>
      <c r="D248" s="24">
        <f t="shared" si="28"/>
        <v>1205664</v>
      </c>
      <c r="E248" s="110">
        <f t="shared" si="26"/>
        <v>0</v>
      </c>
      <c r="F248" s="33"/>
      <c r="G248" s="114"/>
    </row>
    <row r="249" spans="1:7" s="113" customFormat="1" ht="43.5" customHeight="1" x14ac:dyDescent="0.25">
      <c r="A249" s="80" t="s">
        <v>420</v>
      </c>
      <c r="B249" s="146" t="s">
        <v>133</v>
      </c>
      <c r="C249" s="24">
        <v>2496</v>
      </c>
      <c r="D249" s="24">
        <f t="shared" si="28"/>
        <v>2496</v>
      </c>
      <c r="E249" s="110">
        <f t="shared" si="26"/>
        <v>0</v>
      </c>
      <c r="F249" s="33"/>
      <c r="G249" s="114"/>
    </row>
    <row r="250" spans="1:7" s="113" customFormat="1" ht="13.9" customHeight="1" x14ac:dyDescent="0.25">
      <c r="A250" s="80" t="s">
        <v>421</v>
      </c>
      <c r="B250" s="146" t="s">
        <v>404</v>
      </c>
      <c r="C250" s="24">
        <v>176322</v>
      </c>
      <c r="D250" s="24">
        <f t="shared" si="28"/>
        <v>176322</v>
      </c>
      <c r="E250" s="110">
        <f t="shared" si="26"/>
        <v>0</v>
      </c>
      <c r="F250" s="33"/>
    </row>
    <row r="251" spans="1:7" x14ac:dyDescent="0.25">
      <c r="A251" s="76" t="s">
        <v>422</v>
      </c>
      <c r="B251" s="160" t="s">
        <v>423</v>
      </c>
      <c r="C251" s="46">
        <f>C252+C253+C254</f>
        <v>3367469</v>
      </c>
      <c r="D251" s="46">
        <f>D252+D253+D254</f>
        <v>3367469</v>
      </c>
      <c r="E251" s="35">
        <f t="shared" si="26"/>
        <v>0</v>
      </c>
      <c r="F251" s="77"/>
    </row>
    <row r="252" spans="1:7" s="113" customFormat="1" ht="18.600000000000001" customHeight="1" x14ac:dyDescent="0.25">
      <c r="A252" s="115" t="s">
        <v>424</v>
      </c>
      <c r="B252" s="146" t="s">
        <v>425</v>
      </c>
      <c r="C252" s="24">
        <v>700669</v>
      </c>
      <c r="D252" s="24">
        <f>ROUND(C252,0)</f>
        <v>700669</v>
      </c>
      <c r="E252" s="110">
        <f t="shared" si="26"/>
        <v>0</v>
      </c>
      <c r="F252" s="33"/>
    </row>
    <row r="253" spans="1:7" s="113" customFormat="1" ht="16.149999999999999" customHeight="1" x14ac:dyDescent="0.25">
      <c r="A253" s="115" t="s">
        <v>426</v>
      </c>
      <c r="B253" s="146" t="s">
        <v>427</v>
      </c>
      <c r="C253" s="24">
        <v>2381500</v>
      </c>
      <c r="D253" s="24">
        <f t="shared" si="28"/>
        <v>2381500</v>
      </c>
      <c r="E253" s="110">
        <f t="shared" si="26"/>
        <v>0</v>
      </c>
      <c r="F253" s="25"/>
    </row>
    <row r="254" spans="1:7" ht="14.45" customHeight="1" x14ac:dyDescent="0.25">
      <c r="A254" s="80" t="s">
        <v>428</v>
      </c>
      <c r="B254" s="146" t="s">
        <v>429</v>
      </c>
      <c r="C254" s="24">
        <v>285300</v>
      </c>
      <c r="D254" s="24">
        <f t="shared" si="28"/>
        <v>285300</v>
      </c>
      <c r="E254" s="110">
        <f t="shared" si="26"/>
        <v>0</v>
      </c>
      <c r="F254" s="25"/>
    </row>
    <row r="255" spans="1:7" s="73" customFormat="1" ht="15.75" customHeight="1" x14ac:dyDescent="0.25">
      <c r="A255" s="76" t="s">
        <v>430</v>
      </c>
      <c r="B255" s="160" t="s">
        <v>431</v>
      </c>
      <c r="C255" s="82">
        <f t="shared" ref="C255:D255" si="34">C256+SUM(C260:C266)</f>
        <v>3231179</v>
      </c>
      <c r="D255" s="82">
        <f t="shared" si="34"/>
        <v>3231139</v>
      </c>
      <c r="E255" s="81">
        <f t="shared" si="26"/>
        <v>-40</v>
      </c>
      <c r="F255" s="85"/>
    </row>
    <row r="256" spans="1:7" s="21" customFormat="1" ht="24.6" customHeight="1" x14ac:dyDescent="0.25">
      <c r="A256" s="80" t="s">
        <v>432</v>
      </c>
      <c r="B256" s="146" t="s">
        <v>398</v>
      </c>
      <c r="C256" s="24">
        <f>C257+C258+C259</f>
        <v>1830248</v>
      </c>
      <c r="D256" s="24">
        <f>D257+D258+D259</f>
        <v>1830248</v>
      </c>
      <c r="E256" s="23">
        <f t="shared" si="26"/>
        <v>0</v>
      </c>
      <c r="F256" s="33"/>
    </row>
    <row r="257" spans="1:8" s="117" customFormat="1" ht="33.75" customHeight="1" x14ac:dyDescent="0.25">
      <c r="A257" s="87" t="s">
        <v>433</v>
      </c>
      <c r="B257" s="152" t="s">
        <v>434</v>
      </c>
      <c r="C257" s="116">
        <v>1692220</v>
      </c>
      <c r="D257" s="116">
        <f>ROUND(C257,0)</f>
        <v>1692220</v>
      </c>
      <c r="E257" s="92">
        <f t="shared" si="26"/>
        <v>0</v>
      </c>
      <c r="F257" s="96"/>
    </row>
    <row r="258" spans="1:8" s="117" customFormat="1" ht="29.45" customHeight="1" x14ac:dyDescent="0.25">
      <c r="A258" s="87" t="s">
        <v>435</v>
      </c>
      <c r="B258" s="152" t="s">
        <v>436</v>
      </c>
      <c r="C258" s="116">
        <v>137869</v>
      </c>
      <c r="D258" s="116">
        <f>ROUND(C258,0)</f>
        <v>137869</v>
      </c>
      <c r="E258" s="92">
        <f t="shared" si="26"/>
        <v>0</v>
      </c>
      <c r="F258" s="96"/>
    </row>
    <row r="259" spans="1:8" s="117" customFormat="1" ht="17.25" customHeight="1" x14ac:dyDescent="0.25">
      <c r="A259" s="87" t="s">
        <v>437</v>
      </c>
      <c r="B259" s="152" t="s">
        <v>438</v>
      </c>
      <c r="C259" s="116">
        <v>159</v>
      </c>
      <c r="D259" s="116">
        <f t="shared" ref="D259:D266" si="35">ROUND(C259,0)</f>
        <v>159</v>
      </c>
      <c r="E259" s="92">
        <f t="shared" si="26"/>
        <v>0</v>
      </c>
      <c r="F259" s="96"/>
    </row>
    <row r="260" spans="1:8" s="21" customFormat="1" x14ac:dyDescent="0.25">
      <c r="A260" s="80" t="s">
        <v>439</v>
      </c>
      <c r="B260" s="146" t="s">
        <v>440</v>
      </c>
      <c r="C260" s="62">
        <v>104143</v>
      </c>
      <c r="D260" s="62">
        <f t="shared" si="35"/>
        <v>104143</v>
      </c>
      <c r="E260" s="23">
        <f t="shared" si="26"/>
        <v>0</v>
      </c>
      <c r="F260" s="33"/>
    </row>
    <row r="261" spans="1:8" s="21" customFormat="1" ht="31.5" customHeight="1" x14ac:dyDescent="0.25">
      <c r="A261" s="80" t="s">
        <v>441</v>
      </c>
      <c r="B261" s="146" t="s">
        <v>400</v>
      </c>
      <c r="C261" s="24">
        <v>867411</v>
      </c>
      <c r="D261" s="24">
        <f>ROUND(C261,0)</f>
        <v>867411</v>
      </c>
      <c r="E261" s="23">
        <f t="shared" si="26"/>
        <v>0</v>
      </c>
      <c r="F261" s="101"/>
      <c r="G261" s="118"/>
    </row>
    <row r="262" spans="1:8" s="21" customFormat="1" ht="16.899999999999999" customHeight="1" x14ac:dyDescent="0.25">
      <c r="A262" s="80" t="s">
        <v>442</v>
      </c>
      <c r="B262" s="146" t="s">
        <v>404</v>
      </c>
      <c r="C262" s="24">
        <v>329532</v>
      </c>
      <c r="D262" s="24">
        <f>ROUND(C262,0)</f>
        <v>329532</v>
      </c>
      <c r="E262" s="23">
        <f t="shared" si="26"/>
        <v>0</v>
      </c>
      <c r="F262" s="102"/>
    </row>
    <row r="263" spans="1:8" s="21" customFormat="1" ht="16.899999999999999" customHeight="1" x14ac:dyDescent="0.25">
      <c r="A263" s="80" t="s">
        <v>443</v>
      </c>
      <c r="B263" s="146" t="s">
        <v>444</v>
      </c>
      <c r="C263" s="24">
        <v>17776</v>
      </c>
      <c r="D263" s="24">
        <f>ROUND(C263,0)-40</f>
        <v>17736</v>
      </c>
      <c r="E263" s="23">
        <f t="shared" si="26"/>
        <v>-40</v>
      </c>
      <c r="F263" s="25" t="s">
        <v>102</v>
      </c>
    </row>
    <row r="264" spans="1:8" s="21" customFormat="1" ht="49.5" customHeight="1" x14ac:dyDescent="0.25">
      <c r="A264" s="80" t="s">
        <v>445</v>
      </c>
      <c r="B264" s="146" t="s">
        <v>133</v>
      </c>
      <c r="C264" s="24">
        <v>15473</v>
      </c>
      <c r="D264" s="24">
        <f t="shared" ref="D264" si="36">ROUND(C264,0)</f>
        <v>15473</v>
      </c>
      <c r="E264" s="23">
        <f t="shared" si="26"/>
        <v>0</v>
      </c>
      <c r="F264" s="25"/>
    </row>
    <row r="265" spans="1:8" s="73" customFormat="1" ht="15.6" customHeight="1" x14ac:dyDescent="0.25">
      <c r="A265" s="80" t="s">
        <v>446</v>
      </c>
      <c r="B265" s="146" t="s">
        <v>447</v>
      </c>
      <c r="C265" s="24">
        <v>66596</v>
      </c>
      <c r="D265" s="24">
        <f t="shared" si="35"/>
        <v>66596</v>
      </c>
      <c r="E265" s="23">
        <f t="shared" si="26"/>
        <v>0</v>
      </c>
      <c r="F265" s="25"/>
    </row>
    <row r="266" spans="1:8" s="73" customFormat="1" ht="15" customHeight="1" x14ac:dyDescent="0.25">
      <c r="A266" s="80" t="s">
        <v>448</v>
      </c>
      <c r="B266" s="146" t="s">
        <v>449</v>
      </c>
      <c r="C266" s="24">
        <v>0</v>
      </c>
      <c r="D266" s="24">
        <f t="shared" si="35"/>
        <v>0</v>
      </c>
      <c r="E266" s="23">
        <f t="shared" si="26"/>
        <v>0</v>
      </c>
      <c r="F266" s="25"/>
    </row>
    <row r="267" spans="1:8" s="21" customFormat="1" ht="15.75" customHeight="1" x14ac:dyDescent="0.25">
      <c r="A267" s="76" t="s">
        <v>450</v>
      </c>
      <c r="B267" s="160" t="s">
        <v>451</v>
      </c>
      <c r="C267" s="81">
        <f t="shared" ref="C267:E267" si="37">C268+C272+C273+C274+C275+C276+C277+C278+C279+C280+C281+C282</f>
        <v>8577054</v>
      </c>
      <c r="D267" s="81">
        <f t="shared" si="37"/>
        <v>8577434</v>
      </c>
      <c r="E267" s="82">
        <f t="shared" si="37"/>
        <v>380</v>
      </c>
      <c r="F267" s="82"/>
    </row>
    <row r="268" spans="1:8" s="21" customFormat="1" ht="27" customHeight="1" x14ac:dyDescent="0.25">
      <c r="A268" s="80" t="s">
        <v>452</v>
      </c>
      <c r="B268" s="146" t="s">
        <v>398</v>
      </c>
      <c r="C268" s="24">
        <f>SUM(C269:C271)</f>
        <v>4972819</v>
      </c>
      <c r="D268" s="24">
        <f>SUM(D269:D271)</f>
        <v>4972819</v>
      </c>
      <c r="E268" s="23">
        <f t="shared" si="26"/>
        <v>0</v>
      </c>
      <c r="F268" s="33"/>
    </row>
    <row r="269" spans="1:8" s="117" customFormat="1" ht="30.75" customHeight="1" x14ac:dyDescent="0.25">
      <c r="A269" s="87" t="s">
        <v>453</v>
      </c>
      <c r="B269" s="152" t="s">
        <v>434</v>
      </c>
      <c r="C269" s="116">
        <v>4524017</v>
      </c>
      <c r="D269" s="116">
        <f>ROUND(C269,0)</f>
        <v>4524017</v>
      </c>
      <c r="E269" s="92">
        <f t="shared" si="26"/>
        <v>0</v>
      </c>
      <c r="F269" s="96"/>
    </row>
    <row r="270" spans="1:8" s="117" customFormat="1" ht="32.450000000000003" customHeight="1" x14ac:dyDescent="0.25">
      <c r="A270" s="87" t="s">
        <v>454</v>
      </c>
      <c r="B270" s="152" t="s">
        <v>436</v>
      </c>
      <c r="C270" s="116">
        <v>423575</v>
      </c>
      <c r="D270" s="116">
        <f>ROUND(C270,0)</f>
        <v>423575</v>
      </c>
      <c r="E270" s="92">
        <f t="shared" si="26"/>
        <v>0</v>
      </c>
      <c r="F270" s="96"/>
    </row>
    <row r="271" spans="1:8" s="117" customFormat="1" ht="17.25" customHeight="1" x14ac:dyDescent="0.25">
      <c r="A271" s="87" t="s">
        <v>455</v>
      </c>
      <c r="B271" s="152" t="s">
        <v>438</v>
      </c>
      <c r="C271" s="116">
        <v>25227</v>
      </c>
      <c r="D271" s="116">
        <f t="shared" ref="D271:D281" si="38">ROUND(C271,0)</f>
        <v>25227</v>
      </c>
      <c r="E271" s="92">
        <f t="shared" si="26"/>
        <v>0</v>
      </c>
      <c r="F271" s="96"/>
    </row>
    <row r="272" spans="1:8" s="21" customFormat="1" ht="15" customHeight="1" x14ac:dyDescent="0.25">
      <c r="A272" s="80" t="s">
        <v>456</v>
      </c>
      <c r="B272" s="146" t="s">
        <v>400</v>
      </c>
      <c r="C272" s="24">
        <v>1028492</v>
      </c>
      <c r="D272" s="24">
        <f>ROUND(C272,0)+300</f>
        <v>1028792</v>
      </c>
      <c r="E272" s="23">
        <f t="shared" ref="E272:E310" si="39">D272-C272</f>
        <v>300</v>
      </c>
      <c r="F272" s="101" t="s">
        <v>401</v>
      </c>
      <c r="G272" s="117"/>
      <c r="H272" s="117"/>
    </row>
    <row r="273" spans="1:8" s="21" customFormat="1" ht="31.9" customHeight="1" x14ac:dyDescent="0.25">
      <c r="A273" s="80" t="s">
        <v>457</v>
      </c>
      <c r="B273" s="146" t="s">
        <v>404</v>
      </c>
      <c r="C273" s="24">
        <v>776305</v>
      </c>
      <c r="D273" s="24">
        <f>ROUND(C273,0)</f>
        <v>776305</v>
      </c>
      <c r="E273" s="23">
        <f t="shared" si="39"/>
        <v>0</v>
      </c>
      <c r="F273" s="102"/>
      <c r="G273" s="117"/>
      <c r="H273" s="117"/>
    </row>
    <row r="274" spans="1:8" s="21" customFormat="1" ht="15" customHeight="1" x14ac:dyDescent="0.25">
      <c r="A274" s="80" t="s">
        <v>458</v>
      </c>
      <c r="B274" s="146" t="s">
        <v>459</v>
      </c>
      <c r="C274" s="24">
        <v>70991</v>
      </c>
      <c r="D274" s="24">
        <f t="shared" si="38"/>
        <v>70991</v>
      </c>
      <c r="E274" s="23">
        <f t="shared" si="39"/>
        <v>0</v>
      </c>
      <c r="F274" s="25"/>
    </row>
    <row r="275" spans="1:8" s="21" customFormat="1" ht="16.149999999999999" customHeight="1" x14ac:dyDescent="0.25">
      <c r="A275" s="80" t="s">
        <v>460</v>
      </c>
      <c r="B275" s="146" t="s">
        <v>444</v>
      </c>
      <c r="C275" s="24">
        <v>42102</v>
      </c>
      <c r="D275" s="24">
        <f>ROUND(C275,0)+80</f>
        <v>42182</v>
      </c>
      <c r="E275" s="23">
        <f t="shared" si="39"/>
        <v>80</v>
      </c>
      <c r="F275" s="25" t="s">
        <v>102</v>
      </c>
    </row>
    <row r="276" spans="1:8" s="21" customFormat="1" ht="47.25" customHeight="1" x14ac:dyDescent="0.25">
      <c r="A276" s="80" t="s">
        <v>461</v>
      </c>
      <c r="B276" s="146" t="s">
        <v>133</v>
      </c>
      <c r="C276" s="24">
        <v>42376</v>
      </c>
      <c r="D276" s="24">
        <f t="shared" ref="D276" si="40">ROUND(C276,0)</f>
        <v>42376</v>
      </c>
      <c r="E276" s="23">
        <f t="shared" si="39"/>
        <v>0</v>
      </c>
      <c r="F276" s="25"/>
    </row>
    <row r="277" spans="1:8" s="119" customFormat="1" ht="31.9" customHeight="1" x14ac:dyDescent="0.25">
      <c r="A277" s="80" t="s">
        <v>462</v>
      </c>
      <c r="B277" s="146" t="s">
        <v>221</v>
      </c>
      <c r="C277" s="24">
        <v>59199</v>
      </c>
      <c r="D277" s="24">
        <f t="shared" si="38"/>
        <v>59199</v>
      </c>
      <c r="E277" s="23">
        <f t="shared" si="39"/>
        <v>0</v>
      </c>
      <c r="F277" s="25"/>
    </row>
    <row r="278" spans="1:8" s="119" customFormat="1" ht="62.25" customHeight="1" x14ac:dyDescent="0.25">
      <c r="A278" s="80" t="s">
        <v>463</v>
      </c>
      <c r="B278" s="146" t="s">
        <v>223</v>
      </c>
      <c r="C278" s="24">
        <v>0</v>
      </c>
      <c r="D278" s="24">
        <f t="shared" si="38"/>
        <v>0</v>
      </c>
      <c r="E278" s="23">
        <f t="shared" si="39"/>
        <v>0</v>
      </c>
      <c r="F278" s="25"/>
    </row>
    <row r="279" spans="1:8" s="119" customFormat="1" ht="21.75" customHeight="1" x14ac:dyDescent="0.25">
      <c r="A279" s="80" t="s">
        <v>464</v>
      </c>
      <c r="B279" s="146" t="s">
        <v>465</v>
      </c>
      <c r="C279" s="24">
        <v>702301</v>
      </c>
      <c r="D279" s="24">
        <f>ROUND(C279,0)</f>
        <v>702301</v>
      </c>
      <c r="E279" s="23">
        <f t="shared" si="39"/>
        <v>0</v>
      </c>
      <c r="F279" s="101"/>
    </row>
    <row r="280" spans="1:8" s="119" customFormat="1" ht="33" customHeight="1" x14ac:dyDescent="0.25">
      <c r="A280" s="80" t="s">
        <v>466</v>
      </c>
      <c r="B280" s="146" t="s">
        <v>467</v>
      </c>
      <c r="C280" s="24">
        <v>393201</v>
      </c>
      <c r="D280" s="24">
        <f>ROUND(C280,0)</f>
        <v>393201</v>
      </c>
      <c r="E280" s="23">
        <f t="shared" si="39"/>
        <v>0</v>
      </c>
      <c r="F280" s="102"/>
      <c r="G280" s="120"/>
    </row>
    <row r="281" spans="1:8" s="119" customFormat="1" ht="15" customHeight="1" x14ac:dyDescent="0.25">
      <c r="A281" s="80" t="s">
        <v>468</v>
      </c>
      <c r="B281" s="146" t="s">
        <v>469</v>
      </c>
      <c r="C281" s="24">
        <v>250743</v>
      </c>
      <c r="D281" s="24">
        <f t="shared" si="38"/>
        <v>250743</v>
      </c>
      <c r="E281" s="23">
        <f t="shared" si="39"/>
        <v>0</v>
      </c>
      <c r="F281" s="33"/>
    </row>
    <row r="282" spans="1:8" s="124" customFormat="1" ht="13.9" customHeight="1" x14ac:dyDescent="0.2">
      <c r="A282" s="121" t="s">
        <v>470</v>
      </c>
      <c r="B282" s="155" t="s">
        <v>471</v>
      </c>
      <c r="C282" s="123">
        <f t="shared" ref="C282:F282" si="41">C283+C284+C285+C286</f>
        <v>238525</v>
      </c>
      <c r="D282" s="123">
        <f t="shared" si="41"/>
        <v>238525</v>
      </c>
      <c r="E282" s="122">
        <f t="shared" si="41"/>
        <v>0</v>
      </c>
      <c r="F282" s="122">
        <f t="shared" si="41"/>
        <v>0</v>
      </c>
    </row>
    <row r="283" spans="1:8" s="119" customFormat="1" ht="36" customHeight="1" x14ac:dyDescent="0.25">
      <c r="A283" s="125" t="s">
        <v>472</v>
      </c>
      <c r="B283" s="146" t="s">
        <v>473</v>
      </c>
      <c r="C283" s="24">
        <v>49111</v>
      </c>
      <c r="D283" s="24">
        <f>ROUND(C283,0)</f>
        <v>49111</v>
      </c>
      <c r="E283" s="23">
        <f t="shared" si="39"/>
        <v>0</v>
      </c>
      <c r="F283" s="33"/>
    </row>
    <row r="284" spans="1:8" s="73" customFormat="1" ht="14.45" customHeight="1" x14ac:dyDescent="0.25">
      <c r="A284" s="125" t="s">
        <v>474</v>
      </c>
      <c r="B284" s="146" t="s">
        <v>475</v>
      </c>
      <c r="C284" s="24">
        <v>170322</v>
      </c>
      <c r="D284" s="24">
        <f>ROUND(C284,0)</f>
        <v>170322</v>
      </c>
      <c r="E284" s="23">
        <f t="shared" si="39"/>
        <v>0</v>
      </c>
      <c r="F284" s="25"/>
      <c r="G284" s="126"/>
    </row>
    <row r="285" spans="1:8" s="73" customFormat="1" ht="51.6" customHeight="1" x14ac:dyDescent="0.25">
      <c r="A285" s="125" t="s">
        <v>476</v>
      </c>
      <c r="B285" s="146" t="s">
        <v>477</v>
      </c>
      <c r="C285" s="24">
        <v>1221</v>
      </c>
      <c r="D285" s="24">
        <f>ROUND(C285,0)</f>
        <v>1221</v>
      </c>
      <c r="E285" s="23">
        <f t="shared" si="39"/>
        <v>0</v>
      </c>
      <c r="F285" s="25"/>
      <c r="G285" s="126"/>
    </row>
    <row r="286" spans="1:8" s="73" customFormat="1" ht="13.9" customHeight="1" x14ac:dyDescent="0.25">
      <c r="A286" s="125" t="s">
        <v>478</v>
      </c>
      <c r="B286" s="146" t="s">
        <v>356</v>
      </c>
      <c r="C286" s="24">
        <v>17871</v>
      </c>
      <c r="D286" s="24">
        <f>ROUND(C286,0)</f>
        <v>17871</v>
      </c>
      <c r="E286" s="23">
        <f t="shared" si="39"/>
        <v>0</v>
      </c>
      <c r="F286" s="25"/>
    </row>
    <row r="287" spans="1:8" ht="18" customHeight="1" x14ac:dyDescent="0.25">
      <c r="A287" s="127" t="s">
        <v>479</v>
      </c>
      <c r="B287" s="160" t="s">
        <v>480</v>
      </c>
      <c r="C287" s="82">
        <f>C288+C289</f>
        <v>1995994</v>
      </c>
      <c r="D287" s="82">
        <f t="shared" ref="D287" si="42">D288+D289</f>
        <v>1995994</v>
      </c>
      <c r="E287" s="81">
        <f t="shared" si="39"/>
        <v>0</v>
      </c>
      <c r="F287" s="81"/>
    </row>
    <row r="288" spans="1:8" ht="13.5" customHeight="1" x14ac:dyDescent="0.25">
      <c r="A288" s="80" t="s">
        <v>481</v>
      </c>
      <c r="B288" s="146" t="s">
        <v>482</v>
      </c>
      <c r="C288" s="24">
        <v>849067</v>
      </c>
      <c r="D288" s="24">
        <f>ROUND(C288,0)</f>
        <v>849067</v>
      </c>
      <c r="E288" s="23">
        <f t="shared" si="39"/>
        <v>0</v>
      </c>
      <c r="F288" s="33"/>
    </row>
    <row r="289" spans="1:7" ht="25.9" customHeight="1" x14ac:dyDescent="0.25">
      <c r="A289" s="80" t="s">
        <v>481</v>
      </c>
      <c r="B289" s="146" t="s">
        <v>400</v>
      </c>
      <c r="C289" s="24">
        <v>1146927</v>
      </c>
      <c r="D289" s="24">
        <f>ROUND(C289,0)</f>
        <v>1146927</v>
      </c>
      <c r="E289" s="23">
        <f t="shared" si="39"/>
        <v>0</v>
      </c>
      <c r="F289" s="128"/>
    </row>
    <row r="290" spans="1:7" ht="16.149999999999999" customHeight="1" x14ac:dyDescent="0.25">
      <c r="A290" s="129" t="s">
        <v>483</v>
      </c>
      <c r="B290" s="160" t="s">
        <v>484</v>
      </c>
      <c r="C290" s="82">
        <f>C291+C292</f>
        <v>915221</v>
      </c>
      <c r="D290" s="82">
        <f>D291+D292</f>
        <v>915221</v>
      </c>
      <c r="E290" s="81">
        <f t="shared" si="39"/>
        <v>0</v>
      </c>
      <c r="F290" s="85"/>
    </row>
    <row r="291" spans="1:7" ht="16.5" customHeight="1" x14ac:dyDescent="0.25">
      <c r="A291" s="80" t="s">
        <v>485</v>
      </c>
      <c r="B291" s="146" t="s">
        <v>482</v>
      </c>
      <c r="C291" s="24">
        <v>339485</v>
      </c>
      <c r="D291" s="24">
        <f t="shared" ref="D291:D300" si="43">ROUND(C291,0)</f>
        <v>339485</v>
      </c>
      <c r="E291" s="23">
        <f t="shared" si="39"/>
        <v>0</v>
      </c>
      <c r="F291" s="25"/>
    </row>
    <row r="292" spans="1:7" ht="16.5" customHeight="1" x14ac:dyDescent="0.25">
      <c r="A292" s="80" t="s">
        <v>486</v>
      </c>
      <c r="B292" s="146" t="s">
        <v>487</v>
      </c>
      <c r="C292" s="24">
        <v>575736</v>
      </c>
      <c r="D292" s="24">
        <f t="shared" si="43"/>
        <v>575736</v>
      </c>
      <c r="E292" s="23">
        <f t="shared" si="39"/>
        <v>0</v>
      </c>
      <c r="F292" s="33"/>
    </row>
    <row r="293" spans="1:7" ht="30.75" customHeight="1" x14ac:dyDescent="0.25">
      <c r="A293" s="129" t="s">
        <v>488</v>
      </c>
      <c r="B293" s="160" t="s">
        <v>489</v>
      </c>
      <c r="C293" s="46">
        <v>753249</v>
      </c>
      <c r="D293" s="46">
        <f>ROUND(C293,0)+8000</f>
        <v>761249</v>
      </c>
      <c r="E293" s="35">
        <f t="shared" si="39"/>
        <v>8000</v>
      </c>
      <c r="F293" s="50" t="s">
        <v>490</v>
      </c>
      <c r="G293" s="47"/>
    </row>
    <row r="294" spans="1:7" ht="69.75" customHeight="1" x14ac:dyDescent="0.25">
      <c r="A294" s="129" t="s">
        <v>491</v>
      </c>
      <c r="B294" s="160" t="s">
        <v>492</v>
      </c>
      <c r="C294" s="46">
        <v>2000</v>
      </c>
      <c r="D294" s="46">
        <f t="shared" si="43"/>
        <v>2000</v>
      </c>
      <c r="E294" s="35">
        <f t="shared" si="39"/>
        <v>0</v>
      </c>
      <c r="F294" s="50"/>
    </row>
    <row r="295" spans="1:7" ht="31.9" hidden="1" customHeight="1" outlineLevel="1" x14ac:dyDescent="0.25">
      <c r="A295" s="129" t="s">
        <v>493</v>
      </c>
      <c r="B295" s="161" t="s">
        <v>494</v>
      </c>
      <c r="C295" s="46">
        <v>0</v>
      </c>
      <c r="D295" s="46">
        <f t="shared" si="43"/>
        <v>0</v>
      </c>
      <c r="E295" s="35">
        <f t="shared" si="39"/>
        <v>0</v>
      </c>
      <c r="F295" s="50" t="s">
        <v>495</v>
      </c>
    </row>
    <row r="296" spans="1:7" ht="27" hidden="1" customHeight="1" outlineLevel="1" x14ac:dyDescent="0.25">
      <c r="A296" s="129" t="s">
        <v>496</v>
      </c>
      <c r="B296" s="161" t="s">
        <v>497</v>
      </c>
      <c r="C296" s="46">
        <v>0</v>
      </c>
      <c r="D296" s="46">
        <f t="shared" si="43"/>
        <v>0</v>
      </c>
      <c r="E296" s="35">
        <f t="shared" si="39"/>
        <v>0</v>
      </c>
      <c r="F296" s="50"/>
    </row>
    <row r="297" spans="1:7" ht="57.6" hidden="1" customHeight="1" outlineLevel="1" x14ac:dyDescent="0.25">
      <c r="A297" s="129" t="s">
        <v>498</v>
      </c>
      <c r="B297" s="161" t="s">
        <v>499</v>
      </c>
      <c r="C297" s="46">
        <v>0</v>
      </c>
      <c r="D297" s="46">
        <f t="shared" si="43"/>
        <v>0</v>
      </c>
      <c r="E297" s="35">
        <f t="shared" si="39"/>
        <v>0</v>
      </c>
      <c r="F297" s="50"/>
    </row>
    <row r="298" spans="1:7" ht="30.6" customHeight="1" collapsed="1" x14ac:dyDescent="0.25">
      <c r="A298" s="127" t="s">
        <v>493</v>
      </c>
      <c r="B298" s="160" t="s">
        <v>149</v>
      </c>
      <c r="C298" s="46">
        <v>8910183</v>
      </c>
      <c r="D298" s="46">
        <f t="shared" si="43"/>
        <v>8910183</v>
      </c>
      <c r="E298" s="35">
        <f t="shared" si="39"/>
        <v>0</v>
      </c>
      <c r="F298" s="50"/>
    </row>
    <row r="299" spans="1:7" ht="45.75" customHeight="1" x14ac:dyDescent="0.25">
      <c r="A299" s="127" t="s">
        <v>496</v>
      </c>
      <c r="B299" s="160" t="s">
        <v>500</v>
      </c>
      <c r="C299" s="46">
        <v>78747</v>
      </c>
      <c r="D299" s="46">
        <f t="shared" si="43"/>
        <v>78747</v>
      </c>
      <c r="E299" s="35">
        <f t="shared" si="39"/>
        <v>0</v>
      </c>
      <c r="F299" s="50"/>
    </row>
    <row r="300" spans="1:7" ht="53.25" customHeight="1" thickBot="1" x14ac:dyDescent="0.3">
      <c r="A300" s="127" t="s">
        <v>498</v>
      </c>
      <c r="B300" s="160" t="s">
        <v>501</v>
      </c>
      <c r="C300" s="46">
        <v>622519</v>
      </c>
      <c r="D300" s="46">
        <f t="shared" si="43"/>
        <v>622519</v>
      </c>
      <c r="E300" s="35">
        <f t="shared" si="39"/>
        <v>0</v>
      </c>
      <c r="F300" s="50"/>
    </row>
    <row r="301" spans="1:7" ht="27" hidden="1" customHeight="1" outlineLevel="1" x14ac:dyDescent="0.25">
      <c r="A301" s="127" t="s">
        <v>502</v>
      </c>
      <c r="B301" s="151" t="s">
        <v>503</v>
      </c>
      <c r="C301" s="36">
        <f>C302+C303</f>
        <v>0</v>
      </c>
      <c r="D301" s="36">
        <f>D302+D303</f>
        <v>0</v>
      </c>
      <c r="E301" s="35">
        <f t="shared" si="39"/>
        <v>0</v>
      </c>
      <c r="F301" s="50"/>
    </row>
    <row r="302" spans="1:7" ht="14.45" hidden="1" customHeight="1" outlineLevel="1" x14ac:dyDescent="0.25">
      <c r="A302" s="80" t="s">
        <v>504</v>
      </c>
      <c r="B302" s="146" t="s">
        <v>505</v>
      </c>
      <c r="C302" s="24"/>
      <c r="D302" s="24"/>
      <c r="E302" s="23">
        <f t="shared" si="39"/>
        <v>0</v>
      </c>
      <c r="F302" s="33" t="s">
        <v>495</v>
      </c>
    </row>
    <row r="303" spans="1:7" s="73" customFormat="1" ht="15" hidden="1" customHeight="1" outlineLevel="1" x14ac:dyDescent="0.25">
      <c r="A303" s="80" t="s">
        <v>506</v>
      </c>
      <c r="B303" s="146" t="s">
        <v>507</v>
      </c>
      <c r="C303" s="24"/>
      <c r="D303" s="24"/>
      <c r="E303" s="23">
        <f t="shared" si="39"/>
        <v>0</v>
      </c>
      <c r="F303" s="33"/>
    </row>
    <row r="304" spans="1:7" s="73" customFormat="1" ht="17.45" hidden="1" customHeight="1" outlineLevel="1" x14ac:dyDescent="0.2">
      <c r="A304" s="78" t="s">
        <v>72</v>
      </c>
      <c r="B304" s="150" t="s">
        <v>508</v>
      </c>
      <c r="C304" s="27">
        <f>SUM(C305:C306)</f>
        <v>0</v>
      </c>
      <c r="D304" s="27">
        <f>SUM(D305:D306)</f>
        <v>0</v>
      </c>
      <c r="E304" s="26">
        <f t="shared" si="39"/>
        <v>0</v>
      </c>
      <c r="F304" s="28"/>
    </row>
    <row r="305" spans="1:6" ht="17.25" hidden="1" customHeight="1" outlineLevel="1" x14ac:dyDescent="0.25">
      <c r="A305" s="76" t="s">
        <v>509</v>
      </c>
      <c r="B305" s="149" t="s">
        <v>510</v>
      </c>
      <c r="C305" s="46"/>
      <c r="D305" s="46"/>
      <c r="E305" s="35">
        <f t="shared" si="39"/>
        <v>0</v>
      </c>
      <c r="F305" s="50"/>
    </row>
    <row r="306" spans="1:6" ht="4.5" hidden="1" customHeight="1" outlineLevel="1" thickBot="1" x14ac:dyDescent="0.3">
      <c r="A306" s="76" t="s">
        <v>511</v>
      </c>
      <c r="B306" s="149" t="s">
        <v>512</v>
      </c>
      <c r="C306" s="46"/>
      <c r="D306" s="46"/>
      <c r="E306" s="35">
        <f t="shared" si="39"/>
        <v>0</v>
      </c>
      <c r="F306" s="50"/>
    </row>
    <row r="307" spans="1:6" s="73" customFormat="1" ht="30" customHeight="1" collapsed="1" thickBot="1" x14ac:dyDescent="0.25">
      <c r="A307" s="130"/>
      <c r="B307" s="156" t="s">
        <v>513</v>
      </c>
      <c r="C307" s="131">
        <f t="shared" ref="C307:D307" si="44">C130+C140+C141+C146+C148+C194+C209+C229+C304</f>
        <v>82419351</v>
      </c>
      <c r="D307" s="131">
        <f t="shared" si="44"/>
        <v>82473217</v>
      </c>
      <c r="E307" s="132">
        <f t="shared" si="39"/>
        <v>53866</v>
      </c>
      <c r="F307" s="132"/>
    </row>
    <row r="308" spans="1:6" s="21" customFormat="1" ht="15" customHeight="1" thickTop="1" thickBot="1" x14ac:dyDescent="0.3">
      <c r="A308" s="183" t="s">
        <v>171</v>
      </c>
      <c r="B308" s="162" t="s">
        <v>514</v>
      </c>
      <c r="C308" s="173">
        <v>3907497</v>
      </c>
      <c r="D308" s="173">
        <f>ROUND(C308,0)</f>
        <v>3907497</v>
      </c>
      <c r="E308" s="172">
        <f t="shared" si="39"/>
        <v>0</v>
      </c>
      <c r="F308" s="184"/>
    </row>
    <row r="309" spans="1:6" ht="15.75" thickBot="1" x14ac:dyDescent="0.3">
      <c r="A309" s="130"/>
      <c r="B309" s="156" t="s">
        <v>515</v>
      </c>
      <c r="C309" s="133">
        <f>C307+C308</f>
        <v>86326848</v>
      </c>
      <c r="D309" s="133">
        <f>D307+D308</f>
        <v>86380714</v>
      </c>
      <c r="E309" s="134">
        <f t="shared" si="39"/>
        <v>53866</v>
      </c>
      <c r="F309" s="135"/>
    </row>
    <row r="310" spans="1:6" ht="16.5" thickTop="1" thickBot="1" x14ac:dyDescent="0.3">
      <c r="A310" s="185" t="s">
        <v>516</v>
      </c>
      <c r="B310" s="163" t="s">
        <v>517</v>
      </c>
      <c r="C310" s="186">
        <f>C124-C309</f>
        <v>150304.20000000298</v>
      </c>
      <c r="D310" s="186">
        <f>D124-D309-0.2</f>
        <v>111448.8</v>
      </c>
      <c r="E310" s="187">
        <f t="shared" si="39"/>
        <v>-38855.400000002977</v>
      </c>
      <c r="F310" s="184"/>
    </row>
    <row r="312" spans="1:6" x14ac:dyDescent="0.25">
      <c r="F312" s="136"/>
    </row>
    <row r="317" spans="1:6" x14ac:dyDescent="0.25">
      <c r="C317" s="4"/>
      <c r="D317" s="4"/>
      <c r="E317" s="4"/>
    </row>
    <row r="318" spans="1:6" x14ac:dyDescent="0.25">
      <c r="C318" s="4"/>
      <c r="D318" s="4"/>
      <c r="E318" s="4"/>
    </row>
    <row r="319" spans="1:6" x14ac:dyDescent="0.25">
      <c r="C319" s="4"/>
      <c r="D319" s="4"/>
      <c r="E319" s="4"/>
    </row>
    <row r="320" spans="1:6" x14ac:dyDescent="0.25">
      <c r="C320" s="4"/>
      <c r="D320" s="4"/>
      <c r="E320" s="4"/>
    </row>
    <row r="321" spans="3:5" x14ac:dyDescent="0.25">
      <c r="C321" s="4"/>
      <c r="D321" s="4"/>
      <c r="E321" s="4"/>
    </row>
    <row r="322" spans="3:5" x14ac:dyDescent="0.25">
      <c r="C322" s="4"/>
      <c r="D322" s="4"/>
      <c r="E322" s="4"/>
    </row>
    <row r="323" spans="3:5" x14ac:dyDescent="0.25">
      <c r="C323" s="4"/>
      <c r="D323" s="4"/>
      <c r="E323" s="4"/>
    </row>
  </sheetData>
  <mergeCells count="4">
    <mergeCell ref="A2:B2"/>
    <mergeCell ref="A3:B3"/>
    <mergeCell ref="A127:B127"/>
    <mergeCell ref="A128:B128"/>
  </mergeCells>
  <conditionalFormatting sqref="C310:E310">
    <cfRule type="cellIs" dxfId="0" priority="2"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29B1F-3424-4214-92D0-66C5599DAF07}">
  <sheetPr>
    <tabColor rgb="FF92D050"/>
    <pageSetUpPr fitToPage="1"/>
  </sheetPr>
  <dimension ref="A1:AY155"/>
  <sheetViews>
    <sheetView topLeftCell="A133" zoomScaleNormal="100" workbookViewId="0">
      <pane xSplit="3" topLeftCell="D1" activePane="topRight" state="frozen"/>
      <selection activeCell="C1" sqref="C1"/>
      <selection pane="topRight" activeCell="Q154" sqref="Q154"/>
    </sheetView>
  </sheetViews>
  <sheetFormatPr defaultColWidth="8.85546875" defaultRowHeight="15" outlineLevelRow="2" outlineLevelCol="1" x14ac:dyDescent="0.25"/>
  <cols>
    <col min="1" max="1" width="5" style="188" hidden="1" customWidth="1" outlineLevel="1"/>
    <col min="2" max="2" width="3.5703125" style="188" hidden="1" customWidth="1" outlineLevel="1"/>
    <col min="3" max="3" width="4.28515625" style="188" customWidth="1" collapsed="1"/>
    <col min="4" max="4" width="31.85546875" style="188" customWidth="1"/>
    <col min="5" max="5" width="12.28515625" style="190" customWidth="1"/>
    <col min="6" max="6" width="11.5703125" style="188" customWidth="1"/>
    <col min="7" max="7" width="11.7109375" style="188" customWidth="1"/>
    <col min="8" max="8" width="11.42578125" style="188" customWidth="1"/>
    <col min="9" max="9" width="6.42578125" style="188" hidden="1" customWidth="1" outlineLevel="1"/>
    <col min="10" max="10" width="11.85546875" style="190" customWidth="1" collapsed="1"/>
    <col min="11" max="12" width="13.28515625" style="188" hidden="1" customWidth="1" outlineLevel="1"/>
    <col min="13" max="13" width="7.28515625" style="188" hidden="1" customWidth="1" outlineLevel="1"/>
    <col min="14" max="16" width="13.28515625" style="188" hidden="1" customWidth="1" outlineLevel="1"/>
    <col min="17" max="17" width="14.42578125" style="188" customWidth="1" collapsed="1"/>
    <col min="18" max="18" width="12" style="188" customWidth="1"/>
    <col min="19" max="24" width="10.7109375" style="188" customWidth="1"/>
    <col min="25" max="45" width="10.7109375" style="188" hidden="1" customWidth="1" outlineLevel="1"/>
    <col min="46" max="46" width="11.28515625" style="188" hidden="1" customWidth="1" outlineLevel="1"/>
    <col min="47" max="47" width="10.28515625" style="188" hidden="1" customWidth="1" outlineLevel="1"/>
    <col min="48" max="48" width="12.28515625" style="188" customWidth="1" collapsed="1"/>
    <col min="49" max="49" width="11.5703125" style="188" customWidth="1" collapsed="1"/>
    <col min="50" max="16384" width="8.85546875" style="188"/>
  </cols>
  <sheetData>
    <row r="1" spans="1:51" ht="18.75" x14ac:dyDescent="0.3">
      <c r="C1" s="189" t="s">
        <v>520</v>
      </c>
      <c r="K1" s="191"/>
      <c r="L1" s="191"/>
      <c r="M1" s="191"/>
      <c r="N1" s="191"/>
      <c r="O1" s="191"/>
      <c r="Q1" s="192"/>
      <c r="R1" s="193"/>
    </row>
    <row r="2" spans="1:51" ht="18.75" x14ac:dyDescent="0.3">
      <c r="C2" s="189"/>
      <c r="K2" s="192"/>
      <c r="L2" s="192"/>
      <c r="M2" s="192"/>
      <c r="N2" s="192"/>
      <c r="O2" s="192"/>
      <c r="Q2" s="192"/>
      <c r="R2" s="194"/>
    </row>
    <row r="3" spans="1:51" ht="15.75" x14ac:dyDescent="0.25">
      <c r="C3" s="195" t="s">
        <v>521</v>
      </c>
      <c r="K3" s="191"/>
      <c r="L3" s="191"/>
      <c r="M3" s="191"/>
      <c r="N3" s="191"/>
      <c r="O3" s="191"/>
      <c r="P3" s="191"/>
      <c r="Q3" s="192"/>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row>
    <row r="4" spans="1:51" outlineLevel="1" x14ac:dyDescent="0.25">
      <c r="C4" s="197"/>
      <c r="K4" s="192"/>
      <c r="L4" s="192"/>
      <c r="M4" s="192"/>
      <c r="N4" s="192"/>
      <c r="O4" s="192"/>
      <c r="P4" s="198">
        <v>0</v>
      </c>
      <c r="Q4" s="192"/>
      <c r="R4" s="199"/>
      <c r="S4" s="199"/>
      <c r="T4" s="199"/>
      <c r="U4" s="199"/>
      <c r="V4" s="199"/>
      <c r="W4" s="199"/>
      <c r="X4" s="199"/>
      <c r="Y4" s="199"/>
    </row>
    <row r="5" spans="1:51" s="200" customFormat="1" ht="60" x14ac:dyDescent="0.25">
      <c r="B5" s="201" t="s">
        <v>522</v>
      </c>
      <c r="C5" s="202" t="s">
        <v>523</v>
      </c>
      <c r="D5" s="203" t="s">
        <v>524</v>
      </c>
      <c r="E5" s="202" t="s">
        <v>525</v>
      </c>
      <c r="F5" s="202" t="s">
        <v>526</v>
      </c>
      <c r="G5" s="202" t="s">
        <v>527</v>
      </c>
      <c r="H5" s="202" t="s">
        <v>528</v>
      </c>
      <c r="I5" s="202" t="s">
        <v>529</v>
      </c>
      <c r="J5" s="204" t="s">
        <v>530</v>
      </c>
      <c r="K5" s="205" t="s">
        <v>531</v>
      </c>
      <c r="L5" s="205" t="s">
        <v>532</v>
      </c>
      <c r="M5" s="205" t="s">
        <v>533</v>
      </c>
      <c r="N5" s="205" t="s">
        <v>534</v>
      </c>
      <c r="O5" s="205" t="s">
        <v>535</v>
      </c>
      <c r="P5" s="205" t="s">
        <v>536</v>
      </c>
      <c r="Q5" s="206" t="s">
        <v>537</v>
      </c>
      <c r="R5" s="203">
        <v>2026</v>
      </c>
      <c r="S5" s="203">
        <v>2027</v>
      </c>
      <c r="T5" s="203">
        <v>2028</v>
      </c>
      <c r="U5" s="203">
        <v>2029</v>
      </c>
      <c r="V5" s="203">
        <v>2030</v>
      </c>
      <c r="W5" s="203">
        <v>2031</v>
      </c>
      <c r="X5" s="203">
        <v>2032</v>
      </c>
      <c r="Y5" s="203">
        <v>2033</v>
      </c>
      <c r="Z5" s="203">
        <v>2034</v>
      </c>
      <c r="AA5" s="203">
        <v>2035</v>
      </c>
      <c r="AB5" s="203">
        <v>2036</v>
      </c>
      <c r="AC5" s="203">
        <v>2037</v>
      </c>
      <c r="AD5" s="203">
        <v>2038</v>
      </c>
      <c r="AE5" s="203">
        <v>2039</v>
      </c>
      <c r="AF5" s="203">
        <v>2040</v>
      </c>
      <c r="AG5" s="203">
        <v>2041</v>
      </c>
      <c r="AH5" s="203">
        <v>2042</v>
      </c>
      <c r="AI5" s="203">
        <v>2043</v>
      </c>
      <c r="AJ5" s="203">
        <v>2044</v>
      </c>
      <c r="AK5" s="203">
        <v>2045</v>
      </c>
      <c r="AL5" s="203">
        <v>2046</v>
      </c>
      <c r="AM5" s="203">
        <v>2047</v>
      </c>
      <c r="AN5" s="203">
        <v>2048</v>
      </c>
      <c r="AO5" s="203">
        <v>2049</v>
      </c>
      <c r="AP5" s="203">
        <v>2050</v>
      </c>
      <c r="AQ5" s="203">
        <v>2051</v>
      </c>
      <c r="AR5" s="203">
        <v>2052</v>
      </c>
      <c r="AS5" s="203">
        <v>2053</v>
      </c>
      <c r="AT5" s="202" t="s">
        <v>538</v>
      </c>
      <c r="AU5" s="207"/>
      <c r="AV5" s="201" t="s">
        <v>539</v>
      </c>
      <c r="AW5" s="202" t="s">
        <v>540</v>
      </c>
    </row>
    <row r="6" spans="1:51" s="208" customFormat="1" outlineLevel="2" x14ac:dyDescent="0.25">
      <c r="B6" s="209" t="s">
        <v>541</v>
      </c>
      <c r="C6" s="210">
        <v>1</v>
      </c>
      <c r="D6" s="211" t="s">
        <v>542</v>
      </c>
      <c r="E6" s="212" t="s">
        <v>543</v>
      </c>
      <c r="F6" s="213" t="s">
        <v>544</v>
      </c>
      <c r="G6" s="213" t="s">
        <v>545</v>
      </c>
      <c r="H6" s="213" t="s">
        <v>546</v>
      </c>
      <c r="I6" s="213" t="s">
        <v>547</v>
      </c>
      <c r="J6" s="214">
        <v>2099988.0499999998</v>
      </c>
      <c r="K6" s="215">
        <v>1098963.5900000001</v>
      </c>
      <c r="L6" s="215"/>
      <c r="M6" s="215"/>
      <c r="N6" s="211"/>
      <c r="O6" s="211"/>
      <c r="P6" s="211"/>
      <c r="Q6" s="216" t="s">
        <v>548</v>
      </c>
      <c r="R6" s="217">
        <v>97944.8</v>
      </c>
      <c r="S6" s="217">
        <v>97944.8</v>
      </c>
      <c r="T6" s="217">
        <v>97944.8</v>
      </c>
      <c r="U6" s="217">
        <v>97944.8</v>
      </c>
      <c r="V6" s="217">
        <v>97944.8</v>
      </c>
      <c r="W6" s="217">
        <v>97944.8</v>
      </c>
      <c r="X6" s="217">
        <v>97944.8</v>
      </c>
      <c r="Y6" s="217">
        <v>113829.75999999999</v>
      </c>
      <c r="Z6" s="217">
        <v>113829.75999999999</v>
      </c>
      <c r="AA6" s="217">
        <v>113829.75999999999</v>
      </c>
      <c r="AB6" s="217">
        <v>71860.709999999992</v>
      </c>
      <c r="AC6" s="217">
        <v>0</v>
      </c>
      <c r="AD6" s="217">
        <v>0</v>
      </c>
      <c r="AE6" s="217">
        <v>0</v>
      </c>
      <c r="AF6" s="217">
        <v>0</v>
      </c>
      <c r="AG6" s="217">
        <v>0</v>
      </c>
      <c r="AH6" s="217">
        <v>0</v>
      </c>
      <c r="AI6" s="217">
        <v>0</v>
      </c>
      <c r="AJ6" s="217">
        <v>0</v>
      </c>
      <c r="AK6" s="217">
        <v>0</v>
      </c>
      <c r="AL6" s="217">
        <v>0</v>
      </c>
      <c r="AM6" s="217">
        <v>0</v>
      </c>
      <c r="AN6" s="217">
        <v>0</v>
      </c>
      <c r="AO6" s="217">
        <v>0</v>
      </c>
      <c r="AP6" s="217">
        <v>0</v>
      </c>
      <c r="AQ6" s="217">
        <v>0</v>
      </c>
      <c r="AR6" s="217"/>
      <c r="AS6" s="217"/>
      <c r="AT6" s="218">
        <f t="shared" ref="AT6:AT35" si="0">SUM(R6:AS6)</f>
        <v>1098963.5900000001</v>
      </c>
      <c r="AU6" s="219">
        <f t="shared" ref="AU6:AU35" si="1">AT6-SUM(R6:AS6)</f>
        <v>0</v>
      </c>
      <c r="AV6" s="220">
        <f>SUM(Y6:AS6)</f>
        <v>413349.99</v>
      </c>
      <c r="AW6" s="217">
        <f>SUM(R6:X6,AV6)</f>
        <v>1098963.5900000001</v>
      </c>
      <c r="AY6" s="221"/>
    </row>
    <row r="7" spans="1:51" outlineLevel="2" x14ac:dyDescent="0.25">
      <c r="B7" s="222" t="s">
        <v>541</v>
      </c>
      <c r="C7" s="223"/>
      <c r="D7" s="224" t="s">
        <v>549</v>
      </c>
      <c r="E7" s="225"/>
      <c r="F7" s="226"/>
      <c r="G7" s="226"/>
      <c r="H7" s="226"/>
      <c r="I7" s="226"/>
      <c r="J7" s="227"/>
      <c r="K7" s="228"/>
      <c r="L7" s="227" t="s">
        <v>550</v>
      </c>
      <c r="M7" s="227"/>
      <c r="N7" s="229">
        <f>SUM(O7:P7)</f>
        <v>2.4</v>
      </c>
      <c r="O7" s="229">
        <v>2.4</v>
      </c>
      <c r="P7" s="229">
        <f>$P$4</f>
        <v>0</v>
      </c>
      <c r="Q7" s="229" t="s">
        <v>551</v>
      </c>
      <c r="R7" s="230">
        <f>SUM(R6:$AQ6)*$N7/100</f>
        <v>26375.12616</v>
      </c>
      <c r="S7" s="230">
        <f>SUM(S6:$AQ6)*$N7/100</f>
        <v>24024.450959999998</v>
      </c>
      <c r="T7" s="230">
        <f>SUM(T6:$AQ6)*$N7/100</f>
        <v>21673.77576</v>
      </c>
      <c r="U7" s="230">
        <f>SUM(U6:$AQ6)*$N7/100</f>
        <v>19323.100559999999</v>
      </c>
      <c r="V7" s="230">
        <f>SUM(V6:$AQ6)*$N7/100</f>
        <v>16972.425360000001</v>
      </c>
      <c r="W7" s="230">
        <f>SUM(W6:$AQ6)*$N7/100</f>
        <v>14621.750159999998</v>
      </c>
      <c r="X7" s="230">
        <f>SUM(X6:$AQ6)*$N7/100</f>
        <v>12271.07496</v>
      </c>
      <c r="Y7" s="230">
        <f>SUM(Y6:$AQ6)*$N7/100</f>
        <v>9920.3997599999984</v>
      </c>
      <c r="Z7" s="230">
        <f>SUM(Z6:$AQ6)*$N7/100</f>
        <v>7188.4855199999993</v>
      </c>
      <c r="AA7" s="230">
        <f>SUM(AA6:$AQ6)*$N7/100</f>
        <v>4456.5712799999992</v>
      </c>
      <c r="AB7" s="230">
        <f>SUM(AB6:$AQ6)*$N7/100</f>
        <v>1724.6570399999996</v>
      </c>
      <c r="AC7" s="230">
        <v>0</v>
      </c>
      <c r="AD7" s="230">
        <v>0</v>
      </c>
      <c r="AE7" s="230">
        <v>0</v>
      </c>
      <c r="AF7" s="230">
        <v>0</v>
      </c>
      <c r="AG7" s="230">
        <v>0</v>
      </c>
      <c r="AH7" s="230">
        <v>0</v>
      </c>
      <c r="AI7" s="230">
        <v>0</v>
      </c>
      <c r="AJ7" s="230">
        <v>0</v>
      </c>
      <c r="AK7" s="230">
        <v>0</v>
      </c>
      <c r="AL7" s="230">
        <v>0</v>
      </c>
      <c r="AM7" s="230">
        <v>0</v>
      </c>
      <c r="AN7" s="230">
        <v>0</v>
      </c>
      <c r="AO7" s="230">
        <v>0</v>
      </c>
      <c r="AP7" s="230">
        <v>0</v>
      </c>
      <c r="AQ7" s="230">
        <v>0</v>
      </c>
      <c r="AR7" s="230"/>
      <c r="AS7" s="230"/>
      <c r="AT7" s="231">
        <f t="shared" si="0"/>
        <v>158551.81751999998</v>
      </c>
      <c r="AU7" s="219">
        <f t="shared" si="1"/>
        <v>0</v>
      </c>
      <c r="AV7" s="232">
        <f>SUM(Y7:AS7)</f>
        <v>23290.113599999997</v>
      </c>
      <c r="AW7" s="230">
        <f t="shared" ref="AW7:AW70" si="2">SUM(R7:X7,AV7)</f>
        <v>158551.81751999998</v>
      </c>
      <c r="AY7" s="221"/>
    </row>
    <row r="8" spans="1:51" s="208" customFormat="1" outlineLevel="2" x14ac:dyDescent="0.25">
      <c r="B8" s="209" t="s">
        <v>541</v>
      </c>
      <c r="C8" s="210">
        <v>2</v>
      </c>
      <c r="D8" s="211" t="s">
        <v>542</v>
      </c>
      <c r="E8" s="212" t="s">
        <v>552</v>
      </c>
      <c r="F8" s="213" t="s">
        <v>553</v>
      </c>
      <c r="G8" s="213" t="s">
        <v>554</v>
      </c>
      <c r="H8" s="213" t="s">
        <v>555</v>
      </c>
      <c r="I8" s="213" t="s">
        <v>547</v>
      </c>
      <c r="J8" s="214">
        <v>6628759.9400000004</v>
      </c>
      <c r="K8" s="215">
        <v>2355591.2400000002</v>
      </c>
      <c r="L8" s="215"/>
      <c r="M8" s="215"/>
      <c r="N8" s="233"/>
      <c r="O8" s="233"/>
      <c r="P8" s="216"/>
      <c r="Q8" s="216" t="s">
        <v>548</v>
      </c>
      <c r="R8" s="217">
        <v>392598.8</v>
      </c>
      <c r="S8" s="217">
        <v>392598.8</v>
      </c>
      <c r="T8" s="217">
        <v>392598.8</v>
      </c>
      <c r="U8" s="217">
        <v>392598.8</v>
      </c>
      <c r="V8" s="217">
        <v>392598.8</v>
      </c>
      <c r="W8" s="217">
        <v>392597.24</v>
      </c>
      <c r="X8" s="217">
        <v>0</v>
      </c>
      <c r="Y8" s="217">
        <v>0</v>
      </c>
      <c r="Z8" s="217">
        <v>0</v>
      </c>
      <c r="AA8" s="217">
        <v>0</v>
      </c>
      <c r="AB8" s="217">
        <v>0</v>
      </c>
      <c r="AC8" s="217">
        <v>0</v>
      </c>
      <c r="AD8" s="217">
        <v>0</v>
      </c>
      <c r="AE8" s="217">
        <v>0</v>
      </c>
      <c r="AF8" s="217">
        <v>0</v>
      </c>
      <c r="AG8" s="217">
        <v>0</v>
      </c>
      <c r="AH8" s="217">
        <v>0</v>
      </c>
      <c r="AI8" s="217">
        <v>0</v>
      </c>
      <c r="AJ8" s="217">
        <v>0</v>
      </c>
      <c r="AK8" s="217">
        <v>0</v>
      </c>
      <c r="AL8" s="217">
        <v>0</v>
      </c>
      <c r="AM8" s="217">
        <v>0</v>
      </c>
      <c r="AN8" s="217">
        <v>0</v>
      </c>
      <c r="AO8" s="217">
        <v>0</v>
      </c>
      <c r="AP8" s="217">
        <v>0</v>
      </c>
      <c r="AQ8" s="217">
        <v>0</v>
      </c>
      <c r="AR8" s="217"/>
      <c r="AS8" s="217"/>
      <c r="AT8" s="218">
        <f t="shared" si="0"/>
        <v>2355591.2400000002</v>
      </c>
      <c r="AU8" s="219">
        <f t="shared" si="1"/>
        <v>0</v>
      </c>
      <c r="AV8" s="220">
        <f t="shared" ref="AV8:AV71" si="3">SUM(Y8:AS8)</f>
        <v>0</v>
      </c>
      <c r="AW8" s="217">
        <f t="shared" si="2"/>
        <v>2355591.2400000002</v>
      </c>
      <c r="AY8" s="221"/>
    </row>
    <row r="9" spans="1:51" outlineLevel="2" x14ac:dyDescent="0.25">
      <c r="B9" s="222" t="s">
        <v>541</v>
      </c>
      <c r="C9" s="223"/>
      <c r="D9" s="224" t="s">
        <v>556</v>
      </c>
      <c r="E9" s="225"/>
      <c r="F9" s="226"/>
      <c r="G9" s="226"/>
      <c r="H9" s="226"/>
      <c r="I9" s="226"/>
      <c r="J9" s="227"/>
      <c r="K9" s="228"/>
      <c r="L9" s="227" t="s">
        <v>557</v>
      </c>
      <c r="M9" s="227"/>
      <c r="N9" s="229">
        <f t="shared" ref="N9:N63" si="4">SUM(O9:P9)</f>
        <v>2.2999999999999998</v>
      </c>
      <c r="O9" s="229">
        <v>2.2999999999999998</v>
      </c>
      <c r="P9" s="229">
        <f>$P$4</f>
        <v>0</v>
      </c>
      <c r="Q9" s="229" t="s">
        <v>551</v>
      </c>
      <c r="R9" s="230">
        <f>SUM(R8:$AQ8)*$N9/100</f>
        <v>54178.59852</v>
      </c>
      <c r="S9" s="230">
        <f>SUM(S8:$AQ8)*$N9/100</f>
        <v>45148.826119999998</v>
      </c>
      <c r="T9" s="230">
        <f>SUM(T8:$AQ8)*$N9/100-7000</f>
        <v>29119.053719999996</v>
      </c>
      <c r="U9" s="230">
        <f>SUM(U8:$AQ8)*$N9/100</f>
        <v>27089.281319999995</v>
      </c>
      <c r="V9" s="230">
        <f>SUM(V8:$AQ8)*$N9/100</f>
        <v>18059.50892</v>
      </c>
      <c r="W9" s="230">
        <f>SUM(W8:$AQ8)*$N9/100</f>
        <v>9029.7365199999986</v>
      </c>
      <c r="X9" s="230">
        <f>SUM(X8:$AQ8)*$N9/100</f>
        <v>0</v>
      </c>
      <c r="Y9" s="230">
        <v>0</v>
      </c>
      <c r="Z9" s="230">
        <v>0</v>
      </c>
      <c r="AA9" s="230">
        <v>0</v>
      </c>
      <c r="AB9" s="230">
        <v>0</v>
      </c>
      <c r="AC9" s="230">
        <v>0</v>
      </c>
      <c r="AD9" s="230">
        <v>0</v>
      </c>
      <c r="AE9" s="230">
        <v>0</v>
      </c>
      <c r="AF9" s="230">
        <v>0</v>
      </c>
      <c r="AG9" s="230">
        <v>0</v>
      </c>
      <c r="AH9" s="230">
        <v>0</v>
      </c>
      <c r="AI9" s="230">
        <v>0</v>
      </c>
      <c r="AJ9" s="230">
        <v>0</v>
      </c>
      <c r="AK9" s="230">
        <v>0</v>
      </c>
      <c r="AL9" s="230">
        <v>0</v>
      </c>
      <c r="AM9" s="230">
        <v>0</v>
      </c>
      <c r="AN9" s="230">
        <v>0</v>
      </c>
      <c r="AO9" s="230">
        <v>0</v>
      </c>
      <c r="AP9" s="230">
        <v>0</v>
      </c>
      <c r="AQ9" s="230">
        <v>0</v>
      </c>
      <c r="AR9" s="230"/>
      <c r="AS9" s="230"/>
      <c r="AT9" s="231">
        <f t="shared" si="0"/>
        <v>182625.00511999999</v>
      </c>
      <c r="AU9" s="219">
        <f t="shared" si="1"/>
        <v>0</v>
      </c>
      <c r="AV9" s="232">
        <f t="shared" si="3"/>
        <v>0</v>
      </c>
      <c r="AW9" s="230">
        <f t="shared" si="2"/>
        <v>182625.00511999999</v>
      </c>
      <c r="AY9" s="221"/>
    </row>
    <row r="10" spans="1:51" s="208" customFormat="1" outlineLevel="2" x14ac:dyDescent="0.25">
      <c r="A10" s="208" t="s">
        <v>558</v>
      </c>
      <c r="B10" s="209" t="s">
        <v>541</v>
      </c>
      <c r="C10" s="210">
        <v>3</v>
      </c>
      <c r="D10" s="211" t="s">
        <v>559</v>
      </c>
      <c r="E10" s="212" t="s">
        <v>560</v>
      </c>
      <c r="F10" s="213" t="s">
        <v>561</v>
      </c>
      <c r="G10" s="213" t="s">
        <v>562</v>
      </c>
      <c r="H10" s="213" t="s">
        <v>563</v>
      </c>
      <c r="I10" s="213" t="s">
        <v>547</v>
      </c>
      <c r="J10" s="214">
        <v>871076.43</v>
      </c>
      <c r="K10" s="215">
        <v>319941.11</v>
      </c>
      <c r="L10" s="215"/>
      <c r="M10" s="215"/>
      <c r="N10" s="233"/>
      <c r="O10" s="233"/>
      <c r="P10" s="216"/>
      <c r="Q10" s="216" t="s">
        <v>548</v>
      </c>
      <c r="R10" s="217">
        <v>53323.56</v>
      </c>
      <c r="S10" s="217">
        <v>53323.56</v>
      </c>
      <c r="T10" s="217">
        <v>53323.56</v>
      </c>
      <c r="U10" s="217">
        <v>53323.56</v>
      </c>
      <c r="V10" s="217">
        <v>53323.56</v>
      </c>
      <c r="W10" s="217">
        <v>51223.4</v>
      </c>
      <c r="X10" s="217">
        <v>2099.91</v>
      </c>
      <c r="Y10" s="217">
        <v>0</v>
      </c>
      <c r="Z10" s="217">
        <v>0</v>
      </c>
      <c r="AA10" s="217">
        <v>0</v>
      </c>
      <c r="AB10" s="217">
        <v>0</v>
      </c>
      <c r="AC10" s="217">
        <v>0</v>
      </c>
      <c r="AD10" s="217">
        <v>0</v>
      </c>
      <c r="AE10" s="217">
        <v>0</v>
      </c>
      <c r="AF10" s="217">
        <v>0</v>
      </c>
      <c r="AG10" s="217">
        <v>0</v>
      </c>
      <c r="AH10" s="217">
        <v>0</v>
      </c>
      <c r="AI10" s="217">
        <v>0</v>
      </c>
      <c r="AJ10" s="217">
        <v>0</v>
      </c>
      <c r="AK10" s="217">
        <v>0</v>
      </c>
      <c r="AL10" s="217">
        <v>0</v>
      </c>
      <c r="AM10" s="217">
        <v>0</v>
      </c>
      <c r="AN10" s="217">
        <v>0</v>
      </c>
      <c r="AO10" s="217">
        <v>0</v>
      </c>
      <c r="AP10" s="217">
        <v>0</v>
      </c>
      <c r="AQ10" s="217">
        <v>0</v>
      </c>
      <c r="AR10" s="217"/>
      <c r="AS10" s="217"/>
      <c r="AT10" s="218">
        <f t="shared" si="0"/>
        <v>319941.11</v>
      </c>
      <c r="AU10" s="219">
        <f t="shared" si="1"/>
        <v>0</v>
      </c>
      <c r="AV10" s="220">
        <f t="shared" si="3"/>
        <v>0</v>
      </c>
      <c r="AW10" s="217">
        <f t="shared" si="2"/>
        <v>319941.11</v>
      </c>
      <c r="AY10" s="221"/>
    </row>
    <row r="11" spans="1:51" outlineLevel="2" x14ac:dyDescent="0.25">
      <c r="A11" s="208" t="s">
        <v>558</v>
      </c>
      <c r="B11" s="222" t="s">
        <v>541</v>
      </c>
      <c r="C11" s="223"/>
      <c r="D11" s="224" t="s">
        <v>564</v>
      </c>
      <c r="E11" s="225"/>
      <c r="F11" s="226"/>
      <c r="G11" s="226"/>
      <c r="H11" s="226"/>
      <c r="I11" s="226"/>
      <c r="J11" s="227"/>
      <c r="K11" s="228"/>
      <c r="L11" s="227" t="s">
        <v>565</v>
      </c>
      <c r="M11" s="227"/>
      <c r="N11" s="229">
        <f t="shared" si="4"/>
        <v>2.4159999999999999</v>
      </c>
      <c r="O11" s="229">
        <v>2.4159999999999999</v>
      </c>
      <c r="P11" s="229">
        <f>$P$4</f>
        <v>0</v>
      </c>
      <c r="Q11" s="229" t="s">
        <v>551</v>
      </c>
      <c r="R11" s="230">
        <v>13137.43</v>
      </c>
      <c r="S11" s="230">
        <v>10896.919999999998</v>
      </c>
      <c r="T11" s="230">
        <v>8679.44</v>
      </c>
      <c r="U11" s="230">
        <v>6409.7699999999995</v>
      </c>
      <c r="V11" s="230">
        <v>4166.21</v>
      </c>
      <c r="W11" s="230">
        <v>1941.92</v>
      </c>
      <c r="X11" s="230">
        <v>173.87</v>
      </c>
      <c r="Y11" s="230">
        <v>0</v>
      </c>
      <c r="Z11" s="230">
        <v>0</v>
      </c>
      <c r="AA11" s="230">
        <v>0</v>
      </c>
      <c r="AB11" s="230">
        <v>0</v>
      </c>
      <c r="AC11" s="230">
        <v>0</v>
      </c>
      <c r="AD11" s="230">
        <v>0</v>
      </c>
      <c r="AE11" s="230">
        <v>0</v>
      </c>
      <c r="AF11" s="230">
        <v>0</v>
      </c>
      <c r="AG11" s="230">
        <v>0</v>
      </c>
      <c r="AH11" s="230">
        <v>0</v>
      </c>
      <c r="AI11" s="230">
        <v>0</v>
      </c>
      <c r="AJ11" s="230">
        <v>0</v>
      </c>
      <c r="AK11" s="230">
        <v>0</v>
      </c>
      <c r="AL11" s="230">
        <v>0</v>
      </c>
      <c r="AM11" s="230">
        <v>0</v>
      </c>
      <c r="AN11" s="230">
        <v>0</v>
      </c>
      <c r="AO11" s="230">
        <v>0</v>
      </c>
      <c r="AP11" s="230">
        <v>0</v>
      </c>
      <c r="AQ11" s="230">
        <v>0</v>
      </c>
      <c r="AR11" s="230"/>
      <c r="AS11" s="230"/>
      <c r="AT11" s="231">
        <f t="shared" si="0"/>
        <v>45405.56</v>
      </c>
      <c r="AU11" s="219">
        <f t="shared" si="1"/>
        <v>0</v>
      </c>
      <c r="AV11" s="232">
        <f t="shared" si="3"/>
        <v>0</v>
      </c>
      <c r="AW11" s="230">
        <f t="shared" si="2"/>
        <v>45405.56</v>
      </c>
      <c r="AY11" s="221"/>
    </row>
    <row r="12" spans="1:51" s="208" customFormat="1" outlineLevel="2" x14ac:dyDescent="0.25">
      <c r="B12" s="209" t="s">
        <v>541</v>
      </c>
      <c r="C12" s="210">
        <v>4</v>
      </c>
      <c r="D12" s="211" t="s">
        <v>566</v>
      </c>
      <c r="E12" s="212" t="s">
        <v>567</v>
      </c>
      <c r="F12" s="213" t="s">
        <v>568</v>
      </c>
      <c r="G12" s="213" t="s">
        <v>569</v>
      </c>
      <c r="H12" s="213" t="s">
        <v>570</v>
      </c>
      <c r="I12" s="213" t="s">
        <v>547</v>
      </c>
      <c r="J12" s="214">
        <v>1925611</v>
      </c>
      <c r="K12" s="215">
        <v>863226</v>
      </c>
      <c r="L12" s="215"/>
      <c r="M12" s="215"/>
      <c r="N12" s="233"/>
      <c r="O12" s="233"/>
      <c r="P12" s="216"/>
      <c r="Q12" s="216" t="s">
        <v>548</v>
      </c>
      <c r="R12" s="217">
        <v>132804</v>
      </c>
      <c r="S12" s="217">
        <v>132804</v>
      </c>
      <c r="T12" s="217">
        <v>132804</v>
      </c>
      <c r="U12" s="217">
        <v>132804</v>
      </c>
      <c r="V12" s="217">
        <v>132804</v>
      </c>
      <c r="W12" s="217">
        <v>132804</v>
      </c>
      <c r="X12" s="217">
        <v>66402</v>
      </c>
      <c r="Y12" s="217">
        <v>0</v>
      </c>
      <c r="Z12" s="217">
        <v>0</v>
      </c>
      <c r="AA12" s="217">
        <v>0</v>
      </c>
      <c r="AB12" s="217">
        <v>0</v>
      </c>
      <c r="AC12" s="217">
        <v>0</v>
      </c>
      <c r="AD12" s="217">
        <v>0</v>
      </c>
      <c r="AE12" s="217">
        <v>0</v>
      </c>
      <c r="AF12" s="217">
        <v>0</v>
      </c>
      <c r="AG12" s="217">
        <v>0</v>
      </c>
      <c r="AH12" s="217">
        <v>0</v>
      </c>
      <c r="AI12" s="217">
        <v>0</v>
      </c>
      <c r="AJ12" s="217">
        <v>0</v>
      </c>
      <c r="AK12" s="217">
        <v>0</v>
      </c>
      <c r="AL12" s="217">
        <v>0</v>
      </c>
      <c r="AM12" s="217">
        <v>0</v>
      </c>
      <c r="AN12" s="217">
        <v>0</v>
      </c>
      <c r="AO12" s="217">
        <v>0</v>
      </c>
      <c r="AP12" s="217">
        <v>0</v>
      </c>
      <c r="AQ12" s="217">
        <v>0</v>
      </c>
      <c r="AR12" s="217"/>
      <c r="AS12" s="217"/>
      <c r="AT12" s="218">
        <f t="shared" si="0"/>
        <v>863226</v>
      </c>
      <c r="AU12" s="219">
        <f t="shared" si="1"/>
        <v>0</v>
      </c>
      <c r="AV12" s="220">
        <f t="shared" si="3"/>
        <v>0</v>
      </c>
      <c r="AW12" s="217">
        <f t="shared" si="2"/>
        <v>863226</v>
      </c>
      <c r="AY12" s="221"/>
    </row>
    <row r="13" spans="1:51" outlineLevel="2" x14ac:dyDescent="0.25">
      <c r="B13" s="222" t="s">
        <v>541</v>
      </c>
      <c r="C13" s="223"/>
      <c r="D13" s="224" t="s">
        <v>571</v>
      </c>
      <c r="E13" s="225"/>
      <c r="F13" s="226"/>
      <c r="G13" s="226"/>
      <c r="H13" s="226"/>
      <c r="I13" s="226"/>
      <c r="J13" s="227"/>
      <c r="K13" s="228"/>
      <c r="L13" s="227" t="s">
        <v>572</v>
      </c>
      <c r="M13" s="227"/>
      <c r="N13" s="229">
        <f t="shared" si="4"/>
        <v>2.5569999999999999</v>
      </c>
      <c r="O13" s="229">
        <v>2.5569999999999999</v>
      </c>
      <c r="P13" s="229">
        <f>$P$4</f>
        <v>0</v>
      </c>
      <c r="Q13" s="229" t="s">
        <v>551</v>
      </c>
      <c r="R13" s="230">
        <f>SUM(R12:$AQ12)*$N13/100</f>
        <v>22072.688819999996</v>
      </c>
      <c r="S13" s="230">
        <f>SUM(S12:$AQ12)*$N13/100</f>
        <v>18676.89054</v>
      </c>
      <c r="T13" s="230">
        <f>SUM(T12:$AQ12)*$N13/100</f>
        <v>15281.092259999999</v>
      </c>
      <c r="U13" s="230">
        <f>SUM(U12:$AQ12)*$N13/100</f>
        <v>11885.29398</v>
      </c>
      <c r="V13" s="230">
        <f>SUM(V12:$AQ12)*$N13/100</f>
        <v>8489.4956999999995</v>
      </c>
      <c r="W13" s="230">
        <f>SUM(W12:$AQ12)*$N13/100</f>
        <v>5093.6974199999995</v>
      </c>
      <c r="X13" s="230">
        <f>SUM(X12:$AQ12)*$N13/100</f>
        <v>1697.89914</v>
      </c>
      <c r="Y13" s="230">
        <v>0</v>
      </c>
      <c r="Z13" s="230">
        <v>0</v>
      </c>
      <c r="AA13" s="230">
        <v>0</v>
      </c>
      <c r="AB13" s="230">
        <v>0</v>
      </c>
      <c r="AC13" s="230">
        <v>0</v>
      </c>
      <c r="AD13" s="230">
        <v>0</v>
      </c>
      <c r="AE13" s="230">
        <v>0</v>
      </c>
      <c r="AF13" s="230">
        <v>0</v>
      </c>
      <c r="AG13" s="230">
        <v>0</v>
      </c>
      <c r="AH13" s="230">
        <v>0</v>
      </c>
      <c r="AI13" s="230">
        <v>0</v>
      </c>
      <c r="AJ13" s="230">
        <v>0</v>
      </c>
      <c r="AK13" s="230">
        <v>0</v>
      </c>
      <c r="AL13" s="230">
        <v>0</v>
      </c>
      <c r="AM13" s="230">
        <v>0</v>
      </c>
      <c r="AN13" s="230">
        <v>0</v>
      </c>
      <c r="AO13" s="230">
        <v>0</v>
      </c>
      <c r="AP13" s="230">
        <v>0</v>
      </c>
      <c r="AQ13" s="230">
        <v>0</v>
      </c>
      <c r="AR13" s="230"/>
      <c r="AS13" s="230"/>
      <c r="AT13" s="231">
        <f t="shared" si="0"/>
        <v>83197.057859999986</v>
      </c>
      <c r="AU13" s="219">
        <f t="shared" si="1"/>
        <v>0</v>
      </c>
      <c r="AV13" s="232">
        <f t="shared" si="3"/>
        <v>0</v>
      </c>
      <c r="AW13" s="230">
        <f t="shared" si="2"/>
        <v>83197.057859999986</v>
      </c>
      <c r="AY13" s="221"/>
    </row>
    <row r="14" spans="1:51" s="208" customFormat="1" outlineLevel="2" x14ac:dyDescent="0.25">
      <c r="B14" s="209" t="s">
        <v>541</v>
      </c>
      <c r="C14" s="210">
        <v>5</v>
      </c>
      <c r="D14" s="211" t="s">
        <v>566</v>
      </c>
      <c r="E14" s="212" t="s">
        <v>573</v>
      </c>
      <c r="F14" s="213" t="s">
        <v>574</v>
      </c>
      <c r="G14" s="213" t="s">
        <v>575</v>
      </c>
      <c r="H14" s="213" t="s">
        <v>576</v>
      </c>
      <c r="I14" s="213" t="s">
        <v>547</v>
      </c>
      <c r="J14" s="214">
        <v>154450.12</v>
      </c>
      <c r="K14" s="215">
        <v>70686</v>
      </c>
      <c r="L14" s="215"/>
      <c r="M14" s="215"/>
      <c r="N14" s="233"/>
      <c r="O14" s="233"/>
      <c r="P14" s="216"/>
      <c r="Q14" s="216" t="s">
        <v>548</v>
      </c>
      <c r="R14" s="217">
        <v>10472</v>
      </c>
      <c r="S14" s="217">
        <v>10472</v>
      </c>
      <c r="T14" s="217">
        <v>10472</v>
      </c>
      <c r="U14" s="217">
        <v>10472</v>
      </c>
      <c r="V14" s="217">
        <v>10472</v>
      </c>
      <c r="W14" s="217">
        <v>10472</v>
      </c>
      <c r="X14" s="217">
        <v>7854</v>
      </c>
      <c r="Y14" s="217">
        <v>0</v>
      </c>
      <c r="Z14" s="217">
        <v>0</v>
      </c>
      <c r="AA14" s="217">
        <v>0</v>
      </c>
      <c r="AB14" s="217">
        <v>0</v>
      </c>
      <c r="AC14" s="217">
        <v>0</v>
      </c>
      <c r="AD14" s="217">
        <v>0</v>
      </c>
      <c r="AE14" s="217">
        <v>0</v>
      </c>
      <c r="AF14" s="217">
        <v>0</v>
      </c>
      <c r="AG14" s="217">
        <v>0</v>
      </c>
      <c r="AH14" s="217">
        <v>0</v>
      </c>
      <c r="AI14" s="217">
        <v>0</v>
      </c>
      <c r="AJ14" s="217">
        <v>0</v>
      </c>
      <c r="AK14" s="217">
        <v>0</v>
      </c>
      <c r="AL14" s="217">
        <v>0</v>
      </c>
      <c r="AM14" s="217">
        <v>0</v>
      </c>
      <c r="AN14" s="217">
        <v>0</v>
      </c>
      <c r="AO14" s="217">
        <v>0</v>
      </c>
      <c r="AP14" s="217">
        <v>0</v>
      </c>
      <c r="AQ14" s="217">
        <v>0</v>
      </c>
      <c r="AR14" s="217"/>
      <c r="AS14" s="217"/>
      <c r="AT14" s="218">
        <f t="shared" si="0"/>
        <v>70686</v>
      </c>
      <c r="AU14" s="219">
        <f t="shared" si="1"/>
        <v>0</v>
      </c>
      <c r="AV14" s="220">
        <f t="shared" si="3"/>
        <v>0</v>
      </c>
      <c r="AW14" s="217">
        <f t="shared" si="2"/>
        <v>70686</v>
      </c>
      <c r="AY14" s="221"/>
    </row>
    <row r="15" spans="1:51" outlineLevel="2" x14ac:dyDescent="0.25">
      <c r="B15" s="222" t="s">
        <v>541</v>
      </c>
      <c r="C15" s="223"/>
      <c r="D15" s="224" t="s">
        <v>577</v>
      </c>
      <c r="E15" s="225"/>
      <c r="F15" s="226"/>
      <c r="G15" s="226"/>
      <c r="H15" s="226"/>
      <c r="I15" s="226"/>
      <c r="J15" s="227"/>
      <c r="K15" s="228"/>
      <c r="L15" s="227" t="s">
        <v>578</v>
      </c>
      <c r="M15" s="227"/>
      <c r="N15" s="229">
        <f t="shared" si="4"/>
        <v>2.4980000000000002</v>
      </c>
      <c r="O15" s="229">
        <v>2.4980000000000002</v>
      </c>
      <c r="P15" s="229">
        <f>$P$4</f>
        <v>0</v>
      </c>
      <c r="Q15" s="229" t="s">
        <v>551</v>
      </c>
      <c r="R15" s="230">
        <f>SUM(R14:$AQ14)*$N15/100</f>
        <v>1765.7362800000003</v>
      </c>
      <c r="S15" s="230">
        <f>SUM(S14:$AQ14)*$N15/100</f>
        <v>1504.1457200000002</v>
      </c>
      <c r="T15" s="230">
        <f>SUM(T14:$AQ14)*$N15/100</f>
        <v>1242.5551600000001</v>
      </c>
      <c r="U15" s="230">
        <f>SUM(U14:$AQ14)*$N15/100</f>
        <v>980.96460000000002</v>
      </c>
      <c r="V15" s="230">
        <f>SUM(V14:$AQ14)*$N15/100</f>
        <v>719.37404000000015</v>
      </c>
      <c r="W15" s="230">
        <f>SUM(W14:$AQ14)*$N15/100</f>
        <v>457.78348000000005</v>
      </c>
      <c r="X15" s="230">
        <f>SUM(X14:$AQ14)*$N15/100</f>
        <v>196.19292000000002</v>
      </c>
      <c r="Y15" s="230">
        <v>0</v>
      </c>
      <c r="Z15" s="230">
        <v>0</v>
      </c>
      <c r="AA15" s="230">
        <v>0</v>
      </c>
      <c r="AB15" s="230">
        <v>0</v>
      </c>
      <c r="AC15" s="230">
        <v>0</v>
      </c>
      <c r="AD15" s="230">
        <v>0</v>
      </c>
      <c r="AE15" s="230">
        <v>0</v>
      </c>
      <c r="AF15" s="230">
        <v>0</v>
      </c>
      <c r="AG15" s="230">
        <v>0</v>
      </c>
      <c r="AH15" s="230">
        <v>0</v>
      </c>
      <c r="AI15" s="230">
        <v>0</v>
      </c>
      <c r="AJ15" s="230">
        <v>0</v>
      </c>
      <c r="AK15" s="230">
        <v>0</v>
      </c>
      <c r="AL15" s="230">
        <v>0</v>
      </c>
      <c r="AM15" s="230">
        <v>0</v>
      </c>
      <c r="AN15" s="230">
        <v>0</v>
      </c>
      <c r="AO15" s="230">
        <v>0</v>
      </c>
      <c r="AP15" s="230">
        <v>0</v>
      </c>
      <c r="AQ15" s="230">
        <v>0</v>
      </c>
      <c r="AR15" s="230"/>
      <c r="AS15" s="230"/>
      <c r="AT15" s="231">
        <f t="shared" si="0"/>
        <v>6866.7522000000017</v>
      </c>
      <c r="AU15" s="219">
        <f t="shared" si="1"/>
        <v>0</v>
      </c>
      <c r="AV15" s="232">
        <f t="shared" si="3"/>
        <v>0</v>
      </c>
      <c r="AW15" s="230">
        <f t="shared" si="2"/>
        <v>6866.7522000000017</v>
      </c>
      <c r="AY15" s="221"/>
    </row>
    <row r="16" spans="1:51" s="208" customFormat="1" outlineLevel="2" x14ac:dyDescent="0.25">
      <c r="B16" s="209" t="s">
        <v>541</v>
      </c>
      <c r="C16" s="210">
        <v>6</v>
      </c>
      <c r="D16" s="211" t="s">
        <v>579</v>
      </c>
      <c r="E16" s="212" t="s">
        <v>580</v>
      </c>
      <c r="F16" s="213" t="s">
        <v>581</v>
      </c>
      <c r="G16" s="213" t="s">
        <v>582</v>
      </c>
      <c r="H16" s="213" t="s">
        <v>583</v>
      </c>
      <c r="I16" s="213" t="s">
        <v>547</v>
      </c>
      <c r="J16" s="214">
        <v>11123368</v>
      </c>
      <c r="K16" s="215">
        <v>8549640</v>
      </c>
      <c r="L16" s="215"/>
      <c r="M16" s="215"/>
      <c r="N16" s="233"/>
      <c r="O16" s="233"/>
      <c r="P16" s="216"/>
      <c r="Q16" s="216" t="s">
        <v>548</v>
      </c>
      <c r="R16" s="217">
        <v>379984</v>
      </c>
      <c r="S16" s="217">
        <v>379984</v>
      </c>
      <c r="T16" s="217">
        <v>379984</v>
      </c>
      <c r="U16" s="217">
        <v>379984</v>
      </c>
      <c r="V16" s="217">
        <v>379984</v>
      </c>
      <c r="W16" s="217">
        <v>379984</v>
      </c>
      <c r="X16" s="217">
        <v>379984</v>
      </c>
      <c r="Y16" s="217">
        <v>379984</v>
      </c>
      <c r="Z16" s="217">
        <v>379984</v>
      </c>
      <c r="AA16" s="217">
        <v>379984</v>
      </c>
      <c r="AB16" s="217">
        <v>379984</v>
      </c>
      <c r="AC16" s="217">
        <v>379984</v>
      </c>
      <c r="AD16" s="217">
        <v>379984</v>
      </c>
      <c r="AE16" s="217">
        <v>379984</v>
      </c>
      <c r="AF16" s="217">
        <v>379984</v>
      </c>
      <c r="AG16" s="217">
        <v>379984</v>
      </c>
      <c r="AH16" s="217">
        <v>379984</v>
      </c>
      <c r="AI16" s="217">
        <v>379984</v>
      </c>
      <c r="AJ16" s="217">
        <v>379984</v>
      </c>
      <c r="AK16" s="217">
        <v>379984</v>
      </c>
      <c r="AL16" s="217">
        <v>379984</v>
      </c>
      <c r="AM16" s="217">
        <v>379984</v>
      </c>
      <c r="AN16" s="217">
        <v>189992</v>
      </c>
      <c r="AO16" s="217">
        <v>0</v>
      </c>
      <c r="AP16" s="217">
        <v>0</v>
      </c>
      <c r="AQ16" s="217">
        <v>0</v>
      </c>
      <c r="AR16" s="217"/>
      <c r="AS16" s="217"/>
      <c r="AT16" s="218">
        <f t="shared" si="0"/>
        <v>8549640</v>
      </c>
      <c r="AU16" s="219">
        <f t="shared" si="1"/>
        <v>0</v>
      </c>
      <c r="AV16" s="220">
        <f t="shared" si="3"/>
        <v>5889752</v>
      </c>
      <c r="AW16" s="217">
        <f t="shared" si="2"/>
        <v>8549640</v>
      </c>
      <c r="AY16" s="221"/>
    </row>
    <row r="17" spans="2:51" outlineLevel="2" x14ac:dyDescent="0.25">
      <c r="B17" s="222" t="s">
        <v>541</v>
      </c>
      <c r="C17" s="223"/>
      <c r="D17" s="224" t="s">
        <v>584</v>
      </c>
      <c r="E17" s="225"/>
      <c r="F17" s="226"/>
      <c r="G17" s="226"/>
      <c r="H17" s="226"/>
      <c r="I17" s="226"/>
      <c r="J17" s="227"/>
      <c r="K17" s="228"/>
      <c r="L17" s="227" t="s">
        <v>585</v>
      </c>
      <c r="M17" s="227"/>
      <c r="N17" s="229">
        <f t="shared" si="4"/>
        <v>2.4</v>
      </c>
      <c r="O17" s="229">
        <v>2.4</v>
      </c>
      <c r="P17" s="229">
        <f>$P$4</f>
        <v>0</v>
      </c>
      <c r="Q17" s="229" t="s">
        <v>551</v>
      </c>
      <c r="R17" s="230">
        <f>SUM(R16:$AQ16)*$N17/100</f>
        <v>205191.36</v>
      </c>
      <c r="S17" s="230">
        <f>SUM(S16:$AQ16)*$N17/100</f>
        <v>196071.74399999998</v>
      </c>
      <c r="T17" s="230">
        <f>SUM(T16:$AQ16)*$N17/100-5000</f>
        <v>181952.128</v>
      </c>
      <c r="U17" s="230">
        <f>SUM(U16:$AQ16)*$N17/100</f>
        <v>177832.51199999999</v>
      </c>
      <c r="V17" s="230">
        <f>SUM(V16:$AQ16)*$N17/100</f>
        <v>168712.89599999998</v>
      </c>
      <c r="W17" s="230">
        <f>SUM(W16:$AQ16)*$N17/100</f>
        <v>159593.28</v>
      </c>
      <c r="X17" s="230">
        <f>SUM(X16:$AQ16)*$N17/100</f>
        <v>150473.66399999999</v>
      </c>
      <c r="Y17" s="230">
        <f>SUM(Y16:$AQ16)*$N17/100</f>
        <v>141354.04799999998</v>
      </c>
      <c r="Z17" s="230">
        <f>SUM(Z16:$AQ16)*$N17/100</f>
        <v>132234.432</v>
      </c>
      <c r="AA17" s="230">
        <f>SUM(AA16:$AQ16)*$N17/100</f>
        <v>123114.81599999999</v>
      </c>
      <c r="AB17" s="230">
        <f>SUM(AB16:$AQ16)*$N17/100</f>
        <v>113995.2</v>
      </c>
      <c r="AC17" s="230">
        <f>SUM(AC16:$AQ16)*$N17/100</f>
        <v>104875.584</v>
      </c>
      <c r="AD17" s="230">
        <f>SUM(AD16:$AQ16)*$N17/100</f>
        <v>95755.967999999993</v>
      </c>
      <c r="AE17" s="230">
        <f>SUM(AE16:$AQ16)*$N17/100</f>
        <v>86636.351999999999</v>
      </c>
      <c r="AF17" s="230">
        <f>SUM(AF16:$AQ16)*$N17/100</f>
        <v>77516.73599999999</v>
      </c>
      <c r="AG17" s="230">
        <f>SUM(AG16:$AQ16)*$N17/100</f>
        <v>68397.119999999995</v>
      </c>
      <c r="AH17" s="230">
        <f>SUM(AH16:$AQ16)*$N17/100</f>
        <v>59277.503999999994</v>
      </c>
      <c r="AI17" s="230">
        <f>SUM(AI16:$AQ16)*$N17/100</f>
        <v>50157.887999999999</v>
      </c>
      <c r="AJ17" s="230">
        <f>SUM(AJ16:$AQ16)*$N17/100</f>
        <v>41038.271999999997</v>
      </c>
      <c r="AK17" s="230">
        <f>SUM(AK16:$AQ16)*$N17/100</f>
        <v>31918.656000000003</v>
      </c>
      <c r="AL17" s="230">
        <f>SUM(AL16:$AQ16)*$N17/100</f>
        <v>22799.040000000001</v>
      </c>
      <c r="AM17" s="230">
        <f>SUM(AM16:$AQ16)*$N17/100</f>
        <v>13679.423999999999</v>
      </c>
      <c r="AN17" s="230">
        <f>SUM(AN16:$AQ16)*$N17/100</f>
        <v>4559.808</v>
      </c>
      <c r="AO17" s="230">
        <v>0</v>
      </c>
      <c r="AP17" s="230">
        <v>0</v>
      </c>
      <c r="AQ17" s="230">
        <v>0</v>
      </c>
      <c r="AR17" s="230"/>
      <c r="AS17" s="230"/>
      <c r="AT17" s="231">
        <f t="shared" si="0"/>
        <v>2407138.432</v>
      </c>
      <c r="AU17" s="219">
        <f t="shared" si="1"/>
        <v>0</v>
      </c>
      <c r="AV17" s="232">
        <f t="shared" si="3"/>
        <v>1167310.848</v>
      </c>
      <c r="AW17" s="230">
        <f t="shared" si="2"/>
        <v>2407138.432</v>
      </c>
      <c r="AY17" s="221"/>
    </row>
    <row r="18" spans="2:51" s="208" customFormat="1" outlineLevel="2" x14ac:dyDescent="0.25">
      <c r="B18" s="209" t="s">
        <v>586</v>
      </c>
      <c r="C18" s="210">
        <v>7</v>
      </c>
      <c r="D18" s="211" t="s">
        <v>587</v>
      </c>
      <c r="E18" s="212" t="s">
        <v>588</v>
      </c>
      <c r="F18" s="213" t="s">
        <v>589</v>
      </c>
      <c r="G18" s="213" t="s">
        <v>590</v>
      </c>
      <c r="H18" s="213" t="s">
        <v>591</v>
      </c>
      <c r="I18" s="213" t="s">
        <v>547</v>
      </c>
      <c r="J18" s="214">
        <v>484935.32</v>
      </c>
      <c r="K18" s="215">
        <v>248822</v>
      </c>
      <c r="L18" s="215"/>
      <c r="M18" s="215"/>
      <c r="N18" s="233"/>
      <c r="O18" s="233"/>
      <c r="P18" s="216"/>
      <c r="Q18" s="216" t="s">
        <v>548</v>
      </c>
      <c r="R18" s="217">
        <v>20312</v>
      </c>
      <c r="S18" s="217">
        <v>20312</v>
      </c>
      <c r="T18" s="217">
        <v>20312</v>
      </c>
      <c r="U18" s="217">
        <v>20312</v>
      </c>
      <c r="V18" s="217">
        <v>20312</v>
      </c>
      <c r="W18" s="217">
        <v>20312</v>
      </c>
      <c r="X18" s="217">
        <v>20312</v>
      </c>
      <c r="Y18" s="217">
        <v>20312</v>
      </c>
      <c r="Z18" s="217">
        <v>20312</v>
      </c>
      <c r="AA18" s="217">
        <v>20312</v>
      </c>
      <c r="AB18" s="217">
        <v>20312</v>
      </c>
      <c r="AC18" s="217">
        <v>20312</v>
      </c>
      <c r="AD18" s="217">
        <v>5078</v>
      </c>
      <c r="AE18" s="217">
        <v>0</v>
      </c>
      <c r="AF18" s="217">
        <v>0</v>
      </c>
      <c r="AG18" s="217">
        <v>0</v>
      </c>
      <c r="AH18" s="217">
        <v>0</v>
      </c>
      <c r="AI18" s="217">
        <v>0</v>
      </c>
      <c r="AJ18" s="217">
        <v>0</v>
      </c>
      <c r="AK18" s="217">
        <v>0</v>
      </c>
      <c r="AL18" s="217">
        <v>0</v>
      </c>
      <c r="AM18" s="217">
        <v>0</v>
      </c>
      <c r="AN18" s="217">
        <v>0</v>
      </c>
      <c r="AO18" s="217">
        <v>0</v>
      </c>
      <c r="AP18" s="217">
        <v>0</v>
      </c>
      <c r="AQ18" s="217">
        <v>0</v>
      </c>
      <c r="AR18" s="217"/>
      <c r="AS18" s="217"/>
      <c r="AT18" s="218">
        <f t="shared" si="0"/>
        <v>248822</v>
      </c>
      <c r="AU18" s="219">
        <f t="shared" si="1"/>
        <v>0</v>
      </c>
      <c r="AV18" s="220">
        <f t="shared" si="3"/>
        <v>106638</v>
      </c>
      <c r="AW18" s="217">
        <f t="shared" si="2"/>
        <v>248822</v>
      </c>
      <c r="AY18" s="221"/>
    </row>
    <row r="19" spans="2:51" outlineLevel="2" x14ac:dyDescent="0.25">
      <c r="B19" s="222" t="s">
        <v>586</v>
      </c>
      <c r="C19" s="223"/>
      <c r="D19" s="224" t="s">
        <v>592</v>
      </c>
      <c r="E19" s="225"/>
      <c r="F19" s="226"/>
      <c r="G19" s="226"/>
      <c r="H19" s="226"/>
      <c r="I19" s="226"/>
      <c r="J19" s="227"/>
      <c r="K19" s="228"/>
      <c r="L19" s="227" t="s">
        <v>593</v>
      </c>
      <c r="M19" s="227"/>
      <c r="N19" s="229">
        <f t="shared" si="4"/>
        <v>2.9460000000000002</v>
      </c>
      <c r="O19" s="229">
        <v>2.9460000000000002</v>
      </c>
      <c r="P19" s="229">
        <f>$P$4</f>
        <v>0</v>
      </c>
      <c r="Q19" s="229" t="s">
        <v>551</v>
      </c>
      <c r="R19" s="230">
        <f>SUM(R18:$AQ18)*$N19/100</f>
        <v>7330.2961200000009</v>
      </c>
      <c r="S19" s="230">
        <f>SUM(S18:$AQ18)*$N19/100</f>
        <v>6731.9046000000008</v>
      </c>
      <c r="T19" s="230">
        <f>SUM(T18:$AQ18)*$N19/100</f>
        <v>6133.5130800000006</v>
      </c>
      <c r="U19" s="230">
        <f>SUM(U18:$AQ18)*$N19/100</f>
        <v>5535.1215600000005</v>
      </c>
      <c r="V19" s="230">
        <f>SUM(V18:$AQ18)*$N19/100</f>
        <v>4936.7300400000004</v>
      </c>
      <c r="W19" s="230">
        <f>SUM(W18:$AQ18)*$N19/100</f>
        <v>4338.3385200000002</v>
      </c>
      <c r="X19" s="230">
        <f>SUM(X18:$AQ18)*$N19/100</f>
        <v>3739.9470000000001</v>
      </c>
      <c r="Y19" s="230">
        <f>SUM(Y18:$AQ18)*$N19/100</f>
        <v>3141.55548</v>
      </c>
      <c r="Z19" s="230">
        <f>SUM(Z18:$AQ18)*$N19/100</f>
        <v>2543.1639599999999</v>
      </c>
      <c r="AA19" s="230">
        <f>SUM(AA18:$AQ18)*$N19/100</f>
        <v>1944.77244</v>
      </c>
      <c r="AB19" s="230">
        <f>SUM(AB18:$AQ18)*$N19/100</f>
        <v>1346.3809200000001</v>
      </c>
      <c r="AC19" s="230">
        <f>SUM(AC18:$AQ18)*$N19/100</f>
        <v>747.98940000000005</v>
      </c>
      <c r="AD19" s="230">
        <f>SUM(AD18:$AQ18)*$N19/100</f>
        <v>149.59788</v>
      </c>
      <c r="AE19" s="230">
        <v>0</v>
      </c>
      <c r="AF19" s="230">
        <v>0</v>
      </c>
      <c r="AG19" s="230">
        <v>0</v>
      </c>
      <c r="AH19" s="230">
        <v>0</v>
      </c>
      <c r="AI19" s="230">
        <v>0</v>
      </c>
      <c r="AJ19" s="230">
        <v>0</v>
      </c>
      <c r="AK19" s="230">
        <v>0</v>
      </c>
      <c r="AL19" s="230">
        <v>0</v>
      </c>
      <c r="AM19" s="230">
        <v>0</v>
      </c>
      <c r="AN19" s="230">
        <v>0</v>
      </c>
      <c r="AO19" s="230">
        <v>0</v>
      </c>
      <c r="AP19" s="230">
        <v>0</v>
      </c>
      <c r="AQ19" s="230">
        <v>0</v>
      </c>
      <c r="AR19" s="230"/>
      <c r="AS19" s="230"/>
      <c r="AT19" s="231">
        <f t="shared" si="0"/>
        <v>48619.311000000002</v>
      </c>
      <c r="AU19" s="219">
        <f t="shared" si="1"/>
        <v>0</v>
      </c>
      <c r="AV19" s="232">
        <f t="shared" si="3"/>
        <v>9873.4600799999989</v>
      </c>
      <c r="AW19" s="230">
        <f t="shared" si="2"/>
        <v>48619.310999999994</v>
      </c>
      <c r="AY19" s="221"/>
    </row>
    <row r="20" spans="2:51" s="208" customFormat="1" outlineLevel="2" x14ac:dyDescent="0.25">
      <c r="B20" s="209" t="s">
        <v>586</v>
      </c>
      <c r="C20" s="210">
        <v>8</v>
      </c>
      <c r="D20" s="211" t="s">
        <v>594</v>
      </c>
      <c r="E20" s="212" t="s">
        <v>595</v>
      </c>
      <c r="F20" s="213" t="s">
        <v>596</v>
      </c>
      <c r="G20" s="213" t="s">
        <v>597</v>
      </c>
      <c r="H20" s="213" t="s">
        <v>598</v>
      </c>
      <c r="I20" s="213" t="s">
        <v>547</v>
      </c>
      <c r="J20" s="214">
        <v>278611.39</v>
      </c>
      <c r="K20" s="215">
        <v>180950</v>
      </c>
      <c r="L20" s="215"/>
      <c r="M20" s="215"/>
      <c r="N20" s="233"/>
      <c r="O20" s="233"/>
      <c r="P20" s="216"/>
      <c r="Q20" s="216" t="s">
        <v>548</v>
      </c>
      <c r="R20" s="217">
        <v>14476</v>
      </c>
      <c r="S20" s="217">
        <v>14476</v>
      </c>
      <c r="T20" s="217">
        <v>14476</v>
      </c>
      <c r="U20" s="217">
        <v>14476</v>
      </c>
      <c r="V20" s="217">
        <v>14476</v>
      </c>
      <c r="W20" s="217">
        <v>14476</v>
      </c>
      <c r="X20" s="217">
        <v>14476</v>
      </c>
      <c r="Y20" s="217">
        <v>14476</v>
      </c>
      <c r="Z20" s="217">
        <v>14476</v>
      </c>
      <c r="AA20" s="217">
        <v>14476</v>
      </c>
      <c r="AB20" s="217">
        <v>14476</v>
      </c>
      <c r="AC20" s="217">
        <v>14476</v>
      </c>
      <c r="AD20" s="217">
        <v>7238</v>
      </c>
      <c r="AE20" s="217">
        <v>0</v>
      </c>
      <c r="AF20" s="217">
        <v>0</v>
      </c>
      <c r="AG20" s="217">
        <v>0</v>
      </c>
      <c r="AH20" s="217">
        <v>0</v>
      </c>
      <c r="AI20" s="217">
        <v>0</v>
      </c>
      <c r="AJ20" s="217">
        <v>0</v>
      </c>
      <c r="AK20" s="217">
        <v>0</v>
      </c>
      <c r="AL20" s="217">
        <v>0</v>
      </c>
      <c r="AM20" s="217">
        <v>0</v>
      </c>
      <c r="AN20" s="217">
        <v>0</v>
      </c>
      <c r="AO20" s="217">
        <v>0</v>
      </c>
      <c r="AP20" s="217">
        <v>0</v>
      </c>
      <c r="AQ20" s="217">
        <v>0</v>
      </c>
      <c r="AR20" s="217"/>
      <c r="AS20" s="217"/>
      <c r="AT20" s="218">
        <f t="shared" si="0"/>
        <v>180950</v>
      </c>
      <c r="AU20" s="219">
        <f t="shared" si="1"/>
        <v>0</v>
      </c>
      <c r="AV20" s="220">
        <f t="shared" si="3"/>
        <v>79618</v>
      </c>
      <c r="AW20" s="217">
        <f t="shared" si="2"/>
        <v>180950</v>
      </c>
      <c r="AY20" s="221"/>
    </row>
    <row r="21" spans="2:51" outlineLevel="2" x14ac:dyDescent="0.25">
      <c r="B21" s="222" t="s">
        <v>586</v>
      </c>
      <c r="C21" s="223"/>
      <c r="D21" s="224" t="s">
        <v>599</v>
      </c>
      <c r="E21" s="225"/>
      <c r="F21" s="226"/>
      <c r="G21" s="226"/>
      <c r="H21" s="226"/>
      <c r="I21" s="226"/>
      <c r="J21" s="227"/>
      <c r="K21" s="228"/>
      <c r="L21" s="227" t="s">
        <v>600</v>
      </c>
      <c r="M21" s="227"/>
      <c r="N21" s="229">
        <f t="shared" si="4"/>
        <v>2.508</v>
      </c>
      <c r="O21" s="229">
        <v>2.508</v>
      </c>
      <c r="P21" s="229">
        <f>$P$4</f>
        <v>0</v>
      </c>
      <c r="Q21" s="229" t="s">
        <v>551</v>
      </c>
      <c r="R21" s="230">
        <f>SUM(R20:$AQ20)*$N21/100</f>
        <v>4538.2259999999997</v>
      </c>
      <c r="S21" s="230">
        <f>SUM(S20:$AQ20)*$N21/100</f>
        <v>4175.1679199999999</v>
      </c>
      <c r="T21" s="230">
        <f>SUM(T20:$AQ20)*$N21/100</f>
        <v>3812.1098400000001</v>
      </c>
      <c r="U21" s="230">
        <f>SUM(U20:$AQ20)*$N21/100</f>
        <v>3449.0517599999998</v>
      </c>
      <c r="V21" s="230">
        <f>SUM(V20:$AQ20)*$N21/100</f>
        <v>3085.99368</v>
      </c>
      <c r="W21" s="230">
        <f>SUM(W20:$AQ20)*$N21/100</f>
        <v>2722.9355999999998</v>
      </c>
      <c r="X21" s="230">
        <f>SUM(X20:$AQ20)*$N21/100</f>
        <v>2359.87752</v>
      </c>
      <c r="Y21" s="230">
        <f>SUM(Y20:$AQ20)*$N21/100</f>
        <v>1996.81944</v>
      </c>
      <c r="Z21" s="230">
        <f>SUM(Z20:$AQ20)*$N21/100</f>
        <v>1633.76136</v>
      </c>
      <c r="AA21" s="230">
        <f>SUM(AA20:$AQ20)*$N21/100</f>
        <v>1270.7032799999999</v>
      </c>
      <c r="AB21" s="230">
        <f>SUM(AB20:$AQ20)*$N21/100</f>
        <v>907.64520000000005</v>
      </c>
      <c r="AC21" s="230">
        <f>SUM(AC20:$AQ20)*$N21/100</f>
        <v>544.58712000000003</v>
      </c>
      <c r="AD21" s="230">
        <f>SUM(AD20:$AQ20)*$N21/100</f>
        <v>181.52903999999998</v>
      </c>
      <c r="AE21" s="230">
        <v>0</v>
      </c>
      <c r="AF21" s="230">
        <v>0</v>
      </c>
      <c r="AG21" s="230">
        <v>0</v>
      </c>
      <c r="AH21" s="230">
        <v>0</v>
      </c>
      <c r="AI21" s="230">
        <v>0</v>
      </c>
      <c r="AJ21" s="230">
        <v>0</v>
      </c>
      <c r="AK21" s="230">
        <v>0</v>
      </c>
      <c r="AL21" s="230">
        <v>0</v>
      </c>
      <c r="AM21" s="230">
        <v>0</v>
      </c>
      <c r="AN21" s="230">
        <v>0</v>
      </c>
      <c r="AO21" s="230">
        <v>0</v>
      </c>
      <c r="AP21" s="230">
        <v>0</v>
      </c>
      <c r="AQ21" s="230">
        <v>0</v>
      </c>
      <c r="AR21" s="230"/>
      <c r="AS21" s="230"/>
      <c r="AT21" s="231">
        <f t="shared" si="0"/>
        <v>30678.407760000002</v>
      </c>
      <c r="AU21" s="219">
        <f t="shared" si="1"/>
        <v>0</v>
      </c>
      <c r="AV21" s="232">
        <f t="shared" si="3"/>
        <v>6535.0454399999999</v>
      </c>
      <c r="AW21" s="230">
        <f t="shared" si="2"/>
        <v>30678.407760000002</v>
      </c>
      <c r="AY21" s="221"/>
    </row>
    <row r="22" spans="2:51" s="208" customFormat="1" outlineLevel="2" x14ac:dyDescent="0.25">
      <c r="B22" s="209" t="s">
        <v>586</v>
      </c>
      <c r="C22" s="210">
        <v>9</v>
      </c>
      <c r="D22" s="211" t="s">
        <v>601</v>
      </c>
      <c r="E22" s="212" t="s">
        <v>602</v>
      </c>
      <c r="F22" s="213" t="s">
        <v>603</v>
      </c>
      <c r="G22" s="213" t="s">
        <v>597</v>
      </c>
      <c r="H22" s="213" t="s">
        <v>604</v>
      </c>
      <c r="I22" s="213" t="s">
        <v>547</v>
      </c>
      <c r="J22" s="214">
        <v>49472</v>
      </c>
      <c r="K22" s="215">
        <v>11100</v>
      </c>
      <c r="L22" s="215"/>
      <c r="M22" s="215"/>
      <c r="N22" s="233"/>
      <c r="O22" s="233"/>
      <c r="P22" s="216"/>
      <c r="Q22" s="216" t="s">
        <v>548</v>
      </c>
      <c r="R22" s="217">
        <v>1480</v>
      </c>
      <c r="S22" s="217">
        <v>1480</v>
      </c>
      <c r="T22" s="217">
        <v>1480</v>
      </c>
      <c r="U22" s="217">
        <v>1480</v>
      </c>
      <c r="V22" s="217">
        <v>1480</v>
      </c>
      <c r="W22" s="217">
        <v>1480</v>
      </c>
      <c r="X22" s="217">
        <v>1480</v>
      </c>
      <c r="Y22" s="217">
        <v>740</v>
      </c>
      <c r="Z22" s="217">
        <v>0</v>
      </c>
      <c r="AA22" s="217">
        <v>0</v>
      </c>
      <c r="AB22" s="217">
        <v>0</v>
      </c>
      <c r="AC22" s="217">
        <v>0</v>
      </c>
      <c r="AD22" s="217">
        <v>0</v>
      </c>
      <c r="AE22" s="217">
        <v>0</v>
      </c>
      <c r="AF22" s="217">
        <v>0</v>
      </c>
      <c r="AG22" s="217">
        <v>0</v>
      </c>
      <c r="AH22" s="217">
        <v>0</v>
      </c>
      <c r="AI22" s="217">
        <v>0</v>
      </c>
      <c r="AJ22" s="217">
        <v>0</v>
      </c>
      <c r="AK22" s="217">
        <v>0</v>
      </c>
      <c r="AL22" s="217">
        <v>0</v>
      </c>
      <c r="AM22" s="217">
        <v>0</v>
      </c>
      <c r="AN22" s="217">
        <v>0</v>
      </c>
      <c r="AO22" s="217">
        <v>0</v>
      </c>
      <c r="AP22" s="217">
        <v>0</v>
      </c>
      <c r="AQ22" s="217">
        <v>0</v>
      </c>
      <c r="AR22" s="217"/>
      <c r="AS22" s="217"/>
      <c r="AT22" s="218">
        <f t="shared" si="0"/>
        <v>11100</v>
      </c>
      <c r="AU22" s="219">
        <f t="shared" si="1"/>
        <v>0</v>
      </c>
      <c r="AV22" s="220">
        <f t="shared" si="3"/>
        <v>740</v>
      </c>
      <c r="AW22" s="217">
        <f t="shared" si="2"/>
        <v>11100</v>
      </c>
      <c r="AY22" s="221"/>
    </row>
    <row r="23" spans="2:51" outlineLevel="2" x14ac:dyDescent="0.25">
      <c r="B23" s="222" t="s">
        <v>586</v>
      </c>
      <c r="C23" s="223"/>
      <c r="D23" s="224" t="s">
        <v>605</v>
      </c>
      <c r="E23" s="225"/>
      <c r="F23" s="226"/>
      <c r="G23" s="226"/>
      <c r="H23" s="226"/>
      <c r="I23" s="226"/>
      <c r="J23" s="227"/>
      <c r="K23" s="228"/>
      <c r="L23" s="227" t="s">
        <v>600</v>
      </c>
      <c r="M23" s="227"/>
      <c r="N23" s="229">
        <f t="shared" si="4"/>
        <v>2.508</v>
      </c>
      <c r="O23" s="229">
        <v>2.508</v>
      </c>
      <c r="P23" s="229">
        <f>$P$4</f>
        <v>0</v>
      </c>
      <c r="Q23" s="229" t="s">
        <v>551</v>
      </c>
      <c r="R23" s="230">
        <f>SUM(R22:$AQ22)*$N23/100</f>
        <v>278.38799999999998</v>
      </c>
      <c r="S23" s="230">
        <f>SUM(S22:$AQ22)*$N23/100</f>
        <v>241.2696</v>
      </c>
      <c r="T23" s="230">
        <f>SUM(T22:$AQ22)*$N23/100</f>
        <v>204.15119999999999</v>
      </c>
      <c r="U23" s="230">
        <f>SUM(U22:$AQ22)*$N23/100</f>
        <v>167.03279999999998</v>
      </c>
      <c r="V23" s="230">
        <f>SUM(V22:$AQ22)*$N23/100</f>
        <v>129.9144</v>
      </c>
      <c r="W23" s="230">
        <f>SUM(W22:$AQ22)*$N23/100</f>
        <v>92.796000000000006</v>
      </c>
      <c r="X23" s="230">
        <f>SUM(X22:$AQ22)*$N23/100</f>
        <v>55.677600000000005</v>
      </c>
      <c r="Y23" s="230">
        <f>SUM(Y22:$AQ22)*$N23/100</f>
        <v>18.559200000000001</v>
      </c>
      <c r="Z23" s="230">
        <v>0</v>
      </c>
      <c r="AA23" s="230">
        <v>0</v>
      </c>
      <c r="AB23" s="230">
        <v>0</v>
      </c>
      <c r="AC23" s="230">
        <v>0</v>
      </c>
      <c r="AD23" s="230">
        <v>0</v>
      </c>
      <c r="AE23" s="230">
        <v>0</v>
      </c>
      <c r="AF23" s="230">
        <v>0</v>
      </c>
      <c r="AG23" s="230">
        <v>0</v>
      </c>
      <c r="AH23" s="230">
        <v>0</v>
      </c>
      <c r="AI23" s="230">
        <v>0</v>
      </c>
      <c r="AJ23" s="230">
        <v>0</v>
      </c>
      <c r="AK23" s="230">
        <v>0</v>
      </c>
      <c r="AL23" s="230">
        <v>0</v>
      </c>
      <c r="AM23" s="230">
        <v>0</v>
      </c>
      <c r="AN23" s="230">
        <v>0</v>
      </c>
      <c r="AO23" s="230">
        <v>0</v>
      </c>
      <c r="AP23" s="230">
        <v>0</v>
      </c>
      <c r="AQ23" s="230">
        <v>0</v>
      </c>
      <c r="AR23" s="230"/>
      <c r="AS23" s="230"/>
      <c r="AT23" s="231">
        <f t="shared" si="0"/>
        <v>1187.7887999999998</v>
      </c>
      <c r="AU23" s="219">
        <f t="shared" si="1"/>
        <v>0</v>
      </c>
      <c r="AV23" s="232">
        <f t="shared" si="3"/>
        <v>18.559200000000001</v>
      </c>
      <c r="AW23" s="230">
        <f t="shared" si="2"/>
        <v>1187.7887999999998</v>
      </c>
      <c r="AY23" s="221"/>
    </row>
    <row r="24" spans="2:51" s="208" customFormat="1" outlineLevel="2" x14ac:dyDescent="0.25">
      <c r="B24" s="209" t="s">
        <v>586</v>
      </c>
      <c r="C24" s="210">
        <v>10</v>
      </c>
      <c r="D24" s="211" t="s">
        <v>606</v>
      </c>
      <c r="E24" s="212" t="s">
        <v>607</v>
      </c>
      <c r="F24" s="213" t="s">
        <v>608</v>
      </c>
      <c r="G24" s="213" t="s">
        <v>597</v>
      </c>
      <c r="H24" s="213" t="s">
        <v>598</v>
      </c>
      <c r="I24" s="213" t="s">
        <v>547</v>
      </c>
      <c r="J24" s="214">
        <v>238897.15</v>
      </c>
      <c r="K24" s="215">
        <v>132500</v>
      </c>
      <c r="L24" s="215"/>
      <c r="M24" s="215"/>
      <c r="N24" s="233"/>
      <c r="O24" s="233"/>
      <c r="P24" s="216"/>
      <c r="Q24" s="216" t="s">
        <v>548</v>
      </c>
      <c r="R24" s="217">
        <v>10600</v>
      </c>
      <c r="S24" s="217">
        <v>10600</v>
      </c>
      <c r="T24" s="217">
        <v>10600</v>
      </c>
      <c r="U24" s="217">
        <v>10600</v>
      </c>
      <c r="V24" s="217">
        <v>10600</v>
      </c>
      <c r="W24" s="217">
        <v>10600</v>
      </c>
      <c r="X24" s="217">
        <v>10600</v>
      </c>
      <c r="Y24" s="217">
        <v>10600</v>
      </c>
      <c r="Z24" s="217">
        <v>10600</v>
      </c>
      <c r="AA24" s="217">
        <v>10600</v>
      </c>
      <c r="AB24" s="217">
        <v>10600</v>
      </c>
      <c r="AC24" s="217">
        <v>10600</v>
      </c>
      <c r="AD24" s="217">
        <v>5300</v>
      </c>
      <c r="AE24" s="217">
        <v>0</v>
      </c>
      <c r="AF24" s="217">
        <v>0</v>
      </c>
      <c r="AG24" s="217">
        <v>0</v>
      </c>
      <c r="AH24" s="217">
        <v>0</v>
      </c>
      <c r="AI24" s="217">
        <v>0</v>
      </c>
      <c r="AJ24" s="217">
        <v>0</v>
      </c>
      <c r="AK24" s="217">
        <v>0</v>
      </c>
      <c r="AL24" s="217">
        <v>0</v>
      </c>
      <c r="AM24" s="217">
        <v>0</v>
      </c>
      <c r="AN24" s="217">
        <v>0</v>
      </c>
      <c r="AO24" s="217">
        <v>0</v>
      </c>
      <c r="AP24" s="217">
        <v>0</v>
      </c>
      <c r="AQ24" s="217">
        <v>0</v>
      </c>
      <c r="AR24" s="217"/>
      <c r="AS24" s="217"/>
      <c r="AT24" s="218">
        <f t="shared" si="0"/>
        <v>132500</v>
      </c>
      <c r="AU24" s="219">
        <f t="shared" si="1"/>
        <v>0</v>
      </c>
      <c r="AV24" s="220">
        <f t="shared" si="3"/>
        <v>58300</v>
      </c>
      <c r="AW24" s="217">
        <f t="shared" si="2"/>
        <v>132500</v>
      </c>
      <c r="AY24" s="221"/>
    </row>
    <row r="25" spans="2:51" outlineLevel="2" x14ac:dyDescent="0.25">
      <c r="B25" s="222" t="s">
        <v>586</v>
      </c>
      <c r="C25" s="223"/>
      <c r="D25" s="224" t="s">
        <v>609</v>
      </c>
      <c r="E25" s="225"/>
      <c r="F25" s="226"/>
      <c r="G25" s="226"/>
      <c r="H25" s="226"/>
      <c r="I25" s="226"/>
      <c r="J25" s="227"/>
      <c r="K25" s="228"/>
      <c r="L25" s="227" t="s">
        <v>600</v>
      </c>
      <c r="M25" s="227"/>
      <c r="N25" s="229">
        <f t="shared" si="4"/>
        <v>2.508</v>
      </c>
      <c r="O25" s="229">
        <v>2.508</v>
      </c>
      <c r="P25" s="229">
        <f>$P$4</f>
        <v>0</v>
      </c>
      <c r="Q25" s="229" t="s">
        <v>551</v>
      </c>
      <c r="R25" s="230">
        <f>SUM(R24:$AQ24)*$N25/100</f>
        <v>3323.1</v>
      </c>
      <c r="S25" s="230">
        <f>SUM(S24:$AQ24)*$N25/100</f>
        <v>3057.252</v>
      </c>
      <c r="T25" s="230">
        <f>SUM(T24:$AQ24)*$N25/100</f>
        <v>2791.4040000000005</v>
      </c>
      <c r="U25" s="230">
        <f>SUM(U24:$AQ24)*$N25/100</f>
        <v>2525.556</v>
      </c>
      <c r="V25" s="230">
        <f>SUM(V24:$AQ24)*$N25/100</f>
        <v>2259.7080000000001</v>
      </c>
      <c r="W25" s="230">
        <f>SUM(W24:$AQ24)*$N25/100</f>
        <v>1993.86</v>
      </c>
      <c r="X25" s="230">
        <f>SUM(X24:$AQ24)*$N25/100</f>
        <v>1728.0120000000002</v>
      </c>
      <c r="Y25" s="230">
        <f>SUM(Y24:$AQ24)*$N25/100</f>
        <v>1462.164</v>
      </c>
      <c r="Z25" s="230">
        <f>SUM(Z24:$AQ24)*$N25/100</f>
        <v>1196.316</v>
      </c>
      <c r="AA25" s="230">
        <f>SUM(AA24:$AQ24)*$N25/100</f>
        <v>930.46800000000007</v>
      </c>
      <c r="AB25" s="230">
        <f>SUM(AB24:$AQ24)*$N25/100</f>
        <v>664.62</v>
      </c>
      <c r="AC25" s="230">
        <f>SUM(AC24:$AQ24)*$N25/100</f>
        <v>398.77199999999999</v>
      </c>
      <c r="AD25" s="230">
        <f>SUM(AD24:$AQ24)*$N25/100</f>
        <v>132.92400000000001</v>
      </c>
      <c r="AE25" s="230">
        <v>0</v>
      </c>
      <c r="AF25" s="230">
        <v>0</v>
      </c>
      <c r="AG25" s="230">
        <v>0</v>
      </c>
      <c r="AH25" s="230">
        <v>0</v>
      </c>
      <c r="AI25" s="230">
        <v>0</v>
      </c>
      <c r="AJ25" s="230">
        <v>0</v>
      </c>
      <c r="AK25" s="230">
        <v>0</v>
      </c>
      <c r="AL25" s="230">
        <v>0</v>
      </c>
      <c r="AM25" s="230">
        <v>0</v>
      </c>
      <c r="AN25" s="230">
        <v>0</v>
      </c>
      <c r="AO25" s="230">
        <v>0</v>
      </c>
      <c r="AP25" s="230">
        <v>0</v>
      </c>
      <c r="AQ25" s="230">
        <v>0</v>
      </c>
      <c r="AR25" s="230"/>
      <c r="AS25" s="230"/>
      <c r="AT25" s="231">
        <f t="shared" si="0"/>
        <v>22464.156000000003</v>
      </c>
      <c r="AU25" s="219">
        <f t="shared" si="1"/>
        <v>0</v>
      </c>
      <c r="AV25" s="232">
        <f t="shared" si="3"/>
        <v>4785.2640000000001</v>
      </c>
      <c r="AW25" s="230">
        <f t="shared" si="2"/>
        <v>22464.156000000003</v>
      </c>
      <c r="AY25" s="221"/>
    </row>
    <row r="26" spans="2:51" s="198" customFormat="1" outlineLevel="2" x14ac:dyDescent="0.25">
      <c r="B26" s="234" t="s">
        <v>586</v>
      </c>
      <c r="C26" s="235">
        <v>11</v>
      </c>
      <c r="D26" s="236" t="s">
        <v>610</v>
      </c>
      <c r="E26" s="212" t="s">
        <v>611</v>
      </c>
      <c r="F26" s="212" t="s">
        <v>612</v>
      </c>
      <c r="G26" s="212" t="s">
        <v>613</v>
      </c>
      <c r="H26" s="212" t="s">
        <v>614</v>
      </c>
      <c r="I26" s="212" t="s">
        <v>547</v>
      </c>
      <c r="J26" s="214">
        <v>34291</v>
      </c>
      <c r="K26" s="215">
        <v>8870</v>
      </c>
      <c r="L26" s="215"/>
      <c r="M26" s="215"/>
      <c r="N26" s="233"/>
      <c r="O26" s="233"/>
      <c r="P26" s="216"/>
      <c r="Q26" s="216" t="s">
        <v>548</v>
      </c>
      <c r="R26" s="217">
        <v>3548</v>
      </c>
      <c r="S26" s="217">
        <v>3548</v>
      </c>
      <c r="T26" s="217">
        <v>1774</v>
      </c>
      <c r="U26" s="217">
        <v>0</v>
      </c>
      <c r="V26" s="217">
        <v>0</v>
      </c>
      <c r="W26" s="217">
        <v>0</v>
      </c>
      <c r="X26" s="217">
        <v>0</v>
      </c>
      <c r="Y26" s="217">
        <v>0</v>
      </c>
      <c r="Z26" s="217">
        <v>0</v>
      </c>
      <c r="AA26" s="217">
        <v>0</v>
      </c>
      <c r="AB26" s="217">
        <v>0</v>
      </c>
      <c r="AC26" s="217">
        <v>0</v>
      </c>
      <c r="AD26" s="217">
        <v>0</v>
      </c>
      <c r="AE26" s="217">
        <v>0</v>
      </c>
      <c r="AF26" s="217">
        <v>0</v>
      </c>
      <c r="AG26" s="217">
        <v>0</v>
      </c>
      <c r="AH26" s="217">
        <v>0</v>
      </c>
      <c r="AI26" s="217">
        <v>0</v>
      </c>
      <c r="AJ26" s="217">
        <v>0</v>
      </c>
      <c r="AK26" s="217">
        <v>0</v>
      </c>
      <c r="AL26" s="217">
        <v>0</v>
      </c>
      <c r="AM26" s="217">
        <v>0</v>
      </c>
      <c r="AN26" s="217">
        <v>0</v>
      </c>
      <c r="AO26" s="217">
        <v>0</v>
      </c>
      <c r="AP26" s="217">
        <v>0</v>
      </c>
      <c r="AQ26" s="217">
        <v>0</v>
      </c>
      <c r="AR26" s="217"/>
      <c r="AS26" s="217"/>
      <c r="AT26" s="217">
        <f t="shared" si="0"/>
        <v>8870</v>
      </c>
      <c r="AU26" s="237">
        <f t="shared" si="1"/>
        <v>0</v>
      </c>
      <c r="AV26" s="220">
        <f t="shared" si="3"/>
        <v>0</v>
      </c>
      <c r="AW26" s="217">
        <f t="shared" si="2"/>
        <v>8870</v>
      </c>
      <c r="AY26" s="221"/>
    </row>
    <row r="27" spans="2:51" s="190" customFormat="1" outlineLevel="2" x14ac:dyDescent="0.25">
      <c r="B27" s="238" t="s">
        <v>586</v>
      </c>
      <c r="C27" s="239"/>
      <c r="D27" s="240" t="s">
        <v>615</v>
      </c>
      <c r="E27" s="225"/>
      <c r="F27" s="225"/>
      <c r="G27" s="225"/>
      <c r="H27" s="225"/>
      <c r="I27" s="225"/>
      <c r="J27" s="227"/>
      <c r="K27" s="228"/>
      <c r="L27" s="227" t="s">
        <v>616</v>
      </c>
      <c r="M27" s="227"/>
      <c r="N27" s="229">
        <f t="shared" si="4"/>
        <v>2.4620000000000002</v>
      </c>
      <c r="O27" s="229">
        <v>2.4620000000000002</v>
      </c>
      <c r="P27" s="229">
        <f>$P$4</f>
        <v>0</v>
      </c>
      <c r="Q27" s="229" t="s">
        <v>551</v>
      </c>
      <c r="R27" s="230">
        <f>SUM(R26:$AQ26)*$N27/100</f>
        <v>218.37940000000003</v>
      </c>
      <c r="S27" s="230">
        <f>SUM(S26:$AQ26)*$N27/100</f>
        <v>131.02764000000002</v>
      </c>
      <c r="T27" s="230">
        <f>SUM(T26:$AQ26)*$N27/100</f>
        <v>43.675880000000006</v>
      </c>
      <c r="U27" s="230">
        <v>0</v>
      </c>
      <c r="V27" s="230">
        <v>0</v>
      </c>
      <c r="W27" s="230">
        <v>0</v>
      </c>
      <c r="X27" s="230">
        <v>0</v>
      </c>
      <c r="Y27" s="230">
        <v>0</v>
      </c>
      <c r="Z27" s="230">
        <v>0</v>
      </c>
      <c r="AA27" s="230">
        <v>0</v>
      </c>
      <c r="AB27" s="230">
        <v>0</v>
      </c>
      <c r="AC27" s="230">
        <v>0</v>
      </c>
      <c r="AD27" s="230">
        <v>0</v>
      </c>
      <c r="AE27" s="230">
        <v>0</v>
      </c>
      <c r="AF27" s="230">
        <v>0</v>
      </c>
      <c r="AG27" s="230">
        <v>0</v>
      </c>
      <c r="AH27" s="230">
        <v>0</v>
      </c>
      <c r="AI27" s="230">
        <v>0</v>
      </c>
      <c r="AJ27" s="230">
        <v>0</v>
      </c>
      <c r="AK27" s="230">
        <v>0</v>
      </c>
      <c r="AL27" s="230">
        <v>0</v>
      </c>
      <c r="AM27" s="230">
        <v>0</v>
      </c>
      <c r="AN27" s="230">
        <v>0</v>
      </c>
      <c r="AO27" s="230">
        <v>0</v>
      </c>
      <c r="AP27" s="230">
        <v>0</v>
      </c>
      <c r="AQ27" s="230">
        <v>0</v>
      </c>
      <c r="AR27" s="230"/>
      <c r="AS27" s="230"/>
      <c r="AT27" s="230">
        <f t="shared" si="0"/>
        <v>393.08292000000006</v>
      </c>
      <c r="AU27" s="237">
        <f t="shared" si="1"/>
        <v>0</v>
      </c>
      <c r="AV27" s="232">
        <f t="shared" si="3"/>
        <v>0</v>
      </c>
      <c r="AW27" s="230">
        <f t="shared" si="2"/>
        <v>393.08292000000006</v>
      </c>
      <c r="AY27" s="221"/>
    </row>
    <row r="28" spans="2:51" s="208" customFormat="1" outlineLevel="2" x14ac:dyDescent="0.25">
      <c r="B28" s="209" t="s">
        <v>586</v>
      </c>
      <c r="C28" s="210">
        <v>12</v>
      </c>
      <c r="D28" s="211" t="s">
        <v>617</v>
      </c>
      <c r="E28" s="212" t="s">
        <v>618</v>
      </c>
      <c r="F28" s="213" t="s">
        <v>619</v>
      </c>
      <c r="G28" s="213" t="s">
        <v>620</v>
      </c>
      <c r="H28" s="213" t="s">
        <v>621</v>
      </c>
      <c r="I28" s="213" t="s">
        <v>547</v>
      </c>
      <c r="J28" s="214">
        <v>2609698.31</v>
      </c>
      <c r="K28" s="215">
        <v>2138739.31</v>
      </c>
      <c r="L28" s="215"/>
      <c r="M28" s="215"/>
      <c r="N28" s="233"/>
      <c r="O28" s="233"/>
      <c r="P28" s="216"/>
      <c r="Q28" s="216" t="s">
        <v>548</v>
      </c>
      <c r="R28" s="217">
        <v>94200</v>
      </c>
      <c r="S28" s="217">
        <v>94200</v>
      </c>
      <c r="T28" s="217">
        <v>94200</v>
      </c>
      <c r="U28" s="217">
        <v>94200</v>
      </c>
      <c r="V28" s="217">
        <v>94200</v>
      </c>
      <c r="W28" s="217">
        <v>94200</v>
      </c>
      <c r="X28" s="217">
        <v>94200</v>
      </c>
      <c r="Y28" s="217">
        <v>94200</v>
      </c>
      <c r="Z28" s="217">
        <v>94200</v>
      </c>
      <c r="AA28" s="217">
        <v>94200</v>
      </c>
      <c r="AB28" s="217">
        <v>94200</v>
      </c>
      <c r="AC28" s="217">
        <v>94200</v>
      </c>
      <c r="AD28" s="217">
        <v>94200</v>
      </c>
      <c r="AE28" s="217">
        <v>94200</v>
      </c>
      <c r="AF28" s="217">
        <v>94200</v>
      </c>
      <c r="AG28" s="217">
        <v>94200</v>
      </c>
      <c r="AH28" s="217">
        <v>94200</v>
      </c>
      <c r="AI28" s="217">
        <v>94200</v>
      </c>
      <c r="AJ28" s="217">
        <v>94200</v>
      </c>
      <c r="AK28" s="217">
        <v>94200</v>
      </c>
      <c r="AL28" s="217">
        <v>94200</v>
      </c>
      <c r="AM28" s="217">
        <v>94200</v>
      </c>
      <c r="AN28" s="217">
        <v>66339.31</v>
      </c>
      <c r="AO28" s="217">
        <v>0</v>
      </c>
      <c r="AP28" s="217">
        <v>0</v>
      </c>
      <c r="AQ28" s="217">
        <v>0</v>
      </c>
      <c r="AR28" s="217"/>
      <c r="AS28" s="217"/>
      <c r="AT28" s="218">
        <f t="shared" si="0"/>
        <v>2138739.31</v>
      </c>
      <c r="AU28" s="219">
        <f t="shared" si="1"/>
        <v>0</v>
      </c>
      <c r="AV28" s="220">
        <f t="shared" si="3"/>
        <v>1479339.31</v>
      </c>
      <c r="AW28" s="217">
        <f t="shared" si="2"/>
        <v>2138739.31</v>
      </c>
      <c r="AY28" s="221"/>
    </row>
    <row r="29" spans="2:51" outlineLevel="2" x14ac:dyDescent="0.25">
      <c r="B29" s="222" t="s">
        <v>586</v>
      </c>
      <c r="C29" s="223"/>
      <c r="D29" s="224" t="s">
        <v>622</v>
      </c>
      <c r="E29" s="225"/>
      <c r="F29" s="226"/>
      <c r="G29" s="226"/>
      <c r="H29" s="226"/>
      <c r="I29" s="226"/>
      <c r="J29" s="227"/>
      <c r="K29" s="228"/>
      <c r="L29" s="227" t="s">
        <v>623</v>
      </c>
      <c r="M29" s="227"/>
      <c r="N29" s="229">
        <f t="shared" si="4"/>
        <v>2.2999999999999998</v>
      </c>
      <c r="O29" s="229">
        <v>2.2999999999999998</v>
      </c>
      <c r="P29" s="229">
        <f>$P$4</f>
        <v>0</v>
      </c>
      <c r="Q29" s="229" t="s">
        <v>551</v>
      </c>
      <c r="R29" s="230">
        <f>SUM(R28:$AQ28)*$N29/100</f>
        <v>49191.004129999994</v>
      </c>
      <c r="S29" s="230">
        <f>SUM(S28:$AQ28)*$N29/100</f>
        <v>47024.404129999995</v>
      </c>
      <c r="T29" s="230">
        <f>SUM(T28:$AQ28)*$N29/100</f>
        <v>44857.804129999997</v>
      </c>
      <c r="U29" s="230">
        <f>SUM(U28:$AQ28)*$N29/100</f>
        <v>42691.204129999998</v>
      </c>
      <c r="V29" s="230">
        <f>SUM(V28:$AQ28)*$N29/100</f>
        <v>40524.60413</v>
      </c>
      <c r="W29" s="230">
        <f>SUM(W28:$AQ28)*$N29/100</f>
        <v>38358.004129999994</v>
      </c>
      <c r="X29" s="230">
        <f>SUM(X28:$AQ28)*$N29/100</f>
        <v>36191.404129999995</v>
      </c>
      <c r="Y29" s="230">
        <f>SUM(Y28:$AQ28)*$N29/100</f>
        <v>34024.804129999997</v>
      </c>
      <c r="Z29" s="230">
        <f>SUM(Z28:$AQ28)*$N29/100</f>
        <v>31858.204129999998</v>
      </c>
      <c r="AA29" s="230">
        <f>SUM(AA28:$AQ28)*$N29/100</f>
        <v>29691.604129999996</v>
      </c>
      <c r="AB29" s="230">
        <f>SUM(AB28:$AQ28)*$N29/100</f>
        <v>27525.004129999998</v>
      </c>
      <c r="AC29" s="230">
        <f>SUM(AC28:$AQ28)*$N29/100</f>
        <v>25358.404129999995</v>
      </c>
      <c r="AD29" s="230">
        <f>SUM(AD28:$AQ28)*$N29/100</f>
        <v>23191.80413</v>
      </c>
      <c r="AE29" s="230">
        <f>SUM(AE28:$AQ28)*$N29/100</f>
        <v>21025.204130000002</v>
      </c>
      <c r="AF29" s="230">
        <f>SUM(AF28:$AQ28)*$N29/100</f>
        <v>18858.60413</v>
      </c>
      <c r="AG29" s="230">
        <f>SUM(AG28:$AQ28)*$N29/100</f>
        <v>16692.004130000001</v>
      </c>
      <c r="AH29" s="230">
        <f>SUM(AH28:$AQ28)*$N29/100</f>
        <v>14525.404129999999</v>
      </c>
      <c r="AI29" s="230">
        <f>SUM(AI28:$AQ28)*$N29/100</f>
        <v>12358.804129999999</v>
      </c>
      <c r="AJ29" s="230">
        <f>SUM(AJ28:$AQ28)*$N29/100</f>
        <v>10192.20413</v>
      </c>
      <c r="AK29" s="230">
        <f>SUM(AK28:$AQ28)*$N29/100</f>
        <v>8025.6041299999997</v>
      </c>
      <c r="AL29" s="230">
        <f>SUM(AL28:$AQ28)*$N29/100</f>
        <v>5859.0041299999993</v>
      </c>
      <c r="AM29" s="230">
        <f>SUM(AM28:$AQ28)*$N29/100</f>
        <v>3692.4041299999994</v>
      </c>
      <c r="AN29" s="230">
        <f>SUM(AN28:$AQ28)*$N29/100</f>
        <v>1525.8041299999998</v>
      </c>
      <c r="AO29" s="230">
        <v>0</v>
      </c>
      <c r="AP29" s="230">
        <v>0</v>
      </c>
      <c r="AQ29" s="230">
        <v>0</v>
      </c>
      <c r="AR29" s="230"/>
      <c r="AS29" s="230"/>
      <c r="AT29" s="231">
        <f t="shared" si="0"/>
        <v>583243.29498999985</v>
      </c>
      <c r="AU29" s="219">
        <f t="shared" si="1"/>
        <v>0</v>
      </c>
      <c r="AV29" s="232">
        <f t="shared" si="3"/>
        <v>284404.86608000001</v>
      </c>
      <c r="AW29" s="230">
        <f t="shared" si="2"/>
        <v>583243.29498999997</v>
      </c>
      <c r="AY29" s="221"/>
    </row>
    <row r="30" spans="2:51" s="208" customFormat="1" outlineLevel="2" x14ac:dyDescent="0.25">
      <c r="B30" s="209" t="s">
        <v>586</v>
      </c>
      <c r="C30" s="210">
        <v>13</v>
      </c>
      <c r="D30" s="211" t="s">
        <v>624</v>
      </c>
      <c r="E30" s="212" t="s">
        <v>625</v>
      </c>
      <c r="F30" s="213" t="s">
        <v>626</v>
      </c>
      <c r="G30" s="213" t="s">
        <v>620</v>
      </c>
      <c r="H30" s="213" t="s">
        <v>621</v>
      </c>
      <c r="I30" s="213" t="s">
        <v>547</v>
      </c>
      <c r="J30" s="214">
        <v>3496295</v>
      </c>
      <c r="K30" s="215">
        <v>2866409</v>
      </c>
      <c r="L30" s="215"/>
      <c r="M30" s="215"/>
      <c r="N30" s="233"/>
      <c r="O30" s="233"/>
      <c r="P30" s="216"/>
      <c r="Q30" s="216" t="s">
        <v>548</v>
      </c>
      <c r="R30" s="217">
        <v>125996</v>
      </c>
      <c r="S30" s="217">
        <v>125996</v>
      </c>
      <c r="T30" s="217">
        <v>125996</v>
      </c>
      <c r="U30" s="217">
        <v>125996</v>
      </c>
      <c r="V30" s="217">
        <v>125996</v>
      </c>
      <c r="W30" s="217">
        <v>125996</v>
      </c>
      <c r="X30" s="217">
        <v>125996</v>
      </c>
      <c r="Y30" s="217">
        <v>125996</v>
      </c>
      <c r="Z30" s="217">
        <v>125996</v>
      </c>
      <c r="AA30" s="217">
        <v>125996</v>
      </c>
      <c r="AB30" s="217">
        <v>125996</v>
      </c>
      <c r="AC30" s="217">
        <v>125996</v>
      </c>
      <c r="AD30" s="217">
        <v>125996</v>
      </c>
      <c r="AE30" s="217">
        <v>125996</v>
      </c>
      <c r="AF30" s="217">
        <v>125996</v>
      </c>
      <c r="AG30" s="217">
        <v>125996</v>
      </c>
      <c r="AH30" s="217">
        <v>125996</v>
      </c>
      <c r="AI30" s="217">
        <v>125996</v>
      </c>
      <c r="AJ30" s="217">
        <v>125996</v>
      </c>
      <c r="AK30" s="217">
        <v>125996</v>
      </c>
      <c r="AL30" s="217">
        <v>125996</v>
      </c>
      <c r="AM30" s="217">
        <v>125996</v>
      </c>
      <c r="AN30" s="217">
        <v>94497</v>
      </c>
      <c r="AO30" s="217">
        <v>0</v>
      </c>
      <c r="AP30" s="217">
        <v>0</v>
      </c>
      <c r="AQ30" s="217">
        <v>0</v>
      </c>
      <c r="AR30" s="217"/>
      <c r="AS30" s="217"/>
      <c r="AT30" s="218">
        <f t="shared" si="0"/>
        <v>2866409</v>
      </c>
      <c r="AU30" s="219">
        <f t="shared" si="1"/>
        <v>0</v>
      </c>
      <c r="AV30" s="220">
        <f t="shared" si="3"/>
        <v>1984437</v>
      </c>
      <c r="AW30" s="217">
        <f t="shared" si="2"/>
        <v>2866409</v>
      </c>
      <c r="AY30" s="221"/>
    </row>
    <row r="31" spans="2:51" outlineLevel="2" x14ac:dyDescent="0.25">
      <c r="B31" s="222" t="s">
        <v>586</v>
      </c>
      <c r="C31" s="223"/>
      <c r="D31" s="224" t="s">
        <v>627</v>
      </c>
      <c r="E31" s="225"/>
      <c r="F31" s="226"/>
      <c r="G31" s="226"/>
      <c r="H31" s="226"/>
      <c r="I31" s="226"/>
      <c r="J31" s="227"/>
      <c r="K31" s="228"/>
      <c r="L31" s="227" t="s">
        <v>623</v>
      </c>
      <c r="M31" s="227"/>
      <c r="N31" s="229">
        <f t="shared" si="4"/>
        <v>2.4620000000000002</v>
      </c>
      <c r="O31" s="229">
        <v>2.4620000000000002</v>
      </c>
      <c r="P31" s="229">
        <f>$P$4</f>
        <v>0</v>
      </c>
      <c r="Q31" s="229" t="s">
        <v>551</v>
      </c>
      <c r="R31" s="230">
        <f>SUM(R30:$AQ30)*$N31/100</f>
        <v>70570.989580000009</v>
      </c>
      <c r="S31" s="230">
        <f>SUM(S30:$AQ30)*$N31/100</f>
        <v>67468.968060000014</v>
      </c>
      <c r="T31" s="230">
        <f>SUM(T30:$AQ30)*$N31/100</f>
        <v>64366.946540000004</v>
      </c>
      <c r="U31" s="230">
        <f>SUM(U30:$AQ30)*$N31/100</f>
        <v>61264.925020000002</v>
      </c>
      <c r="V31" s="230">
        <f>SUM(V30:$AQ30)*$N31/100</f>
        <v>58162.903500000008</v>
      </c>
      <c r="W31" s="230">
        <f>SUM(W30:$AQ30)*$N31/100</f>
        <v>55060.881980000006</v>
      </c>
      <c r="X31" s="230">
        <f>SUM(X30:$AQ30)*$N31/100</f>
        <v>51958.860460000004</v>
      </c>
      <c r="Y31" s="230">
        <f>SUM(Y30:$AQ30)*$N31/100</f>
        <v>48856.838940000001</v>
      </c>
      <c r="Z31" s="230">
        <f>SUM(Z30:$AQ30)*$N31/100</f>
        <v>45754.817420000007</v>
      </c>
      <c r="AA31" s="230">
        <f>SUM(AA30:$AQ30)*$N31/100</f>
        <v>42652.795900000005</v>
      </c>
      <c r="AB31" s="230">
        <f>SUM(AB30:$AQ30)*$N31/100</f>
        <v>39550.774380000003</v>
      </c>
      <c r="AC31" s="230">
        <f>SUM(AC30:$AQ30)*$N31/100</f>
        <v>36448.752860000001</v>
      </c>
      <c r="AD31" s="230">
        <f>SUM(AD30:$AQ30)*$N31/100</f>
        <v>33346.731339999998</v>
      </c>
      <c r="AE31" s="230">
        <f>SUM(AE30:$AQ30)*$N31/100</f>
        <v>30244.709820000004</v>
      </c>
      <c r="AF31" s="230">
        <f>SUM(AF30:$AQ30)*$N31/100</f>
        <v>27142.688300000002</v>
      </c>
      <c r="AG31" s="230">
        <f>SUM(AG30:$AQ30)*$N31/100</f>
        <v>24040.666780000003</v>
      </c>
      <c r="AH31" s="230">
        <f>SUM(AH30:$AQ30)*$N31/100</f>
        <v>20938.645260000001</v>
      </c>
      <c r="AI31" s="230">
        <f>SUM(AI30:$AQ30)*$N31/100</f>
        <v>17836.623739999999</v>
      </c>
      <c r="AJ31" s="230">
        <f>SUM(AJ30:$AQ30)*$N31/100</f>
        <v>14734.602220000001</v>
      </c>
      <c r="AK31" s="230">
        <f>SUM(AK30:$AQ30)*$N31/100</f>
        <v>11632.5807</v>
      </c>
      <c r="AL31" s="230">
        <f>SUM(AL30:$AQ30)*$N31/100</f>
        <v>8530.5591800000002</v>
      </c>
      <c r="AM31" s="230">
        <f>SUM(AM30:$AQ30)*$N31/100</f>
        <v>5428.5376600000009</v>
      </c>
      <c r="AN31" s="230">
        <f>SUM(AN30:$AQ30)*$N31/100</f>
        <v>2326.5161400000002</v>
      </c>
      <c r="AO31" s="230">
        <v>0</v>
      </c>
      <c r="AP31" s="230">
        <v>0</v>
      </c>
      <c r="AQ31" s="230">
        <v>0</v>
      </c>
      <c r="AR31" s="230"/>
      <c r="AS31" s="230"/>
      <c r="AT31" s="231">
        <f t="shared" si="0"/>
        <v>838321.31578000006</v>
      </c>
      <c r="AU31" s="219">
        <f t="shared" si="1"/>
        <v>0</v>
      </c>
      <c r="AV31" s="232">
        <f t="shared" si="3"/>
        <v>409466.84064000001</v>
      </c>
      <c r="AW31" s="230">
        <f t="shared" si="2"/>
        <v>838321.31578000006</v>
      </c>
      <c r="AY31" s="221"/>
    </row>
    <row r="32" spans="2:51" s="208" customFormat="1" outlineLevel="2" x14ac:dyDescent="0.25">
      <c r="B32" s="209" t="s">
        <v>586</v>
      </c>
      <c r="C32" s="210">
        <v>14</v>
      </c>
      <c r="D32" s="211" t="s">
        <v>594</v>
      </c>
      <c r="E32" s="212" t="s">
        <v>628</v>
      </c>
      <c r="F32" s="213" t="s">
        <v>629</v>
      </c>
      <c r="G32" s="213" t="s">
        <v>630</v>
      </c>
      <c r="H32" s="213" t="s">
        <v>631</v>
      </c>
      <c r="I32" s="213" t="s">
        <v>547</v>
      </c>
      <c r="J32" s="214">
        <v>190122</v>
      </c>
      <c r="K32" s="215">
        <v>124332</v>
      </c>
      <c r="L32" s="215"/>
      <c r="M32" s="215"/>
      <c r="N32" s="233"/>
      <c r="O32" s="233"/>
      <c r="P32" s="216"/>
      <c r="Q32" s="216" t="s">
        <v>548</v>
      </c>
      <c r="R32" s="217">
        <v>9752</v>
      </c>
      <c r="S32" s="217">
        <v>9752</v>
      </c>
      <c r="T32" s="217">
        <v>9752</v>
      </c>
      <c r="U32" s="217">
        <v>9752</v>
      </c>
      <c r="V32" s="217">
        <v>9752</v>
      </c>
      <c r="W32" s="217">
        <v>9752</v>
      </c>
      <c r="X32" s="217">
        <v>9752</v>
      </c>
      <c r="Y32" s="217">
        <v>9752</v>
      </c>
      <c r="Z32" s="217">
        <v>9752</v>
      </c>
      <c r="AA32" s="217">
        <v>9752</v>
      </c>
      <c r="AB32" s="217">
        <v>9752</v>
      </c>
      <c r="AC32" s="217">
        <v>9752</v>
      </c>
      <c r="AD32" s="217">
        <v>7308</v>
      </c>
      <c r="AE32" s="217">
        <v>0</v>
      </c>
      <c r="AF32" s="217">
        <v>0</v>
      </c>
      <c r="AG32" s="217">
        <v>0</v>
      </c>
      <c r="AH32" s="217">
        <v>0</v>
      </c>
      <c r="AI32" s="217">
        <v>0</v>
      </c>
      <c r="AJ32" s="217">
        <v>0</v>
      </c>
      <c r="AK32" s="217">
        <v>0</v>
      </c>
      <c r="AL32" s="217">
        <v>0</v>
      </c>
      <c r="AM32" s="217">
        <v>0</v>
      </c>
      <c r="AN32" s="217">
        <v>0</v>
      </c>
      <c r="AO32" s="217">
        <v>0</v>
      </c>
      <c r="AP32" s="217">
        <v>0</v>
      </c>
      <c r="AQ32" s="217">
        <v>0</v>
      </c>
      <c r="AR32" s="217"/>
      <c r="AS32" s="217"/>
      <c r="AT32" s="218">
        <f t="shared" si="0"/>
        <v>124332</v>
      </c>
      <c r="AU32" s="219">
        <f t="shared" si="1"/>
        <v>0</v>
      </c>
      <c r="AV32" s="220">
        <f t="shared" si="3"/>
        <v>56068</v>
      </c>
      <c r="AW32" s="217">
        <f t="shared" si="2"/>
        <v>124332</v>
      </c>
      <c r="AY32" s="221"/>
    </row>
    <row r="33" spans="2:51" outlineLevel="2" x14ac:dyDescent="0.25">
      <c r="B33" s="222" t="s">
        <v>586</v>
      </c>
      <c r="C33" s="223"/>
      <c r="D33" s="224" t="s">
        <v>632</v>
      </c>
      <c r="E33" s="225"/>
      <c r="F33" s="226"/>
      <c r="G33" s="226"/>
      <c r="H33" s="226"/>
      <c r="I33" s="226"/>
      <c r="J33" s="227"/>
      <c r="K33" s="228"/>
      <c r="L33" s="227" t="s">
        <v>633</v>
      </c>
      <c r="M33" s="227"/>
      <c r="N33" s="229">
        <f t="shared" si="4"/>
        <v>2.4700000000000002</v>
      </c>
      <c r="O33" s="229">
        <v>2.4700000000000002</v>
      </c>
      <c r="P33" s="229">
        <f>$P$4</f>
        <v>0</v>
      </c>
      <c r="Q33" s="229" t="s">
        <v>551</v>
      </c>
      <c r="R33" s="230">
        <f>SUM(R32:$AQ32)*$N33/100</f>
        <v>3071.0004000000004</v>
      </c>
      <c r="S33" s="230">
        <f>SUM(S32:$AQ32)*$N33/100</f>
        <v>2830.1260000000002</v>
      </c>
      <c r="T33" s="230">
        <f>SUM(T32:$AQ32)*$N33/100</f>
        <v>2589.2516000000005</v>
      </c>
      <c r="U33" s="230">
        <f>SUM(U32:$AQ32)*$N33/100</f>
        <v>2348.3772000000004</v>
      </c>
      <c r="V33" s="230">
        <f>SUM(V32:$AQ32)*$N33/100</f>
        <v>2107.5028000000002</v>
      </c>
      <c r="W33" s="230">
        <f>SUM(W32:$AQ32)*$N33/100</f>
        <v>1866.6284000000003</v>
      </c>
      <c r="X33" s="230">
        <f>SUM(X32:$AQ32)*$N33/100</f>
        <v>1625.7540000000001</v>
      </c>
      <c r="Y33" s="230">
        <f>SUM(Y32:$AQ32)*$N33/100</f>
        <v>1384.8796000000002</v>
      </c>
      <c r="Z33" s="230">
        <f>SUM(Z32:$AQ32)*$N33/100</f>
        <v>1144.0052000000001</v>
      </c>
      <c r="AA33" s="230">
        <f>SUM(AA32:$AQ32)*$N33/100</f>
        <v>903.13080000000002</v>
      </c>
      <c r="AB33" s="230">
        <f>SUM(AB32:$AQ32)*$N33/100</f>
        <v>662.25639999999999</v>
      </c>
      <c r="AC33" s="230">
        <f>SUM(AC32:$AQ32)*$N33/100</f>
        <v>421.38200000000006</v>
      </c>
      <c r="AD33" s="230">
        <f>SUM(AD32:$AQ32)*$N33/100</f>
        <v>180.50760000000002</v>
      </c>
      <c r="AE33" s="230">
        <v>0</v>
      </c>
      <c r="AF33" s="230">
        <v>0</v>
      </c>
      <c r="AG33" s="230">
        <v>0</v>
      </c>
      <c r="AH33" s="230">
        <v>0</v>
      </c>
      <c r="AI33" s="230">
        <v>0</v>
      </c>
      <c r="AJ33" s="230">
        <v>0</v>
      </c>
      <c r="AK33" s="230">
        <v>0</v>
      </c>
      <c r="AL33" s="230">
        <v>0</v>
      </c>
      <c r="AM33" s="230">
        <v>0</v>
      </c>
      <c r="AN33" s="230">
        <v>0</v>
      </c>
      <c r="AO33" s="230">
        <v>0</v>
      </c>
      <c r="AP33" s="230">
        <v>0</v>
      </c>
      <c r="AQ33" s="230">
        <v>0</v>
      </c>
      <c r="AR33" s="230"/>
      <c r="AS33" s="230"/>
      <c r="AT33" s="231">
        <f t="shared" si="0"/>
        <v>21134.802</v>
      </c>
      <c r="AU33" s="219">
        <f t="shared" si="1"/>
        <v>0</v>
      </c>
      <c r="AV33" s="232">
        <f t="shared" si="3"/>
        <v>4696.1616000000004</v>
      </c>
      <c r="AW33" s="230">
        <f t="shared" si="2"/>
        <v>21134.802</v>
      </c>
      <c r="AY33" s="221"/>
    </row>
    <row r="34" spans="2:51" s="208" customFormat="1" outlineLevel="2" collapsed="1" x14ac:dyDescent="0.25">
      <c r="B34" s="209" t="s">
        <v>586</v>
      </c>
      <c r="C34" s="210">
        <v>15</v>
      </c>
      <c r="D34" s="211" t="s">
        <v>634</v>
      </c>
      <c r="E34" s="212" t="s">
        <v>635</v>
      </c>
      <c r="F34" s="213" t="s">
        <v>636</v>
      </c>
      <c r="G34" s="213" t="s">
        <v>637</v>
      </c>
      <c r="H34" s="213" t="s">
        <v>631</v>
      </c>
      <c r="I34" s="213" t="s">
        <v>547</v>
      </c>
      <c r="J34" s="214">
        <v>177076.43</v>
      </c>
      <c r="K34" s="215">
        <v>117300</v>
      </c>
      <c r="L34" s="215"/>
      <c r="M34" s="215"/>
      <c r="N34" s="233"/>
      <c r="O34" s="233"/>
      <c r="P34" s="216"/>
      <c r="Q34" s="216" t="s">
        <v>548</v>
      </c>
      <c r="R34" s="217">
        <v>9200</v>
      </c>
      <c r="S34" s="217">
        <v>9200</v>
      </c>
      <c r="T34" s="217">
        <v>9200</v>
      </c>
      <c r="U34" s="217">
        <v>9200</v>
      </c>
      <c r="V34" s="217">
        <v>9200</v>
      </c>
      <c r="W34" s="217">
        <v>9200</v>
      </c>
      <c r="X34" s="217">
        <v>9200</v>
      </c>
      <c r="Y34" s="217">
        <v>9200</v>
      </c>
      <c r="Z34" s="217">
        <v>9200</v>
      </c>
      <c r="AA34" s="217">
        <v>9200</v>
      </c>
      <c r="AB34" s="217">
        <v>9200</v>
      </c>
      <c r="AC34" s="217">
        <v>9200</v>
      </c>
      <c r="AD34" s="217">
        <v>6900</v>
      </c>
      <c r="AE34" s="217">
        <v>0</v>
      </c>
      <c r="AF34" s="217">
        <v>0</v>
      </c>
      <c r="AG34" s="217">
        <v>0</v>
      </c>
      <c r="AH34" s="217">
        <v>0</v>
      </c>
      <c r="AI34" s="217">
        <v>0</v>
      </c>
      <c r="AJ34" s="217">
        <v>0</v>
      </c>
      <c r="AK34" s="217">
        <v>0</v>
      </c>
      <c r="AL34" s="217">
        <v>0</v>
      </c>
      <c r="AM34" s="217">
        <v>0</v>
      </c>
      <c r="AN34" s="217">
        <v>0</v>
      </c>
      <c r="AO34" s="217">
        <v>0</v>
      </c>
      <c r="AP34" s="217">
        <v>0</v>
      </c>
      <c r="AQ34" s="217">
        <v>0</v>
      </c>
      <c r="AR34" s="217"/>
      <c r="AS34" s="217"/>
      <c r="AT34" s="218">
        <f t="shared" si="0"/>
        <v>117300</v>
      </c>
      <c r="AU34" s="219">
        <f t="shared" si="1"/>
        <v>0</v>
      </c>
      <c r="AV34" s="220">
        <f t="shared" si="3"/>
        <v>52900</v>
      </c>
      <c r="AW34" s="217">
        <f t="shared" si="2"/>
        <v>117300</v>
      </c>
      <c r="AY34" s="221"/>
    </row>
    <row r="35" spans="2:51" outlineLevel="2" x14ac:dyDescent="0.25">
      <c r="B35" s="222" t="s">
        <v>586</v>
      </c>
      <c r="C35" s="223"/>
      <c r="D35" s="224" t="s">
        <v>638</v>
      </c>
      <c r="E35" s="225"/>
      <c r="F35" s="226"/>
      <c r="G35" s="226"/>
      <c r="H35" s="226"/>
      <c r="I35" s="226"/>
      <c r="J35" s="227"/>
      <c r="K35" s="228"/>
      <c r="L35" s="227" t="s">
        <v>639</v>
      </c>
      <c r="M35" s="227"/>
      <c r="N35" s="229">
        <f t="shared" si="4"/>
        <v>2.4809999999999999</v>
      </c>
      <c r="O35" s="229">
        <v>2.4809999999999999</v>
      </c>
      <c r="P35" s="229">
        <f>$P$4</f>
        <v>0</v>
      </c>
      <c r="Q35" s="229" t="s">
        <v>551</v>
      </c>
      <c r="R35" s="230">
        <f>SUM(R34:$AQ34)*$N35/100</f>
        <v>2910.2129999999997</v>
      </c>
      <c r="S35" s="230">
        <f>SUM(S34:$AQ34)*$N35/100</f>
        <v>2681.9609999999998</v>
      </c>
      <c r="T35" s="230">
        <f>SUM(T34:$AQ34)*$N35/100</f>
        <v>2453.7089999999998</v>
      </c>
      <c r="U35" s="230">
        <f>SUM(U34:$AQ34)*$N35/100</f>
        <v>2225.4569999999999</v>
      </c>
      <c r="V35" s="230">
        <f>SUM(V34:$AQ34)*$N35/100</f>
        <v>1997.2049999999999</v>
      </c>
      <c r="W35" s="230">
        <f>SUM(W34:$AQ34)*$N35/100</f>
        <v>1768.953</v>
      </c>
      <c r="X35" s="230">
        <f>SUM(X34:$AQ34)*$N35/100</f>
        <v>1540.701</v>
      </c>
      <c r="Y35" s="230">
        <f>SUM(Y34:$AQ34)*$N35/100</f>
        <v>1312.4489999999998</v>
      </c>
      <c r="Z35" s="230">
        <f>SUM(Z34:$AQ34)*$N35/100</f>
        <v>1084.1969999999999</v>
      </c>
      <c r="AA35" s="230">
        <f>SUM(AA34:$AQ34)*$N35/100</f>
        <v>855.94500000000005</v>
      </c>
      <c r="AB35" s="230">
        <f>SUM(AB34:$AQ34)*$N35/100</f>
        <v>627.69299999999998</v>
      </c>
      <c r="AC35" s="230">
        <f>SUM(AC34:$AQ34)*$N35/100</f>
        <v>399.44099999999997</v>
      </c>
      <c r="AD35" s="230">
        <f>SUM(AD34:$AQ34)*$N35/100</f>
        <v>171.18899999999996</v>
      </c>
      <c r="AE35" s="230">
        <v>0</v>
      </c>
      <c r="AF35" s="230">
        <v>0</v>
      </c>
      <c r="AG35" s="230">
        <v>0</v>
      </c>
      <c r="AH35" s="230">
        <v>0</v>
      </c>
      <c r="AI35" s="230">
        <v>0</v>
      </c>
      <c r="AJ35" s="230">
        <v>0</v>
      </c>
      <c r="AK35" s="230">
        <v>0</v>
      </c>
      <c r="AL35" s="230">
        <v>0</v>
      </c>
      <c r="AM35" s="230">
        <v>0</v>
      </c>
      <c r="AN35" s="230">
        <v>0</v>
      </c>
      <c r="AO35" s="230">
        <v>0</v>
      </c>
      <c r="AP35" s="230">
        <v>0</v>
      </c>
      <c r="AQ35" s="230">
        <v>0</v>
      </c>
      <c r="AR35" s="230"/>
      <c r="AS35" s="230"/>
      <c r="AT35" s="231">
        <f t="shared" si="0"/>
        <v>20029.112999999994</v>
      </c>
      <c r="AU35" s="219">
        <f t="shared" si="1"/>
        <v>0</v>
      </c>
      <c r="AV35" s="232">
        <f t="shared" si="3"/>
        <v>4450.9139999999998</v>
      </c>
      <c r="AW35" s="230">
        <f t="shared" si="2"/>
        <v>20029.112999999998</v>
      </c>
      <c r="AY35" s="221"/>
    </row>
    <row r="36" spans="2:51" s="208" customFormat="1" outlineLevel="2" collapsed="1" x14ac:dyDescent="0.25">
      <c r="B36" s="209" t="s">
        <v>541</v>
      </c>
      <c r="C36" s="210">
        <v>16</v>
      </c>
      <c r="D36" s="211" t="s">
        <v>640</v>
      </c>
      <c r="E36" s="212" t="s">
        <v>641</v>
      </c>
      <c r="F36" s="213" t="s">
        <v>642</v>
      </c>
      <c r="G36" s="213" t="s">
        <v>637</v>
      </c>
      <c r="H36" s="213" t="s">
        <v>643</v>
      </c>
      <c r="I36" s="213" t="s">
        <v>547</v>
      </c>
      <c r="J36" s="214">
        <v>1174139.99</v>
      </c>
      <c r="K36" s="215">
        <v>627563.99</v>
      </c>
      <c r="L36" s="215"/>
      <c r="M36" s="215"/>
      <c r="N36" s="233"/>
      <c r="O36" s="233"/>
      <c r="P36" s="216"/>
      <c r="Q36" s="216" t="s">
        <v>548</v>
      </c>
      <c r="R36" s="217">
        <v>80976</v>
      </c>
      <c r="S36" s="217">
        <v>80976</v>
      </c>
      <c r="T36" s="217">
        <v>80976</v>
      </c>
      <c r="U36" s="217">
        <v>80976</v>
      </c>
      <c r="V36" s="217">
        <v>80976</v>
      </c>
      <c r="W36" s="217">
        <v>80976</v>
      </c>
      <c r="X36" s="217">
        <v>80976</v>
      </c>
      <c r="Y36" s="217">
        <v>60731.990000000005</v>
      </c>
      <c r="Z36" s="217">
        <v>0</v>
      </c>
      <c r="AA36" s="217">
        <v>0</v>
      </c>
      <c r="AB36" s="217">
        <v>0</v>
      </c>
      <c r="AC36" s="217">
        <v>0</v>
      </c>
      <c r="AD36" s="217">
        <v>0</v>
      </c>
      <c r="AE36" s="217">
        <v>0</v>
      </c>
      <c r="AF36" s="217">
        <v>0</v>
      </c>
      <c r="AG36" s="217">
        <v>0</v>
      </c>
      <c r="AH36" s="217">
        <v>0</v>
      </c>
      <c r="AI36" s="217">
        <v>0</v>
      </c>
      <c r="AJ36" s="217">
        <v>0</v>
      </c>
      <c r="AK36" s="217">
        <v>0</v>
      </c>
      <c r="AL36" s="217">
        <v>0</v>
      </c>
      <c r="AM36" s="217">
        <v>0</v>
      </c>
      <c r="AN36" s="217">
        <v>0</v>
      </c>
      <c r="AO36" s="217">
        <v>0</v>
      </c>
      <c r="AP36" s="217">
        <v>0</v>
      </c>
      <c r="AQ36" s="217">
        <v>0</v>
      </c>
      <c r="AR36" s="217"/>
      <c r="AS36" s="217"/>
      <c r="AT36" s="218">
        <f t="shared" ref="AT36:AT99" si="5">SUM(R36:AS36)</f>
        <v>627563.99</v>
      </c>
      <c r="AU36" s="219">
        <f t="shared" ref="AU36:AU99" si="6">AT36-SUM(R36:AS36)</f>
        <v>0</v>
      </c>
      <c r="AV36" s="220">
        <f t="shared" si="3"/>
        <v>60731.990000000005</v>
      </c>
      <c r="AW36" s="217">
        <f t="shared" si="2"/>
        <v>627563.99</v>
      </c>
      <c r="AY36" s="221"/>
    </row>
    <row r="37" spans="2:51" outlineLevel="2" x14ac:dyDescent="0.25">
      <c r="B37" s="222" t="s">
        <v>541</v>
      </c>
      <c r="C37" s="223"/>
      <c r="D37" s="224"/>
      <c r="E37" s="225"/>
      <c r="F37" s="226"/>
      <c r="G37" s="226"/>
      <c r="H37" s="226"/>
      <c r="I37" s="226"/>
      <c r="J37" s="227"/>
      <c r="K37" s="228"/>
      <c r="L37" s="227" t="s">
        <v>644</v>
      </c>
      <c r="M37" s="227"/>
      <c r="N37" s="229">
        <f t="shared" si="4"/>
        <v>2.4830000000000001</v>
      </c>
      <c r="O37" s="229">
        <v>2.4830000000000001</v>
      </c>
      <c r="P37" s="229">
        <f>$P$4</f>
        <v>0</v>
      </c>
      <c r="Q37" s="229" t="s">
        <v>551</v>
      </c>
      <c r="R37" s="230">
        <f>SUM(R36:$AQ36)*$N37/100</f>
        <v>15582.413871700001</v>
      </c>
      <c r="S37" s="230">
        <f>SUM(S36:$AQ36)*$N37/100</f>
        <v>13571.779791699999</v>
      </c>
      <c r="T37" s="230">
        <f>SUM(T36:$AQ36)*$N37/100</f>
        <v>11561.145711700001</v>
      </c>
      <c r="U37" s="230">
        <f>SUM(U36:$AQ36)*$N37/100</f>
        <v>9550.5116316999993</v>
      </c>
      <c r="V37" s="230">
        <f>SUM(V36:$AQ36)*$N37/100</f>
        <v>7539.8775517000004</v>
      </c>
      <c r="W37" s="230">
        <f>SUM(W36:$AQ36)*$N37/100</f>
        <v>5529.2434716999996</v>
      </c>
      <c r="X37" s="230">
        <f>SUM(X36:$AQ36)*$N37/100</f>
        <v>3518.6093916999998</v>
      </c>
      <c r="Y37" s="230">
        <f>SUM(Y36:$AQ36)*$N37/100</f>
        <v>1507.9753117000002</v>
      </c>
      <c r="Z37" s="230">
        <v>0</v>
      </c>
      <c r="AA37" s="230">
        <v>0</v>
      </c>
      <c r="AB37" s="230">
        <v>0</v>
      </c>
      <c r="AC37" s="230">
        <v>0</v>
      </c>
      <c r="AD37" s="230">
        <v>0</v>
      </c>
      <c r="AE37" s="230">
        <v>0</v>
      </c>
      <c r="AF37" s="230">
        <v>0</v>
      </c>
      <c r="AG37" s="230">
        <v>0</v>
      </c>
      <c r="AH37" s="230">
        <v>0</v>
      </c>
      <c r="AI37" s="230">
        <v>0</v>
      </c>
      <c r="AJ37" s="230">
        <v>0</v>
      </c>
      <c r="AK37" s="230">
        <v>0</v>
      </c>
      <c r="AL37" s="230">
        <v>0</v>
      </c>
      <c r="AM37" s="230">
        <v>0</v>
      </c>
      <c r="AN37" s="230">
        <v>0</v>
      </c>
      <c r="AO37" s="230">
        <v>0</v>
      </c>
      <c r="AP37" s="230">
        <v>0</v>
      </c>
      <c r="AQ37" s="230">
        <v>0</v>
      </c>
      <c r="AR37" s="230"/>
      <c r="AS37" s="230"/>
      <c r="AT37" s="231">
        <f t="shared" si="5"/>
        <v>68361.556733600009</v>
      </c>
      <c r="AU37" s="219">
        <f t="shared" si="6"/>
        <v>0</v>
      </c>
      <c r="AV37" s="232">
        <f t="shared" si="3"/>
        <v>1507.9753117000002</v>
      </c>
      <c r="AW37" s="230">
        <f t="shared" si="2"/>
        <v>68361.556733600009</v>
      </c>
      <c r="AY37" s="221"/>
    </row>
    <row r="38" spans="2:51" s="208" customFormat="1" outlineLevel="2" collapsed="1" x14ac:dyDescent="0.25">
      <c r="B38" s="209" t="s">
        <v>541</v>
      </c>
      <c r="C38" s="210">
        <v>17</v>
      </c>
      <c r="D38" s="211" t="s">
        <v>645</v>
      </c>
      <c r="E38" s="212" t="s">
        <v>646</v>
      </c>
      <c r="F38" s="213" t="s">
        <v>647</v>
      </c>
      <c r="G38" s="213" t="s">
        <v>648</v>
      </c>
      <c r="H38" s="213" t="s">
        <v>649</v>
      </c>
      <c r="I38" s="213" t="s">
        <v>547</v>
      </c>
      <c r="J38" s="214">
        <v>388132.51</v>
      </c>
      <c r="K38" s="215">
        <v>107162</v>
      </c>
      <c r="L38" s="215"/>
      <c r="M38" s="215"/>
      <c r="N38" s="233"/>
      <c r="O38" s="233"/>
      <c r="P38" s="216"/>
      <c r="Q38" s="216" t="s">
        <v>548</v>
      </c>
      <c r="R38" s="217">
        <v>38968</v>
      </c>
      <c r="S38" s="217">
        <v>38968</v>
      </c>
      <c r="T38" s="217">
        <v>29226</v>
      </c>
      <c r="U38" s="217">
        <v>0</v>
      </c>
      <c r="V38" s="217">
        <v>0</v>
      </c>
      <c r="W38" s="217">
        <v>0</v>
      </c>
      <c r="X38" s="217">
        <v>0</v>
      </c>
      <c r="Y38" s="217">
        <v>0</v>
      </c>
      <c r="Z38" s="217">
        <v>0</v>
      </c>
      <c r="AA38" s="217">
        <v>0</v>
      </c>
      <c r="AB38" s="217">
        <v>0</v>
      </c>
      <c r="AC38" s="217">
        <v>0</v>
      </c>
      <c r="AD38" s="217">
        <v>0</v>
      </c>
      <c r="AE38" s="217">
        <v>0</v>
      </c>
      <c r="AF38" s="217">
        <v>0</v>
      </c>
      <c r="AG38" s="217">
        <v>0</v>
      </c>
      <c r="AH38" s="217">
        <v>0</v>
      </c>
      <c r="AI38" s="217">
        <v>0</v>
      </c>
      <c r="AJ38" s="217">
        <v>0</v>
      </c>
      <c r="AK38" s="217">
        <v>0</v>
      </c>
      <c r="AL38" s="217">
        <v>0</v>
      </c>
      <c r="AM38" s="217">
        <v>0</v>
      </c>
      <c r="AN38" s="217">
        <v>0</v>
      </c>
      <c r="AO38" s="217">
        <v>0</v>
      </c>
      <c r="AP38" s="217">
        <v>0</v>
      </c>
      <c r="AQ38" s="217">
        <v>0</v>
      </c>
      <c r="AR38" s="217"/>
      <c r="AS38" s="217"/>
      <c r="AT38" s="218">
        <f t="shared" si="5"/>
        <v>107162</v>
      </c>
      <c r="AU38" s="219">
        <f t="shared" si="6"/>
        <v>0</v>
      </c>
      <c r="AV38" s="220">
        <f t="shared" si="3"/>
        <v>0</v>
      </c>
      <c r="AW38" s="217">
        <f t="shared" si="2"/>
        <v>107162</v>
      </c>
      <c r="AY38" s="221"/>
    </row>
    <row r="39" spans="2:51" outlineLevel="2" x14ac:dyDescent="0.25">
      <c r="B39" s="222" t="s">
        <v>541</v>
      </c>
      <c r="C39" s="223"/>
      <c r="D39" s="224"/>
      <c r="E39" s="225"/>
      <c r="F39" s="226"/>
      <c r="G39" s="226"/>
      <c r="H39" s="226"/>
      <c r="I39" s="226"/>
      <c r="J39" s="227"/>
      <c r="K39" s="228"/>
      <c r="L39" s="227" t="s">
        <v>650</v>
      </c>
      <c r="M39" s="227"/>
      <c r="N39" s="229">
        <f t="shared" si="4"/>
        <v>2.5070000000000001</v>
      </c>
      <c r="O39" s="229">
        <v>2.5070000000000001</v>
      </c>
      <c r="P39" s="229">
        <f>$P$4</f>
        <v>0</v>
      </c>
      <c r="Q39" s="229" t="s">
        <v>551</v>
      </c>
      <c r="R39" s="230">
        <f>SUM(R38:$AQ38)*$N39/100</f>
        <v>2686.55134</v>
      </c>
      <c r="S39" s="230">
        <f>SUM(S38:$AQ38)*$N39/100</f>
        <v>1709.6235800000002</v>
      </c>
      <c r="T39" s="230">
        <f>SUM(T38:$AQ38)*$N39/100</f>
        <v>732.69582000000014</v>
      </c>
      <c r="U39" s="230">
        <v>0</v>
      </c>
      <c r="V39" s="230">
        <v>0</v>
      </c>
      <c r="W39" s="230">
        <v>0</v>
      </c>
      <c r="X39" s="230">
        <v>0</v>
      </c>
      <c r="Y39" s="230">
        <v>0</v>
      </c>
      <c r="Z39" s="230">
        <v>0</v>
      </c>
      <c r="AA39" s="230">
        <v>0</v>
      </c>
      <c r="AB39" s="230">
        <v>0</v>
      </c>
      <c r="AC39" s="230">
        <v>0</v>
      </c>
      <c r="AD39" s="230">
        <v>0</v>
      </c>
      <c r="AE39" s="230">
        <v>0</v>
      </c>
      <c r="AF39" s="230">
        <v>0</v>
      </c>
      <c r="AG39" s="230">
        <v>0</v>
      </c>
      <c r="AH39" s="230">
        <v>0</v>
      </c>
      <c r="AI39" s="230">
        <v>0</v>
      </c>
      <c r="AJ39" s="230">
        <v>0</v>
      </c>
      <c r="AK39" s="230">
        <v>0</v>
      </c>
      <c r="AL39" s="230">
        <v>0</v>
      </c>
      <c r="AM39" s="230">
        <v>0</v>
      </c>
      <c r="AN39" s="230">
        <v>0</v>
      </c>
      <c r="AO39" s="230">
        <v>0</v>
      </c>
      <c r="AP39" s="230">
        <v>0</v>
      </c>
      <c r="AQ39" s="230">
        <v>0</v>
      </c>
      <c r="AR39" s="230"/>
      <c r="AS39" s="230"/>
      <c r="AT39" s="231">
        <f t="shared" si="5"/>
        <v>5128.8707400000003</v>
      </c>
      <c r="AU39" s="219">
        <f t="shared" si="6"/>
        <v>0</v>
      </c>
      <c r="AV39" s="232">
        <f t="shared" si="3"/>
        <v>0</v>
      </c>
      <c r="AW39" s="230">
        <f t="shared" si="2"/>
        <v>5128.8707400000003</v>
      </c>
      <c r="AY39" s="221"/>
    </row>
    <row r="40" spans="2:51" s="208" customFormat="1" outlineLevel="2" x14ac:dyDescent="0.25">
      <c r="B40" s="209" t="s">
        <v>586</v>
      </c>
      <c r="C40" s="210">
        <v>18</v>
      </c>
      <c r="D40" s="211" t="s">
        <v>594</v>
      </c>
      <c r="E40" s="212" t="s">
        <v>651</v>
      </c>
      <c r="F40" s="213" t="s">
        <v>652</v>
      </c>
      <c r="G40" s="213" t="s">
        <v>653</v>
      </c>
      <c r="H40" s="213" t="s">
        <v>654</v>
      </c>
      <c r="I40" s="213" t="s">
        <v>547</v>
      </c>
      <c r="J40" s="214">
        <v>160577.24</v>
      </c>
      <c r="K40" s="215">
        <v>107068</v>
      </c>
      <c r="L40" s="215"/>
      <c r="M40" s="215"/>
      <c r="N40" s="233"/>
      <c r="O40" s="233"/>
      <c r="P40" s="216"/>
      <c r="Q40" s="216" t="s">
        <v>548</v>
      </c>
      <c r="R40" s="217">
        <v>8236</v>
      </c>
      <c r="S40" s="217">
        <v>8236</v>
      </c>
      <c r="T40" s="217">
        <v>8236</v>
      </c>
      <c r="U40" s="217">
        <v>8236</v>
      </c>
      <c r="V40" s="217">
        <v>8236</v>
      </c>
      <c r="W40" s="217">
        <v>8236</v>
      </c>
      <c r="X40" s="217">
        <v>8236</v>
      </c>
      <c r="Y40" s="217">
        <v>8236</v>
      </c>
      <c r="Z40" s="217">
        <v>8236</v>
      </c>
      <c r="AA40" s="217">
        <v>8236</v>
      </c>
      <c r="AB40" s="217">
        <v>8236</v>
      </c>
      <c r="AC40" s="217">
        <v>8236</v>
      </c>
      <c r="AD40" s="217">
        <v>8236</v>
      </c>
      <c r="AE40" s="217">
        <v>0</v>
      </c>
      <c r="AF40" s="217">
        <v>0</v>
      </c>
      <c r="AG40" s="217">
        <v>0</v>
      </c>
      <c r="AH40" s="217">
        <v>0</v>
      </c>
      <c r="AI40" s="217">
        <v>0</v>
      </c>
      <c r="AJ40" s="217">
        <v>0</v>
      </c>
      <c r="AK40" s="217">
        <v>0</v>
      </c>
      <c r="AL40" s="217">
        <v>0</v>
      </c>
      <c r="AM40" s="217">
        <v>0</v>
      </c>
      <c r="AN40" s="217">
        <v>0</v>
      </c>
      <c r="AO40" s="217">
        <v>0</v>
      </c>
      <c r="AP40" s="217">
        <v>0</v>
      </c>
      <c r="AQ40" s="217">
        <v>0</v>
      </c>
      <c r="AR40" s="217"/>
      <c r="AS40" s="217"/>
      <c r="AT40" s="218">
        <f t="shared" si="5"/>
        <v>107068</v>
      </c>
      <c r="AU40" s="219">
        <f t="shared" si="6"/>
        <v>0</v>
      </c>
      <c r="AV40" s="220">
        <f t="shared" si="3"/>
        <v>49416</v>
      </c>
      <c r="AW40" s="217">
        <f t="shared" si="2"/>
        <v>107068</v>
      </c>
      <c r="AY40" s="221"/>
    </row>
    <row r="41" spans="2:51" outlineLevel="2" x14ac:dyDescent="0.25">
      <c r="B41" s="222" t="s">
        <v>586</v>
      </c>
      <c r="C41" s="223"/>
      <c r="D41" s="224" t="s">
        <v>655</v>
      </c>
      <c r="E41" s="225"/>
      <c r="F41" s="226"/>
      <c r="G41" s="226"/>
      <c r="H41" s="226"/>
      <c r="I41" s="226"/>
      <c r="J41" s="227"/>
      <c r="K41" s="228"/>
      <c r="L41" s="227" t="s">
        <v>656</v>
      </c>
      <c r="M41" s="227"/>
      <c r="N41" s="229">
        <f t="shared" si="4"/>
        <v>2.484</v>
      </c>
      <c r="O41" s="229">
        <v>2.484</v>
      </c>
      <c r="P41" s="229">
        <f>$P$4</f>
        <v>0</v>
      </c>
      <c r="Q41" s="229" t="s">
        <v>551</v>
      </c>
      <c r="R41" s="230">
        <f>SUM(R40:$AQ40)*$N41/100</f>
        <v>2659.5691200000001</v>
      </c>
      <c r="S41" s="230">
        <f>SUM(S40:$AQ40)*$N41/100</f>
        <v>2454.9868799999999</v>
      </c>
      <c r="T41" s="230">
        <f>SUM(T40:$AQ40)*$N41/100</f>
        <v>2250.4046400000002</v>
      </c>
      <c r="U41" s="230">
        <f>SUM(U40:$AQ40)*$N41/100</f>
        <v>2045.8224</v>
      </c>
      <c r="V41" s="230">
        <f>SUM(V40:$AQ40)*$N41/100</f>
        <v>1841.2401600000001</v>
      </c>
      <c r="W41" s="230">
        <f>SUM(W40:$AQ40)*$N41/100</f>
        <v>1636.6579199999999</v>
      </c>
      <c r="X41" s="230">
        <f>SUM(X40:$AQ40)*$N41/100</f>
        <v>1432.0756799999999</v>
      </c>
      <c r="Y41" s="230">
        <f>SUM(Y40:$AQ40)*$N41/100</f>
        <v>1227.49344</v>
      </c>
      <c r="Z41" s="230">
        <f>SUM(Z40:$AQ40)*$N41/100</f>
        <v>1022.9112</v>
      </c>
      <c r="AA41" s="230">
        <f>SUM(AA40:$AQ40)*$N41/100</f>
        <v>818.32895999999994</v>
      </c>
      <c r="AB41" s="230">
        <f>SUM(AB40:$AQ40)*$N41/100</f>
        <v>613.74671999999998</v>
      </c>
      <c r="AC41" s="230">
        <f>SUM(AC40:$AQ40)*$N41/100</f>
        <v>409.16447999999997</v>
      </c>
      <c r="AD41" s="230">
        <f>SUM(AD40:$AQ40)*$N41/100</f>
        <v>204.58223999999998</v>
      </c>
      <c r="AE41" s="230">
        <v>0</v>
      </c>
      <c r="AF41" s="230">
        <v>0</v>
      </c>
      <c r="AG41" s="230">
        <v>0</v>
      </c>
      <c r="AH41" s="230">
        <v>0</v>
      </c>
      <c r="AI41" s="230">
        <v>0</v>
      </c>
      <c r="AJ41" s="230">
        <v>0</v>
      </c>
      <c r="AK41" s="230">
        <v>0</v>
      </c>
      <c r="AL41" s="230">
        <v>0</v>
      </c>
      <c r="AM41" s="230">
        <v>0</v>
      </c>
      <c r="AN41" s="230">
        <v>0</v>
      </c>
      <c r="AO41" s="230">
        <v>0</v>
      </c>
      <c r="AP41" s="230">
        <v>0</v>
      </c>
      <c r="AQ41" s="230">
        <v>0</v>
      </c>
      <c r="AR41" s="230"/>
      <c r="AS41" s="230"/>
      <c r="AT41" s="231">
        <f t="shared" si="5"/>
        <v>18616.983839999997</v>
      </c>
      <c r="AU41" s="219">
        <f t="shared" si="6"/>
        <v>0</v>
      </c>
      <c r="AV41" s="232">
        <f t="shared" si="3"/>
        <v>4296.2270399999998</v>
      </c>
      <c r="AW41" s="230">
        <f t="shared" si="2"/>
        <v>18616.983840000001</v>
      </c>
      <c r="AY41" s="221"/>
    </row>
    <row r="42" spans="2:51" s="208" customFormat="1" outlineLevel="2" x14ac:dyDescent="0.25">
      <c r="B42" s="209" t="s">
        <v>586</v>
      </c>
      <c r="C42" s="210">
        <v>19</v>
      </c>
      <c r="D42" s="211" t="s">
        <v>657</v>
      </c>
      <c r="E42" s="212" t="s">
        <v>658</v>
      </c>
      <c r="F42" s="213" t="s">
        <v>659</v>
      </c>
      <c r="G42" s="213" t="s">
        <v>660</v>
      </c>
      <c r="H42" s="213" t="s">
        <v>661</v>
      </c>
      <c r="I42" s="213" t="s">
        <v>547</v>
      </c>
      <c r="J42" s="214">
        <v>131127</v>
      </c>
      <c r="K42" s="215">
        <v>87464</v>
      </c>
      <c r="L42" s="215"/>
      <c r="M42" s="215"/>
      <c r="N42" s="233"/>
      <c r="O42" s="233"/>
      <c r="P42" s="216"/>
      <c r="Q42" s="216" t="s">
        <v>548</v>
      </c>
      <c r="R42" s="217">
        <v>6728</v>
      </c>
      <c r="S42" s="217">
        <v>6728</v>
      </c>
      <c r="T42" s="217">
        <v>6728</v>
      </c>
      <c r="U42" s="217">
        <v>6728</v>
      </c>
      <c r="V42" s="217">
        <v>6728</v>
      </c>
      <c r="W42" s="217">
        <v>6728</v>
      </c>
      <c r="X42" s="217">
        <v>6728</v>
      </c>
      <c r="Y42" s="217">
        <v>6728</v>
      </c>
      <c r="Z42" s="217">
        <v>6728</v>
      </c>
      <c r="AA42" s="217">
        <v>6728</v>
      </c>
      <c r="AB42" s="217">
        <v>6728</v>
      </c>
      <c r="AC42" s="217">
        <v>6728</v>
      </c>
      <c r="AD42" s="217">
        <v>6728</v>
      </c>
      <c r="AE42" s="217">
        <v>0</v>
      </c>
      <c r="AF42" s="217">
        <v>0</v>
      </c>
      <c r="AG42" s="217">
        <v>0</v>
      </c>
      <c r="AH42" s="217">
        <v>0</v>
      </c>
      <c r="AI42" s="217">
        <v>0</v>
      </c>
      <c r="AJ42" s="217">
        <v>0</v>
      </c>
      <c r="AK42" s="217">
        <v>0</v>
      </c>
      <c r="AL42" s="217">
        <v>0</v>
      </c>
      <c r="AM42" s="217">
        <v>0</v>
      </c>
      <c r="AN42" s="217">
        <v>0</v>
      </c>
      <c r="AO42" s="217">
        <v>0</v>
      </c>
      <c r="AP42" s="217">
        <v>0</v>
      </c>
      <c r="AQ42" s="217">
        <v>0</v>
      </c>
      <c r="AR42" s="217"/>
      <c r="AS42" s="217"/>
      <c r="AT42" s="218">
        <f t="shared" si="5"/>
        <v>87464</v>
      </c>
      <c r="AU42" s="219">
        <f t="shared" si="6"/>
        <v>0</v>
      </c>
      <c r="AV42" s="220">
        <f t="shared" si="3"/>
        <v>40368</v>
      </c>
      <c r="AW42" s="217">
        <f t="shared" si="2"/>
        <v>87464</v>
      </c>
      <c r="AY42" s="221"/>
    </row>
    <row r="43" spans="2:51" outlineLevel="2" x14ac:dyDescent="0.25">
      <c r="B43" s="222" t="s">
        <v>586</v>
      </c>
      <c r="C43" s="223"/>
      <c r="D43" s="224" t="s">
        <v>662</v>
      </c>
      <c r="E43" s="225"/>
      <c r="F43" s="226"/>
      <c r="G43" s="226"/>
      <c r="H43" s="226"/>
      <c r="I43" s="226"/>
      <c r="J43" s="227"/>
      <c r="K43" s="228"/>
      <c r="L43" s="227" t="s">
        <v>663</v>
      </c>
      <c r="M43" s="227"/>
      <c r="N43" s="229">
        <f t="shared" si="4"/>
        <v>2.4670000000000001</v>
      </c>
      <c r="O43" s="229">
        <v>2.4670000000000001</v>
      </c>
      <c r="P43" s="229">
        <f>$P$4</f>
        <v>0</v>
      </c>
      <c r="Q43" s="229" t="s">
        <v>551</v>
      </c>
      <c r="R43" s="230">
        <f>SUM(R42:$AQ42)*$N43/100</f>
        <v>2157.7368799999999</v>
      </c>
      <c r="S43" s="230">
        <f>SUM(S42:$AQ42)*$N43/100</f>
        <v>1991.75712</v>
      </c>
      <c r="T43" s="230">
        <f>SUM(T42:$AQ42)*$N43/100</f>
        <v>1825.77736</v>
      </c>
      <c r="U43" s="230">
        <f>SUM(U42:$AQ42)*$N43/100</f>
        <v>1659.7976000000001</v>
      </c>
      <c r="V43" s="230">
        <f>SUM(V42:$AQ42)*$N43/100</f>
        <v>1493.8178400000002</v>
      </c>
      <c r="W43" s="230">
        <f>SUM(W42:$AQ42)*$N43/100</f>
        <v>1327.83808</v>
      </c>
      <c r="X43" s="230">
        <f>SUM(X42:$AQ42)*$N43/100</f>
        <v>1161.85832</v>
      </c>
      <c r="Y43" s="230">
        <f>SUM(Y42:$AQ42)*$N43/100</f>
        <v>995.87855999999999</v>
      </c>
      <c r="Z43" s="230">
        <f>SUM(Z42:$AQ42)*$N43/100</f>
        <v>829.89880000000005</v>
      </c>
      <c r="AA43" s="230">
        <f>SUM(AA42:$AQ42)*$N43/100</f>
        <v>663.91904</v>
      </c>
      <c r="AB43" s="230">
        <f>SUM(AB42:$AQ42)*$N43/100</f>
        <v>497.93928</v>
      </c>
      <c r="AC43" s="230">
        <f>SUM(AC42:$AQ42)*$N43/100</f>
        <v>331.95952</v>
      </c>
      <c r="AD43" s="230">
        <f>SUM(AD42:$AQ42)*$N43/100</f>
        <v>165.97976</v>
      </c>
      <c r="AE43" s="230">
        <v>0</v>
      </c>
      <c r="AF43" s="230">
        <v>0</v>
      </c>
      <c r="AG43" s="230">
        <v>0</v>
      </c>
      <c r="AH43" s="230">
        <v>0</v>
      </c>
      <c r="AI43" s="230">
        <v>0</v>
      </c>
      <c r="AJ43" s="230">
        <v>0</v>
      </c>
      <c r="AK43" s="230">
        <v>0</v>
      </c>
      <c r="AL43" s="230">
        <v>0</v>
      </c>
      <c r="AM43" s="230">
        <v>0</v>
      </c>
      <c r="AN43" s="230">
        <v>0</v>
      </c>
      <c r="AO43" s="230">
        <v>0</v>
      </c>
      <c r="AP43" s="230">
        <v>0</v>
      </c>
      <c r="AQ43" s="230">
        <v>0</v>
      </c>
      <c r="AR43" s="230"/>
      <c r="AS43" s="230"/>
      <c r="AT43" s="231">
        <f t="shared" si="5"/>
        <v>15104.158160000001</v>
      </c>
      <c r="AU43" s="219">
        <f t="shared" si="6"/>
        <v>0</v>
      </c>
      <c r="AV43" s="232">
        <f t="shared" si="3"/>
        <v>3485.5749599999999</v>
      </c>
      <c r="AW43" s="230">
        <f t="shared" si="2"/>
        <v>15104.158159999999</v>
      </c>
      <c r="AY43" s="221"/>
    </row>
    <row r="44" spans="2:51" s="208" customFormat="1" outlineLevel="2" x14ac:dyDescent="0.25">
      <c r="B44" s="209" t="s">
        <v>586</v>
      </c>
      <c r="C44" s="210">
        <v>20</v>
      </c>
      <c r="D44" s="211" t="s">
        <v>664</v>
      </c>
      <c r="E44" s="212" t="s">
        <v>665</v>
      </c>
      <c r="F44" s="213" t="s">
        <v>666</v>
      </c>
      <c r="G44" s="213" t="s">
        <v>667</v>
      </c>
      <c r="H44" s="213" t="s">
        <v>668</v>
      </c>
      <c r="I44" s="213" t="s">
        <v>547</v>
      </c>
      <c r="J44" s="214">
        <v>5678344.2000000002</v>
      </c>
      <c r="K44" s="215">
        <v>2273448</v>
      </c>
      <c r="L44" s="215"/>
      <c r="M44" s="215"/>
      <c r="N44" s="233"/>
      <c r="O44" s="233"/>
      <c r="P44" s="216"/>
      <c r="Q44" s="216" t="s">
        <v>548</v>
      </c>
      <c r="R44" s="217">
        <v>344336</v>
      </c>
      <c r="S44" s="217">
        <v>314856</v>
      </c>
      <c r="T44" s="217">
        <v>305080</v>
      </c>
      <c r="U44" s="217">
        <v>279984</v>
      </c>
      <c r="V44" s="217">
        <v>252100</v>
      </c>
      <c r="W44" s="217">
        <v>243352</v>
      </c>
      <c r="X44" s="217">
        <v>243352</v>
      </c>
      <c r="Y44" s="217">
        <v>243352</v>
      </c>
      <c r="Z44" s="217">
        <v>33356</v>
      </c>
      <c r="AA44" s="217">
        <v>13680</v>
      </c>
      <c r="AB44" s="217">
        <v>0</v>
      </c>
      <c r="AC44" s="217">
        <v>0</v>
      </c>
      <c r="AD44" s="217">
        <v>0</v>
      </c>
      <c r="AE44" s="217">
        <v>0</v>
      </c>
      <c r="AF44" s="217">
        <v>0</v>
      </c>
      <c r="AG44" s="217">
        <v>0</v>
      </c>
      <c r="AH44" s="217">
        <v>0</v>
      </c>
      <c r="AI44" s="217">
        <v>0</v>
      </c>
      <c r="AJ44" s="217">
        <v>0</v>
      </c>
      <c r="AK44" s="217">
        <v>0</v>
      </c>
      <c r="AL44" s="217">
        <v>0</v>
      </c>
      <c r="AM44" s="217">
        <v>0</v>
      </c>
      <c r="AN44" s="217">
        <v>0</v>
      </c>
      <c r="AO44" s="217">
        <v>0</v>
      </c>
      <c r="AP44" s="217">
        <v>0</v>
      </c>
      <c r="AQ44" s="217">
        <v>0</v>
      </c>
      <c r="AR44" s="217"/>
      <c r="AS44" s="217"/>
      <c r="AT44" s="218">
        <f t="shared" si="5"/>
        <v>2273448</v>
      </c>
      <c r="AU44" s="219">
        <f t="shared" si="6"/>
        <v>0</v>
      </c>
      <c r="AV44" s="220">
        <f t="shared" si="3"/>
        <v>290388</v>
      </c>
      <c r="AW44" s="217">
        <f t="shared" si="2"/>
        <v>2273448</v>
      </c>
      <c r="AY44" s="221"/>
    </row>
    <row r="45" spans="2:51" outlineLevel="2" x14ac:dyDescent="0.25">
      <c r="B45" s="222" t="s">
        <v>586</v>
      </c>
      <c r="C45" s="223"/>
      <c r="D45" s="224" t="s">
        <v>669</v>
      </c>
      <c r="E45" s="225"/>
      <c r="F45" s="226"/>
      <c r="G45" s="226"/>
      <c r="H45" s="226"/>
      <c r="I45" s="226"/>
      <c r="J45" s="227"/>
      <c r="K45" s="228"/>
      <c r="L45" s="227" t="s">
        <v>670</v>
      </c>
      <c r="M45" s="227"/>
      <c r="N45" s="229">
        <f t="shared" si="4"/>
        <v>2.5499999999999998</v>
      </c>
      <c r="O45" s="229">
        <v>2.5499999999999998</v>
      </c>
      <c r="P45" s="229">
        <f>$P$4</f>
        <v>0</v>
      </c>
      <c r="Q45" s="229" t="s">
        <v>551</v>
      </c>
      <c r="R45" s="230">
        <f>SUM(R44:$AQ44)*$N45/100</f>
        <v>57972.923999999992</v>
      </c>
      <c r="S45" s="230">
        <f>SUM(S44:$AQ44)*$N45/100</f>
        <v>49192.356</v>
      </c>
      <c r="T45" s="230">
        <f>SUM(T44:$AQ44)*$N45/100-2000</f>
        <v>39163.527999999998</v>
      </c>
      <c r="U45" s="230">
        <f>SUM(U44:$AQ44)*$N45/100</f>
        <v>33383.987999999998</v>
      </c>
      <c r="V45" s="230">
        <f>SUM(V44:$AQ44)*$N45/100</f>
        <v>26244.395999999997</v>
      </c>
      <c r="W45" s="230">
        <f>SUM(W44:$AQ44)*$N45/100</f>
        <v>19815.845999999998</v>
      </c>
      <c r="X45" s="230">
        <f>SUM(X44:$AQ44)*$N45/100</f>
        <v>13610.37</v>
      </c>
      <c r="Y45" s="230">
        <f>SUM(Y44:$AQ44)*$N45/100</f>
        <v>7404.8939999999993</v>
      </c>
      <c r="Z45" s="230">
        <f>SUM(Z44:$AQ44)*$N45/100</f>
        <v>1199.4179999999999</v>
      </c>
      <c r="AA45" s="230">
        <f>SUM(AA44:$AQ44)*$N45/100</f>
        <v>348.84</v>
      </c>
      <c r="AB45" s="230">
        <v>0</v>
      </c>
      <c r="AC45" s="230">
        <v>0</v>
      </c>
      <c r="AD45" s="230">
        <v>0</v>
      </c>
      <c r="AE45" s="230">
        <v>0</v>
      </c>
      <c r="AF45" s="230">
        <v>0</v>
      </c>
      <c r="AG45" s="230">
        <v>0</v>
      </c>
      <c r="AH45" s="230">
        <v>0</v>
      </c>
      <c r="AI45" s="230">
        <v>0</v>
      </c>
      <c r="AJ45" s="230">
        <v>0</v>
      </c>
      <c r="AK45" s="230">
        <v>0</v>
      </c>
      <c r="AL45" s="230">
        <v>0</v>
      </c>
      <c r="AM45" s="230">
        <v>0</v>
      </c>
      <c r="AN45" s="230">
        <v>0</v>
      </c>
      <c r="AO45" s="230">
        <v>0</v>
      </c>
      <c r="AP45" s="230">
        <v>0</v>
      </c>
      <c r="AQ45" s="230">
        <v>0</v>
      </c>
      <c r="AR45" s="230"/>
      <c r="AS45" s="230"/>
      <c r="AT45" s="231">
        <f t="shared" si="5"/>
        <v>248336.55999999997</v>
      </c>
      <c r="AU45" s="219">
        <f t="shared" si="6"/>
        <v>0</v>
      </c>
      <c r="AV45" s="232">
        <f t="shared" si="3"/>
        <v>8953.152</v>
      </c>
      <c r="AW45" s="230">
        <f t="shared" si="2"/>
        <v>248336.55999999997</v>
      </c>
      <c r="AY45" s="221"/>
    </row>
    <row r="46" spans="2:51" s="208" customFormat="1" outlineLevel="2" x14ac:dyDescent="0.25">
      <c r="B46" s="209" t="s">
        <v>586</v>
      </c>
      <c r="C46" s="210">
        <v>21</v>
      </c>
      <c r="D46" s="211" t="s">
        <v>671</v>
      </c>
      <c r="E46" s="212" t="s">
        <v>672</v>
      </c>
      <c r="F46" s="213" t="s">
        <v>673</v>
      </c>
      <c r="G46" s="213" t="s">
        <v>674</v>
      </c>
      <c r="H46" s="213" t="s">
        <v>675</v>
      </c>
      <c r="I46" s="213" t="s">
        <v>547</v>
      </c>
      <c r="J46" s="214">
        <v>117517</v>
      </c>
      <c r="K46" s="215">
        <v>6279</v>
      </c>
      <c r="L46" s="215"/>
      <c r="M46" s="215"/>
      <c r="N46" s="233"/>
      <c r="O46" s="233"/>
      <c r="P46" s="216"/>
      <c r="Q46" s="216" t="s">
        <v>548</v>
      </c>
      <c r="R46" s="217">
        <v>1932</v>
      </c>
      <c r="S46" s="217">
        <v>1932</v>
      </c>
      <c r="T46" s="217">
        <v>1932</v>
      </c>
      <c r="U46" s="217">
        <v>483</v>
      </c>
      <c r="V46" s="217">
        <v>0</v>
      </c>
      <c r="W46" s="217">
        <v>0</v>
      </c>
      <c r="X46" s="217">
        <v>0</v>
      </c>
      <c r="Y46" s="217">
        <v>0</v>
      </c>
      <c r="Z46" s="217">
        <v>0</v>
      </c>
      <c r="AA46" s="217">
        <v>0</v>
      </c>
      <c r="AB46" s="217">
        <v>0</v>
      </c>
      <c r="AC46" s="217">
        <v>0</v>
      </c>
      <c r="AD46" s="217">
        <v>0</v>
      </c>
      <c r="AE46" s="217">
        <v>0</v>
      </c>
      <c r="AF46" s="217">
        <v>0</v>
      </c>
      <c r="AG46" s="217">
        <v>0</v>
      </c>
      <c r="AH46" s="217">
        <v>0</v>
      </c>
      <c r="AI46" s="217">
        <v>0</v>
      </c>
      <c r="AJ46" s="217">
        <v>0</v>
      </c>
      <c r="AK46" s="217">
        <v>0</v>
      </c>
      <c r="AL46" s="217">
        <v>0</v>
      </c>
      <c r="AM46" s="217">
        <v>0</v>
      </c>
      <c r="AN46" s="217">
        <v>0</v>
      </c>
      <c r="AO46" s="217">
        <v>0</v>
      </c>
      <c r="AP46" s="217">
        <v>0</v>
      </c>
      <c r="AQ46" s="217">
        <v>0</v>
      </c>
      <c r="AR46" s="217"/>
      <c r="AS46" s="217"/>
      <c r="AT46" s="218">
        <f t="shared" si="5"/>
        <v>6279</v>
      </c>
      <c r="AU46" s="219">
        <f t="shared" si="6"/>
        <v>0</v>
      </c>
      <c r="AV46" s="220">
        <f t="shared" si="3"/>
        <v>0</v>
      </c>
      <c r="AW46" s="217">
        <f t="shared" si="2"/>
        <v>6279</v>
      </c>
      <c r="AY46" s="221"/>
    </row>
    <row r="47" spans="2:51" outlineLevel="2" x14ac:dyDescent="0.25">
      <c r="B47" s="222" t="s">
        <v>586</v>
      </c>
      <c r="C47" s="223"/>
      <c r="D47" s="224" t="s">
        <v>676</v>
      </c>
      <c r="E47" s="225"/>
      <c r="F47" s="226"/>
      <c r="G47" s="226"/>
      <c r="H47" s="226"/>
      <c r="I47" s="226"/>
      <c r="J47" s="227"/>
      <c r="K47" s="228"/>
      <c r="L47" s="227" t="s">
        <v>677</v>
      </c>
      <c r="M47" s="227"/>
      <c r="N47" s="229">
        <f t="shared" si="4"/>
        <v>2.8029999999999999</v>
      </c>
      <c r="O47" s="229">
        <v>2.8029999999999999</v>
      </c>
      <c r="P47" s="229">
        <f>$P$4</f>
        <v>0</v>
      </c>
      <c r="Q47" s="229" t="s">
        <v>551</v>
      </c>
      <c r="R47" s="230">
        <f>SUM(R46:$AQ46)*$N47/100</f>
        <v>176.00037</v>
      </c>
      <c r="S47" s="230">
        <f>SUM(S46:$AQ46)*$N47/100</f>
        <v>121.84640999999999</v>
      </c>
      <c r="T47" s="230">
        <f>SUM(T46:$AQ46)*$N47/100</f>
        <v>67.692449999999994</v>
      </c>
      <c r="U47" s="230">
        <f>SUM(U46:$AQ46)*$N47/100</f>
        <v>13.538489999999999</v>
      </c>
      <c r="V47" s="230">
        <v>0</v>
      </c>
      <c r="W47" s="230">
        <v>0</v>
      </c>
      <c r="X47" s="230">
        <v>0</v>
      </c>
      <c r="Y47" s="230">
        <v>0</v>
      </c>
      <c r="Z47" s="230">
        <v>0</v>
      </c>
      <c r="AA47" s="230">
        <v>0</v>
      </c>
      <c r="AB47" s="230">
        <v>0</v>
      </c>
      <c r="AC47" s="230">
        <v>0</v>
      </c>
      <c r="AD47" s="230">
        <v>0</v>
      </c>
      <c r="AE47" s="230">
        <v>0</v>
      </c>
      <c r="AF47" s="230">
        <v>0</v>
      </c>
      <c r="AG47" s="230">
        <v>0</v>
      </c>
      <c r="AH47" s="230">
        <v>0</v>
      </c>
      <c r="AI47" s="230">
        <v>0</v>
      </c>
      <c r="AJ47" s="230">
        <v>0</v>
      </c>
      <c r="AK47" s="230">
        <v>0</v>
      </c>
      <c r="AL47" s="230">
        <v>0</v>
      </c>
      <c r="AM47" s="230">
        <v>0</v>
      </c>
      <c r="AN47" s="230">
        <v>0</v>
      </c>
      <c r="AO47" s="230">
        <v>0</v>
      </c>
      <c r="AP47" s="230">
        <v>0</v>
      </c>
      <c r="AQ47" s="230">
        <v>0</v>
      </c>
      <c r="AR47" s="230"/>
      <c r="AS47" s="230"/>
      <c r="AT47" s="231">
        <f t="shared" si="5"/>
        <v>379.07772</v>
      </c>
      <c r="AU47" s="219">
        <f t="shared" si="6"/>
        <v>0</v>
      </c>
      <c r="AV47" s="232">
        <f t="shared" si="3"/>
        <v>0</v>
      </c>
      <c r="AW47" s="230">
        <f t="shared" si="2"/>
        <v>379.07772</v>
      </c>
      <c r="AY47" s="221"/>
    </row>
    <row r="48" spans="2:51" s="208" customFormat="1" outlineLevel="2" x14ac:dyDescent="0.25">
      <c r="B48" s="209" t="s">
        <v>586</v>
      </c>
      <c r="C48" s="210">
        <v>22</v>
      </c>
      <c r="D48" s="211" t="s">
        <v>678</v>
      </c>
      <c r="E48" s="212" t="s">
        <v>679</v>
      </c>
      <c r="F48" s="213" t="s">
        <v>680</v>
      </c>
      <c r="G48" s="213" t="s">
        <v>681</v>
      </c>
      <c r="H48" s="213" t="s">
        <v>682</v>
      </c>
      <c r="I48" s="213" t="s">
        <v>547</v>
      </c>
      <c r="J48" s="214">
        <v>2227434</v>
      </c>
      <c r="K48" s="215">
        <v>1655340</v>
      </c>
      <c r="L48" s="215"/>
      <c r="M48" s="215"/>
      <c r="N48" s="233"/>
      <c r="O48" s="233"/>
      <c r="P48" s="216"/>
      <c r="Q48" s="216" t="s">
        <v>548</v>
      </c>
      <c r="R48" s="217">
        <v>70440</v>
      </c>
      <c r="S48" s="217">
        <v>70440</v>
      </c>
      <c r="T48" s="217">
        <v>70440</v>
      </c>
      <c r="U48" s="217">
        <v>70440</v>
      </c>
      <c r="V48" s="217">
        <v>70440</v>
      </c>
      <c r="W48" s="217">
        <v>70440</v>
      </c>
      <c r="X48" s="217">
        <v>70440</v>
      </c>
      <c r="Y48" s="217">
        <v>70440</v>
      </c>
      <c r="Z48" s="217">
        <v>70440</v>
      </c>
      <c r="AA48" s="217">
        <v>70440</v>
      </c>
      <c r="AB48" s="217">
        <v>70440</v>
      </c>
      <c r="AC48" s="217">
        <v>70440</v>
      </c>
      <c r="AD48" s="217">
        <v>70440</v>
      </c>
      <c r="AE48" s="217">
        <v>70440</v>
      </c>
      <c r="AF48" s="217">
        <v>70440</v>
      </c>
      <c r="AG48" s="217">
        <v>70440</v>
      </c>
      <c r="AH48" s="217">
        <v>70440</v>
      </c>
      <c r="AI48" s="217">
        <v>70440</v>
      </c>
      <c r="AJ48" s="217">
        <v>70440</v>
      </c>
      <c r="AK48" s="217">
        <v>70440</v>
      </c>
      <c r="AL48" s="217">
        <v>70440</v>
      </c>
      <c r="AM48" s="217">
        <v>70440</v>
      </c>
      <c r="AN48" s="217">
        <v>70440</v>
      </c>
      <c r="AO48" s="217">
        <v>35220</v>
      </c>
      <c r="AP48" s="217">
        <v>0</v>
      </c>
      <c r="AQ48" s="217">
        <v>0</v>
      </c>
      <c r="AR48" s="217"/>
      <c r="AS48" s="217"/>
      <c r="AT48" s="218">
        <f t="shared" si="5"/>
        <v>1655340</v>
      </c>
      <c r="AU48" s="219">
        <f t="shared" si="6"/>
        <v>0</v>
      </c>
      <c r="AV48" s="220">
        <f t="shared" si="3"/>
        <v>1162260</v>
      </c>
      <c r="AW48" s="217">
        <f t="shared" si="2"/>
        <v>1655340</v>
      </c>
      <c r="AY48" s="221"/>
    </row>
    <row r="49" spans="1:51" outlineLevel="2" x14ac:dyDescent="0.25">
      <c r="B49" s="222" t="s">
        <v>586</v>
      </c>
      <c r="C49" s="223"/>
      <c r="D49" s="224" t="s">
        <v>683</v>
      </c>
      <c r="E49" s="225"/>
      <c r="F49" s="226"/>
      <c r="G49" s="226"/>
      <c r="H49" s="226"/>
      <c r="I49" s="226"/>
      <c r="J49" s="227"/>
      <c r="K49" s="228"/>
      <c r="L49" s="227" t="s">
        <v>684</v>
      </c>
      <c r="M49" s="227"/>
      <c r="N49" s="229">
        <f t="shared" si="4"/>
        <v>2.2999999999999998</v>
      </c>
      <c r="O49" s="229">
        <v>2.2999999999999998</v>
      </c>
      <c r="P49" s="229">
        <f>$P$4</f>
        <v>0</v>
      </c>
      <c r="Q49" s="229" t="s">
        <v>551</v>
      </c>
      <c r="R49" s="230">
        <f>SUM(R48:$AQ48)*$N49/100</f>
        <v>38072.819999999992</v>
      </c>
      <c r="S49" s="230">
        <f>SUM(S48:$AQ48)*$N49/100</f>
        <v>36452.699999999997</v>
      </c>
      <c r="T49" s="230">
        <f>SUM(T48:$AQ48)*$N49/100</f>
        <v>34832.579999999994</v>
      </c>
      <c r="U49" s="230">
        <f>SUM(U48:$AQ48)*$N49/100</f>
        <v>33212.459999999992</v>
      </c>
      <c r="V49" s="230">
        <f>SUM(V48:$AQ48)*$N49/100</f>
        <v>31592.339999999997</v>
      </c>
      <c r="W49" s="230">
        <f>SUM(W48:$AQ48)*$N49/100</f>
        <v>29972.22</v>
      </c>
      <c r="X49" s="230">
        <f>SUM(X48:$AQ48)*$N49/100</f>
        <v>28352.1</v>
      </c>
      <c r="Y49" s="230">
        <f>SUM(Y48:$AQ48)*$N49/100</f>
        <v>26731.98</v>
      </c>
      <c r="Z49" s="230">
        <f>SUM(Z48:$AQ48)*$N49/100</f>
        <v>25111.86</v>
      </c>
      <c r="AA49" s="230">
        <f>SUM(AA48:$AQ48)*$N49/100</f>
        <v>23491.74</v>
      </c>
      <c r="AB49" s="230">
        <f>SUM(AB48:$AQ48)*$N49/100</f>
        <v>21871.62</v>
      </c>
      <c r="AC49" s="230">
        <f>SUM(AC48:$AQ48)*$N49/100</f>
        <v>20251.499999999996</v>
      </c>
      <c r="AD49" s="230">
        <f>SUM(AD48:$AQ48)*$N49/100</f>
        <v>18631.379999999997</v>
      </c>
      <c r="AE49" s="230">
        <f>SUM(AE48:$AQ48)*$N49/100</f>
        <v>17011.259999999998</v>
      </c>
      <c r="AF49" s="230">
        <f>SUM(AF48:$AQ48)*$N49/100</f>
        <v>15391.139999999998</v>
      </c>
      <c r="AG49" s="230">
        <f>SUM(AG48:$AQ48)*$N49/100</f>
        <v>13771.02</v>
      </c>
      <c r="AH49" s="230">
        <f>SUM(AH48:$AQ48)*$N49/100</f>
        <v>12150.9</v>
      </c>
      <c r="AI49" s="230">
        <f>SUM(AI48:$AQ48)*$N49/100</f>
        <v>10530.78</v>
      </c>
      <c r="AJ49" s="230">
        <f>SUM(AJ48:$AQ48)*$N49/100</f>
        <v>8910.659999999998</v>
      </c>
      <c r="AK49" s="230">
        <f>SUM(AK48:$AQ48)*$N49/100</f>
        <v>7290.54</v>
      </c>
      <c r="AL49" s="230">
        <f>SUM(AL48:$AQ48)*$N49/100</f>
        <v>5670.42</v>
      </c>
      <c r="AM49" s="230">
        <f>SUM(AM48:$AQ48)*$N49/100</f>
        <v>4050.2999999999993</v>
      </c>
      <c r="AN49" s="230">
        <f>SUM(AN48:$AQ48)*$N49/100</f>
        <v>2430.1799999999998</v>
      </c>
      <c r="AO49" s="230">
        <f>SUM(AO48:$AQ48)*$N49/100</f>
        <v>810.06</v>
      </c>
      <c r="AP49" s="230">
        <v>0</v>
      </c>
      <c r="AQ49" s="230">
        <v>0</v>
      </c>
      <c r="AR49" s="230"/>
      <c r="AS49" s="230"/>
      <c r="AT49" s="231">
        <f t="shared" si="5"/>
        <v>466594.56</v>
      </c>
      <c r="AU49" s="219">
        <f t="shared" si="6"/>
        <v>0</v>
      </c>
      <c r="AV49" s="232">
        <f t="shared" si="3"/>
        <v>234107.33999999997</v>
      </c>
      <c r="AW49" s="230">
        <f t="shared" si="2"/>
        <v>466594.55999999994</v>
      </c>
      <c r="AY49" s="221"/>
    </row>
    <row r="50" spans="1:51" s="208" customFormat="1" outlineLevel="2" x14ac:dyDescent="0.25">
      <c r="B50" s="209" t="s">
        <v>541</v>
      </c>
      <c r="C50" s="210">
        <v>23</v>
      </c>
      <c r="D50" s="211" t="s">
        <v>685</v>
      </c>
      <c r="E50" s="212" t="s">
        <v>686</v>
      </c>
      <c r="F50" s="213" t="s">
        <v>687</v>
      </c>
      <c r="G50" s="213" t="s">
        <v>688</v>
      </c>
      <c r="H50" s="213" t="s">
        <v>689</v>
      </c>
      <c r="I50" s="213" t="s">
        <v>547</v>
      </c>
      <c r="J50" s="214">
        <v>531484</v>
      </c>
      <c r="K50" s="215">
        <v>320740</v>
      </c>
      <c r="L50" s="215"/>
      <c r="M50" s="215"/>
      <c r="N50" s="233"/>
      <c r="O50" s="233"/>
      <c r="P50" s="216"/>
      <c r="Q50" s="216" t="s">
        <v>548</v>
      </c>
      <c r="R50" s="217">
        <v>36656</v>
      </c>
      <c r="S50" s="217">
        <v>36656</v>
      </c>
      <c r="T50" s="217">
        <v>36656</v>
      </c>
      <c r="U50" s="217">
        <v>36656</v>
      </c>
      <c r="V50" s="217">
        <v>36656</v>
      </c>
      <c r="W50" s="217">
        <v>36656</v>
      </c>
      <c r="X50" s="217">
        <v>36656</v>
      </c>
      <c r="Y50" s="217">
        <v>36656</v>
      </c>
      <c r="Z50" s="217">
        <v>27492</v>
      </c>
      <c r="AA50" s="217">
        <v>0</v>
      </c>
      <c r="AB50" s="217">
        <v>0</v>
      </c>
      <c r="AC50" s="217">
        <v>0</v>
      </c>
      <c r="AD50" s="217">
        <v>0</v>
      </c>
      <c r="AE50" s="217">
        <v>0</v>
      </c>
      <c r="AF50" s="217">
        <v>0</v>
      </c>
      <c r="AG50" s="217">
        <v>0</v>
      </c>
      <c r="AH50" s="217">
        <v>0</v>
      </c>
      <c r="AI50" s="217">
        <v>0</v>
      </c>
      <c r="AJ50" s="217">
        <v>0</v>
      </c>
      <c r="AK50" s="217">
        <v>0</v>
      </c>
      <c r="AL50" s="217">
        <v>0</v>
      </c>
      <c r="AM50" s="217">
        <v>0</v>
      </c>
      <c r="AN50" s="217">
        <v>0</v>
      </c>
      <c r="AO50" s="217">
        <v>0</v>
      </c>
      <c r="AP50" s="217">
        <v>0</v>
      </c>
      <c r="AQ50" s="217">
        <v>0</v>
      </c>
      <c r="AR50" s="217"/>
      <c r="AS50" s="217"/>
      <c r="AT50" s="218">
        <f t="shared" si="5"/>
        <v>320740</v>
      </c>
      <c r="AU50" s="219">
        <f t="shared" si="6"/>
        <v>0</v>
      </c>
      <c r="AV50" s="220">
        <f t="shared" si="3"/>
        <v>64148</v>
      </c>
      <c r="AW50" s="217">
        <f t="shared" si="2"/>
        <v>320740</v>
      </c>
      <c r="AY50" s="221"/>
    </row>
    <row r="51" spans="1:51" outlineLevel="2" x14ac:dyDescent="0.25">
      <c r="B51" s="222" t="s">
        <v>541</v>
      </c>
      <c r="C51" s="223"/>
      <c r="D51" s="224"/>
      <c r="E51" s="225"/>
      <c r="F51" s="226"/>
      <c r="G51" s="226"/>
      <c r="H51" s="226"/>
      <c r="I51" s="226"/>
      <c r="J51" s="227"/>
      <c r="K51" s="228"/>
      <c r="L51" s="227" t="s">
        <v>690</v>
      </c>
      <c r="M51" s="227"/>
      <c r="N51" s="229">
        <f t="shared" si="4"/>
        <v>2.5070000000000001</v>
      </c>
      <c r="O51" s="229">
        <v>2.5070000000000001</v>
      </c>
      <c r="P51" s="229">
        <f>$P$4</f>
        <v>0</v>
      </c>
      <c r="Q51" s="229" t="s">
        <v>551</v>
      </c>
      <c r="R51" s="230">
        <f>SUM(R50:$AQ50)*$N51/100</f>
        <v>8040.9518000000007</v>
      </c>
      <c r="S51" s="230">
        <f>SUM(S50:$AQ50)*$N51/100</f>
        <v>7121.9858800000002</v>
      </c>
      <c r="T51" s="230">
        <f>SUM(T50:$AQ50)*$N51/100</f>
        <v>6203.0199600000005</v>
      </c>
      <c r="U51" s="230">
        <f>SUM(U50:$AQ50)*$N51/100</f>
        <v>5284.05404</v>
      </c>
      <c r="V51" s="230">
        <f>SUM(V50:$AQ50)*$N51/100</f>
        <v>4365.0881200000003</v>
      </c>
      <c r="W51" s="230">
        <f>SUM(W50:$AQ50)*$N51/100</f>
        <v>3446.1222000000002</v>
      </c>
      <c r="X51" s="230">
        <f>SUM(X50:$AQ50)*$N51/100</f>
        <v>2527.1562800000002</v>
      </c>
      <c r="Y51" s="230">
        <f>SUM(Y50:$AQ50)*$N51/100</f>
        <v>1608.1903600000003</v>
      </c>
      <c r="Z51" s="230">
        <f>SUM(Z50:$AQ50)*$N51/100</f>
        <v>689.22444000000007</v>
      </c>
      <c r="AA51" s="230">
        <v>0</v>
      </c>
      <c r="AB51" s="230">
        <v>0</v>
      </c>
      <c r="AC51" s="230">
        <v>0</v>
      </c>
      <c r="AD51" s="230">
        <v>0</v>
      </c>
      <c r="AE51" s="230">
        <v>0</v>
      </c>
      <c r="AF51" s="230">
        <v>0</v>
      </c>
      <c r="AG51" s="230">
        <v>0</v>
      </c>
      <c r="AH51" s="230">
        <v>0</v>
      </c>
      <c r="AI51" s="230">
        <v>0</v>
      </c>
      <c r="AJ51" s="230">
        <v>0</v>
      </c>
      <c r="AK51" s="230">
        <v>0</v>
      </c>
      <c r="AL51" s="230">
        <v>0</v>
      </c>
      <c r="AM51" s="230">
        <v>0</v>
      </c>
      <c r="AN51" s="230">
        <v>0</v>
      </c>
      <c r="AO51" s="230">
        <v>0</v>
      </c>
      <c r="AP51" s="230">
        <v>0</v>
      </c>
      <c r="AQ51" s="230">
        <v>0</v>
      </c>
      <c r="AR51" s="230"/>
      <c r="AS51" s="230"/>
      <c r="AT51" s="231">
        <f t="shared" si="5"/>
        <v>39285.793080000003</v>
      </c>
      <c r="AU51" s="219">
        <f t="shared" si="6"/>
        <v>0</v>
      </c>
      <c r="AV51" s="232">
        <f t="shared" si="3"/>
        <v>2297.4148000000005</v>
      </c>
      <c r="AW51" s="230">
        <f t="shared" si="2"/>
        <v>39285.793080000003</v>
      </c>
      <c r="AY51" s="221"/>
    </row>
    <row r="52" spans="1:51" s="208" customFormat="1" outlineLevel="2" x14ac:dyDescent="0.25">
      <c r="B52" s="209" t="s">
        <v>586</v>
      </c>
      <c r="C52" s="210">
        <v>24</v>
      </c>
      <c r="D52" s="211" t="s">
        <v>691</v>
      </c>
      <c r="E52" s="212" t="s">
        <v>692</v>
      </c>
      <c r="F52" s="213" t="s">
        <v>693</v>
      </c>
      <c r="G52" s="213" t="s">
        <v>694</v>
      </c>
      <c r="H52" s="213" t="s">
        <v>695</v>
      </c>
      <c r="I52" s="213" t="s">
        <v>547</v>
      </c>
      <c r="J52" s="214">
        <v>583938.46</v>
      </c>
      <c r="K52" s="215">
        <v>441952</v>
      </c>
      <c r="L52" s="215"/>
      <c r="M52" s="215"/>
      <c r="N52" s="233"/>
      <c r="O52" s="233"/>
      <c r="P52" s="216"/>
      <c r="Q52" s="216" t="s">
        <v>548</v>
      </c>
      <c r="R52" s="217">
        <v>31568</v>
      </c>
      <c r="S52" s="217">
        <v>31568</v>
      </c>
      <c r="T52" s="217">
        <v>31568</v>
      </c>
      <c r="U52" s="217">
        <v>31568</v>
      </c>
      <c r="V52" s="217">
        <v>31568</v>
      </c>
      <c r="W52" s="217">
        <v>31568</v>
      </c>
      <c r="X52" s="217">
        <v>31568</v>
      </c>
      <c r="Y52" s="217">
        <v>31568</v>
      </c>
      <c r="Z52" s="217">
        <v>31568</v>
      </c>
      <c r="AA52" s="217">
        <v>31568</v>
      </c>
      <c r="AB52" s="217">
        <v>31568</v>
      </c>
      <c r="AC52" s="217">
        <v>31568</v>
      </c>
      <c r="AD52" s="217">
        <v>31568</v>
      </c>
      <c r="AE52" s="217">
        <v>31568</v>
      </c>
      <c r="AF52" s="217">
        <v>0</v>
      </c>
      <c r="AG52" s="217">
        <v>0</v>
      </c>
      <c r="AH52" s="217">
        <v>0</v>
      </c>
      <c r="AI52" s="217">
        <v>0</v>
      </c>
      <c r="AJ52" s="217">
        <v>0</v>
      </c>
      <c r="AK52" s="217">
        <v>0</v>
      </c>
      <c r="AL52" s="217">
        <v>0</v>
      </c>
      <c r="AM52" s="217">
        <v>0</v>
      </c>
      <c r="AN52" s="217">
        <v>0</v>
      </c>
      <c r="AO52" s="217">
        <v>0</v>
      </c>
      <c r="AP52" s="217">
        <v>0</v>
      </c>
      <c r="AQ52" s="217">
        <v>0</v>
      </c>
      <c r="AR52" s="217"/>
      <c r="AS52" s="217"/>
      <c r="AT52" s="218">
        <f t="shared" si="5"/>
        <v>441952</v>
      </c>
      <c r="AU52" s="219">
        <f t="shared" si="6"/>
        <v>0</v>
      </c>
      <c r="AV52" s="220">
        <f t="shared" si="3"/>
        <v>220976</v>
      </c>
      <c r="AW52" s="217">
        <f t="shared" si="2"/>
        <v>441952</v>
      </c>
      <c r="AY52" s="221"/>
    </row>
    <row r="53" spans="1:51" outlineLevel="2" x14ac:dyDescent="0.25">
      <c r="B53" s="222" t="s">
        <v>586</v>
      </c>
      <c r="C53" s="223"/>
      <c r="D53" s="224"/>
      <c r="E53" s="225"/>
      <c r="F53" s="226"/>
      <c r="G53" s="226"/>
      <c r="H53" s="226"/>
      <c r="I53" s="226"/>
      <c r="J53" s="227"/>
      <c r="K53" s="228"/>
      <c r="L53" s="227" t="s">
        <v>696</v>
      </c>
      <c r="M53" s="227"/>
      <c r="N53" s="229">
        <f t="shared" si="4"/>
        <v>2.5169999999999999</v>
      </c>
      <c r="O53" s="229">
        <v>2.5169999999999999</v>
      </c>
      <c r="P53" s="229">
        <f>$P$4</f>
        <v>0</v>
      </c>
      <c r="Q53" s="229" t="s">
        <v>551</v>
      </c>
      <c r="R53" s="230">
        <f>SUM(R52:$AQ52)*$N53/100</f>
        <v>11123.931839999999</v>
      </c>
      <c r="S53" s="230">
        <f>SUM(S52:$AQ52)*$N53/100</f>
        <v>10329.36528</v>
      </c>
      <c r="T53" s="230">
        <f>SUM(T52:$AQ52)*$N53/100</f>
        <v>9534.7987199999989</v>
      </c>
      <c r="U53" s="230">
        <f>SUM(U52:$AQ52)*$N53/100</f>
        <v>8740.2321599999996</v>
      </c>
      <c r="V53" s="230">
        <f>SUM(V52:$AQ52)*$N53/100</f>
        <v>7945.6655999999994</v>
      </c>
      <c r="W53" s="230">
        <f>SUM(W52:$AQ52)*$N53/100</f>
        <v>7151.0990400000001</v>
      </c>
      <c r="X53" s="230">
        <f>SUM(X52:$AQ52)*$N53/100</f>
        <v>6356.5324799999999</v>
      </c>
      <c r="Y53" s="230">
        <f>SUM(Y52:$AQ52)*$N53/100</f>
        <v>5561.9659199999996</v>
      </c>
      <c r="Z53" s="230">
        <f>SUM(Z52:$AQ52)*$N53/100</f>
        <v>4767.3993599999994</v>
      </c>
      <c r="AA53" s="230">
        <f>SUM(AA52:$AQ52)*$N53/100</f>
        <v>3972.8327999999997</v>
      </c>
      <c r="AB53" s="230">
        <f>SUM(AB52:$AQ52)*$N53/100</f>
        <v>3178.2662399999999</v>
      </c>
      <c r="AC53" s="230">
        <f>SUM(AC52:$AQ52)*$N53/100</f>
        <v>2383.6996799999997</v>
      </c>
      <c r="AD53" s="230">
        <f>SUM(AD52:$AQ52)*$N53/100</f>
        <v>1589.13312</v>
      </c>
      <c r="AE53" s="230">
        <f>SUM(AE52:$AQ52)*$N53/100</f>
        <v>794.56655999999998</v>
      </c>
      <c r="AF53" s="230">
        <v>0</v>
      </c>
      <c r="AG53" s="230">
        <v>0</v>
      </c>
      <c r="AH53" s="230">
        <v>0</v>
      </c>
      <c r="AI53" s="230">
        <v>0</v>
      </c>
      <c r="AJ53" s="230">
        <v>0</v>
      </c>
      <c r="AK53" s="230">
        <v>0</v>
      </c>
      <c r="AL53" s="230">
        <v>0</v>
      </c>
      <c r="AM53" s="230">
        <v>0</v>
      </c>
      <c r="AN53" s="230">
        <v>0</v>
      </c>
      <c r="AO53" s="230">
        <v>0</v>
      </c>
      <c r="AP53" s="230">
        <v>0</v>
      </c>
      <c r="AQ53" s="230">
        <v>0</v>
      </c>
      <c r="AR53" s="230"/>
      <c r="AS53" s="230"/>
      <c r="AT53" s="231">
        <f t="shared" si="5"/>
        <v>83429.488800000006</v>
      </c>
      <c r="AU53" s="219">
        <f t="shared" si="6"/>
        <v>0</v>
      </c>
      <c r="AV53" s="232">
        <f t="shared" si="3"/>
        <v>22247.863679999995</v>
      </c>
      <c r="AW53" s="230">
        <f t="shared" si="2"/>
        <v>83429.488799999992</v>
      </c>
      <c r="AY53" s="221"/>
    </row>
    <row r="54" spans="1:51" s="208" customFormat="1" outlineLevel="2" x14ac:dyDescent="0.25">
      <c r="B54" s="209" t="s">
        <v>541</v>
      </c>
      <c r="C54" s="210">
        <v>25</v>
      </c>
      <c r="D54" s="211" t="s">
        <v>697</v>
      </c>
      <c r="E54" s="212" t="s">
        <v>698</v>
      </c>
      <c r="F54" s="213" t="s">
        <v>699</v>
      </c>
      <c r="G54" s="213" t="s">
        <v>700</v>
      </c>
      <c r="H54" s="213" t="s">
        <v>701</v>
      </c>
      <c r="I54" s="213" t="s">
        <v>547</v>
      </c>
      <c r="J54" s="214">
        <v>2556845.52</v>
      </c>
      <c r="K54" s="215">
        <v>2147587.52</v>
      </c>
      <c r="L54" s="215"/>
      <c r="M54" s="215"/>
      <c r="N54" s="233"/>
      <c r="O54" s="233"/>
      <c r="P54" s="216"/>
      <c r="Q54" s="216" t="s">
        <v>548</v>
      </c>
      <c r="R54" s="217">
        <v>96316</v>
      </c>
      <c r="S54" s="217">
        <v>96316</v>
      </c>
      <c r="T54" s="217">
        <v>96316</v>
      </c>
      <c r="U54" s="217">
        <v>96316</v>
      </c>
      <c r="V54" s="217">
        <v>96316</v>
      </c>
      <c r="W54" s="217">
        <v>96316</v>
      </c>
      <c r="X54" s="217">
        <v>96316</v>
      </c>
      <c r="Y54" s="217">
        <v>96316</v>
      </c>
      <c r="Z54" s="217">
        <v>96316</v>
      </c>
      <c r="AA54" s="217">
        <v>96316</v>
      </c>
      <c r="AB54" s="217">
        <v>96316</v>
      </c>
      <c r="AC54" s="217">
        <v>96316</v>
      </c>
      <c r="AD54" s="217">
        <v>96316</v>
      </c>
      <c r="AE54" s="217">
        <v>96316</v>
      </c>
      <c r="AF54" s="217">
        <v>96316</v>
      </c>
      <c r="AG54" s="217">
        <v>96316</v>
      </c>
      <c r="AH54" s="217">
        <v>96316</v>
      </c>
      <c r="AI54" s="217">
        <v>96316</v>
      </c>
      <c r="AJ54" s="217">
        <v>96316</v>
      </c>
      <c r="AK54" s="217">
        <v>96316</v>
      </c>
      <c r="AL54" s="217">
        <v>96316</v>
      </c>
      <c r="AM54" s="217">
        <v>96316</v>
      </c>
      <c r="AN54" s="217">
        <v>28635.52</v>
      </c>
      <c r="AO54" s="217">
        <v>0</v>
      </c>
      <c r="AP54" s="217">
        <v>0</v>
      </c>
      <c r="AQ54" s="217">
        <v>0</v>
      </c>
      <c r="AR54" s="217"/>
      <c r="AS54" s="217"/>
      <c r="AT54" s="218">
        <f t="shared" si="5"/>
        <v>2147587.52</v>
      </c>
      <c r="AU54" s="219">
        <f t="shared" si="6"/>
        <v>0</v>
      </c>
      <c r="AV54" s="220">
        <f t="shared" si="3"/>
        <v>1473375.52</v>
      </c>
      <c r="AW54" s="217">
        <f t="shared" si="2"/>
        <v>2147587.52</v>
      </c>
      <c r="AY54" s="221"/>
    </row>
    <row r="55" spans="1:51" outlineLevel="2" x14ac:dyDescent="0.25">
      <c r="B55" s="222" t="s">
        <v>541</v>
      </c>
      <c r="C55" s="223"/>
      <c r="D55" s="224"/>
      <c r="E55" s="225"/>
      <c r="F55" s="226"/>
      <c r="G55" s="226"/>
      <c r="H55" s="226"/>
      <c r="I55" s="226"/>
      <c r="J55" s="227"/>
      <c r="K55" s="228"/>
      <c r="L55" s="227" t="s">
        <v>702</v>
      </c>
      <c r="M55" s="227"/>
      <c r="N55" s="229">
        <f t="shared" si="4"/>
        <v>4.2089999999999996</v>
      </c>
      <c r="O55" s="229">
        <v>4.2089999999999996</v>
      </c>
      <c r="P55" s="229">
        <f>$P$4</f>
        <v>0</v>
      </c>
      <c r="Q55" s="229" t="s">
        <v>551</v>
      </c>
      <c r="R55" s="230">
        <f>SUM(R54:$AQ54)*$N55/100</f>
        <v>90391.958716799985</v>
      </c>
      <c r="S55" s="230">
        <f>SUM(S54:$AQ54)*$N55/100</f>
        <v>86338.018276799994</v>
      </c>
      <c r="T55" s="230">
        <f>SUM(T54:$AQ54)*$N55/100-3000</f>
        <v>79284.077836799988</v>
      </c>
      <c r="U55" s="230">
        <f>SUM(U54:$AQ54)*$N55/100</f>
        <v>78230.137396799997</v>
      </c>
      <c r="V55" s="230">
        <f>SUM(V54:$AQ54)*$N55/100</f>
        <v>74176.196956800006</v>
      </c>
      <c r="W55" s="230">
        <f>SUM(W54:$AQ54)*$N55/100</f>
        <v>70122.256516799986</v>
      </c>
      <c r="X55" s="230">
        <f>SUM(X54:$AQ54)*$N55/100</f>
        <v>66068.316076799994</v>
      </c>
      <c r="Y55" s="230">
        <f>SUM(Y54:$AQ54)*$N55/100</f>
        <v>62014.375636799996</v>
      </c>
      <c r="Z55" s="230">
        <f>SUM(Z54:$AQ54)*$N55/100</f>
        <v>57960.435196799997</v>
      </c>
      <c r="AA55" s="230">
        <f>SUM(AA54:$AQ54)*$N55/100</f>
        <v>53906.494756799992</v>
      </c>
      <c r="AB55" s="230">
        <f>SUM(AB54:$AQ54)*$N55/100</f>
        <v>49852.554316799993</v>
      </c>
      <c r="AC55" s="230">
        <f>SUM(AC54:$AQ54)*$N55/100</f>
        <v>45798.613876799995</v>
      </c>
      <c r="AD55" s="230">
        <f>SUM(AD54:$AQ54)*$N55/100</f>
        <v>41744.673436799996</v>
      </c>
      <c r="AE55" s="230">
        <f>SUM(AE54:$AQ54)*$N55/100</f>
        <v>37690.732996799998</v>
      </c>
      <c r="AF55" s="230">
        <f>SUM(AF54:$AQ54)*$N55/100</f>
        <v>33636.792556799999</v>
      </c>
      <c r="AG55" s="230">
        <f>SUM(AG54:$AQ54)*$N55/100</f>
        <v>29582.852116799997</v>
      </c>
      <c r="AH55" s="230">
        <f>SUM(AH54:$AQ54)*$N55/100</f>
        <v>25528.911676799999</v>
      </c>
      <c r="AI55" s="230">
        <f>SUM(AI54:$AQ54)*$N55/100</f>
        <v>21474.971236799996</v>
      </c>
      <c r="AJ55" s="230">
        <f>SUM(AJ54:$AQ54)*$N55/100</f>
        <v>17421.030796799998</v>
      </c>
      <c r="AK55" s="230">
        <f>SUM(AK54:$AQ54)*$N55/100</f>
        <v>13367.090356799999</v>
      </c>
      <c r="AL55" s="230">
        <f>SUM(AL54:$AQ54)*$N55/100</f>
        <v>9313.1499167999991</v>
      </c>
      <c r="AM55" s="230">
        <f>SUM(AM54:$AQ54)*$N55/100</f>
        <v>5259.2094767999997</v>
      </c>
      <c r="AN55" s="230">
        <f>SUM(AN54:$AQ54)*$N55/100</f>
        <v>1205.2690367999999</v>
      </c>
      <c r="AO55" s="230">
        <v>0</v>
      </c>
      <c r="AP55" s="230">
        <v>0</v>
      </c>
      <c r="AQ55" s="230">
        <v>0</v>
      </c>
      <c r="AR55" s="230"/>
      <c r="AS55" s="230"/>
      <c r="AT55" s="231">
        <f t="shared" si="5"/>
        <v>1050368.1191663998</v>
      </c>
      <c r="AU55" s="219">
        <f t="shared" si="6"/>
        <v>0</v>
      </c>
      <c r="AV55" s="232">
        <f t="shared" si="3"/>
        <v>505757.1573888</v>
      </c>
      <c r="AW55" s="230">
        <f t="shared" si="2"/>
        <v>1050368.1191664001</v>
      </c>
      <c r="AY55" s="221"/>
    </row>
    <row r="56" spans="1:51" s="208" customFormat="1" outlineLevel="2" x14ac:dyDescent="0.25">
      <c r="B56" s="209" t="s">
        <v>541</v>
      </c>
      <c r="C56" s="210">
        <v>26</v>
      </c>
      <c r="D56" s="211" t="s">
        <v>703</v>
      </c>
      <c r="E56" s="212" t="s">
        <v>704</v>
      </c>
      <c r="F56" s="213" t="s">
        <v>705</v>
      </c>
      <c r="G56" s="213" t="s">
        <v>706</v>
      </c>
      <c r="H56" s="213" t="s">
        <v>707</v>
      </c>
      <c r="I56" s="213" t="s">
        <v>547</v>
      </c>
      <c r="J56" s="214">
        <v>1410783</v>
      </c>
      <c r="K56" s="215">
        <v>838698</v>
      </c>
      <c r="L56" s="215"/>
      <c r="M56" s="215"/>
      <c r="N56" s="233"/>
      <c r="O56" s="233"/>
      <c r="P56" s="216"/>
      <c r="Q56" s="216" t="s">
        <v>548</v>
      </c>
      <c r="R56" s="217">
        <v>88284</v>
      </c>
      <c r="S56" s="217">
        <v>88284</v>
      </c>
      <c r="T56" s="217">
        <v>88284</v>
      </c>
      <c r="U56" s="217">
        <v>88284</v>
      </c>
      <c r="V56" s="217">
        <v>88284</v>
      </c>
      <c r="W56" s="217">
        <v>88284</v>
      </c>
      <c r="X56" s="217">
        <v>88284</v>
      </c>
      <c r="Y56" s="217">
        <v>88284</v>
      </c>
      <c r="Z56" s="217">
        <v>88284</v>
      </c>
      <c r="AA56" s="217">
        <v>44142</v>
      </c>
      <c r="AB56" s="217">
        <v>0</v>
      </c>
      <c r="AC56" s="217">
        <v>0</v>
      </c>
      <c r="AD56" s="217">
        <v>0</v>
      </c>
      <c r="AE56" s="217">
        <v>0</v>
      </c>
      <c r="AF56" s="217">
        <v>0</v>
      </c>
      <c r="AG56" s="217">
        <v>0</v>
      </c>
      <c r="AH56" s="217">
        <v>0</v>
      </c>
      <c r="AI56" s="217">
        <v>0</v>
      </c>
      <c r="AJ56" s="217">
        <v>0</v>
      </c>
      <c r="AK56" s="217">
        <v>0</v>
      </c>
      <c r="AL56" s="217">
        <v>0</v>
      </c>
      <c r="AM56" s="217">
        <v>0</v>
      </c>
      <c r="AN56" s="217">
        <v>0</v>
      </c>
      <c r="AO56" s="217">
        <v>0</v>
      </c>
      <c r="AP56" s="217">
        <v>0</v>
      </c>
      <c r="AQ56" s="217">
        <v>0</v>
      </c>
      <c r="AR56" s="217"/>
      <c r="AS56" s="217"/>
      <c r="AT56" s="218">
        <f t="shared" si="5"/>
        <v>838698</v>
      </c>
      <c r="AU56" s="219">
        <f t="shared" si="6"/>
        <v>0</v>
      </c>
      <c r="AV56" s="220">
        <f t="shared" si="3"/>
        <v>220710</v>
      </c>
      <c r="AW56" s="217">
        <f t="shared" si="2"/>
        <v>838698</v>
      </c>
      <c r="AY56" s="221"/>
    </row>
    <row r="57" spans="1:51" outlineLevel="2" x14ac:dyDescent="0.25">
      <c r="B57" s="222" t="s">
        <v>541</v>
      </c>
      <c r="C57" s="223"/>
      <c r="D57" s="224"/>
      <c r="E57" s="225"/>
      <c r="F57" s="226"/>
      <c r="G57" s="226"/>
      <c r="H57" s="226"/>
      <c r="I57" s="226"/>
      <c r="J57" s="227"/>
      <c r="K57" s="228"/>
      <c r="L57" s="227" t="s">
        <v>708</v>
      </c>
      <c r="M57" s="227"/>
      <c r="N57" s="229">
        <f t="shared" si="4"/>
        <v>2.8119999999999998</v>
      </c>
      <c r="O57" s="229">
        <v>2.8119999999999998</v>
      </c>
      <c r="P57" s="229">
        <f>$P$4</f>
        <v>0</v>
      </c>
      <c r="Q57" s="229" t="s">
        <v>551</v>
      </c>
      <c r="R57" s="230">
        <f>SUM(R56:$AQ56)*$N57/100</f>
        <v>23584.187760000001</v>
      </c>
      <c r="S57" s="230">
        <f>SUM(S56:$AQ56)*$N57/100</f>
        <v>21101.641680000001</v>
      </c>
      <c r="T57" s="230">
        <f>SUM(T56:$AQ56)*$N57/100</f>
        <v>18619.095599999997</v>
      </c>
      <c r="U57" s="230">
        <f>SUM(U56:$AQ56)*$N57/100</f>
        <v>16136.549519999999</v>
      </c>
      <c r="V57" s="230">
        <f>SUM(V56:$AQ56)*$N57/100</f>
        <v>13654.003439999999</v>
      </c>
      <c r="W57" s="230">
        <f>SUM(W56:$AQ56)*$N57/100</f>
        <v>11171.45736</v>
      </c>
      <c r="X57" s="230">
        <f>SUM(X56:$AQ56)*$N57/100</f>
        <v>8688.9112799999984</v>
      </c>
      <c r="Y57" s="230">
        <f>SUM(Y56:$AQ56)*$N57/100</f>
        <v>6206.3652000000002</v>
      </c>
      <c r="Z57" s="230">
        <f>SUM(Z56:$AQ56)*$N57/100</f>
        <v>3723.8191199999997</v>
      </c>
      <c r="AA57" s="230">
        <f>SUM(AA56:$AQ56)*$N57/100</f>
        <v>1241.2730399999998</v>
      </c>
      <c r="AB57" s="230">
        <v>0</v>
      </c>
      <c r="AC57" s="230">
        <v>0</v>
      </c>
      <c r="AD57" s="230">
        <v>0</v>
      </c>
      <c r="AE57" s="230">
        <v>0</v>
      </c>
      <c r="AF57" s="230">
        <v>0</v>
      </c>
      <c r="AG57" s="230">
        <v>0</v>
      </c>
      <c r="AH57" s="230">
        <v>0</v>
      </c>
      <c r="AI57" s="230">
        <v>0</v>
      </c>
      <c r="AJ57" s="230">
        <v>0</v>
      </c>
      <c r="AK57" s="230">
        <v>0</v>
      </c>
      <c r="AL57" s="230">
        <v>0</v>
      </c>
      <c r="AM57" s="230">
        <v>0</v>
      </c>
      <c r="AN57" s="230">
        <v>0</v>
      </c>
      <c r="AO57" s="230">
        <v>0</v>
      </c>
      <c r="AP57" s="230">
        <v>0</v>
      </c>
      <c r="AQ57" s="230">
        <v>0</v>
      </c>
      <c r="AR57" s="230"/>
      <c r="AS57" s="230"/>
      <c r="AT57" s="231">
        <f t="shared" si="5"/>
        <v>124127.304</v>
      </c>
      <c r="AU57" s="219">
        <f t="shared" si="6"/>
        <v>0</v>
      </c>
      <c r="AV57" s="232">
        <f t="shared" si="3"/>
        <v>11171.45736</v>
      </c>
      <c r="AW57" s="230">
        <f t="shared" si="2"/>
        <v>124127.304</v>
      </c>
      <c r="AY57" s="221"/>
    </row>
    <row r="58" spans="1:51" s="208" customFormat="1" outlineLevel="2" x14ac:dyDescent="0.25">
      <c r="A58" s="208" t="s">
        <v>558</v>
      </c>
      <c r="B58" s="209" t="s">
        <v>586</v>
      </c>
      <c r="C58" s="210">
        <v>27</v>
      </c>
      <c r="D58" s="211" t="s">
        <v>709</v>
      </c>
      <c r="E58" s="212" t="s">
        <v>710</v>
      </c>
      <c r="F58" s="213" t="s">
        <v>711</v>
      </c>
      <c r="G58" s="213" t="s">
        <v>712</v>
      </c>
      <c r="H58" s="213" t="s">
        <v>713</v>
      </c>
      <c r="I58" s="213" t="s">
        <v>547</v>
      </c>
      <c r="J58" s="214">
        <v>824810</v>
      </c>
      <c r="K58" s="215">
        <v>735669</v>
      </c>
      <c r="L58" s="215"/>
      <c r="M58" s="215"/>
      <c r="N58" s="233"/>
      <c r="O58" s="233"/>
      <c r="P58" s="216"/>
      <c r="Q58" s="216" t="s">
        <v>548</v>
      </c>
      <c r="R58" s="217">
        <v>29724</v>
      </c>
      <c r="S58" s="217">
        <v>29724</v>
      </c>
      <c r="T58" s="217">
        <v>29724</v>
      </c>
      <c r="U58" s="217">
        <v>29724</v>
      </c>
      <c r="V58" s="217">
        <v>29724</v>
      </c>
      <c r="W58" s="217">
        <v>29724</v>
      </c>
      <c r="X58" s="217">
        <v>29724</v>
      </c>
      <c r="Y58" s="217">
        <v>29724</v>
      </c>
      <c r="Z58" s="217">
        <v>29724</v>
      </c>
      <c r="AA58" s="217">
        <v>29724</v>
      </c>
      <c r="AB58" s="217">
        <v>29724</v>
      </c>
      <c r="AC58" s="217">
        <v>29724</v>
      </c>
      <c r="AD58" s="217">
        <v>29724</v>
      </c>
      <c r="AE58" s="217">
        <v>29724</v>
      </c>
      <c r="AF58" s="217">
        <v>29724</v>
      </c>
      <c r="AG58" s="217">
        <v>29724</v>
      </c>
      <c r="AH58" s="217">
        <v>29724</v>
      </c>
      <c r="AI58" s="217">
        <v>29724</v>
      </c>
      <c r="AJ58" s="217">
        <v>29724</v>
      </c>
      <c r="AK58" s="217">
        <v>29724</v>
      </c>
      <c r="AL58" s="217">
        <v>29724</v>
      </c>
      <c r="AM58" s="217">
        <v>29724</v>
      </c>
      <c r="AN58" s="217">
        <v>29724</v>
      </c>
      <c r="AO58" s="217">
        <v>29724</v>
      </c>
      <c r="AP58" s="217">
        <v>22293</v>
      </c>
      <c r="AQ58" s="217">
        <v>0</v>
      </c>
      <c r="AR58" s="217"/>
      <c r="AS58" s="217"/>
      <c r="AT58" s="218">
        <f t="shared" si="5"/>
        <v>735669</v>
      </c>
      <c r="AU58" s="219">
        <f t="shared" si="6"/>
        <v>0</v>
      </c>
      <c r="AV58" s="220">
        <f t="shared" si="3"/>
        <v>527601</v>
      </c>
      <c r="AW58" s="217">
        <f t="shared" si="2"/>
        <v>735669</v>
      </c>
      <c r="AY58" s="221"/>
    </row>
    <row r="59" spans="1:51" outlineLevel="2" x14ac:dyDescent="0.25">
      <c r="A59" s="208" t="s">
        <v>558</v>
      </c>
      <c r="B59" s="222" t="s">
        <v>586</v>
      </c>
      <c r="C59" s="223"/>
      <c r="D59" s="224" t="s">
        <v>714</v>
      </c>
      <c r="E59" s="225"/>
      <c r="F59" s="226"/>
      <c r="G59" s="226"/>
      <c r="H59" s="226"/>
      <c r="I59" s="226"/>
      <c r="J59" s="227"/>
      <c r="K59" s="228"/>
      <c r="L59" s="227" t="s">
        <v>715</v>
      </c>
      <c r="M59" s="227"/>
      <c r="N59" s="229">
        <f t="shared" si="4"/>
        <v>3.1080000000000001</v>
      </c>
      <c r="O59" s="229">
        <v>3.1080000000000001</v>
      </c>
      <c r="P59" s="229">
        <f>$P$4</f>
        <v>0</v>
      </c>
      <c r="Q59" s="229" t="s">
        <v>551</v>
      </c>
      <c r="R59" s="230">
        <f>SUM(R58:$AQ58)*$N59/100</f>
        <v>22864.592519999998</v>
      </c>
      <c r="S59" s="230">
        <f>SUM(S58:$AQ58)*$N59/100</f>
        <v>21940.7706</v>
      </c>
      <c r="T59" s="230">
        <f>SUM(T58:$AQ58)*$N59/100</f>
        <v>21016.948680000001</v>
      </c>
      <c r="U59" s="230">
        <f>SUM(U58:$AQ58)*$N59/100</f>
        <v>20093.126759999999</v>
      </c>
      <c r="V59" s="230">
        <f>SUM(V58:$AQ58)*$N59/100</f>
        <v>19169.304840000001</v>
      </c>
      <c r="W59" s="230">
        <f>SUM(W58:$AQ58)*$N59/100</f>
        <v>18245.482920000002</v>
      </c>
      <c r="X59" s="230">
        <f>SUM(X58:$AQ58)*$N59/100</f>
        <v>17321.661</v>
      </c>
      <c r="Y59" s="230">
        <f>SUM(Y58:$AQ58)*$N59/100</f>
        <v>16397.839080000002</v>
      </c>
      <c r="Z59" s="230">
        <f>SUM(Z58:$AQ58)*$N59/100</f>
        <v>15474.017159999999</v>
      </c>
      <c r="AA59" s="230">
        <f>SUM(AA58:$AQ58)*$N59/100</f>
        <v>14550.195239999999</v>
      </c>
      <c r="AB59" s="230">
        <f>SUM(AB58:$AQ58)*$N59/100</f>
        <v>13626.373319999999</v>
      </c>
      <c r="AC59" s="230">
        <f>SUM(AC58:$AQ58)*$N59/100</f>
        <v>12702.551400000002</v>
      </c>
      <c r="AD59" s="230">
        <f>SUM(AD58:$AQ58)*$N59/100</f>
        <v>11778.729480000002</v>
      </c>
      <c r="AE59" s="230">
        <f>SUM(AE58:$AQ58)*$N59/100</f>
        <v>10854.90756</v>
      </c>
      <c r="AF59" s="230">
        <f>SUM(AF58:$AQ58)*$N59/100</f>
        <v>9931.0856399999993</v>
      </c>
      <c r="AG59" s="230">
        <f>SUM(AG58:$AQ58)*$N59/100</f>
        <v>9007.263719999999</v>
      </c>
      <c r="AH59" s="230">
        <f>SUM(AH58:$AQ58)*$N59/100</f>
        <v>8083.4418000000005</v>
      </c>
      <c r="AI59" s="230">
        <f>SUM(AI58:$AQ58)*$N59/100</f>
        <v>7159.6198800000002</v>
      </c>
      <c r="AJ59" s="230">
        <f>SUM(AJ58:$AQ58)*$N59/100</f>
        <v>6235.7979599999999</v>
      </c>
      <c r="AK59" s="230">
        <f>SUM(AK58:$AQ58)*$N59/100</f>
        <v>5311.9760400000005</v>
      </c>
      <c r="AL59" s="230">
        <f>SUM(AL58:$AQ58)*$N59/100</f>
        <v>4388.1541200000001</v>
      </c>
      <c r="AM59" s="230">
        <f>SUM(AM58:$AQ58)*$N59/100</f>
        <v>3464.3322000000003</v>
      </c>
      <c r="AN59" s="230">
        <f>SUM(AN58:$AQ58)*$N59/100</f>
        <v>2540.5102800000004</v>
      </c>
      <c r="AO59" s="230">
        <f>SUM(AO58:$AQ58)*$N59/100</f>
        <v>1616.6883600000001</v>
      </c>
      <c r="AP59" s="230">
        <f>SUM(AP58:$AQ58)*$N59/100</f>
        <v>692.86644000000001</v>
      </c>
      <c r="AQ59" s="230">
        <v>0</v>
      </c>
      <c r="AR59" s="230"/>
      <c r="AS59" s="230"/>
      <c r="AT59" s="231">
        <f t="shared" si="5"/>
        <v>294468.23699999996</v>
      </c>
      <c r="AU59" s="219">
        <f t="shared" si="6"/>
        <v>0</v>
      </c>
      <c r="AV59" s="232">
        <f t="shared" si="3"/>
        <v>153816.34968000001</v>
      </c>
      <c r="AW59" s="230">
        <f t="shared" si="2"/>
        <v>294468.23699999996</v>
      </c>
      <c r="AY59" s="221"/>
    </row>
    <row r="60" spans="1:51" s="208" customFormat="1" outlineLevel="2" x14ac:dyDescent="0.25">
      <c r="B60" s="209" t="s">
        <v>586</v>
      </c>
      <c r="C60" s="210">
        <v>28</v>
      </c>
      <c r="D60" s="211" t="s">
        <v>716</v>
      </c>
      <c r="E60" s="212" t="s">
        <v>717</v>
      </c>
      <c r="F60" s="213" t="s">
        <v>718</v>
      </c>
      <c r="G60" s="213" t="s">
        <v>712</v>
      </c>
      <c r="H60" s="213" t="s">
        <v>719</v>
      </c>
      <c r="I60" s="213" t="s">
        <v>547</v>
      </c>
      <c r="J60" s="214">
        <v>347420.04</v>
      </c>
      <c r="K60" s="215">
        <v>272338.03999999998</v>
      </c>
      <c r="L60" s="215"/>
      <c r="M60" s="215"/>
      <c r="N60" s="233"/>
      <c r="O60" s="233"/>
      <c r="P60" s="216"/>
      <c r="Q60" s="216" t="s">
        <v>548</v>
      </c>
      <c r="R60" s="217">
        <v>18788</v>
      </c>
      <c r="S60" s="217">
        <v>18788</v>
      </c>
      <c r="T60" s="217">
        <v>18788</v>
      </c>
      <c r="U60" s="217">
        <v>18788</v>
      </c>
      <c r="V60" s="217">
        <v>18788</v>
      </c>
      <c r="W60" s="217">
        <v>18788</v>
      </c>
      <c r="X60" s="217">
        <v>18788</v>
      </c>
      <c r="Y60" s="217">
        <v>18788</v>
      </c>
      <c r="Z60" s="217">
        <v>18788</v>
      </c>
      <c r="AA60" s="217">
        <v>18788</v>
      </c>
      <c r="AB60" s="217">
        <v>18788</v>
      </c>
      <c r="AC60" s="217">
        <v>18788</v>
      </c>
      <c r="AD60" s="217">
        <v>18788</v>
      </c>
      <c r="AE60" s="217">
        <v>18788</v>
      </c>
      <c r="AF60" s="217">
        <v>9306.0400000000009</v>
      </c>
      <c r="AG60" s="217">
        <v>0</v>
      </c>
      <c r="AH60" s="217">
        <v>0</v>
      </c>
      <c r="AI60" s="217">
        <v>0</v>
      </c>
      <c r="AJ60" s="217">
        <v>0</v>
      </c>
      <c r="AK60" s="217">
        <v>0</v>
      </c>
      <c r="AL60" s="217">
        <v>0</v>
      </c>
      <c r="AM60" s="217">
        <v>0</v>
      </c>
      <c r="AN60" s="217">
        <v>0</v>
      </c>
      <c r="AO60" s="217">
        <v>0</v>
      </c>
      <c r="AP60" s="217">
        <v>0</v>
      </c>
      <c r="AQ60" s="217">
        <v>0</v>
      </c>
      <c r="AR60" s="217"/>
      <c r="AS60" s="217"/>
      <c r="AT60" s="218">
        <f t="shared" si="5"/>
        <v>272338.03999999998</v>
      </c>
      <c r="AU60" s="219">
        <f t="shared" si="6"/>
        <v>0</v>
      </c>
      <c r="AV60" s="220">
        <f t="shared" si="3"/>
        <v>140822.04</v>
      </c>
      <c r="AW60" s="217">
        <f t="shared" si="2"/>
        <v>272338.04000000004</v>
      </c>
      <c r="AY60" s="221"/>
    </row>
    <row r="61" spans="1:51" outlineLevel="2" x14ac:dyDescent="0.25">
      <c r="B61" s="222" t="s">
        <v>586</v>
      </c>
      <c r="C61" s="223"/>
      <c r="D61" s="224" t="s">
        <v>720</v>
      </c>
      <c r="E61" s="225"/>
      <c r="F61" s="226"/>
      <c r="G61" s="226"/>
      <c r="H61" s="226"/>
      <c r="I61" s="226"/>
      <c r="J61" s="227"/>
      <c r="K61" s="228"/>
      <c r="L61" s="227" t="s">
        <v>715</v>
      </c>
      <c r="M61" s="227"/>
      <c r="N61" s="229">
        <f t="shared" si="4"/>
        <v>2.88</v>
      </c>
      <c r="O61" s="229">
        <v>2.88</v>
      </c>
      <c r="P61" s="229">
        <f>$P$4</f>
        <v>0</v>
      </c>
      <c r="Q61" s="229" t="s">
        <v>551</v>
      </c>
      <c r="R61" s="230">
        <f>SUM(R60:$AQ60)*$N61/100</f>
        <v>7843.3355519999996</v>
      </c>
      <c r="S61" s="230">
        <f>SUM(S60:$AQ60)*$N61/100</f>
        <v>7302.2411519999996</v>
      </c>
      <c r="T61" s="230">
        <f>SUM(T60:$AQ60)*$N61/100</f>
        <v>6761.1467520000006</v>
      </c>
      <c r="U61" s="230">
        <f>SUM(U60:$AQ60)*$N61/100</f>
        <v>6220.0523519999997</v>
      </c>
      <c r="V61" s="230">
        <f>SUM(V60:$AQ60)*$N61/100</f>
        <v>5678.9579520000007</v>
      </c>
      <c r="W61" s="230">
        <f>SUM(W60:$AQ60)*$N61/100</f>
        <v>5137.8635519999998</v>
      </c>
      <c r="X61" s="230">
        <f>SUM(X60:$AQ60)*$N61/100</f>
        <v>4596.7691519999998</v>
      </c>
      <c r="Y61" s="230">
        <f>SUM(Y60:$AQ60)*$N61/100</f>
        <v>4055.6747519999999</v>
      </c>
      <c r="Z61" s="230">
        <f>SUM(Z60:$AQ60)*$N61/100</f>
        <v>3514.5803519999999</v>
      </c>
      <c r="AA61" s="230">
        <f>SUM(AA60:$AQ60)*$N61/100</f>
        <v>2973.4859520000005</v>
      </c>
      <c r="AB61" s="230">
        <f>SUM(AB60:$AQ60)*$N61/100</f>
        <v>2432.391552</v>
      </c>
      <c r="AC61" s="230">
        <f>SUM(AC60:$AQ60)*$N61/100</f>
        <v>1891.2971520000001</v>
      </c>
      <c r="AD61" s="230">
        <f>SUM(AD60:$AQ60)*$N61/100</f>
        <v>1350.2027520000001</v>
      </c>
      <c r="AE61" s="230">
        <f>SUM(AE60:$AQ60)*$N61/100</f>
        <v>809.10835199999997</v>
      </c>
      <c r="AF61" s="230">
        <f>SUM(AF60:$AQ60)*$N61/100</f>
        <v>268.01395200000002</v>
      </c>
      <c r="AG61" s="230">
        <v>0</v>
      </c>
      <c r="AH61" s="230">
        <v>0</v>
      </c>
      <c r="AI61" s="230">
        <v>0</v>
      </c>
      <c r="AJ61" s="230">
        <v>0</v>
      </c>
      <c r="AK61" s="230">
        <v>0</v>
      </c>
      <c r="AL61" s="230">
        <v>0</v>
      </c>
      <c r="AM61" s="230">
        <v>0</v>
      </c>
      <c r="AN61" s="230">
        <v>0</v>
      </c>
      <c r="AO61" s="230">
        <v>0</v>
      </c>
      <c r="AP61" s="230">
        <v>0</v>
      </c>
      <c r="AQ61" s="230">
        <v>0</v>
      </c>
      <c r="AR61" s="230"/>
      <c r="AS61" s="230"/>
      <c r="AT61" s="231">
        <f t="shared" si="5"/>
        <v>60835.121280000007</v>
      </c>
      <c r="AU61" s="219">
        <f t="shared" si="6"/>
        <v>0</v>
      </c>
      <c r="AV61" s="232">
        <f t="shared" si="3"/>
        <v>17294.754816000001</v>
      </c>
      <c r="AW61" s="230">
        <f t="shared" si="2"/>
        <v>60835.121280000007</v>
      </c>
      <c r="AY61" s="221"/>
    </row>
    <row r="62" spans="1:51" s="208" customFormat="1" outlineLevel="2" x14ac:dyDescent="0.25">
      <c r="B62" s="209" t="s">
        <v>586</v>
      </c>
      <c r="C62" s="210">
        <v>29</v>
      </c>
      <c r="D62" s="211" t="s">
        <v>721</v>
      </c>
      <c r="E62" s="212" t="s">
        <v>722</v>
      </c>
      <c r="F62" s="213" t="s">
        <v>723</v>
      </c>
      <c r="G62" s="213" t="s">
        <v>724</v>
      </c>
      <c r="H62" s="213" t="s">
        <v>725</v>
      </c>
      <c r="I62" s="213" t="s">
        <v>547</v>
      </c>
      <c r="J62" s="214">
        <v>9703992</v>
      </c>
      <c r="K62" s="215">
        <v>8627007.9199999999</v>
      </c>
      <c r="L62" s="215"/>
      <c r="M62" s="215"/>
      <c r="N62" s="233"/>
      <c r="O62" s="233"/>
      <c r="P62" s="216"/>
      <c r="Q62" s="216" t="s">
        <v>548</v>
      </c>
      <c r="R62" s="217">
        <v>343508</v>
      </c>
      <c r="S62" s="217">
        <v>343508</v>
      </c>
      <c r="T62" s="217">
        <v>343508</v>
      </c>
      <c r="U62" s="217">
        <v>343508</v>
      </c>
      <c r="V62" s="217">
        <v>343508</v>
      </c>
      <c r="W62" s="217">
        <v>343508</v>
      </c>
      <c r="X62" s="217">
        <v>343508</v>
      </c>
      <c r="Y62" s="217">
        <v>343508</v>
      </c>
      <c r="Z62" s="217">
        <v>343508</v>
      </c>
      <c r="AA62" s="217">
        <v>343508</v>
      </c>
      <c r="AB62" s="217">
        <v>343508</v>
      </c>
      <c r="AC62" s="217">
        <v>343508</v>
      </c>
      <c r="AD62" s="217">
        <v>343508</v>
      </c>
      <c r="AE62" s="217">
        <v>343508</v>
      </c>
      <c r="AF62" s="217">
        <v>343508</v>
      </c>
      <c r="AG62" s="217">
        <v>343508</v>
      </c>
      <c r="AH62" s="217">
        <v>343508</v>
      </c>
      <c r="AI62" s="217">
        <v>343508</v>
      </c>
      <c r="AJ62" s="217">
        <v>343508</v>
      </c>
      <c r="AK62" s="217">
        <v>343508</v>
      </c>
      <c r="AL62" s="217">
        <v>343508</v>
      </c>
      <c r="AM62" s="217">
        <v>343508</v>
      </c>
      <c r="AN62" s="217">
        <v>343508</v>
      </c>
      <c r="AO62" s="217">
        <v>343508</v>
      </c>
      <c r="AP62" s="217">
        <v>343508</v>
      </c>
      <c r="AQ62" s="217">
        <v>39307.919999999998</v>
      </c>
      <c r="AR62" s="217"/>
      <c r="AS62" s="217"/>
      <c r="AT62" s="218">
        <f t="shared" si="5"/>
        <v>8627007.9199999999</v>
      </c>
      <c r="AU62" s="219">
        <f t="shared" si="6"/>
        <v>0</v>
      </c>
      <c r="AV62" s="220">
        <f t="shared" si="3"/>
        <v>6222451.9199999999</v>
      </c>
      <c r="AW62" s="217">
        <f t="shared" si="2"/>
        <v>8627007.9199999999</v>
      </c>
      <c r="AY62" s="221"/>
    </row>
    <row r="63" spans="1:51" outlineLevel="2" x14ac:dyDescent="0.25">
      <c r="B63" s="222" t="s">
        <v>586</v>
      </c>
      <c r="C63" s="223"/>
      <c r="D63" s="224"/>
      <c r="E63" s="225"/>
      <c r="F63" s="226"/>
      <c r="G63" s="226"/>
      <c r="H63" s="226"/>
      <c r="I63" s="226"/>
      <c r="J63" s="227"/>
      <c r="K63" s="228"/>
      <c r="L63" s="227" t="s">
        <v>726</v>
      </c>
      <c r="M63" s="227"/>
      <c r="N63" s="229">
        <f t="shared" si="4"/>
        <v>3.2919999999999998</v>
      </c>
      <c r="O63" s="229">
        <v>3.2919999999999998</v>
      </c>
      <c r="P63" s="229">
        <f>$P$4</f>
        <v>0</v>
      </c>
      <c r="Q63" s="229" t="s">
        <v>551</v>
      </c>
      <c r="R63" s="230">
        <f>SUM(R62:$AQ62)*$N63/100-10000</f>
        <v>274001.10072639998</v>
      </c>
      <c r="S63" s="230">
        <f>SUM(S62:$AQ62)*$N63/100</f>
        <v>272692.81736639998</v>
      </c>
      <c r="T63" s="230">
        <f>SUM(T62:$AQ62)*$N63/100-5000</f>
        <v>256384.5340064</v>
      </c>
      <c r="U63" s="230">
        <f>SUM(U62:$AQ62)*$N63/100</f>
        <v>250076.25064639997</v>
      </c>
      <c r="V63" s="230">
        <f>SUM(V62:$AQ62)*$N63/100</f>
        <v>238767.96728639997</v>
      </c>
      <c r="W63" s="230">
        <f>SUM(W62:$AQ62)*$N63/100</f>
        <v>227459.68392639997</v>
      </c>
      <c r="X63" s="230">
        <f>SUM(X62:$AQ62)*$N63/100</f>
        <v>216151.4005664</v>
      </c>
      <c r="Y63" s="230">
        <f>SUM(Y62:$AQ62)*$N63/100</f>
        <v>204843.1172064</v>
      </c>
      <c r="Z63" s="230">
        <f>SUM(Z62:$AQ62)*$N63/100</f>
        <v>193534.83384639997</v>
      </c>
      <c r="AA63" s="230">
        <f>SUM(AA62:$AQ62)*$N63/100</f>
        <v>182226.55048639997</v>
      </c>
      <c r="AB63" s="230">
        <f>SUM(AB62:$AQ62)*$N63/100</f>
        <v>170918.26712639999</v>
      </c>
      <c r="AC63" s="230">
        <f>SUM(AC62:$AQ62)*$N63/100</f>
        <v>159609.98376639999</v>
      </c>
      <c r="AD63" s="230">
        <f>SUM(AD62:$AQ62)*$N63/100</f>
        <v>148301.70040639999</v>
      </c>
      <c r="AE63" s="230">
        <f>SUM(AE62:$AQ62)*$N63/100</f>
        <v>136993.41704639999</v>
      </c>
      <c r="AF63" s="230">
        <f>SUM(AF62:$AQ62)*$N63/100</f>
        <v>125685.13368639997</v>
      </c>
      <c r="AG63" s="230">
        <f>SUM(AG62:$AQ62)*$N63/100</f>
        <v>114376.85032639999</v>
      </c>
      <c r="AH63" s="230">
        <f>SUM(AH62:$AQ62)*$N63/100</f>
        <v>103068.5669664</v>
      </c>
      <c r="AI63" s="230">
        <f>SUM(AI62:$AQ62)*$N63/100</f>
        <v>91760.283606399986</v>
      </c>
      <c r="AJ63" s="230">
        <f>SUM(AJ62:$AQ62)*$N63/100</f>
        <v>80452.000246399999</v>
      </c>
      <c r="AK63" s="230">
        <f>SUM(AK62:$AQ62)*$N63/100</f>
        <v>69143.716886399998</v>
      </c>
      <c r="AL63" s="230">
        <f>SUM(AL62:$AQ62)*$N63/100</f>
        <v>57835.433526399989</v>
      </c>
      <c r="AM63" s="230">
        <f>SUM(AM62:$AQ62)*$N63/100</f>
        <v>46527.150166399988</v>
      </c>
      <c r="AN63" s="230">
        <f>SUM(AN62:$AQ62)*$N63/100</f>
        <v>35218.866806399994</v>
      </c>
      <c r="AO63" s="230">
        <f>SUM(AO62:$AQ62)*$N63/100</f>
        <v>23910.583446399996</v>
      </c>
      <c r="AP63" s="230">
        <f>SUM(AP62:$AQ62)*$N63/100</f>
        <v>12602.300086399999</v>
      </c>
      <c r="AQ63" s="230">
        <f>SUM(AQ62:$AQ62)*$N63/100</f>
        <v>1294.0167263999999</v>
      </c>
      <c r="AR63" s="230"/>
      <c r="AS63" s="230"/>
      <c r="AT63" s="231">
        <f t="shared" si="5"/>
        <v>3693836.526886398</v>
      </c>
      <c r="AU63" s="219">
        <f t="shared" si="6"/>
        <v>0</v>
      </c>
      <c r="AV63" s="232">
        <f t="shared" si="3"/>
        <v>1958302.7723616001</v>
      </c>
      <c r="AW63" s="230">
        <f t="shared" si="2"/>
        <v>3693836.5268863998</v>
      </c>
      <c r="AY63" s="221"/>
    </row>
    <row r="64" spans="1:51" s="198" customFormat="1" outlineLevel="2" x14ac:dyDescent="0.25">
      <c r="B64" s="234" t="s">
        <v>586</v>
      </c>
      <c r="C64" s="235">
        <v>30</v>
      </c>
      <c r="D64" s="236" t="s">
        <v>727</v>
      </c>
      <c r="E64" s="212" t="s">
        <v>728</v>
      </c>
      <c r="F64" s="212" t="s">
        <v>729</v>
      </c>
      <c r="G64" s="212" t="s">
        <v>724</v>
      </c>
      <c r="H64" s="212" t="s">
        <v>730</v>
      </c>
      <c r="I64" s="212" t="s">
        <v>547</v>
      </c>
      <c r="J64" s="214">
        <v>43430</v>
      </c>
      <c r="K64" s="215">
        <v>4452</v>
      </c>
      <c r="L64" s="215"/>
      <c r="M64" s="215"/>
      <c r="N64" s="216"/>
      <c r="O64" s="216"/>
      <c r="P64" s="216"/>
      <c r="Q64" s="216" t="s">
        <v>548</v>
      </c>
      <c r="R64" s="217">
        <v>848</v>
      </c>
      <c r="S64" s="217">
        <v>848</v>
      </c>
      <c r="T64" s="217">
        <v>848</v>
      </c>
      <c r="U64" s="217">
        <v>848</v>
      </c>
      <c r="V64" s="217">
        <v>848</v>
      </c>
      <c r="W64" s="217">
        <v>212</v>
      </c>
      <c r="X64" s="217">
        <v>0</v>
      </c>
      <c r="Y64" s="217">
        <v>0</v>
      </c>
      <c r="Z64" s="217">
        <v>0</v>
      </c>
      <c r="AA64" s="217">
        <v>0</v>
      </c>
      <c r="AB64" s="217">
        <v>0</v>
      </c>
      <c r="AC64" s="217">
        <v>0</v>
      </c>
      <c r="AD64" s="217">
        <v>0</v>
      </c>
      <c r="AE64" s="217">
        <v>0</v>
      </c>
      <c r="AF64" s="217">
        <v>0</v>
      </c>
      <c r="AG64" s="217">
        <v>0</v>
      </c>
      <c r="AH64" s="217">
        <v>0</v>
      </c>
      <c r="AI64" s="217">
        <v>0</v>
      </c>
      <c r="AJ64" s="217">
        <v>0</v>
      </c>
      <c r="AK64" s="217">
        <v>0</v>
      </c>
      <c r="AL64" s="217">
        <v>0</v>
      </c>
      <c r="AM64" s="217">
        <v>0</v>
      </c>
      <c r="AN64" s="217">
        <v>0</v>
      </c>
      <c r="AO64" s="217">
        <v>0</v>
      </c>
      <c r="AP64" s="217">
        <v>0</v>
      </c>
      <c r="AQ64" s="217">
        <v>0</v>
      </c>
      <c r="AR64" s="217"/>
      <c r="AS64" s="217"/>
      <c r="AT64" s="217">
        <f t="shared" si="5"/>
        <v>4452</v>
      </c>
      <c r="AU64" s="237">
        <f t="shared" si="6"/>
        <v>0</v>
      </c>
      <c r="AV64" s="220">
        <f t="shared" si="3"/>
        <v>0</v>
      </c>
      <c r="AW64" s="217">
        <f t="shared" si="2"/>
        <v>4452</v>
      </c>
      <c r="AY64" s="221"/>
    </row>
    <row r="65" spans="2:51" s="190" customFormat="1" outlineLevel="2" x14ac:dyDescent="0.25">
      <c r="B65" s="238" t="s">
        <v>586</v>
      </c>
      <c r="C65" s="239"/>
      <c r="D65" s="240"/>
      <c r="E65" s="225"/>
      <c r="F65" s="225"/>
      <c r="G65" s="225"/>
      <c r="H65" s="225"/>
      <c r="I65" s="225"/>
      <c r="J65" s="227"/>
      <c r="K65" s="228"/>
      <c r="L65" s="227">
        <v>0</v>
      </c>
      <c r="M65" s="227" t="s">
        <v>731</v>
      </c>
      <c r="N65" s="229">
        <f>SUM(O65:P65)</f>
        <v>0.25</v>
      </c>
      <c r="O65" s="229">
        <v>0.25</v>
      </c>
      <c r="P65" s="229">
        <f>$P$4</f>
        <v>0</v>
      </c>
      <c r="Q65" s="229" t="s">
        <v>551</v>
      </c>
      <c r="R65" s="230">
        <f>SUM(R64:$AQ64)*$N65/100</f>
        <v>11.13</v>
      </c>
      <c r="S65" s="230">
        <f>SUM(S64:$AQ64)*$N65/100</f>
        <v>9.01</v>
      </c>
      <c r="T65" s="230">
        <f>SUM(T64:$AQ64)*$N65/100</f>
        <v>6.89</v>
      </c>
      <c r="U65" s="230">
        <f>SUM(U64:$AQ64)*$N65/100</f>
        <v>4.7699999999999996</v>
      </c>
      <c r="V65" s="230">
        <f>SUM(V64:$AQ64)*$N65/100</f>
        <v>2.65</v>
      </c>
      <c r="W65" s="230">
        <f>SUM(W64:$AQ64)*$N65/100</f>
        <v>0.53</v>
      </c>
      <c r="X65" s="230">
        <v>0</v>
      </c>
      <c r="Y65" s="230">
        <v>0</v>
      </c>
      <c r="Z65" s="230">
        <v>0</v>
      </c>
      <c r="AA65" s="230">
        <v>0</v>
      </c>
      <c r="AB65" s="230">
        <v>0</v>
      </c>
      <c r="AC65" s="230">
        <v>0</v>
      </c>
      <c r="AD65" s="230">
        <v>0</v>
      </c>
      <c r="AE65" s="230">
        <v>0</v>
      </c>
      <c r="AF65" s="230">
        <v>0</v>
      </c>
      <c r="AG65" s="230">
        <v>0</v>
      </c>
      <c r="AH65" s="230">
        <v>0</v>
      </c>
      <c r="AI65" s="230">
        <v>0</v>
      </c>
      <c r="AJ65" s="230">
        <v>0</v>
      </c>
      <c r="AK65" s="230">
        <v>0</v>
      </c>
      <c r="AL65" s="230">
        <v>0</v>
      </c>
      <c r="AM65" s="230">
        <v>0</v>
      </c>
      <c r="AN65" s="230">
        <v>0</v>
      </c>
      <c r="AO65" s="230">
        <v>0</v>
      </c>
      <c r="AP65" s="230">
        <v>0</v>
      </c>
      <c r="AQ65" s="230">
        <v>0</v>
      </c>
      <c r="AR65" s="230"/>
      <c r="AS65" s="230"/>
      <c r="AT65" s="230">
        <f t="shared" si="5"/>
        <v>34.980000000000004</v>
      </c>
      <c r="AU65" s="237">
        <f t="shared" si="6"/>
        <v>0</v>
      </c>
      <c r="AV65" s="232">
        <f t="shared" si="3"/>
        <v>0</v>
      </c>
      <c r="AW65" s="230">
        <f t="shared" si="2"/>
        <v>34.980000000000004</v>
      </c>
      <c r="AY65" s="221"/>
    </row>
    <row r="66" spans="2:51" s="208" customFormat="1" outlineLevel="2" x14ac:dyDescent="0.25">
      <c r="B66" s="209" t="s">
        <v>586</v>
      </c>
      <c r="C66" s="210">
        <v>31</v>
      </c>
      <c r="D66" s="211" t="s">
        <v>732</v>
      </c>
      <c r="E66" s="212" t="s">
        <v>733</v>
      </c>
      <c r="F66" s="213" t="s">
        <v>734</v>
      </c>
      <c r="G66" s="213" t="s">
        <v>735</v>
      </c>
      <c r="H66" s="213" t="s">
        <v>736</v>
      </c>
      <c r="I66" s="213" t="s">
        <v>547</v>
      </c>
      <c r="J66" s="214">
        <v>400000</v>
      </c>
      <c r="K66" s="215">
        <v>345319</v>
      </c>
      <c r="L66" s="215"/>
      <c r="M66" s="215"/>
      <c r="N66" s="233"/>
      <c r="O66" s="233"/>
      <c r="P66" s="216"/>
      <c r="Q66" s="216" t="s">
        <v>548</v>
      </c>
      <c r="R66" s="217">
        <v>13676</v>
      </c>
      <c r="S66" s="217">
        <v>13676</v>
      </c>
      <c r="T66" s="217">
        <v>13676</v>
      </c>
      <c r="U66" s="217">
        <v>13676</v>
      </c>
      <c r="V66" s="217">
        <v>13676</v>
      </c>
      <c r="W66" s="217">
        <v>13676</v>
      </c>
      <c r="X66" s="217">
        <v>13676</v>
      </c>
      <c r="Y66" s="217">
        <v>13676</v>
      </c>
      <c r="Z66" s="217">
        <v>13676</v>
      </c>
      <c r="AA66" s="217">
        <v>13676</v>
      </c>
      <c r="AB66" s="217">
        <v>13676</v>
      </c>
      <c r="AC66" s="217">
        <v>13676</v>
      </c>
      <c r="AD66" s="217">
        <v>13676</v>
      </c>
      <c r="AE66" s="217">
        <v>13676</v>
      </c>
      <c r="AF66" s="217">
        <v>13676</v>
      </c>
      <c r="AG66" s="217">
        <v>13676</v>
      </c>
      <c r="AH66" s="217">
        <v>13676</v>
      </c>
      <c r="AI66" s="217">
        <v>13676</v>
      </c>
      <c r="AJ66" s="217">
        <v>13676</v>
      </c>
      <c r="AK66" s="217">
        <v>13676</v>
      </c>
      <c r="AL66" s="217">
        <v>13676</v>
      </c>
      <c r="AM66" s="217">
        <v>13676</v>
      </c>
      <c r="AN66" s="217">
        <v>13676</v>
      </c>
      <c r="AO66" s="217">
        <v>13676</v>
      </c>
      <c r="AP66" s="217">
        <v>13676</v>
      </c>
      <c r="AQ66" s="217">
        <v>3419</v>
      </c>
      <c r="AR66" s="217"/>
      <c r="AS66" s="217"/>
      <c r="AT66" s="218">
        <f t="shared" si="5"/>
        <v>345319</v>
      </c>
      <c r="AU66" s="219">
        <f t="shared" si="6"/>
        <v>0</v>
      </c>
      <c r="AV66" s="220">
        <f t="shared" si="3"/>
        <v>249587</v>
      </c>
      <c r="AW66" s="217">
        <f t="shared" si="2"/>
        <v>345319</v>
      </c>
      <c r="AY66" s="221"/>
    </row>
    <row r="67" spans="2:51" outlineLevel="2" x14ac:dyDescent="0.25">
      <c r="B67" s="222" t="s">
        <v>586</v>
      </c>
      <c r="C67" s="223"/>
      <c r="D67" s="224" t="s">
        <v>737</v>
      </c>
      <c r="E67" s="225"/>
      <c r="F67" s="226"/>
      <c r="G67" s="226"/>
      <c r="H67" s="226"/>
      <c r="I67" s="226"/>
      <c r="J67" s="227"/>
      <c r="K67" s="228"/>
      <c r="L67" s="227" t="s">
        <v>738</v>
      </c>
      <c r="M67" s="227"/>
      <c r="N67" s="229">
        <f>SUM(O67:P67)</f>
        <v>3.0630000000000002</v>
      </c>
      <c r="O67" s="229">
        <v>3.0630000000000002</v>
      </c>
      <c r="P67" s="229">
        <f>$P$4</f>
        <v>0</v>
      </c>
      <c r="Q67" s="229" t="s">
        <v>551</v>
      </c>
      <c r="R67" s="230">
        <f>SUM(R66:$AQ66)*$N67/100</f>
        <v>10577.12097</v>
      </c>
      <c r="S67" s="230">
        <f>SUM(S66:$AQ66)*$N67/100</f>
        <v>10158.22509</v>
      </c>
      <c r="T67" s="230">
        <f>SUM(T66:$AQ66)*$N67/100</f>
        <v>9739.3292100000017</v>
      </c>
      <c r="U67" s="230">
        <f>SUM(U66:$AQ66)*$N67/100</f>
        <v>9320.4333300000017</v>
      </c>
      <c r="V67" s="230">
        <f>SUM(V66:$AQ66)*$N67/100</f>
        <v>8901.5374499999998</v>
      </c>
      <c r="W67" s="230">
        <f>SUM(W66:$AQ66)*$N67/100</f>
        <v>8482.6415699999998</v>
      </c>
      <c r="X67" s="230">
        <f>SUM(X66:$AQ66)*$N67/100</f>
        <v>8063.7456899999997</v>
      </c>
      <c r="Y67" s="230">
        <f>SUM(Y66:$AQ66)*$N67/100</f>
        <v>7644.8498100000006</v>
      </c>
      <c r="Z67" s="230">
        <f>SUM(Z66:$AQ66)*$N67/100</f>
        <v>7225.9539300000006</v>
      </c>
      <c r="AA67" s="230">
        <f>SUM(AA66:$AQ66)*$N67/100</f>
        <v>6807.0580500000005</v>
      </c>
      <c r="AB67" s="230">
        <f>SUM(AB66:$AQ66)*$N67/100</f>
        <v>6388.1621700000005</v>
      </c>
      <c r="AC67" s="230">
        <f>SUM(AC66:$AQ66)*$N67/100</f>
        <v>5969.2662900000005</v>
      </c>
      <c r="AD67" s="230">
        <f>SUM(AD66:$AQ66)*$N67/100</f>
        <v>5550.3704100000004</v>
      </c>
      <c r="AE67" s="230">
        <f>SUM(AE66:$AQ66)*$N67/100</f>
        <v>5131.4745300000004</v>
      </c>
      <c r="AF67" s="230">
        <f>SUM(AF66:$AQ66)*$N67/100</f>
        <v>4712.5786500000004</v>
      </c>
      <c r="AG67" s="230">
        <f>SUM(AG66:$AQ66)*$N67/100</f>
        <v>4293.6827700000003</v>
      </c>
      <c r="AH67" s="230">
        <f>SUM(AH66:$AQ66)*$N67/100</f>
        <v>3874.7868900000003</v>
      </c>
      <c r="AI67" s="230">
        <f>SUM(AI66:$AQ66)*$N67/100</f>
        <v>3455.8910100000003</v>
      </c>
      <c r="AJ67" s="230">
        <f>SUM(AJ66:$AQ66)*$N67/100</f>
        <v>3036.9951300000002</v>
      </c>
      <c r="AK67" s="230">
        <f>SUM(AK66:$AQ66)*$N67/100</f>
        <v>2618.0992500000002</v>
      </c>
      <c r="AL67" s="230">
        <f>SUM(AL66:$AQ66)*$N67/100</f>
        <v>2199.2033700000002</v>
      </c>
      <c r="AM67" s="230">
        <f>SUM(AM66:$AQ66)*$N67/100</f>
        <v>1780.3074900000001</v>
      </c>
      <c r="AN67" s="230">
        <f>SUM(AN66:$AQ66)*$N67/100</f>
        <v>1361.4116100000001</v>
      </c>
      <c r="AO67" s="230">
        <f>SUM(AO66:$AQ66)*$N67/100</f>
        <v>942.51573000000008</v>
      </c>
      <c r="AP67" s="230">
        <f>SUM(AP66:$AQ66)*$N67/100</f>
        <v>523.61985000000004</v>
      </c>
      <c r="AQ67" s="230">
        <f>SUM(AQ66:$AQ66)*$N67/100</f>
        <v>104.72397000000001</v>
      </c>
      <c r="AR67" s="230"/>
      <c r="AS67" s="230"/>
      <c r="AT67" s="231">
        <f t="shared" si="5"/>
        <v>138863.98422000004</v>
      </c>
      <c r="AU67" s="219">
        <f t="shared" si="6"/>
        <v>0</v>
      </c>
      <c r="AV67" s="232">
        <f t="shared" si="3"/>
        <v>73620.950910000029</v>
      </c>
      <c r="AW67" s="230">
        <f t="shared" si="2"/>
        <v>138863.98422000004</v>
      </c>
      <c r="AY67" s="221"/>
    </row>
    <row r="68" spans="2:51" s="208" customFormat="1" outlineLevel="2" collapsed="1" x14ac:dyDescent="0.25">
      <c r="B68" s="209" t="s">
        <v>586</v>
      </c>
      <c r="C68" s="210">
        <v>32</v>
      </c>
      <c r="D68" s="211" t="s">
        <v>739</v>
      </c>
      <c r="E68" s="212" t="s">
        <v>740</v>
      </c>
      <c r="F68" s="213" t="s">
        <v>741</v>
      </c>
      <c r="G68" s="213" t="s">
        <v>742</v>
      </c>
      <c r="H68" s="213" t="s">
        <v>743</v>
      </c>
      <c r="I68" s="213" t="s">
        <v>547</v>
      </c>
      <c r="J68" s="214">
        <v>279650</v>
      </c>
      <c r="K68" s="215">
        <v>241491</v>
      </c>
      <c r="L68" s="215"/>
      <c r="M68" s="215"/>
      <c r="N68" s="233"/>
      <c r="O68" s="233"/>
      <c r="P68" s="216"/>
      <c r="Q68" s="216" t="s">
        <v>548</v>
      </c>
      <c r="R68" s="217">
        <v>9564</v>
      </c>
      <c r="S68" s="217">
        <v>9564</v>
      </c>
      <c r="T68" s="217">
        <v>9564</v>
      </c>
      <c r="U68" s="217">
        <v>9564</v>
      </c>
      <c r="V68" s="217">
        <v>9564</v>
      </c>
      <c r="W68" s="217">
        <v>9564</v>
      </c>
      <c r="X68" s="217">
        <v>9564</v>
      </c>
      <c r="Y68" s="217">
        <v>9564</v>
      </c>
      <c r="Z68" s="217">
        <v>9564</v>
      </c>
      <c r="AA68" s="217">
        <v>9564</v>
      </c>
      <c r="AB68" s="217">
        <v>9564</v>
      </c>
      <c r="AC68" s="217">
        <v>9564</v>
      </c>
      <c r="AD68" s="217">
        <v>9564</v>
      </c>
      <c r="AE68" s="217">
        <v>9564</v>
      </c>
      <c r="AF68" s="217">
        <v>9564</v>
      </c>
      <c r="AG68" s="217">
        <v>9564</v>
      </c>
      <c r="AH68" s="217">
        <v>9564</v>
      </c>
      <c r="AI68" s="217">
        <v>9564</v>
      </c>
      <c r="AJ68" s="217">
        <v>9564</v>
      </c>
      <c r="AK68" s="217">
        <v>9564</v>
      </c>
      <c r="AL68" s="217">
        <v>9564</v>
      </c>
      <c r="AM68" s="217">
        <v>9564</v>
      </c>
      <c r="AN68" s="217">
        <v>9564</v>
      </c>
      <c r="AO68" s="217">
        <v>9564</v>
      </c>
      <c r="AP68" s="217">
        <v>9564</v>
      </c>
      <c r="AQ68" s="217">
        <v>2391</v>
      </c>
      <c r="AR68" s="217"/>
      <c r="AS68" s="217"/>
      <c r="AT68" s="218">
        <f t="shared" si="5"/>
        <v>241491</v>
      </c>
      <c r="AU68" s="219">
        <f t="shared" si="6"/>
        <v>0</v>
      </c>
      <c r="AV68" s="220">
        <f t="shared" si="3"/>
        <v>174543</v>
      </c>
      <c r="AW68" s="217">
        <f t="shared" si="2"/>
        <v>241491</v>
      </c>
      <c r="AY68" s="221"/>
    </row>
    <row r="69" spans="2:51" outlineLevel="2" x14ac:dyDescent="0.25">
      <c r="B69" s="222" t="s">
        <v>586</v>
      </c>
      <c r="C69" s="223"/>
      <c r="D69" s="224"/>
      <c r="E69" s="225"/>
      <c r="F69" s="226"/>
      <c r="G69" s="226"/>
      <c r="H69" s="226"/>
      <c r="I69" s="226"/>
      <c r="J69" s="227"/>
      <c r="K69" s="228"/>
      <c r="L69" s="227" t="s">
        <v>744</v>
      </c>
      <c r="M69" s="227"/>
      <c r="N69" s="229">
        <f>SUM(O69:P69)</f>
        <v>2.835</v>
      </c>
      <c r="O69" s="229">
        <v>2.835</v>
      </c>
      <c r="P69" s="229">
        <f>$P$4</f>
        <v>0</v>
      </c>
      <c r="Q69" s="229" t="s">
        <v>551</v>
      </c>
      <c r="R69" s="230">
        <f>SUM(R68:$AQ68)*$N69/100</f>
        <v>6846.2698499999997</v>
      </c>
      <c r="S69" s="230">
        <f>SUM(S68:$AQ68)*$N69/100</f>
        <v>6575.1304500000006</v>
      </c>
      <c r="T69" s="230">
        <f>SUM(T68:$AQ68)*$N69/100</f>
        <v>6303.9910499999996</v>
      </c>
      <c r="U69" s="230">
        <f>SUM(U68:$AQ68)*$N69/100</f>
        <v>6032.8516500000005</v>
      </c>
      <c r="V69" s="230">
        <f>SUM(V68:$AQ68)*$N69/100</f>
        <v>5761.7122499999996</v>
      </c>
      <c r="W69" s="230">
        <f>SUM(W68:$AQ68)*$N69/100</f>
        <v>5490.5728500000005</v>
      </c>
      <c r="X69" s="230">
        <f>SUM(X68:$AQ68)*$N69/100</f>
        <v>5219.4334499999995</v>
      </c>
      <c r="Y69" s="230">
        <f>SUM(Y68:$AQ68)*$N69/100</f>
        <v>4948.2940499999995</v>
      </c>
      <c r="Z69" s="230">
        <f>SUM(Z68:$AQ68)*$N69/100</f>
        <v>4677.1546499999995</v>
      </c>
      <c r="AA69" s="230">
        <f>SUM(AA68:$AQ68)*$N69/100</f>
        <v>4406.0152500000004</v>
      </c>
      <c r="AB69" s="230">
        <f>SUM(AB68:$AQ68)*$N69/100</f>
        <v>4134.8758500000004</v>
      </c>
      <c r="AC69" s="230">
        <f>SUM(AC68:$AQ68)*$N69/100</f>
        <v>3863.7364500000003</v>
      </c>
      <c r="AD69" s="230">
        <f>SUM(AD68:$AQ68)*$N69/100</f>
        <v>3592.5970500000003</v>
      </c>
      <c r="AE69" s="230">
        <f>SUM(AE68:$AQ68)*$N69/100</f>
        <v>3321.4576500000003</v>
      </c>
      <c r="AF69" s="230">
        <f>SUM(AF68:$AQ68)*$N69/100</f>
        <v>3050.3182500000003</v>
      </c>
      <c r="AG69" s="230">
        <f>SUM(AG68:$AQ68)*$N69/100</f>
        <v>2779.1788500000002</v>
      </c>
      <c r="AH69" s="230">
        <f>SUM(AH68:$AQ68)*$N69/100</f>
        <v>2508.0394500000002</v>
      </c>
      <c r="AI69" s="230">
        <f>SUM(AI68:$AQ68)*$N69/100</f>
        <v>2236.9000500000002</v>
      </c>
      <c r="AJ69" s="230">
        <f>SUM(AJ68:$AQ68)*$N69/100</f>
        <v>1965.7606499999999</v>
      </c>
      <c r="AK69" s="230">
        <f>SUM(AK68:$AQ68)*$N69/100</f>
        <v>1694.6212499999999</v>
      </c>
      <c r="AL69" s="230">
        <f>SUM(AL68:$AQ68)*$N69/100</f>
        <v>1423.4818499999999</v>
      </c>
      <c r="AM69" s="230">
        <f>SUM(AM68:$AQ68)*$N69/100</f>
        <v>1152.3424499999999</v>
      </c>
      <c r="AN69" s="230">
        <f>SUM(AN68:$AQ68)*$N69/100</f>
        <v>881.20304999999996</v>
      </c>
      <c r="AO69" s="230">
        <f>SUM(AO68:$AQ68)*$N69/100</f>
        <v>610.06364999999994</v>
      </c>
      <c r="AP69" s="230">
        <f>SUM(AP68:$AQ68)*$N69/100</f>
        <v>338.92425000000003</v>
      </c>
      <c r="AQ69" s="230">
        <f>SUM(AQ68:$AQ68)*$N69/100</f>
        <v>67.784849999999992</v>
      </c>
      <c r="AR69" s="230"/>
      <c r="AS69" s="230"/>
      <c r="AT69" s="231">
        <f t="shared" si="5"/>
        <v>89882.711099999942</v>
      </c>
      <c r="AU69" s="219">
        <f t="shared" si="6"/>
        <v>0</v>
      </c>
      <c r="AV69" s="232">
        <f t="shared" si="3"/>
        <v>47652.749549999964</v>
      </c>
      <c r="AW69" s="230">
        <f t="shared" si="2"/>
        <v>89882.711099999957</v>
      </c>
      <c r="AY69" s="221"/>
    </row>
    <row r="70" spans="2:51" s="208" customFormat="1" outlineLevel="2" x14ac:dyDescent="0.25">
      <c r="B70" s="209" t="s">
        <v>586</v>
      </c>
      <c r="C70" s="210">
        <v>33</v>
      </c>
      <c r="D70" s="211" t="s">
        <v>745</v>
      </c>
      <c r="E70" s="212" t="s">
        <v>746</v>
      </c>
      <c r="F70" s="213" t="s">
        <v>747</v>
      </c>
      <c r="G70" s="213" t="s">
        <v>748</v>
      </c>
      <c r="H70" s="213" t="s">
        <v>749</v>
      </c>
      <c r="I70" s="213" t="s">
        <v>547</v>
      </c>
      <c r="J70" s="214">
        <v>2075409</v>
      </c>
      <c r="K70" s="215">
        <v>1159750</v>
      </c>
      <c r="L70" s="215"/>
      <c r="M70" s="215"/>
      <c r="N70" s="233"/>
      <c r="O70" s="233"/>
      <c r="P70" s="216"/>
      <c r="Q70" s="216" t="s">
        <v>548</v>
      </c>
      <c r="R70" s="217">
        <v>121648</v>
      </c>
      <c r="S70" s="217">
        <v>117000</v>
      </c>
      <c r="T70" s="217">
        <v>117000</v>
      </c>
      <c r="U70" s="217">
        <v>117000</v>
      </c>
      <c r="V70" s="217">
        <v>117000</v>
      </c>
      <c r="W70" s="217">
        <v>110320</v>
      </c>
      <c r="X70" s="217">
        <v>91212</v>
      </c>
      <c r="Y70" s="217">
        <v>82616</v>
      </c>
      <c r="Z70" s="217">
        <v>82616</v>
      </c>
      <c r="AA70" s="217">
        <v>82616</v>
      </c>
      <c r="AB70" s="217">
        <v>75860</v>
      </c>
      <c r="AC70" s="217">
        <v>36908</v>
      </c>
      <c r="AD70" s="217">
        <v>7954</v>
      </c>
      <c r="AE70" s="217">
        <v>0</v>
      </c>
      <c r="AF70" s="217">
        <v>0</v>
      </c>
      <c r="AG70" s="217">
        <v>0</v>
      </c>
      <c r="AH70" s="217">
        <v>0</v>
      </c>
      <c r="AI70" s="217">
        <v>0</v>
      </c>
      <c r="AJ70" s="217">
        <v>0</v>
      </c>
      <c r="AK70" s="217">
        <v>0</v>
      </c>
      <c r="AL70" s="217">
        <v>0</v>
      </c>
      <c r="AM70" s="217">
        <v>0</v>
      </c>
      <c r="AN70" s="217">
        <v>0</v>
      </c>
      <c r="AO70" s="217">
        <v>0</v>
      </c>
      <c r="AP70" s="217">
        <v>0</v>
      </c>
      <c r="AQ70" s="217">
        <v>0</v>
      </c>
      <c r="AR70" s="217"/>
      <c r="AS70" s="217"/>
      <c r="AT70" s="218">
        <f t="shared" si="5"/>
        <v>1159750</v>
      </c>
      <c r="AU70" s="219">
        <f t="shared" si="6"/>
        <v>0</v>
      </c>
      <c r="AV70" s="220">
        <f t="shared" si="3"/>
        <v>368570</v>
      </c>
      <c r="AW70" s="217">
        <f t="shared" si="2"/>
        <v>1159750</v>
      </c>
      <c r="AY70" s="221"/>
    </row>
    <row r="71" spans="2:51" outlineLevel="2" x14ac:dyDescent="0.25">
      <c r="B71" s="222" t="s">
        <v>586</v>
      </c>
      <c r="C71" s="223"/>
      <c r="D71" s="224" t="s">
        <v>750</v>
      </c>
      <c r="E71" s="225"/>
      <c r="F71" s="226"/>
      <c r="G71" s="226"/>
      <c r="H71" s="226"/>
      <c r="I71" s="226"/>
      <c r="J71" s="227"/>
      <c r="K71" s="228"/>
      <c r="L71" s="227" t="s">
        <v>751</v>
      </c>
      <c r="M71" s="227"/>
      <c r="N71" s="229">
        <f>SUM(O71:P71)</f>
        <v>2.2999999999999998</v>
      </c>
      <c r="O71" s="229">
        <v>2.2999999999999998</v>
      </c>
      <c r="P71" s="229">
        <f>$P$4</f>
        <v>0</v>
      </c>
      <c r="Q71" s="229" t="s">
        <v>551</v>
      </c>
      <c r="R71" s="230">
        <f>SUM(R70:$AQ70)*$N71/100</f>
        <v>26674.25</v>
      </c>
      <c r="S71" s="230">
        <f>SUM(S70:$AQ70)*$N71/100</f>
        <v>23876.345999999998</v>
      </c>
      <c r="T71" s="230">
        <f>SUM(T70:$AQ70)*$N71/100</f>
        <v>21185.345999999998</v>
      </c>
      <c r="U71" s="230">
        <f>SUM(U70:$AQ70)*$N71/100</f>
        <v>18494.345999999998</v>
      </c>
      <c r="V71" s="230">
        <f>SUM(V70:$AQ70)*$N71/100</f>
        <v>15803.345999999998</v>
      </c>
      <c r="W71" s="230">
        <f>SUM(W70:$AQ70)*$N71/100</f>
        <v>13112.345999999998</v>
      </c>
      <c r="X71" s="230">
        <f>SUM(X70:$AQ70)*$N71/100</f>
        <v>10574.985999999999</v>
      </c>
      <c r="Y71" s="230">
        <f>SUM(Y70:$AQ70)*$N71/100</f>
        <v>8477.1099999999988</v>
      </c>
      <c r="Z71" s="230">
        <f>SUM(Z70:$AQ70)*$N71/100</f>
        <v>6576.9419999999991</v>
      </c>
      <c r="AA71" s="230">
        <f>SUM(AA70:$AQ70)*$N71/100</f>
        <v>4676.7739999999994</v>
      </c>
      <c r="AB71" s="230">
        <f>SUM(AB70:$AQ70)*$N71/100</f>
        <v>2776.6059999999998</v>
      </c>
      <c r="AC71" s="230">
        <f>SUM(AC70:$AQ70)*$N71/100</f>
        <v>1031.826</v>
      </c>
      <c r="AD71" s="230">
        <f>SUM(AD70:$AQ70)*$N71/100</f>
        <v>182.94199999999998</v>
      </c>
      <c r="AE71" s="230">
        <v>0</v>
      </c>
      <c r="AF71" s="230">
        <v>0</v>
      </c>
      <c r="AG71" s="230">
        <v>0</v>
      </c>
      <c r="AH71" s="230">
        <v>0</v>
      </c>
      <c r="AI71" s="230">
        <v>0</v>
      </c>
      <c r="AJ71" s="230">
        <v>0</v>
      </c>
      <c r="AK71" s="230">
        <v>0</v>
      </c>
      <c r="AL71" s="230">
        <v>0</v>
      </c>
      <c r="AM71" s="230">
        <v>0</v>
      </c>
      <c r="AN71" s="230">
        <v>0</v>
      </c>
      <c r="AO71" s="230">
        <v>0</v>
      </c>
      <c r="AP71" s="230">
        <v>0</v>
      </c>
      <c r="AQ71" s="230">
        <v>0</v>
      </c>
      <c r="AR71" s="230"/>
      <c r="AS71" s="230"/>
      <c r="AT71" s="231">
        <f t="shared" si="5"/>
        <v>153443.166</v>
      </c>
      <c r="AU71" s="219">
        <f t="shared" si="6"/>
        <v>0</v>
      </c>
      <c r="AV71" s="232">
        <f t="shared" si="3"/>
        <v>23722.199999999997</v>
      </c>
      <c r="AW71" s="230">
        <f t="shared" ref="AW71:AW129" si="7">SUM(R71:X71,AV71)</f>
        <v>153443.16599999997</v>
      </c>
      <c r="AY71" s="221"/>
    </row>
    <row r="72" spans="2:51" s="208" customFormat="1" outlineLevel="2" x14ac:dyDescent="0.25">
      <c r="B72" s="209" t="s">
        <v>586</v>
      </c>
      <c r="C72" s="210">
        <v>34</v>
      </c>
      <c r="D72" s="211" t="s">
        <v>752</v>
      </c>
      <c r="E72" s="212" t="s">
        <v>753</v>
      </c>
      <c r="F72" s="213" t="s">
        <v>754</v>
      </c>
      <c r="G72" s="213" t="s">
        <v>755</v>
      </c>
      <c r="H72" s="213" t="s">
        <v>756</v>
      </c>
      <c r="I72" s="213" t="s">
        <v>547</v>
      </c>
      <c r="J72" s="214">
        <v>617703</v>
      </c>
      <c r="K72" s="215">
        <v>533970</v>
      </c>
      <c r="L72" s="215"/>
      <c r="M72" s="215"/>
      <c r="N72" s="233"/>
      <c r="O72" s="233"/>
      <c r="P72" s="216"/>
      <c r="Q72" s="216" t="s">
        <v>548</v>
      </c>
      <c r="R72" s="217">
        <v>20940</v>
      </c>
      <c r="S72" s="217">
        <v>20940</v>
      </c>
      <c r="T72" s="217">
        <v>20940</v>
      </c>
      <c r="U72" s="217">
        <v>20940</v>
      </c>
      <c r="V72" s="217">
        <v>20940</v>
      </c>
      <c r="W72" s="217">
        <v>20940</v>
      </c>
      <c r="X72" s="217">
        <v>20940</v>
      </c>
      <c r="Y72" s="217">
        <v>20940</v>
      </c>
      <c r="Z72" s="217">
        <v>20940</v>
      </c>
      <c r="AA72" s="217">
        <v>20940</v>
      </c>
      <c r="AB72" s="217">
        <v>20940</v>
      </c>
      <c r="AC72" s="217">
        <v>20940</v>
      </c>
      <c r="AD72" s="217">
        <v>20940</v>
      </c>
      <c r="AE72" s="217">
        <v>20940</v>
      </c>
      <c r="AF72" s="217">
        <v>20940</v>
      </c>
      <c r="AG72" s="217">
        <v>20940</v>
      </c>
      <c r="AH72" s="217">
        <v>20940</v>
      </c>
      <c r="AI72" s="217">
        <v>20940</v>
      </c>
      <c r="AJ72" s="217">
        <v>20940</v>
      </c>
      <c r="AK72" s="217">
        <v>20940</v>
      </c>
      <c r="AL72" s="217">
        <v>20940</v>
      </c>
      <c r="AM72" s="217">
        <v>20940</v>
      </c>
      <c r="AN72" s="217">
        <v>20940</v>
      </c>
      <c r="AO72" s="217">
        <v>20940</v>
      </c>
      <c r="AP72" s="217">
        <v>20940</v>
      </c>
      <c r="AQ72" s="217">
        <v>10470</v>
      </c>
      <c r="AR72" s="217"/>
      <c r="AS72" s="217"/>
      <c r="AT72" s="218">
        <f t="shared" si="5"/>
        <v>533970</v>
      </c>
      <c r="AU72" s="219">
        <f t="shared" si="6"/>
        <v>0</v>
      </c>
      <c r="AV72" s="220">
        <f t="shared" ref="AV72:AV129" si="8">SUM(Y72:AS72)</f>
        <v>387390</v>
      </c>
      <c r="AW72" s="217">
        <f t="shared" si="7"/>
        <v>533970</v>
      </c>
      <c r="AY72" s="221"/>
    </row>
    <row r="73" spans="2:51" outlineLevel="2" x14ac:dyDescent="0.25">
      <c r="B73" s="222" t="s">
        <v>586</v>
      </c>
      <c r="C73" s="223"/>
      <c r="D73" s="224"/>
      <c r="E73" s="225"/>
      <c r="F73" s="226"/>
      <c r="G73" s="226"/>
      <c r="H73" s="226"/>
      <c r="I73" s="226"/>
      <c r="J73" s="227"/>
      <c r="K73" s="228"/>
      <c r="L73" s="227" t="s">
        <v>757</v>
      </c>
      <c r="M73" s="227"/>
      <c r="N73" s="229">
        <f>SUM(O73:P73)</f>
        <v>2.7010000000000001</v>
      </c>
      <c r="O73" s="229">
        <v>2.7010000000000001</v>
      </c>
      <c r="P73" s="229">
        <f>$P$4</f>
        <v>0</v>
      </c>
      <c r="Q73" s="229" t="s">
        <v>551</v>
      </c>
      <c r="R73" s="230">
        <f>SUM(R72:$AQ72)*$N73/100</f>
        <v>14422.529699999999</v>
      </c>
      <c r="S73" s="230">
        <f>SUM(S72:$AQ72)*$N73/100</f>
        <v>13856.9403</v>
      </c>
      <c r="T73" s="230">
        <f>SUM(T72:$AQ72)*$N73/100</f>
        <v>13291.350900000001</v>
      </c>
      <c r="U73" s="230">
        <f>SUM(U72:$AQ72)*$N73/100</f>
        <v>12725.761500000001</v>
      </c>
      <c r="V73" s="230">
        <f>SUM(V72:$AQ72)*$N73/100</f>
        <v>12160.1721</v>
      </c>
      <c r="W73" s="230">
        <f>SUM(W72:$AQ72)*$N73/100</f>
        <v>11594.582700000001</v>
      </c>
      <c r="X73" s="230">
        <f>SUM(X72:$AQ72)*$N73/100</f>
        <v>11028.9933</v>
      </c>
      <c r="Y73" s="230">
        <f>SUM(Y72:$AQ72)*$N73/100</f>
        <v>10463.403899999999</v>
      </c>
      <c r="Z73" s="230">
        <f>SUM(Z72:$AQ72)*$N73/100</f>
        <v>9897.8145000000004</v>
      </c>
      <c r="AA73" s="230">
        <f>SUM(AA72:$AQ72)*$N73/100</f>
        <v>9332.2250999999997</v>
      </c>
      <c r="AB73" s="230">
        <f>SUM(AB72:$AQ72)*$N73/100</f>
        <v>8766.6357000000007</v>
      </c>
      <c r="AC73" s="230">
        <f>SUM(AC72:$AQ72)*$N73/100</f>
        <v>8201.0463</v>
      </c>
      <c r="AD73" s="230">
        <f>SUM(AD72:$AQ72)*$N73/100</f>
        <v>7635.456900000001</v>
      </c>
      <c r="AE73" s="230">
        <f>SUM(AE72:$AQ72)*$N73/100</f>
        <v>7069.8675000000003</v>
      </c>
      <c r="AF73" s="230">
        <f>SUM(AF72:$AQ72)*$N73/100</f>
        <v>6504.2781000000004</v>
      </c>
      <c r="AG73" s="230">
        <f>SUM(AG72:$AQ72)*$N73/100</f>
        <v>5938.6886999999997</v>
      </c>
      <c r="AH73" s="230">
        <f>SUM(AH72:$AQ72)*$N73/100</f>
        <v>5373.0993000000008</v>
      </c>
      <c r="AI73" s="230">
        <f>SUM(AI72:$AQ72)*$N73/100</f>
        <v>4807.5099</v>
      </c>
      <c r="AJ73" s="230">
        <f>SUM(AJ72:$AQ72)*$N73/100</f>
        <v>4241.9205000000002</v>
      </c>
      <c r="AK73" s="230">
        <f>SUM(AK72:$AQ72)*$N73/100</f>
        <v>3676.3310999999999</v>
      </c>
      <c r="AL73" s="230">
        <f>SUM(AL72:$AQ72)*$N73/100</f>
        <v>3110.7417</v>
      </c>
      <c r="AM73" s="230">
        <f>SUM(AM72:$AQ72)*$N73/100</f>
        <v>2545.1523000000002</v>
      </c>
      <c r="AN73" s="230">
        <f>SUM(AN72:$AQ72)*$N73/100</f>
        <v>1979.5629000000001</v>
      </c>
      <c r="AO73" s="230">
        <f>SUM(AO72:$AQ72)*$N73/100</f>
        <v>1413.9735000000001</v>
      </c>
      <c r="AP73" s="230">
        <f>SUM(AP72:$AQ72)*$N73/100</f>
        <v>848.38409999999999</v>
      </c>
      <c r="AQ73" s="230">
        <f>SUM(AQ72:$AQ72)*$N73/100</f>
        <v>282.79470000000003</v>
      </c>
      <c r="AR73" s="230"/>
      <c r="AS73" s="230"/>
      <c r="AT73" s="231">
        <f t="shared" si="5"/>
        <v>191169.21719999998</v>
      </c>
      <c r="AU73" s="219">
        <f t="shared" si="6"/>
        <v>0</v>
      </c>
      <c r="AV73" s="232">
        <f t="shared" si="8"/>
        <v>102088.8867</v>
      </c>
      <c r="AW73" s="230">
        <f t="shared" si="7"/>
        <v>191169.21720000001</v>
      </c>
      <c r="AY73" s="221"/>
    </row>
    <row r="74" spans="2:51" s="208" customFormat="1" outlineLevel="2" x14ac:dyDescent="0.25">
      <c r="B74" s="209" t="s">
        <v>586</v>
      </c>
      <c r="C74" s="210">
        <v>35</v>
      </c>
      <c r="D74" s="211" t="s">
        <v>758</v>
      </c>
      <c r="E74" s="212" t="s">
        <v>759</v>
      </c>
      <c r="F74" s="213" t="s">
        <v>760</v>
      </c>
      <c r="G74" s="213" t="s">
        <v>761</v>
      </c>
      <c r="H74" s="213" t="s">
        <v>762</v>
      </c>
      <c r="I74" s="213" t="s">
        <v>547</v>
      </c>
      <c r="J74" s="214">
        <v>131926.07</v>
      </c>
      <c r="K74" s="215">
        <v>104865.07</v>
      </c>
      <c r="L74" s="215"/>
      <c r="M74" s="215"/>
      <c r="N74" s="233"/>
      <c r="O74" s="233"/>
      <c r="P74" s="216"/>
      <c r="Q74" s="216" t="s">
        <v>548</v>
      </c>
      <c r="R74" s="217">
        <v>6772</v>
      </c>
      <c r="S74" s="217">
        <v>6772</v>
      </c>
      <c r="T74" s="217">
        <v>6772</v>
      </c>
      <c r="U74" s="217">
        <v>6772</v>
      </c>
      <c r="V74" s="217">
        <v>6772</v>
      </c>
      <c r="W74" s="217">
        <v>6772</v>
      </c>
      <c r="X74" s="217">
        <v>6772</v>
      </c>
      <c r="Y74" s="217">
        <v>6772</v>
      </c>
      <c r="Z74" s="217">
        <v>6772</v>
      </c>
      <c r="AA74" s="217">
        <v>6772</v>
      </c>
      <c r="AB74" s="217">
        <v>6772</v>
      </c>
      <c r="AC74" s="217">
        <v>6772</v>
      </c>
      <c r="AD74" s="217">
        <v>6772</v>
      </c>
      <c r="AE74" s="217">
        <v>6772</v>
      </c>
      <c r="AF74" s="217">
        <v>6772</v>
      </c>
      <c r="AG74" s="217">
        <v>3285.0699999999997</v>
      </c>
      <c r="AH74" s="217">
        <v>0</v>
      </c>
      <c r="AI74" s="217">
        <v>0</v>
      </c>
      <c r="AJ74" s="217">
        <v>0</v>
      </c>
      <c r="AK74" s="217">
        <v>0</v>
      </c>
      <c r="AL74" s="217">
        <v>0</v>
      </c>
      <c r="AM74" s="217">
        <v>0</v>
      </c>
      <c r="AN74" s="217">
        <v>0</v>
      </c>
      <c r="AO74" s="217">
        <v>0</v>
      </c>
      <c r="AP74" s="217">
        <v>0</v>
      </c>
      <c r="AQ74" s="217">
        <v>0</v>
      </c>
      <c r="AR74" s="217"/>
      <c r="AS74" s="217"/>
      <c r="AT74" s="218">
        <f t="shared" si="5"/>
        <v>104865.07</v>
      </c>
      <c r="AU74" s="219">
        <f t="shared" si="6"/>
        <v>0</v>
      </c>
      <c r="AV74" s="220">
        <f t="shared" si="8"/>
        <v>57461.07</v>
      </c>
      <c r="AW74" s="217">
        <f t="shared" si="7"/>
        <v>104865.07</v>
      </c>
      <c r="AY74" s="221"/>
    </row>
    <row r="75" spans="2:51" outlineLevel="2" x14ac:dyDescent="0.25">
      <c r="B75" s="222" t="s">
        <v>586</v>
      </c>
      <c r="C75" s="223"/>
      <c r="D75" s="224"/>
      <c r="E75" s="225"/>
      <c r="F75" s="226"/>
      <c r="G75" s="226"/>
      <c r="H75" s="226"/>
      <c r="I75" s="226"/>
      <c r="J75" s="227"/>
      <c r="K75" s="228"/>
      <c r="L75" s="227" t="s">
        <v>763</v>
      </c>
      <c r="M75" s="227"/>
      <c r="N75" s="229">
        <f>SUM(O75:P75)</f>
        <v>2.5369999999999999</v>
      </c>
      <c r="O75" s="229">
        <v>2.5369999999999999</v>
      </c>
      <c r="P75" s="229">
        <f>$P$4</f>
        <v>0</v>
      </c>
      <c r="Q75" s="229" t="s">
        <v>551</v>
      </c>
      <c r="R75" s="230">
        <f>SUM(R74:$AQ74)*$N75/100</f>
        <v>2660.4268259</v>
      </c>
      <c r="S75" s="230">
        <f>SUM(S74:$AQ74)*$N75/100</f>
        <v>2488.6211859</v>
      </c>
      <c r="T75" s="230">
        <f>SUM(T74:$AQ74)*$N75/100</f>
        <v>2316.8155459</v>
      </c>
      <c r="U75" s="230">
        <f>SUM(U74:$AQ74)*$N75/100</f>
        <v>2145.0099058999999</v>
      </c>
      <c r="V75" s="230">
        <f>SUM(V74:$AQ74)*$N75/100</f>
        <v>1973.2042659000001</v>
      </c>
      <c r="W75" s="230">
        <f>SUM(W74:$AQ74)*$N75/100</f>
        <v>1801.3986259000001</v>
      </c>
      <c r="X75" s="230">
        <f>SUM(X74:$AQ74)*$N75/100</f>
        <v>1629.5929858999998</v>
      </c>
      <c r="Y75" s="230">
        <f>SUM(Y74:$AQ74)*$N75/100</f>
        <v>1457.7873459</v>
      </c>
      <c r="Z75" s="230">
        <f>SUM(Z74:$AQ74)*$N75/100</f>
        <v>1285.9817059</v>
      </c>
      <c r="AA75" s="230">
        <f>SUM(AA74:$AQ74)*$N75/100</f>
        <v>1114.1760658999999</v>
      </c>
      <c r="AB75" s="230">
        <f>SUM(AB74:$AQ74)*$N75/100</f>
        <v>942.37042589999999</v>
      </c>
      <c r="AC75" s="230">
        <f>SUM(AC74:$AQ74)*$N75/100</f>
        <v>770.56478589999995</v>
      </c>
      <c r="AD75" s="230">
        <f>SUM(AD74:$AQ74)*$N75/100</f>
        <v>598.75914590000002</v>
      </c>
      <c r="AE75" s="230">
        <f>SUM(AE74:$AQ74)*$N75/100</f>
        <v>426.95350589999993</v>
      </c>
      <c r="AF75" s="230">
        <f>SUM(AF74:$AQ74)*$N75/100</f>
        <v>255.1478659</v>
      </c>
      <c r="AG75" s="230">
        <f>SUM(AG74:$AQ74)*$N75/100</f>
        <v>83.342225899999988</v>
      </c>
      <c r="AH75" s="230">
        <v>0</v>
      </c>
      <c r="AI75" s="230">
        <v>0</v>
      </c>
      <c r="AJ75" s="230">
        <v>0</v>
      </c>
      <c r="AK75" s="230">
        <v>0</v>
      </c>
      <c r="AL75" s="230">
        <v>0</v>
      </c>
      <c r="AM75" s="230">
        <v>0</v>
      </c>
      <c r="AN75" s="230">
        <v>0</v>
      </c>
      <c r="AO75" s="230">
        <v>0</v>
      </c>
      <c r="AP75" s="230">
        <v>0</v>
      </c>
      <c r="AQ75" s="230">
        <v>0</v>
      </c>
      <c r="AR75" s="230"/>
      <c r="AS75" s="230"/>
      <c r="AT75" s="231">
        <f t="shared" si="5"/>
        <v>21950.152414399996</v>
      </c>
      <c r="AU75" s="219">
        <f t="shared" si="6"/>
        <v>0</v>
      </c>
      <c r="AV75" s="232">
        <f t="shared" si="8"/>
        <v>6935.0830730999996</v>
      </c>
      <c r="AW75" s="230">
        <f t="shared" si="7"/>
        <v>21950.152414399996</v>
      </c>
      <c r="AY75" s="221"/>
    </row>
    <row r="76" spans="2:51" s="208" customFormat="1" outlineLevel="2" collapsed="1" x14ac:dyDescent="0.25">
      <c r="B76" s="209" t="s">
        <v>586</v>
      </c>
      <c r="C76" s="210">
        <v>36</v>
      </c>
      <c r="D76" s="211" t="s">
        <v>764</v>
      </c>
      <c r="E76" s="212" t="s">
        <v>765</v>
      </c>
      <c r="F76" s="213" t="s">
        <v>766</v>
      </c>
      <c r="G76" s="213" t="s">
        <v>761</v>
      </c>
      <c r="H76" s="213" t="s">
        <v>762</v>
      </c>
      <c r="I76" s="213" t="s">
        <v>547</v>
      </c>
      <c r="J76" s="214">
        <v>145332</v>
      </c>
      <c r="K76" s="215">
        <v>115568</v>
      </c>
      <c r="L76" s="215"/>
      <c r="M76" s="215"/>
      <c r="N76" s="233"/>
      <c r="O76" s="233"/>
      <c r="P76" s="216"/>
      <c r="Q76" s="216" t="s">
        <v>548</v>
      </c>
      <c r="R76" s="217">
        <v>7456</v>
      </c>
      <c r="S76" s="217">
        <v>7456</v>
      </c>
      <c r="T76" s="217">
        <v>7456</v>
      </c>
      <c r="U76" s="217">
        <v>7456</v>
      </c>
      <c r="V76" s="217">
        <v>7456</v>
      </c>
      <c r="W76" s="217">
        <v>7456</v>
      </c>
      <c r="X76" s="217">
        <v>7456</v>
      </c>
      <c r="Y76" s="217">
        <v>7456</v>
      </c>
      <c r="Z76" s="217">
        <v>7456</v>
      </c>
      <c r="AA76" s="217">
        <v>7456</v>
      </c>
      <c r="AB76" s="217">
        <v>7456</v>
      </c>
      <c r="AC76" s="217">
        <v>7456</v>
      </c>
      <c r="AD76" s="217">
        <v>7456</v>
      </c>
      <c r="AE76" s="217">
        <v>7456</v>
      </c>
      <c r="AF76" s="217">
        <v>7456</v>
      </c>
      <c r="AG76" s="217">
        <v>3728</v>
      </c>
      <c r="AH76" s="217">
        <v>0</v>
      </c>
      <c r="AI76" s="217">
        <v>0</v>
      </c>
      <c r="AJ76" s="217">
        <v>0</v>
      </c>
      <c r="AK76" s="217">
        <v>0</v>
      </c>
      <c r="AL76" s="217">
        <v>0</v>
      </c>
      <c r="AM76" s="217">
        <v>0</v>
      </c>
      <c r="AN76" s="217">
        <v>0</v>
      </c>
      <c r="AO76" s="217">
        <v>0</v>
      </c>
      <c r="AP76" s="217">
        <v>0</v>
      </c>
      <c r="AQ76" s="217">
        <v>0</v>
      </c>
      <c r="AR76" s="217"/>
      <c r="AS76" s="217"/>
      <c r="AT76" s="218">
        <f t="shared" si="5"/>
        <v>115568</v>
      </c>
      <c r="AU76" s="219">
        <f t="shared" si="6"/>
        <v>0</v>
      </c>
      <c r="AV76" s="220">
        <f t="shared" si="8"/>
        <v>63376</v>
      </c>
      <c r="AW76" s="217">
        <f t="shared" si="7"/>
        <v>115568</v>
      </c>
      <c r="AY76" s="221"/>
    </row>
    <row r="77" spans="2:51" outlineLevel="2" x14ac:dyDescent="0.25">
      <c r="B77" s="222" t="s">
        <v>586</v>
      </c>
      <c r="C77" s="223"/>
      <c r="D77" s="224" t="s">
        <v>767</v>
      </c>
      <c r="E77" s="225"/>
      <c r="F77" s="226"/>
      <c r="G77" s="226"/>
      <c r="H77" s="226"/>
      <c r="I77" s="226"/>
      <c r="J77" s="227"/>
      <c r="K77" s="228"/>
      <c r="L77" s="227" t="s">
        <v>763</v>
      </c>
      <c r="M77" s="227"/>
      <c r="N77" s="229">
        <f>SUM(O77:P77)</f>
        <v>2.5369999999999999</v>
      </c>
      <c r="O77" s="229">
        <v>2.5369999999999999</v>
      </c>
      <c r="P77" s="229">
        <f>$P$4</f>
        <v>0</v>
      </c>
      <c r="Q77" s="229" t="s">
        <v>551</v>
      </c>
      <c r="R77" s="230">
        <f>SUM(R76:$AQ76)*$N77/100</f>
        <v>2931.9601600000001</v>
      </c>
      <c r="S77" s="230">
        <f>SUM(S76:$AQ76)*$N77/100</f>
        <v>2742.8014399999997</v>
      </c>
      <c r="T77" s="230">
        <f>SUM(T76:$AQ76)*$N77/100</f>
        <v>2553.6427199999998</v>
      </c>
      <c r="U77" s="230">
        <f>SUM(U76:$AQ76)*$N77/100</f>
        <v>2364.4839999999999</v>
      </c>
      <c r="V77" s="230">
        <f>SUM(V76:$AQ76)*$N77/100</f>
        <v>2175.32528</v>
      </c>
      <c r="W77" s="230">
        <f>SUM(W76:$AQ76)*$N77/100</f>
        <v>1986.1665599999999</v>
      </c>
      <c r="X77" s="230">
        <f>SUM(X76:$AQ76)*$N77/100</f>
        <v>1797.0078399999998</v>
      </c>
      <c r="Y77" s="230">
        <f>SUM(Y76:$AQ76)*$N77/100</f>
        <v>1607.8491199999999</v>
      </c>
      <c r="Z77" s="230">
        <f>SUM(Z76:$AQ76)*$N77/100</f>
        <v>1418.6904000000002</v>
      </c>
      <c r="AA77" s="230">
        <f>SUM(AA76:$AQ76)*$N77/100</f>
        <v>1229.5316799999998</v>
      </c>
      <c r="AB77" s="230">
        <f>SUM(AB76:$AQ76)*$N77/100</f>
        <v>1040.3729599999999</v>
      </c>
      <c r="AC77" s="230">
        <f>SUM(AC76:$AQ76)*$N77/100</f>
        <v>851.21424000000002</v>
      </c>
      <c r="AD77" s="230">
        <f>SUM(AD76:$AQ76)*$N77/100</f>
        <v>662.05552</v>
      </c>
      <c r="AE77" s="230">
        <f>SUM(AE76:$AQ76)*$N77/100</f>
        <v>472.89679999999998</v>
      </c>
      <c r="AF77" s="230">
        <f>SUM(AF76:$AQ76)*$N77/100</f>
        <v>283.73808000000002</v>
      </c>
      <c r="AG77" s="230">
        <f>SUM(AG76:$AQ76)*$N77/100</f>
        <v>94.579359999999994</v>
      </c>
      <c r="AH77" s="230">
        <v>0</v>
      </c>
      <c r="AI77" s="230">
        <v>0</v>
      </c>
      <c r="AJ77" s="230">
        <v>0</v>
      </c>
      <c r="AK77" s="230">
        <v>0</v>
      </c>
      <c r="AL77" s="230">
        <v>0</v>
      </c>
      <c r="AM77" s="230">
        <v>0</v>
      </c>
      <c r="AN77" s="230">
        <v>0</v>
      </c>
      <c r="AO77" s="230">
        <v>0</v>
      </c>
      <c r="AP77" s="230">
        <v>0</v>
      </c>
      <c r="AQ77" s="230">
        <v>0</v>
      </c>
      <c r="AR77" s="230"/>
      <c r="AS77" s="230"/>
      <c r="AT77" s="231">
        <f t="shared" si="5"/>
        <v>24212.316159999998</v>
      </c>
      <c r="AU77" s="219">
        <f t="shared" si="6"/>
        <v>0</v>
      </c>
      <c r="AV77" s="232">
        <f t="shared" si="8"/>
        <v>7660.9281600000004</v>
      </c>
      <c r="AW77" s="230">
        <f t="shared" si="7"/>
        <v>24212.316159999998</v>
      </c>
      <c r="AY77" s="221"/>
    </row>
    <row r="78" spans="2:51" s="208" customFormat="1" outlineLevel="2" x14ac:dyDescent="0.25">
      <c r="B78" s="209" t="s">
        <v>541</v>
      </c>
      <c r="C78" s="210">
        <v>37</v>
      </c>
      <c r="D78" s="211" t="s">
        <v>768</v>
      </c>
      <c r="E78" s="212" t="s">
        <v>769</v>
      </c>
      <c r="F78" s="213" t="s">
        <v>770</v>
      </c>
      <c r="G78" s="213" t="s">
        <v>771</v>
      </c>
      <c r="H78" s="213" t="s">
        <v>772</v>
      </c>
      <c r="I78" s="213" t="s">
        <v>547</v>
      </c>
      <c r="J78" s="214">
        <v>141294</v>
      </c>
      <c r="K78" s="215">
        <v>22311</v>
      </c>
      <c r="L78" s="215"/>
      <c r="M78" s="215"/>
      <c r="N78" s="233"/>
      <c r="O78" s="233"/>
      <c r="P78" s="216"/>
      <c r="Q78" s="216" t="s">
        <v>548</v>
      </c>
      <c r="R78" s="217">
        <v>22311</v>
      </c>
      <c r="S78" s="217">
        <v>0</v>
      </c>
      <c r="T78" s="217">
        <v>0</v>
      </c>
      <c r="U78" s="217">
        <v>0</v>
      </c>
      <c r="V78" s="217">
        <v>0</v>
      </c>
      <c r="W78" s="217">
        <v>0</v>
      </c>
      <c r="X78" s="217">
        <v>0</v>
      </c>
      <c r="Y78" s="217">
        <v>0</v>
      </c>
      <c r="Z78" s="217">
        <v>0</v>
      </c>
      <c r="AA78" s="217">
        <v>0</v>
      </c>
      <c r="AB78" s="217">
        <v>0</v>
      </c>
      <c r="AC78" s="217">
        <v>0</v>
      </c>
      <c r="AD78" s="217">
        <v>0</v>
      </c>
      <c r="AE78" s="217">
        <v>0</v>
      </c>
      <c r="AF78" s="217">
        <v>0</v>
      </c>
      <c r="AG78" s="217">
        <v>0</v>
      </c>
      <c r="AH78" s="217">
        <v>0</v>
      </c>
      <c r="AI78" s="217">
        <v>0</v>
      </c>
      <c r="AJ78" s="217">
        <v>0</v>
      </c>
      <c r="AK78" s="217">
        <v>0</v>
      </c>
      <c r="AL78" s="217">
        <v>0</v>
      </c>
      <c r="AM78" s="217">
        <v>0</v>
      </c>
      <c r="AN78" s="217">
        <v>0</v>
      </c>
      <c r="AO78" s="217">
        <v>0</v>
      </c>
      <c r="AP78" s="217">
        <v>0</v>
      </c>
      <c r="AQ78" s="217">
        <v>0</v>
      </c>
      <c r="AR78" s="217"/>
      <c r="AS78" s="217"/>
      <c r="AT78" s="218">
        <f t="shared" si="5"/>
        <v>22311</v>
      </c>
      <c r="AU78" s="219">
        <f t="shared" si="6"/>
        <v>0</v>
      </c>
      <c r="AV78" s="220">
        <f t="shared" si="8"/>
        <v>0</v>
      </c>
      <c r="AW78" s="217">
        <f t="shared" si="7"/>
        <v>22311</v>
      </c>
      <c r="AY78" s="221"/>
    </row>
    <row r="79" spans="2:51" outlineLevel="2" x14ac:dyDescent="0.25">
      <c r="B79" s="222" t="s">
        <v>541</v>
      </c>
      <c r="C79" s="223"/>
      <c r="D79" s="224"/>
      <c r="E79" s="225"/>
      <c r="F79" s="226"/>
      <c r="G79" s="226"/>
      <c r="H79" s="226"/>
      <c r="I79" s="226"/>
      <c r="J79" s="227"/>
      <c r="K79" s="228"/>
      <c r="L79" s="227">
        <v>0</v>
      </c>
      <c r="M79" s="227" t="s">
        <v>731</v>
      </c>
      <c r="N79" s="229">
        <f>SUM(O79:P79)</f>
        <v>0.25</v>
      </c>
      <c r="O79" s="229">
        <v>0.25</v>
      </c>
      <c r="P79" s="229">
        <f>$P$4</f>
        <v>0</v>
      </c>
      <c r="Q79" s="229" t="s">
        <v>551</v>
      </c>
      <c r="R79" s="230">
        <f>SUM(R78:$AQ78)*$N79/100</f>
        <v>55.777500000000003</v>
      </c>
      <c r="S79" s="230">
        <v>0</v>
      </c>
      <c r="T79" s="230">
        <v>0</v>
      </c>
      <c r="U79" s="230">
        <v>0</v>
      </c>
      <c r="V79" s="230">
        <v>0</v>
      </c>
      <c r="W79" s="230">
        <v>0</v>
      </c>
      <c r="X79" s="230">
        <v>0</v>
      </c>
      <c r="Y79" s="230">
        <v>0</v>
      </c>
      <c r="Z79" s="230">
        <v>0</v>
      </c>
      <c r="AA79" s="230">
        <v>0</v>
      </c>
      <c r="AB79" s="230">
        <v>0</v>
      </c>
      <c r="AC79" s="230">
        <v>0</v>
      </c>
      <c r="AD79" s="230">
        <v>0</v>
      </c>
      <c r="AE79" s="230">
        <v>0</v>
      </c>
      <c r="AF79" s="230">
        <v>0</v>
      </c>
      <c r="AG79" s="230">
        <v>0</v>
      </c>
      <c r="AH79" s="230">
        <v>0</v>
      </c>
      <c r="AI79" s="230">
        <v>0</v>
      </c>
      <c r="AJ79" s="230">
        <v>0</v>
      </c>
      <c r="AK79" s="230">
        <v>0</v>
      </c>
      <c r="AL79" s="230">
        <v>0</v>
      </c>
      <c r="AM79" s="230">
        <v>0</v>
      </c>
      <c r="AN79" s="230">
        <v>0</v>
      </c>
      <c r="AO79" s="230">
        <v>0</v>
      </c>
      <c r="AP79" s="230">
        <v>0</v>
      </c>
      <c r="AQ79" s="230">
        <v>0</v>
      </c>
      <c r="AR79" s="230"/>
      <c r="AS79" s="230"/>
      <c r="AT79" s="231">
        <f t="shared" si="5"/>
        <v>55.777500000000003</v>
      </c>
      <c r="AU79" s="219">
        <f t="shared" si="6"/>
        <v>0</v>
      </c>
      <c r="AV79" s="232">
        <f t="shared" si="8"/>
        <v>0</v>
      </c>
      <c r="AW79" s="230">
        <f t="shared" si="7"/>
        <v>55.777500000000003</v>
      </c>
      <c r="AY79" s="221"/>
    </row>
    <row r="80" spans="2:51" s="208" customFormat="1" outlineLevel="2" x14ac:dyDescent="0.25">
      <c r="B80" s="209" t="s">
        <v>541</v>
      </c>
      <c r="C80" s="210">
        <v>38</v>
      </c>
      <c r="D80" s="211" t="s">
        <v>773</v>
      </c>
      <c r="E80" s="212" t="s">
        <v>774</v>
      </c>
      <c r="F80" s="213" t="s">
        <v>775</v>
      </c>
      <c r="G80" s="213" t="s">
        <v>776</v>
      </c>
      <c r="H80" s="213" t="s">
        <v>777</v>
      </c>
      <c r="I80" s="213" t="s">
        <v>547</v>
      </c>
      <c r="J80" s="214">
        <v>186392</v>
      </c>
      <c r="K80" s="215">
        <v>23512.46</v>
      </c>
      <c r="L80" s="215"/>
      <c r="M80" s="215"/>
      <c r="N80" s="233"/>
      <c r="O80" s="233"/>
      <c r="P80" s="216"/>
      <c r="Q80" s="216" t="s">
        <v>548</v>
      </c>
      <c r="R80" s="217">
        <v>8240</v>
      </c>
      <c r="S80" s="217">
        <v>8240</v>
      </c>
      <c r="T80" s="217">
        <f>8240-1208</f>
        <v>7032</v>
      </c>
      <c r="U80" s="217"/>
      <c r="V80" s="217"/>
      <c r="W80" s="217"/>
      <c r="X80" s="217"/>
      <c r="Y80" s="217"/>
      <c r="Z80" s="217"/>
      <c r="AA80" s="217"/>
      <c r="AB80" s="217"/>
      <c r="AC80" s="217"/>
      <c r="AD80" s="217"/>
      <c r="AE80" s="217"/>
      <c r="AF80" s="217"/>
      <c r="AG80" s="217">
        <v>0</v>
      </c>
      <c r="AH80" s="217">
        <v>0</v>
      </c>
      <c r="AI80" s="217">
        <v>0</v>
      </c>
      <c r="AJ80" s="217">
        <v>0</v>
      </c>
      <c r="AK80" s="217">
        <v>0</v>
      </c>
      <c r="AL80" s="217">
        <v>0</v>
      </c>
      <c r="AM80" s="217">
        <v>0</v>
      </c>
      <c r="AN80" s="217">
        <v>0</v>
      </c>
      <c r="AO80" s="217">
        <v>0</v>
      </c>
      <c r="AP80" s="217">
        <v>0</v>
      </c>
      <c r="AQ80" s="217">
        <v>0</v>
      </c>
      <c r="AR80" s="217"/>
      <c r="AS80" s="217"/>
      <c r="AT80" s="218">
        <f t="shared" si="5"/>
        <v>23512</v>
      </c>
      <c r="AU80" s="219">
        <f t="shared" si="6"/>
        <v>0</v>
      </c>
      <c r="AV80" s="220">
        <f t="shared" si="8"/>
        <v>0</v>
      </c>
      <c r="AW80" s="217">
        <f t="shared" si="7"/>
        <v>23512</v>
      </c>
      <c r="AY80" s="221"/>
    </row>
    <row r="81" spans="2:51" outlineLevel="2" x14ac:dyDescent="0.25">
      <c r="B81" s="222" t="s">
        <v>541</v>
      </c>
      <c r="C81" s="223"/>
      <c r="D81" s="224" t="s">
        <v>778</v>
      </c>
      <c r="E81" s="225"/>
      <c r="F81" s="226"/>
      <c r="G81" s="226"/>
      <c r="H81" s="226"/>
      <c r="I81" s="226"/>
      <c r="J81" s="227"/>
      <c r="K81" s="228"/>
      <c r="L81" s="227" t="s">
        <v>779</v>
      </c>
      <c r="M81" s="227"/>
      <c r="N81" s="229">
        <f>SUM(O81:P81)</f>
        <v>2.831</v>
      </c>
      <c r="O81" s="229">
        <v>2.831</v>
      </c>
      <c r="P81" s="229">
        <f>$P$4</f>
        <v>0</v>
      </c>
      <c r="Q81" s="229" t="s">
        <v>551</v>
      </c>
      <c r="R81" s="230">
        <f>SUM(R80:$AQ80)*$N81/100</f>
        <v>665.62471999999991</v>
      </c>
      <c r="S81" s="230">
        <f>SUM(S80:$AQ80)*$N81/100</f>
        <v>432.35032000000001</v>
      </c>
      <c r="T81" s="230">
        <f>SUM(T80:$AQ80)*$N81/100</f>
        <v>199.07592</v>
      </c>
      <c r="U81" s="230">
        <f>SUM(U80:$AQ80)*$N81/100</f>
        <v>0</v>
      </c>
      <c r="V81" s="230">
        <f>SUM(V80:$AQ80)*$N81/100</f>
        <v>0</v>
      </c>
      <c r="W81" s="230">
        <f>SUM(W80:$AQ80)*$N81/100</f>
        <v>0</v>
      </c>
      <c r="X81" s="230">
        <f>SUM(X80:$AQ80)*$N81/100</f>
        <v>0</v>
      </c>
      <c r="Y81" s="230">
        <f>SUM(Y80:$AQ80)*$N81/100</f>
        <v>0</v>
      </c>
      <c r="Z81" s="230">
        <f>SUM(Z80:$AQ80)*$N81/100</f>
        <v>0</v>
      </c>
      <c r="AA81" s="230">
        <f>SUM(AA80:$AQ80)*$N81/100</f>
        <v>0</v>
      </c>
      <c r="AB81" s="230">
        <f>SUM(AB80:$AQ80)*$N81/100</f>
        <v>0</v>
      </c>
      <c r="AC81" s="230">
        <f>SUM(AC80:$AQ80)*$N81/100</f>
        <v>0</v>
      </c>
      <c r="AD81" s="230">
        <f>SUM(AD80:$AQ80)*$N81/100</f>
        <v>0</v>
      </c>
      <c r="AE81" s="230">
        <f>SUM(AE80:$AQ80)*$N81/100</f>
        <v>0</v>
      </c>
      <c r="AF81" s="230">
        <f>SUM(AF80:$AQ80)*$N81/100</f>
        <v>0</v>
      </c>
      <c r="AG81" s="230">
        <v>0</v>
      </c>
      <c r="AH81" s="230">
        <v>0</v>
      </c>
      <c r="AI81" s="230">
        <v>0</v>
      </c>
      <c r="AJ81" s="230">
        <v>0</v>
      </c>
      <c r="AK81" s="230">
        <v>0</v>
      </c>
      <c r="AL81" s="230">
        <v>0</v>
      </c>
      <c r="AM81" s="230">
        <v>0</v>
      </c>
      <c r="AN81" s="230">
        <v>0</v>
      </c>
      <c r="AO81" s="230">
        <v>0</v>
      </c>
      <c r="AP81" s="230">
        <v>0</v>
      </c>
      <c r="AQ81" s="230">
        <v>0</v>
      </c>
      <c r="AR81" s="230"/>
      <c r="AS81" s="230"/>
      <c r="AT81" s="231">
        <f t="shared" si="5"/>
        <v>1297.0509599999998</v>
      </c>
      <c r="AU81" s="219">
        <f t="shared" si="6"/>
        <v>0</v>
      </c>
      <c r="AV81" s="232">
        <f t="shared" si="8"/>
        <v>0</v>
      </c>
      <c r="AW81" s="230">
        <f t="shared" si="7"/>
        <v>1297.0509599999998</v>
      </c>
      <c r="AY81" s="221"/>
    </row>
    <row r="82" spans="2:51" s="208" customFormat="1" outlineLevel="2" x14ac:dyDescent="0.25">
      <c r="B82" s="209" t="s">
        <v>541</v>
      </c>
      <c r="C82" s="210">
        <v>39</v>
      </c>
      <c r="D82" s="211" t="s">
        <v>780</v>
      </c>
      <c r="E82" s="212" t="s">
        <v>781</v>
      </c>
      <c r="F82" s="213" t="s">
        <v>782</v>
      </c>
      <c r="G82" s="213" t="s">
        <v>776</v>
      </c>
      <c r="H82" s="213" t="s">
        <v>783</v>
      </c>
      <c r="I82" s="213" t="s">
        <v>547</v>
      </c>
      <c r="J82" s="214">
        <v>697002</v>
      </c>
      <c r="K82" s="215">
        <v>440232</v>
      </c>
      <c r="L82" s="215"/>
      <c r="M82" s="215"/>
      <c r="N82" s="233"/>
      <c r="O82" s="233"/>
      <c r="P82" s="216"/>
      <c r="Q82" s="216" t="s">
        <v>548</v>
      </c>
      <c r="R82" s="217">
        <v>73372</v>
      </c>
      <c r="S82" s="217">
        <v>73372</v>
      </c>
      <c r="T82" s="217">
        <v>73372</v>
      </c>
      <c r="U82" s="217">
        <v>73372</v>
      </c>
      <c r="V82" s="217">
        <v>73372</v>
      </c>
      <c r="W82" s="217">
        <v>73372</v>
      </c>
      <c r="X82" s="217">
        <v>0</v>
      </c>
      <c r="Y82" s="217">
        <v>0</v>
      </c>
      <c r="Z82" s="217">
        <v>0</v>
      </c>
      <c r="AA82" s="217">
        <v>0</v>
      </c>
      <c r="AB82" s="217">
        <v>0</v>
      </c>
      <c r="AC82" s="217">
        <v>0</v>
      </c>
      <c r="AD82" s="217">
        <v>0</v>
      </c>
      <c r="AE82" s="217">
        <v>0</v>
      </c>
      <c r="AF82" s="217">
        <v>0</v>
      </c>
      <c r="AG82" s="217">
        <v>0</v>
      </c>
      <c r="AH82" s="217">
        <v>0</v>
      </c>
      <c r="AI82" s="217">
        <v>0</v>
      </c>
      <c r="AJ82" s="217">
        <v>0</v>
      </c>
      <c r="AK82" s="217">
        <v>0</v>
      </c>
      <c r="AL82" s="217">
        <v>0</v>
      </c>
      <c r="AM82" s="217">
        <v>0</v>
      </c>
      <c r="AN82" s="217">
        <v>0</v>
      </c>
      <c r="AO82" s="217">
        <v>0</v>
      </c>
      <c r="AP82" s="217">
        <v>0</v>
      </c>
      <c r="AQ82" s="217">
        <v>0</v>
      </c>
      <c r="AR82" s="217"/>
      <c r="AS82" s="217"/>
      <c r="AT82" s="218">
        <f t="shared" si="5"/>
        <v>440232</v>
      </c>
      <c r="AU82" s="219">
        <f t="shared" si="6"/>
        <v>0</v>
      </c>
      <c r="AV82" s="220">
        <f t="shared" si="8"/>
        <v>0</v>
      </c>
      <c r="AW82" s="217">
        <f t="shared" si="7"/>
        <v>440232</v>
      </c>
      <c r="AY82" s="221"/>
    </row>
    <row r="83" spans="2:51" outlineLevel="2" x14ac:dyDescent="0.25">
      <c r="B83" s="222" t="s">
        <v>541</v>
      </c>
      <c r="C83" s="223"/>
      <c r="D83" s="224"/>
      <c r="E83" s="225"/>
      <c r="F83" s="226"/>
      <c r="G83" s="226"/>
      <c r="H83" s="226"/>
      <c r="I83" s="226"/>
      <c r="J83" s="227"/>
      <c r="K83" s="228"/>
      <c r="L83" s="227" t="s">
        <v>779</v>
      </c>
      <c r="M83" s="227"/>
      <c r="N83" s="229">
        <f>SUM(O83:P83)</f>
        <v>2.6869999999999998</v>
      </c>
      <c r="O83" s="229">
        <v>2.6869999999999998</v>
      </c>
      <c r="P83" s="229">
        <f>$P$4</f>
        <v>0</v>
      </c>
      <c r="Q83" s="229" t="s">
        <v>551</v>
      </c>
      <c r="R83" s="230">
        <f>SUM(R82:$AQ82)*$N83/100</f>
        <v>11829.033839999998</v>
      </c>
      <c r="S83" s="230">
        <f>SUM(S82:$AQ82)*$N83/100</f>
        <v>9857.5281999999988</v>
      </c>
      <c r="T83" s="230">
        <f>SUM(T82:$AQ82)*$N83/100</f>
        <v>7886.0225599999994</v>
      </c>
      <c r="U83" s="230">
        <f>SUM(U82:$AQ82)*$N83/100</f>
        <v>5914.5169199999991</v>
      </c>
      <c r="V83" s="230">
        <f>SUM(V82:$AQ82)*$N83/100</f>
        <v>3943.0112799999997</v>
      </c>
      <c r="W83" s="230">
        <f>SUM(W82:$AQ82)*$N83/100</f>
        <v>1971.5056399999999</v>
      </c>
      <c r="X83" s="230">
        <v>0</v>
      </c>
      <c r="Y83" s="230">
        <v>0</v>
      </c>
      <c r="Z83" s="230">
        <v>0</v>
      </c>
      <c r="AA83" s="230">
        <v>0</v>
      </c>
      <c r="AB83" s="230">
        <v>0</v>
      </c>
      <c r="AC83" s="230">
        <v>0</v>
      </c>
      <c r="AD83" s="230">
        <v>0</v>
      </c>
      <c r="AE83" s="230">
        <v>0</v>
      </c>
      <c r="AF83" s="230">
        <v>0</v>
      </c>
      <c r="AG83" s="230">
        <v>0</v>
      </c>
      <c r="AH83" s="230">
        <v>0</v>
      </c>
      <c r="AI83" s="230">
        <v>0</v>
      </c>
      <c r="AJ83" s="230">
        <v>0</v>
      </c>
      <c r="AK83" s="230">
        <v>0</v>
      </c>
      <c r="AL83" s="230">
        <v>0</v>
      </c>
      <c r="AM83" s="230">
        <v>0</v>
      </c>
      <c r="AN83" s="230">
        <v>0</v>
      </c>
      <c r="AO83" s="230">
        <v>0</v>
      </c>
      <c r="AP83" s="230">
        <v>0</v>
      </c>
      <c r="AQ83" s="230">
        <v>0</v>
      </c>
      <c r="AR83" s="230"/>
      <c r="AS83" s="230"/>
      <c r="AT83" s="231">
        <f t="shared" si="5"/>
        <v>41401.618439999998</v>
      </c>
      <c r="AU83" s="219">
        <f t="shared" si="6"/>
        <v>0</v>
      </c>
      <c r="AV83" s="232">
        <f t="shared" si="8"/>
        <v>0</v>
      </c>
      <c r="AW83" s="230">
        <f t="shared" si="7"/>
        <v>41401.618439999998</v>
      </c>
      <c r="AY83" s="221"/>
    </row>
    <row r="84" spans="2:51" s="208" customFormat="1" outlineLevel="2" x14ac:dyDescent="0.25">
      <c r="B84" s="209" t="s">
        <v>541</v>
      </c>
      <c r="C84" s="210">
        <v>40</v>
      </c>
      <c r="D84" s="211" t="s">
        <v>784</v>
      </c>
      <c r="E84" s="212" t="s">
        <v>785</v>
      </c>
      <c r="F84" s="213" t="s">
        <v>786</v>
      </c>
      <c r="G84" s="213" t="s">
        <v>776</v>
      </c>
      <c r="H84" s="213" t="s">
        <v>783</v>
      </c>
      <c r="I84" s="213" t="s">
        <v>547</v>
      </c>
      <c r="J84" s="214">
        <v>559121.98</v>
      </c>
      <c r="K84" s="215">
        <v>326575.86</v>
      </c>
      <c r="L84" s="215"/>
      <c r="M84" s="215"/>
      <c r="N84" s="233"/>
      <c r="O84" s="233"/>
      <c r="P84" s="216"/>
      <c r="Q84" s="216" t="s">
        <v>548</v>
      </c>
      <c r="R84" s="217">
        <v>58116</v>
      </c>
      <c r="S84" s="217">
        <v>58116</v>
      </c>
      <c r="T84" s="217">
        <v>58116</v>
      </c>
      <c r="U84" s="217">
        <v>58116</v>
      </c>
      <c r="V84" s="217">
        <v>58116</v>
      </c>
      <c r="W84" s="217">
        <v>35995.86</v>
      </c>
      <c r="X84" s="217">
        <v>0</v>
      </c>
      <c r="Y84" s="217">
        <v>0</v>
      </c>
      <c r="Z84" s="217">
        <v>0</v>
      </c>
      <c r="AA84" s="217">
        <v>0</v>
      </c>
      <c r="AB84" s="217">
        <v>0</v>
      </c>
      <c r="AC84" s="217">
        <v>0</v>
      </c>
      <c r="AD84" s="217">
        <v>0</v>
      </c>
      <c r="AE84" s="217">
        <v>0</v>
      </c>
      <c r="AF84" s="217">
        <v>0</v>
      </c>
      <c r="AG84" s="217">
        <v>0</v>
      </c>
      <c r="AH84" s="217">
        <v>0</v>
      </c>
      <c r="AI84" s="217">
        <v>0</v>
      </c>
      <c r="AJ84" s="217">
        <v>0</v>
      </c>
      <c r="AK84" s="217">
        <v>0</v>
      </c>
      <c r="AL84" s="217">
        <v>0</v>
      </c>
      <c r="AM84" s="217">
        <v>0</v>
      </c>
      <c r="AN84" s="217">
        <v>0</v>
      </c>
      <c r="AO84" s="217">
        <v>0</v>
      </c>
      <c r="AP84" s="217">
        <v>0</v>
      </c>
      <c r="AQ84" s="217">
        <v>0</v>
      </c>
      <c r="AR84" s="217"/>
      <c r="AS84" s="217"/>
      <c r="AT84" s="218">
        <f t="shared" si="5"/>
        <v>326575.86</v>
      </c>
      <c r="AU84" s="219">
        <f t="shared" si="6"/>
        <v>0</v>
      </c>
      <c r="AV84" s="220">
        <f t="shared" si="8"/>
        <v>0</v>
      </c>
      <c r="AW84" s="217">
        <f t="shared" si="7"/>
        <v>326575.86</v>
      </c>
      <c r="AY84" s="221"/>
    </row>
    <row r="85" spans="2:51" outlineLevel="2" x14ac:dyDescent="0.25">
      <c r="B85" s="222" t="s">
        <v>541</v>
      </c>
      <c r="C85" s="223"/>
      <c r="D85" s="224"/>
      <c r="E85" s="225"/>
      <c r="F85" s="226"/>
      <c r="G85" s="226"/>
      <c r="H85" s="226"/>
      <c r="I85" s="226"/>
      <c r="J85" s="227"/>
      <c r="K85" s="228"/>
      <c r="L85" s="227" t="s">
        <v>779</v>
      </c>
      <c r="M85" s="227"/>
      <c r="N85" s="229">
        <f>SUM(O85:P85)</f>
        <v>2.6869999999999998</v>
      </c>
      <c r="O85" s="229">
        <v>2.6869999999999998</v>
      </c>
      <c r="P85" s="229">
        <f>$P$4</f>
        <v>0</v>
      </c>
      <c r="Q85" s="229" t="s">
        <v>551</v>
      </c>
      <c r="R85" s="230">
        <f>SUM(R84:$AQ84)*$N85/100</f>
        <v>8775.0933581999998</v>
      </c>
      <c r="S85" s="230">
        <f>SUM(S84:$AQ84)*$N85/100</f>
        <v>7213.5164381999984</v>
      </c>
      <c r="T85" s="230">
        <f>SUM(T84:$AQ84)*$N85/100</f>
        <v>5651.9395181999998</v>
      </c>
      <c r="U85" s="230">
        <f>SUM(U84:$AQ84)*$N85/100</f>
        <v>4090.3625981999994</v>
      </c>
      <c r="V85" s="230">
        <f>SUM(V84:$AQ84)*$N85/100</f>
        <v>2528.7856781999999</v>
      </c>
      <c r="W85" s="230">
        <f>SUM(W84:$AQ84)*$N85/100</f>
        <v>967.20875820000003</v>
      </c>
      <c r="X85" s="230">
        <v>0</v>
      </c>
      <c r="Y85" s="230">
        <v>0</v>
      </c>
      <c r="Z85" s="230">
        <v>0</v>
      </c>
      <c r="AA85" s="230">
        <v>0</v>
      </c>
      <c r="AB85" s="230">
        <v>0</v>
      </c>
      <c r="AC85" s="230">
        <v>0</v>
      </c>
      <c r="AD85" s="230">
        <v>0</v>
      </c>
      <c r="AE85" s="230">
        <v>0</v>
      </c>
      <c r="AF85" s="230">
        <v>0</v>
      </c>
      <c r="AG85" s="230">
        <v>0</v>
      </c>
      <c r="AH85" s="230">
        <v>0</v>
      </c>
      <c r="AI85" s="230">
        <v>0</v>
      </c>
      <c r="AJ85" s="230">
        <v>0</v>
      </c>
      <c r="AK85" s="230">
        <v>0</v>
      </c>
      <c r="AL85" s="230">
        <v>0</v>
      </c>
      <c r="AM85" s="230">
        <v>0</v>
      </c>
      <c r="AN85" s="230">
        <v>0</v>
      </c>
      <c r="AO85" s="230">
        <v>0</v>
      </c>
      <c r="AP85" s="230">
        <v>0</v>
      </c>
      <c r="AQ85" s="230">
        <v>0</v>
      </c>
      <c r="AR85" s="230"/>
      <c r="AS85" s="230"/>
      <c r="AT85" s="231">
        <f t="shared" si="5"/>
        <v>29226.906349199995</v>
      </c>
      <c r="AU85" s="219">
        <f t="shared" si="6"/>
        <v>0</v>
      </c>
      <c r="AV85" s="232">
        <f t="shared" si="8"/>
        <v>0</v>
      </c>
      <c r="AW85" s="230">
        <f t="shared" si="7"/>
        <v>29226.906349199995</v>
      </c>
      <c r="AY85" s="221"/>
    </row>
    <row r="86" spans="2:51" s="208" customFormat="1" outlineLevel="2" x14ac:dyDescent="0.25">
      <c r="B86" s="209" t="s">
        <v>586</v>
      </c>
      <c r="C86" s="210">
        <v>41</v>
      </c>
      <c r="D86" s="211" t="s">
        <v>787</v>
      </c>
      <c r="E86" s="212" t="s">
        <v>788</v>
      </c>
      <c r="F86" s="213" t="s">
        <v>789</v>
      </c>
      <c r="G86" s="213" t="s">
        <v>790</v>
      </c>
      <c r="H86" s="213" t="s">
        <v>791</v>
      </c>
      <c r="I86" s="213" t="s">
        <v>547</v>
      </c>
      <c r="J86" s="214">
        <v>247902</v>
      </c>
      <c r="K86" s="215">
        <v>61976</v>
      </c>
      <c r="L86" s="215"/>
      <c r="M86" s="215"/>
      <c r="N86" s="233"/>
      <c r="O86" s="233"/>
      <c r="P86" s="216"/>
      <c r="Q86" s="216" t="s">
        <v>548</v>
      </c>
      <c r="R86" s="217">
        <v>61976</v>
      </c>
      <c r="S86" s="217">
        <v>0</v>
      </c>
      <c r="T86" s="217">
        <v>0</v>
      </c>
      <c r="U86" s="217">
        <v>0</v>
      </c>
      <c r="V86" s="217">
        <v>0</v>
      </c>
      <c r="W86" s="217">
        <v>0</v>
      </c>
      <c r="X86" s="217">
        <v>0</v>
      </c>
      <c r="Y86" s="217">
        <v>0</v>
      </c>
      <c r="Z86" s="217">
        <v>0</v>
      </c>
      <c r="AA86" s="217">
        <v>0</v>
      </c>
      <c r="AB86" s="217">
        <v>0</v>
      </c>
      <c r="AC86" s="217">
        <v>0</v>
      </c>
      <c r="AD86" s="217">
        <v>0</v>
      </c>
      <c r="AE86" s="217">
        <v>0</v>
      </c>
      <c r="AF86" s="217">
        <v>0</v>
      </c>
      <c r="AG86" s="217">
        <v>0</v>
      </c>
      <c r="AH86" s="217">
        <v>0</v>
      </c>
      <c r="AI86" s="217">
        <v>0</v>
      </c>
      <c r="AJ86" s="217">
        <v>0</v>
      </c>
      <c r="AK86" s="217">
        <v>0</v>
      </c>
      <c r="AL86" s="217">
        <v>0</v>
      </c>
      <c r="AM86" s="217">
        <v>0</v>
      </c>
      <c r="AN86" s="217">
        <v>0</v>
      </c>
      <c r="AO86" s="217">
        <v>0</v>
      </c>
      <c r="AP86" s="217">
        <v>0</v>
      </c>
      <c r="AQ86" s="217">
        <v>0</v>
      </c>
      <c r="AR86" s="217"/>
      <c r="AS86" s="217"/>
      <c r="AT86" s="218">
        <f t="shared" si="5"/>
        <v>61976</v>
      </c>
      <c r="AU86" s="219">
        <f t="shared" si="6"/>
        <v>0</v>
      </c>
      <c r="AV86" s="220">
        <f t="shared" si="8"/>
        <v>0</v>
      </c>
      <c r="AW86" s="217">
        <f t="shared" si="7"/>
        <v>61976</v>
      </c>
      <c r="AY86" s="221"/>
    </row>
    <row r="87" spans="2:51" outlineLevel="2" x14ac:dyDescent="0.25">
      <c r="B87" s="222" t="s">
        <v>586</v>
      </c>
      <c r="C87" s="223"/>
      <c r="D87" s="224" t="s">
        <v>792</v>
      </c>
      <c r="E87" s="225"/>
      <c r="F87" s="226"/>
      <c r="G87" s="226"/>
      <c r="H87" s="226"/>
      <c r="I87" s="226"/>
      <c r="J87" s="227"/>
      <c r="K87" s="228"/>
      <c r="L87" s="227" t="s">
        <v>793</v>
      </c>
      <c r="M87" s="227"/>
      <c r="N87" s="229">
        <f>SUM(O87:P87)</f>
        <v>2.7040000000000002</v>
      </c>
      <c r="O87" s="229">
        <v>2.7040000000000002</v>
      </c>
      <c r="P87" s="229">
        <f>$P$4</f>
        <v>0</v>
      </c>
      <c r="Q87" s="229" t="s">
        <v>551</v>
      </c>
      <c r="R87" s="230">
        <f>SUM(R86:$AQ86)*$N87/100</f>
        <v>1675.8310400000003</v>
      </c>
      <c r="S87" s="230">
        <f>SUM(S86:$AQ86)*$N87/100</f>
        <v>0</v>
      </c>
      <c r="T87" s="230">
        <v>0</v>
      </c>
      <c r="U87" s="230">
        <v>0</v>
      </c>
      <c r="V87" s="230">
        <v>0</v>
      </c>
      <c r="W87" s="230">
        <v>0</v>
      </c>
      <c r="X87" s="230">
        <v>0</v>
      </c>
      <c r="Y87" s="230">
        <v>0</v>
      </c>
      <c r="Z87" s="230">
        <v>0</v>
      </c>
      <c r="AA87" s="230">
        <v>0</v>
      </c>
      <c r="AB87" s="230">
        <v>0</v>
      </c>
      <c r="AC87" s="230">
        <v>0</v>
      </c>
      <c r="AD87" s="230">
        <v>0</v>
      </c>
      <c r="AE87" s="230">
        <v>0</v>
      </c>
      <c r="AF87" s="230">
        <v>0</v>
      </c>
      <c r="AG87" s="230">
        <v>0</v>
      </c>
      <c r="AH87" s="230">
        <v>0</v>
      </c>
      <c r="AI87" s="230">
        <v>0</v>
      </c>
      <c r="AJ87" s="230">
        <v>0</v>
      </c>
      <c r="AK87" s="230">
        <v>0</v>
      </c>
      <c r="AL87" s="230">
        <v>0</v>
      </c>
      <c r="AM87" s="230">
        <v>0</v>
      </c>
      <c r="AN87" s="230">
        <v>0</v>
      </c>
      <c r="AO87" s="230">
        <v>0</v>
      </c>
      <c r="AP87" s="230">
        <v>0</v>
      </c>
      <c r="AQ87" s="230">
        <v>0</v>
      </c>
      <c r="AR87" s="230"/>
      <c r="AS87" s="230"/>
      <c r="AT87" s="231">
        <f t="shared" si="5"/>
        <v>1675.8310400000003</v>
      </c>
      <c r="AU87" s="219">
        <f t="shared" si="6"/>
        <v>0</v>
      </c>
      <c r="AV87" s="232">
        <f t="shared" si="8"/>
        <v>0</v>
      </c>
      <c r="AW87" s="230">
        <f t="shared" si="7"/>
        <v>1675.8310400000003</v>
      </c>
      <c r="AY87" s="221"/>
    </row>
    <row r="88" spans="2:51" s="208" customFormat="1" outlineLevel="2" x14ac:dyDescent="0.25">
      <c r="B88" s="209" t="s">
        <v>586</v>
      </c>
      <c r="C88" s="210">
        <v>42</v>
      </c>
      <c r="D88" s="211" t="s">
        <v>794</v>
      </c>
      <c r="E88" s="212" t="s">
        <v>795</v>
      </c>
      <c r="F88" s="213" t="s">
        <v>796</v>
      </c>
      <c r="G88" s="213" t="s">
        <v>797</v>
      </c>
      <c r="H88" s="213" t="s">
        <v>798</v>
      </c>
      <c r="I88" s="213" t="s">
        <v>547</v>
      </c>
      <c r="J88" s="214">
        <v>178121</v>
      </c>
      <c r="K88" s="215">
        <v>68283.520000000004</v>
      </c>
      <c r="L88" s="215"/>
      <c r="M88" s="215"/>
      <c r="N88" s="233"/>
      <c r="O88" s="233"/>
      <c r="P88" s="216"/>
      <c r="Q88" s="216" t="s">
        <v>548</v>
      </c>
      <c r="R88" s="217">
        <v>12500</v>
      </c>
      <c r="S88" s="217">
        <v>12500</v>
      </c>
      <c r="T88" s="217">
        <v>12500</v>
      </c>
      <c r="U88" s="217">
        <v>12500</v>
      </c>
      <c r="V88" s="217">
        <v>12500</v>
      </c>
      <c r="W88" s="217">
        <v>5783.52</v>
      </c>
      <c r="X88" s="217">
        <v>0</v>
      </c>
      <c r="Y88" s="217">
        <v>0</v>
      </c>
      <c r="Z88" s="217">
        <v>0</v>
      </c>
      <c r="AA88" s="217">
        <v>0</v>
      </c>
      <c r="AB88" s="217">
        <v>0</v>
      </c>
      <c r="AC88" s="217">
        <v>0</v>
      </c>
      <c r="AD88" s="217">
        <v>0</v>
      </c>
      <c r="AE88" s="217">
        <v>0</v>
      </c>
      <c r="AF88" s="217">
        <v>0</v>
      </c>
      <c r="AG88" s="217">
        <v>0</v>
      </c>
      <c r="AH88" s="217">
        <v>0</v>
      </c>
      <c r="AI88" s="217">
        <v>0</v>
      </c>
      <c r="AJ88" s="217">
        <v>0</v>
      </c>
      <c r="AK88" s="217">
        <v>0</v>
      </c>
      <c r="AL88" s="217">
        <v>0</v>
      </c>
      <c r="AM88" s="217">
        <v>0</v>
      </c>
      <c r="AN88" s="217">
        <v>0</v>
      </c>
      <c r="AO88" s="217">
        <v>0</v>
      </c>
      <c r="AP88" s="217">
        <v>0</v>
      </c>
      <c r="AQ88" s="217">
        <v>0</v>
      </c>
      <c r="AR88" s="217"/>
      <c r="AS88" s="217"/>
      <c r="AT88" s="218">
        <f t="shared" si="5"/>
        <v>68283.520000000004</v>
      </c>
      <c r="AU88" s="219">
        <f t="shared" si="6"/>
        <v>0</v>
      </c>
      <c r="AV88" s="220">
        <f t="shared" si="8"/>
        <v>0</v>
      </c>
      <c r="AW88" s="217">
        <f t="shared" si="7"/>
        <v>68283.520000000004</v>
      </c>
      <c r="AY88" s="221"/>
    </row>
    <row r="89" spans="2:51" outlineLevel="2" x14ac:dyDescent="0.25">
      <c r="B89" s="222" t="s">
        <v>586</v>
      </c>
      <c r="C89" s="223"/>
      <c r="D89" s="224" t="s">
        <v>799</v>
      </c>
      <c r="E89" s="225"/>
      <c r="F89" s="226"/>
      <c r="G89" s="226"/>
      <c r="H89" s="226"/>
      <c r="I89" s="226"/>
      <c r="J89" s="227"/>
      <c r="K89" s="228"/>
      <c r="L89" s="227" t="s">
        <v>800</v>
      </c>
      <c r="M89" s="227"/>
      <c r="N89" s="229">
        <f>SUM(O89:P89)</f>
        <v>3.0070000000000001</v>
      </c>
      <c r="O89" s="229">
        <v>3.0070000000000001</v>
      </c>
      <c r="P89" s="229">
        <f>$P$4</f>
        <v>0</v>
      </c>
      <c r="Q89" s="229" t="s">
        <v>551</v>
      </c>
      <c r="R89" s="230">
        <f>SUM(R88:$AQ88)*$N89/100</f>
        <v>2053.2854464000002</v>
      </c>
      <c r="S89" s="230">
        <f>SUM(S88:$AQ88)*$N89/100</f>
        <v>1677.4104464000002</v>
      </c>
      <c r="T89" s="230">
        <f>SUM(T88:$AQ88)*$N89/100</f>
        <v>1301.5354464000002</v>
      </c>
      <c r="U89" s="230">
        <f>SUM(U88:$AQ88)*$N89/100</f>
        <v>925.66044640000007</v>
      </c>
      <c r="V89" s="230">
        <f>SUM(V88:$AQ88)*$N89/100</f>
        <v>549.78544639999996</v>
      </c>
      <c r="W89" s="230">
        <f>SUM(W88:$AQ88)*$N89/100</f>
        <v>173.91044640000004</v>
      </c>
      <c r="X89" s="230">
        <v>0</v>
      </c>
      <c r="Y89" s="230">
        <v>0</v>
      </c>
      <c r="Z89" s="230">
        <v>0</v>
      </c>
      <c r="AA89" s="230">
        <v>0</v>
      </c>
      <c r="AB89" s="230">
        <v>0</v>
      </c>
      <c r="AC89" s="230">
        <v>0</v>
      </c>
      <c r="AD89" s="230">
        <v>0</v>
      </c>
      <c r="AE89" s="230">
        <v>0</v>
      </c>
      <c r="AF89" s="230">
        <v>0</v>
      </c>
      <c r="AG89" s="230">
        <v>0</v>
      </c>
      <c r="AH89" s="230">
        <v>0</v>
      </c>
      <c r="AI89" s="230">
        <v>0</v>
      </c>
      <c r="AJ89" s="230">
        <v>0</v>
      </c>
      <c r="AK89" s="230">
        <v>0</v>
      </c>
      <c r="AL89" s="230">
        <v>0</v>
      </c>
      <c r="AM89" s="230">
        <v>0</v>
      </c>
      <c r="AN89" s="230">
        <v>0</v>
      </c>
      <c r="AO89" s="230">
        <v>0</v>
      </c>
      <c r="AP89" s="230">
        <v>0</v>
      </c>
      <c r="AQ89" s="230">
        <v>0</v>
      </c>
      <c r="AR89" s="230"/>
      <c r="AS89" s="230"/>
      <c r="AT89" s="231">
        <f t="shared" si="5"/>
        <v>6681.5876784000011</v>
      </c>
      <c r="AU89" s="219">
        <f t="shared" si="6"/>
        <v>0</v>
      </c>
      <c r="AV89" s="232">
        <f t="shared" si="8"/>
        <v>0</v>
      </c>
      <c r="AW89" s="230">
        <f t="shared" si="7"/>
        <v>6681.5876784000011</v>
      </c>
      <c r="AY89" s="221"/>
    </row>
    <row r="90" spans="2:51" s="208" customFormat="1" outlineLevel="2" x14ac:dyDescent="0.25">
      <c r="B90" s="209" t="s">
        <v>541</v>
      </c>
      <c r="C90" s="210">
        <v>43</v>
      </c>
      <c r="D90" s="211" t="s">
        <v>801</v>
      </c>
      <c r="E90" s="212" t="s">
        <v>802</v>
      </c>
      <c r="F90" s="213" t="s">
        <v>803</v>
      </c>
      <c r="G90" s="213" t="s">
        <v>804</v>
      </c>
      <c r="H90" s="213" t="s">
        <v>805</v>
      </c>
      <c r="I90" s="213" t="s">
        <v>547</v>
      </c>
      <c r="J90" s="214">
        <v>1230506</v>
      </c>
      <c r="K90" s="215">
        <v>715727.24</v>
      </c>
      <c r="L90" s="215"/>
      <c r="M90" s="215"/>
      <c r="N90" s="233"/>
      <c r="O90" s="233"/>
      <c r="P90" s="216"/>
      <c r="Q90" s="216" t="s">
        <v>548</v>
      </c>
      <c r="R90" s="217">
        <f>21588*4</f>
        <v>86352</v>
      </c>
      <c r="S90" s="217">
        <v>86352</v>
      </c>
      <c r="T90" s="217">
        <v>86352</v>
      </c>
      <c r="U90" s="217">
        <v>86352</v>
      </c>
      <c r="V90" s="217">
        <v>86352</v>
      </c>
      <c r="W90" s="217">
        <v>86352</v>
      </c>
      <c r="X90" s="217">
        <v>86352</v>
      </c>
      <c r="Y90" s="217">
        <v>86352</v>
      </c>
      <c r="Z90" s="217">
        <f>21588+3323</f>
        <v>24911</v>
      </c>
      <c r="AA90" s="217"/>
      <c r="AB90" s="217"/>
      <c r="AC90" s="217"/>
      <c r="AD90" s="217">
        <v>0</v>
      </c>
      <c r="AE90" s="217">
        <v>0</v>
      </c>
      <c r="AF90" s="217">
        <v>0</v>
      </c>
      <c r="AG90" s="217">
        <v>0</v>
      </c>
      <c r="AH90" s="217">
        <v>0</v>
      </c>
      <c r="AI90" s="217">
        <v>0</v>
      </c>
      <c r="AJ90" s="217">
        <v>0</v>
      </c>
      <c r="AK90" s="217">
        <v>0</v>
      </c>
      <c r="AL90" s="217">
        <v>0</v>
      </c>
      <c r="AM90" s="217">
        <v>0</v>
      </c>
      <c r="AN90" s="217">
        <v>0</v>
      </c>
      <c r="AO90" s="217">
        <v>0</v>
      </c>
      <c r="AP90" s="217">
        <v>0</v>
      </c>
      <c r="AQ90" s="217">
        <v>0</v>
      </c>
      <c r="AR90" s="217"/>
      <c r="AS90" s="217"/>
      <c r="AT90" s="218">
        <f t="shared" si="5"/>
        <v>715727</v>
      </c>
      <c r="AU90" s="219">
        <f t="shared" si="6"/>
        <v>0</v>
      </c>
      <c r="AV90" s="220">
        <f t="shared" si="8"/>
        <v>111263</v>
      </c>
      <c r="AW90" s="217">
        <f t="shared" si="7"/>
        <v>715727</v>
      </c>
      <c r="AY90" s="221"/>
    </row>
    <row r="91" spans="2:51" outlineLevel="2" x14ac:dyDescent="0.25">
      <c r="B91" s="222" t="s">
        <v>541</v>
      </c>
      <c r="C91" s="223"/>
      <c r="D91" s="224" t="s">
        <v>806</v>
      </c>
      <c r="E91" s="225"/>
      <c r="F91" s="226"/>
      <c r="G91" s="226"/>
      <c r="H91" s="226"/>
      <c r="I91" s="226"/>
      <c r="J91" s="227"/>
      <c r="K91" s="228"/>
      <c r="L91" s="227" t="s">
        <v>807</v>
      </c>
      <c r="M91" s="227"/>
      <c r="N91" s="229">
        <f>SUM(O91:P91)</f>
        <v>3.1779999999999999</v>
      </c>
      <c r="O91" s="229">
        <v>3.1779999999999999</v>
      </c>
      <c r="P91" s="229">
        <f>$P$4</f>
        <v>0</v>
      </c>
      <c r="Q91" s="229" t="s">
        <v>551</v>
      </c>
      <c r="R91" s="230">
        <f>SUM(R90:$AQ90)*$N91/100</f>
        <v>22745.804059999999</v>
      </c>
      <c r="S91" s="230">
        <f>SUM(S90:$AQ90)*$N91/100</f>
        <v>20001.537499999999</v>
      </c>
      <c r="T91" s="230">
        <f>SUM(T90:$AQ90)*$N91/100-2000</f>
        <v>15257.270940000002</v>
      </c>
      <c r="U91" s="230">
        <f>SUM(U90:$AQ90)*$N91/100</f>
        <v>14513.00438</v>
      </c>
      <c r="V91" s="230">
        <f>SUM(V90:$AQ90)*$N91/100</f>
        <v>11768.737819999998</v>
      </c>
      <c r="W91" s="230">
        <f>SUM(W90:$AQ90)*$N91/100</f>
        <v>9024.4712599999984</v>
      </c>
      <c r="X91" s="230">
        <f>SUM(X90:$AQ90)*$N91/100</f>
        <v>6280.2046999999993</v>
      </c>
      <c r="Y91" s="230">
        <f>SUM(Y90:$AQ90)*$N91/100</f>
        <v>3535.9381400000002</v>
      </c>
      <c r="Z91" s="230">
        <f>SUM(Z90:$AQ90)*$N91/100</f>
        <v>791.67157999999995</v>
      </c>
      <c r="AA91" s="230">
        <f>SUM(AA90:$AQ90)*$N91/100</f>
        <v>0</v>
      </c>
      <c r="AB91" s="230">
        <f>SUM(AB90:$AQ90)*$N91/100</f>
        <v>0</v>
      </c>
      <c r="AC91" s="230">
        <f>SUM(AC90:$AQ90)*$N91/100</f>
        <v>0</v>
      </c>
      <c r="AD91" s="230">
        <v>0</v>
      </c>
      <c r="AE91" s="230">
        <v>0</v>
      </c>
      <c r="AF91" s="230">
        <v>0</v>
      </c>
      <c r="AG91" s="230">
        <v>0</v>
      </c>
      <c r="AH91" s="230">
        <v>0</v>
      </c>
      <c r="AI91" s="230">
        <v>0</v>
      </c>
      <c r="AJ91" s="230">
        <v>0</v>
      </c>
      <c r="AK91" s="230">
        <v>0</v>
      </c>
      <c r="AL91" s="230">
        <v>0</v>
      </c>
      <c r="AM91" s="230">
        <v>0</v>
      </c>
      <c r="AN91" s="230">
        <v>0</v>
      </c>
      <c r="AO91" s="230">
        <v>0</v>
      </c>
      <c r="AP91" s="230">
        <v>0</v>
      </c>
      <c r="AQ91" s="230">
        <v>0</v>
      </c>
      <c r="AR91" s="230"/>
      <c r="AS91" s="230"/>
      <c r="AT91" s="231">
        <f t="shared" si="5"/>
        <v>103918.64037999998</v>
      </c>
      <c r="AU91" s="219">
        <f t="shared" si="6"/>
        <v>0</v>
      </c>
      <c r="AV91" s="232">
        <f t="shared" si="8"/>
        <v>4327.6097200000004</v>
      </c>
      <c r="AW91" s="230">
        <f t="shared" si="7"/>
        <v>103918.64038</v>
      </c>
      <c r="AY91" s="221"/>
    </row>
    <row r="92" spans="2:51" s="208" customFormat="1" outlineLevel="2" x14ac:dyDescent="0.25">
      <c r="B92" s="209" t="s">
        <v>541</v>
      </c>
      <c r="C92" s="210">
        <v>44</v>
      </c>
      <c r="D92" s="211" t="s">
        <v>808</v>
      </c>
      <c r="E92" s="212" t="s">
        <v>809</v>
      </c>
      <c r="F92" s="213" t="s">
        <v>810</v>
      </c>
      <c r="G92" s="213" t="s">
        <v>811</v>
      </c>
      <c r="H92" s="213" t="s">
        <v>812</v>
      </c>
      <c r="I92" s="213" t="s">
        <v>547</v>
      </c>
      <c r="J92" s="214">
        <v>156436.10999999999</v>
      </c>
      <c r="K92" s="215">
        <v>45213.11</v>
      </c>
      <c r="L92" s="215"/>
      <c r="M92" s="215"/>
      <c r="N92" s="233"/>
      <c r="O92" s="233"/>
      <c r="P92" s="216"/>
      <c r="Q92" s="216" t="s">
        <v>548</v>
      </c>
      <c r="R92" s="217">
        <v>37076</v>
      </c>
      <c r="S92" s="217">
        <v>8137.11</v>
      </c>
      <c r="T92" s="217">
        <v>0</v>
      </c>
      <c r="U92" s="217">
        <v>0</v>
      </c>
      <c r="V92" s="217">
        <v>0</v>
      </c>
      <c r="W92" s="217">
        <v>0</v>
      </c>
      <c r="X92" s="217">
        <v>0</v>
      </c>
      <c r="Y92" s="217">
        <v>0</v>
      </c>
      <c r="Z92" s="217">
        <v>0</v>
      </c>
      <c r="AA92" s="217">
        <v>0</v>
      </c>
      <c r="AB92" s="217">
        <v>0</v>
      </c>
      <c r="AC92" s="217">
        <v>0</v>
      </c>
      <c r="AD92" s="217">
        <v>0</v>
      </c>
      <c r="AE92" s="217">
        <v>0</v>
      </c>
      <c r="AF92" s="217">
        <v>0</v>
      </c>
      <c r="AG92" s="217">
        <v>0</v>
      </c>
      <c r="AH92" s="217">
        <v>0</v>
      </c>
      <c r="AI92" s="217">
        <v>0</v>
      </c>
      <c r="AJ92" s="217">
        <v>0</v>
      </c>
      <c r="AK92" s="217">
        <v>0</v>
      </c>
      <c r="AL92" s="217">
        <v>0</v>
      </c>
      <c r="AM92" s="217">
        <v>0</v>
      </c>
      <c r="AN92" s="217">
        <v>0</v>
      </c>
      <c r="AO92" s="217">
        <v>0</v>
      </c>
      <c r="AP92" s="217">
        <v>0</v>
      </c>
      <c r="AQ92" s="217">
        <v>0</v>
      </c>
      <c r="AR92" s="217"/>
      <c r="AS92" s="217"/>
      <c r="AT92" s="218">
        <f t="shared" si="5"/>
        <v>45213.11</v>
      </c>
      <c r="AU92" s="219">
        <f t="shared" si="6"/>
        <v>0</v>
      </c>
      <c r="AV92" s="220">
        <f t="shared" si="8"/>
        <v>0</v>
      </c>
      <c r="AW92" s="217">
        <f t="shared" si="7"/>
        <v>45213.11</v>
      </c>
      <c r="AY92" s="221"/>
    </row>
    <row r="93" spans="2:51" outlineLevel="2" x14ac:dyDescent="0.25">
      <c r="B93" s="222" t="s">
        <v>541</v>
      </c>
      <c r="C93" s="223"/>
      <c r="D93" s="224"/>
      <c r="E93" s="225"/>
      <c r="F93" s="226"/>
      <c r="G93" s="226"/>
      <c r="H93" s="226"/>
      <c r="I93" s="226"/>
      <c r="J93" s="227"/>
      <c r="K93" s="228"/>
      <c r="L93" s="227" t="s">
        <v>813</v>
      </c>
      <c r="M93" s="227"/>
      <c r="N93" s="229">
        <f>SUM(O93:P93)</f>
        <v>2.9620000000000002</v>
      </c>
      <c r="O93" s="229">
        <v>2.9620000000000002</v>
      </c>
      <c r="P93" s="229">
        <f>$P$4</f>
        <v>0</v>
      </c>
      <c r="Q93" s="229" t="s">
        <v>551</v>
      </c>
      <c r="R93" s="230">
        <f>SUM(R92:$AQ92)*$N93/100</f>
        <v>1339.2123182000003</v>
      </c>
      <c r="S93" s="230">
        <f>SUM(S92:$AQ92)*$N93/100</f>
        <v>241.02119819999999</v>
      </c>
      <c r="T93" s="230">
        <v>0</v>
      </c>
      <c r="U93" s="230">
        <v>0</v>
      </c>
      <c r="V93" s="230">
        <v>0</v>
      </c>
      <c r="W93" s="230">
        <v>0</v>
      </c>
      <c r="X93" s="230">
        <v>0</v>
      </c>
      <c r="Y93" s="230">
        <v>0</v>
      </c>
      <c r="Z93" s="230">
        <v>0</v>
      </c>
      <c r="AA93" s="230">
        <v>0</v>
      </c>
      <c r="AB93" s="230">
        <v>0</v>
      </c>
      <c r="AC93" s="230">
        <v>0</v>
      </c>
      <c r="AD93" s="230">
        <v>0</v>
      </c>
      <c r="AE93" s="230">
        <v>0</v>
      </c>
      <c r="AF93" s="230">
        <v>0</v>
      </c>
      <c r="AG93" s="230">
        <v>0</v>
      </c>
      <c r="AH93" s="230">
        <v>0</v>
      </c>
      <c r="AI93" s="230">
        <v>0</v>
      </c>
      <c r="AJ93" s="230">
        <v>0</v>
      </c>
      <c r="AK93" s="230">
        <v>0</v>
      </c>
      <c r="AL93" s="230">
        <v>0</v>
      </c>
      <c r="AM93" s="230">
        <v>0</v>
      </c>
      <c r="AN93" s="230">
        <v>0</v>
      </c>
      <c r="AO93" s="230">
        <v>0</v>
      </c>
      <c r="AP93" s="230">
        <v>0</v>
      </c>
      <c r="AQ93" s="230">
        <v>0</v>
      </c>
      <c r="AR93" s="230"/>
      <c r="AS93" s="230"/>
      <c r="AT93" s="231">
        <f t="shared" si="5"/>
        <v>1580.2335164000003</v>
      </c>
      <c r="AU93" s="219">
        <f t="shared" si="6"/>
        <v>0</v>
      </c>
      <c r="AV93" s="232">
        <f t="shared" si="8"/>
        <v>0</v>
      </c>
      <c r="AW93" s="230">
        <f t="shared" si="7"/>
        <v>1580.2335164000003</v>
      </c>
      <c r="AY93" s="221"/>
    </row>
    <row r="94" spans="2:51" s="208" customFormat="1" outlineLevel="2" x14ac:dyDescent="0.25">
      <c r="B94" s="209" t="s">
        <v>541</v>
      </c>
      <c r="C94" s="210">
        <v>45</v>
      </c>
      <c r="D94" s="211" t="s">
        <v>814</v>
      </c>
      <c r="E94" s="212" t="s">
        <v>815</v>
      </c>
      <c r="F94" s="213" t="s">
        <v>816</v>
      </c>
      <c r="G94" s="213" t="s">
        <v>817</v>
      </c>
      <c r="H94" s="213" t="s">
        <v>818</v>
      </c>
      <c r="I94" s="213" t="s">
        <v>547</v>
      </c>
      <c r="J94" s="214">
        <v>90861.19</v>
      </c>
      <c r="K94" s="215">
        <v>29726.19</v>
      </c>
      <c r="L94" s="215"/>
      <c r="M94" s="215"/>
      <c r="N94" s="233"/>
      <c r="O94" s="233"/>
      <c r="P94" s="216"/>
      <c r="Q94" s="216" t="s">
        <v>548</v>
      </c>
      <c r="R94" s="217">
        <v>20380</v>
      </c>
      <c r="S94" s="217">
        <v>9346.1899999999987</v>
      </c>
      <c r="T94" s="217">
        <v>0</v>
      </c>
      <c r="U94" s="217">
        <v>0</v>
      </c>
      <c r="V94" s="217">
        <v>0</v>
      </c>
      <c r="W94" s="217">
        <v>0</v>
      </c>
      <c r="X94" s="217">
        <v>0</v>
      </c>
      <c r="Y94" s="217">
        <v>0</v>
      </c>
      <c r="Z94" s="217">
        <v>0</v>
      </c>
      <c r="AA94" s="217">
        <v>0</v>
      </c>
      <c r="AB94" s="217">
        <v>0</v>
      </c>
      <c r="AC94" s="217">
        <v>0</v>
      </c>
      <c r="AD94" s="217">
        <v>0</v>
      </c>
      <c r="AE94" s="217">
        <v>0</v>
      </c>
      <c r="AF94" s="217">
        <v>0</v>
      </c>
      <c r="AG94" s="217">
        <v>0</v>
      </c>
      <c r="AH94" s="217">
        <v>0</v>
      </c>
      <c r="AI94" s="217">
        <v>0</v>
      </c>
      <c r="AJ94" s="217">
        <v>0</v>
      </c>
      <c r="AK94" s="217">
        <v>0</v>
      </c>
      <c r="AL94" s="217">
        <v>0</v>
      </c>
      <c r="AM94" s="217">
        <v>0</v>
      </c>
      <c r="AN94" s="217">
        <v>0</v>
      </c>
      <c r="AO94" s="217">
        <v>0</v>
      </c>
      <c r="AP94" s="217">
        <v>0</v>
      </c>
      <c r="AQ94" s="217">
        <v>0</v>
      </c>
      <c r="AR94" s="217"/>
      <c r="AS94" s="217"/>
      <c r="AT94" s="218">
        <f t="shared" si="5"/>
        <v>29726.19</v>
      </c>
      <c r="AU94" s="219">
        <f t="shared" si="6"/>
        <v>0</v>
      </c>
      <c r="AV94" s="220">
        <f t="shared" si="8"/>
        <v>0</v>
      </c>
      <c r="AW94" s="217">
        <f t="shared" si="7"/>
        <v>29726.19</v>
      </c>
      <c r="AY94" s="221"/>
    </row>
    <row r="95" spans="2:51" outlineLevel="2" x14ac:dyDescent="0.25">
      <c r="B95" s="222" t="s">
        <v>541</v>
      </c>
      <c r="C95" s="223"/>
      <c r="D95" s="224" t="s">
        <v>819</v>
      </c>
      <c r="E95" s="225"/>
      <c r="F95" s="226"/>
      <c r="G95" s="226"/>
      <c r="H95" s="226"/>
      <c r="I95" s="226"/>
      <c r="J95" s="227"/>
      <c r="K95" s="228"/>
      <c r="L95" s="227" t="s">
        <v>820</v>
      </c>
      <c r="M95" s="227"/>
      <c r="N95" s="229">
        <f>SUM(O95:P95)</f>
        <v>3.165</v>
      </c>
      <c r="O95" s="229">
        <v>3.165</v>
      </c>
      <c r="P95" s="229">
        <f>$P$4</f>
        <v>0</v>
      </c>
      <c r="Q95" s="229" t="s">
        <v>551</v>
      </c>
      <c r="R95" s="230">
        <f>SUM(R94:$AQ94)*$N95/100</f>
        <v>940.83391349999988</v>
      </c>
      <c r="S95" s="230">
        <f>SUM(S94:$AQ94)*$N95/100</f>
        <v>295.80691349999995</v>
      </c>
      <c r="T95" s="230">
        <v>0</v>
      </c>
      <c r="U95" s="230">
        <v>0</v>
      </c>
      <c r="V95" s="230">
        <v>0</v>
      </c>
      <c r="W95" s="230">
        <v>0</v>
      </c>
      <c r="X95" s="230">
        <v>0</v>
      </c>
      <c r="Y95" s="230">
        <v>0</v>
      </c>
      <c r="Z95" s="230">
        <v>0</v>
      </c>
      <c r="AA95" s="230">
        <v>0</v>
      </c>
      <c r="AB95" s="230">
        <v>0</v>
      </c>
      <c r="AC95" s="230">
        <v>0</v>
      </c>
      <c r="AD95" s="230">
        <v>0</v>
      </c>
      <c r="AE95" s="230">
        <v>0</v>
      </c>
      <c r="AF95" s="230">
        <v>0</v>
      </c>
      <c r="AG95" s="230">
        <v>0</v>
      </c>
      <c r="AH95" s="230">
        <v>0</v>
      </c>
      <c r="AI95" s="230">
        <v>0</v>
      </c>
      <c r="AJ95" s="230">
        <v>0</v>
      </c>
      <c r="AK95" s="230">
        <v>0</v>
      </c>
      <c r="AL95" s="230">
        <v>0</v>
      </c>
      <c r="AM95" s="230">
        <v>0</v>
      </c>
      <c r="AN95" s="230">
        <v>0</v>
      </c>
      <c r="AO95" s="230">
        <v>0</v>
      </c>
      <c r="AP95" s="230">
        <v>0</v>
      </c>
      <c r="AQ95" s="230">
        <v>0</v>
      </c>
      <c r="AR95" s="230"/>
      <c r="AS95" s="230"/>
      <c r="AT95" s="231">
        <f t="shared" si="5"/>
        <v>1236.6408269999997</v>
      </c>
      <c r="AU95" s="219">
        <f t="shared" si="6"/>
        <v>0</v>
      </c>
      <c r="AV95" s="232">
        <f t="shared" si="8"/>
        <v>0</v>
      </c>
      <c r="AW95" s="230">
        <f t="shared" si="7"/>
        <v>1236.6408269999997</v>
      </c>
      <c r="AY95" s="221"/>
    </row>
    <row r="96" spans="2:51" s="208" customFormat="1" outlineLevel="2" x14ac:dyDescent="0.25">
      <c r="B96" s="209" t="s">
        <v>541</v>
      </c>
      <c r="C96" s="210">
        <v>46</v>
      </c>
      <c r="D96" s="211" t="s">
        <v>821</v>
      </c>
      <c r="E96" s="212" t="s">
        <v>822</v>
      </c>
      <c r="F96" s="213" t="s">
        <v>823</v>
      </c>
      <c r="G96" s="213" t="s">
        <v>824</v>
      </c>
      <c r="H96" s="213" t="s">
        <v>825</v>
      </c>
      <c r="I96" s="213" t="s">
        <v>547</v>
      </c>
      <c r="J96" s="214">
        <v>496340</v>
      </c>
      <c r="K96" s="215">
        <v>362205</v>
      </c>
      <c r="L96" s="215"/>
      <c r="M96" s="215"/>
      <c r="N96" s="233"/>
      <c r="O96" s="233"/>
      <c r="P96" s="216"/>
      <c r="Q96" s="216" t="s">
        <v>548</v>
      </c>
      <c r="R96" s="217">
        <v>53660</v>
      </c>
      <c r="S96" s="217">
        <v>53660</v>
      </c>
      <c r="T96" s="217">
        <v>53660</v>
      </c>
      <c r="U96" s="217">
        <v>53660</v>
      </c>
      <c r="V96" s="217">
        <v>53660</v>
      </c>
      <c r="W96" s="217">
        <v>53660</v>
      </c>
      <c r="X96" s="217">
        <v>40245</v>
      </c>
      <c r="Y96" s="217">
        <v>0</v>
      </c>
      <c r="Z96" s="217">
        <v>0</v>
      </c>
      <c r="AA96" s="217">
        <v>0</v>
      </c>
      <c r="AB96" s="217">
        <v>0</v>
      </c>
      <c r="AC96" s="217">
        <v>0</v>
      </c>
      <c r="AD96" s="217">
        <v>0</v>
      </c>
      <c r="AE96" s="217">
        <v>0</v>
      </c>
      <c r="AF96" s="217">
        <v>0</v>
      </c>
      <c r="AG96" s="217">
        <v>0</v>
      </c>
      <c r="AH96" s="217">
        <v>0</v>
      </c>
      <c r="AI96" s="217">
        <v>0</v>
      </c>
      <c r="AJ96" s="217">
        <v>0</v>
      </c>
      <c r="AK96" s="217">
        <v>0</v>
      </c>
      <c r="AL96" s="217">
        <v>0</v>
      </c>
      <c r="AM96" s="217">
        <v>0</v>
      </c>
      <c r="AN96" s="217">
        <v>0</v>
      </c>
      <c r="AO96" s="217">
        <v>0</v>
      </c>
      <c r="AP96" s="217">
        <v>0</v>
      </c>
      <c r="AQ96" s="217">
        <v>0</v>
      </c>
      <c r="AR96" s="217"/>
      <c r="AS96" s="217"/>
      <c r="AT96" s="218">
        <f t="shared" si="5"/>
        <v>362205</v>
      </c>
      <c r="AU96" s="219">
        <f t="shared" si="6"/>
        <v>0</v>
      </c>
      <c r="AV96" s="220">
        <f t="shared" si="8"/>
        <v>0</v>
      </c>
      <c r="AW96" s="217">
        <f t="shared" si="7"/>
        <v>362205</v>
      </c>
      <c r="AY96" s="221"/>
    </row>
    <row r="97" spans="2:51" outlineLevel="2" x14ac:dyDescent="0.25">
      <c r="B97" s="222" t="s">
        <v>541</v>
      </c>
      <c r="C97" s="223"/>
      <c r="D97" s="224" t="s">
        <v>826</v>
      </c>
      <c r="E97" s="225"/>
      <c r="F97" s="226"/>
      <c r="G97" s="226"/>
      <c r="H97" s="226"/>
      <c r="I97" s="226"/>
      <c r="J97" s="227"/>
      <c r="K97" s="228"/>
      <c r="L97" s="227" t="s">
        <v>827</v>
      </c>
      <c r="M97" s="227"/>
      <c r="N97" s="229">
        <f>SUM(O97:P97)</f>
        <v>3.597</v>
      </c>
      <c r="O97" s="229">
        <v>3.597</v>
      </c>
      <c r="P97" s="229">
        <f>$P$4</f>
        <v>0</v>
      </c>
      <c r="Q97" s="229" t="s">
        <v>551</v>
      </c>
      <c r="R97" s="230">
        <f>SUM(R96:$AQ96)*$N97/100</f>
        <v>13028.513849999999</v>
      </c>
      <c r="S97" s="230">
        <f>SUM(S96:$AQ96)*$N97/100</f>
        <v>11098.363649999999</v>
      </c>
      <c r="T97" s="230">
        <f>SUM(T96:$AQ96)*$N97/100</f>
        <v>9168.2134499999993</v>
      </c>
      <c r="U97" s="230">
        <f>SUM(U96:$AQ96)*$N97/100</f>
        <v>7238.0632499999992</v>
      </c>
      <c r="V97" s="230">
        <f>SUM(V96:$AQ96)*$N97/100</f>
        <v>5307.9130500000001</v>
      </c>
      <c r="W97" s="230">
        <f>SUM(W96:$AQ96)*$N97/100</f>
        <v>3377.7628499999996</v>
      </c>
      <c r="X97" s="230">
        <f>SUM(X96:$AQ96)*$N97/100</f>
        <v>1447.6126499999998</v>
      </c>
      <c r="Y97" s="230">
        <v>0</v>
      </c>
      <c r="Z97" s="230">
        <v>0</v>
      </c>
      <c r="AA97" s="230">
        <v>0</v>
      </c>
      <c r="AB97" s="230">
        <v>0</v>
      </c>
      <c r="AC97" s="230">
        <v>0</v>
      </c>
      <c r="AD97" s="230">
        <v>0</v>
      </c>
      <c r="AE97" s="230">
        <v>0</v>
      </c>
      <c r="AF97" s="230">
        <v>0</v>
      </c>
      <c r="AG97" s="230">
        <v>0</v>
      </c>
      <c r="AH97" s="230">
        <v>0</v>
      </c>
      <c r="AI97" s="230">
        <v>0</v>
      </c>
      <c r="AJ97" s="230">
        <v>0</v>
      </c>
      <c r="AK97" s="230">
        <v>0</v>
      </c>
      <c r="AL97" s="230">
        <v>0</v>
      </c>
      <c r="AM97" s="230">
        <v>0</v>
      </c>
      <c r="AN97" s="230">
        <v>0</v>
      </c>
      <c r="AO97" s="230">
        <v>0</v>
      </c>
      <c r="AP97" s="230">
        <v>0</v>
      </c>
      <c r="AQ97" s="230">
        <v>0</v>
      </c>
      <c r="AR97" s="230"/>
      <c r="AS97" s="230"/>
      <c r="AT97" s="231">
        <f t="shared" si="5"/>
        <v>50666.442750000002</v>
      </c>
      <c r="AU97" s="219">
        <f t="shared" si="6"/>
        <v>0</v>
      </c>
      <c r="AV97" s="232">
        <f t="shared" si="8"/>
        <v>0</v>
      </c>
      <c r="AW97" s="230">
        <f t="shared" si="7"/>
        <v>50666.442750000002</v>
      </c>
      <c r="AY97" s="221"/>
    </row>
    <row r="98" spans="2:51" s="198" customFormat="1" outlineLevel="2" x14ac:dyDescent="0.25">
      <c r="B98" s="234" t="s">
        <v>586</v>
      </c>
      <c r="C98" s="235">
        <v>47</v>
      </c>
      <c r="D98" s="236" t="s">
        <v>828</v>
      </c>
      <c r="E98" s="212" t="s">
        <v>829</v>
      </c>
      <c r="F98" s="212" t="s">
        <v>830</v>
      </c>
      <c r="G98" s="212" t="s">
        <v>831</v>
      </c>
      <c r="H98" s="212" t="s">
        <v>832</v>
      </c>
      <c r="I98" s="212" t="s">
        <v>547</v>
      </c>
      <c r="J98" s="214">
        <v>6469</v>
      </c>
      <c r="K98" s="215">
        <v>3480</v>
      </c>
      <c r="L98" s="215"/>
      <c r="M98" s="215"/>
      <c r="N98" s="233"/>
      <c r="O98" s="233"/>
      <c r="P98" s="216"/>
      <c r="Q98" s="216" t="s">
        <v>548</v>
      </c>
      <c r="R98" s="217">
        <f>928+305</f>
        <v>1233</v>
      </c>
      <c r="S98" s="217">
        <v>928</v>
      </c>
      <c r="T98" s="217">
        <v>928</v>
      </c>
      <c r="U98" s="217">
        <v>696</v>
      </c>
      <c r="V98" s="217">
        <v>0</v>
      </c>
      <c r="W98" s="217">
        <v>0</v>
      </c>
      <c r="X98" s="217">
        <v>0</v>
      </c>
      <c r="Y98" s="217">
        <v>0</v>
      </c>
      <c r="Z98" s="217">
        <v>0</v>
      </c>
      <c r="AA98" s="217">
        <v>0</v>
      </c>
      <c r="AB98" s="217">
        <v>0</v>
      </c>
      <c r="AC98" s="217">
        <v>0</v>
      </c>
      <c r="AD98" s="217">
        <v>0</v>
      </c>
      <c r="AE98" s="217">
        <v>0</v>
      </c>
      <c r="AF98" s="217">
        <v>0</v>
      </c>
      <c r="AG98" s="217">
        <v>0</v>
      </c>
      <c r="AH98" s="217">
        <v>0</v>
      </c>
      <c r="AI98" s="217">
        <v>0</v>
      </c>
      <c r="AJ98" s="217">
        <v>0</v>
      </c>
      <c r="AK98" s="217">
        <v>0</v>
      </c>
      <c r="AL98" s="217">
        <v>0</v>
      </c>
      <c r="AM98" s="217">
        <v>0</v>
      </c>
      <c r="AN98" s="217">
        <v>0</v>
      </c>
      <c r="AO98" s="217">
        <v>0</v>
      </c>
      <c r="AP98" s="217">
        <v>0</v>
      </c>
      <c r="AQ98" s="217">
        <v>0</v>
      </c>
      <c r="AR98" s="217"/>
      <c r="AS98" s="217"/>
      <c r="AT98" s="217">
        <f t="shared" si="5"/>
        <v>3785</v>
      </c>
      <c r="AU98" s="237">
        <f t="shared" si="6"/>
        <v>0</v>
      </c>
      <c r="AV98" s="220">
        <f t="shared" si="8"/>
        <v>0</v>
      </c>
      <c r="AW98" s="217">
        <f t="shared" si="7"/>
        <v>3785</v>
      </c>
      <c r="AY98" s="221"/>
    </row>
    <row r="99" spans="2:51" s="190" customFormat="1" outlineLevel="2" x14ac:dyDescent="0.25">
      <c r="B99" s="238" t="s">
        <v>586</v>
      </c>
      <c r="C99" s="239"/>
      <c r="D99" s="240" t="s">
        <v>833</v>
      </c>
      <c r="E99" s="225"/>
      <c r="F99" s="225"/>
      <c r="G99" s="225"/>
      <c r="H99" s="225"/>
      <c r="I99" s="225"/>
      <c r="J99" s="227"/>
      <c r="K99" s="228"/>
      <c r="L99" s="227" t="s">
        <v>834</v>
      </c>
      <c r="M99" s="227"/>
      <c r="N99" s="229">
        <f>SUM(O99:P99)</f>
        <v>3.5019999999999998</v>
      </c>
      <c r="O99" s="229">
        <v>3.5019999999999998</v>
      </c>
      <c r="P99" s="229">
        <f>$P$4</f>
        <v>0</v>
      </c>
      <c r="Q99" s="229" t="s">
        <v>551</v>
      </c>
      <c r="R99" s="230">
        <f>SUM(R98:$AQ98)*$N99/100</f>
        <v>132.55070000000001</v>
      </c>
      <c r="S99" s="230">
        <f>SUM(S98:$AQ98)*$N99/100</f>
        <v>89.371039999999994</v>
      </c>
      <c r="T99" s="230">
        <f>SUM(T98:$AQ98)*$N99/100</f>
        <v>56.872479999999996</v>
      </c>
      <c r="U99" s="230">
        <f>SUM(U98:$AQ98)*$N99/100</f>
        <v>24.373919999999998</v>
      </c>
      <c r="V99" s="230">
        <v>0</v>
      </c>
      <c r="W99" s="230">
        <v>0</v>
      </c>
      <c r="X99" s="230">
        <v>0</v>
      </c>
      <c r="Y99" s="230">
        <v>0</v>
      </c>
      <c r="Z99" s="230">
        <v>0</v>
      </c>
      <c r="AA99" s="230">
        <v>0</v>
      </c>
      <c r="AB99" s="230">
        <v>0</v>
      </c>
      <c r="AC99" s="230">
        <v>0</v>
      </c>
      <c r="AD99" s="230">
        <v>0</v>
      </c>
      <c r="AE99" s="230">
        <v>0</v>
      </c>
      <c r="AF99" s="230">
        <v>0</v>
      </c>
      <c r="AG99" s="230">
        <v>0</v>
      </c>
      <c r="AH99" s="230">
        <v>0</v>
      </c>
      <c r="AI99" s="230">
        <v>0</v>
      </c>
      <c r="AJ99" s="230">
        <v>0</v>
      </c>
      <c r="AK99" s="230">
        <v>0</v>
      </c>
      <c r="AL99" s="230">
        <v>0</v>
      </c>
      <c r="AM99" s="230">
        <v>0</v>
      </c>
      <c r="AN99" s="230">
        <v>0</v>
      </c>
      <c r="AO99" s="230">
        <v>0</v>
      </c>
      <c r="AP99" s="230">
        <v>0</v>
      </c>
      <c r="AQ99" s="230">
        <v>0</v>
      </c>
      <c r="AR99" s="230"/>
      <c r="AS99" s="230"/>
      <c r="AT99" s="230">
        <f t="shared" si="5"/>
        <v>303.16813999999999</v>
      </c>
      <c r="AU99" s="237">
        <f t="shared" si="6"/>
        <v>0</v>
      </c>
      <c r="AV99" s="232">
        <f t="shared" si="8"/>
        <v>0</v>
      </c>
      <c r="AW99" s="230">
        <f t="shared" si="7"/>
        <v>303.16813999999999</v>
      </c>
      <c r="AY99" s="221"/>
    </row>
    <row r="100" spans="2:51" s="208" customFormat="1" outlineLevel="2" x14ac:dyDescent="0.25">
      <c r="B100" s="209" t="s">
        <v>586</v>
      </c>
      <c r="C100" s="210">
        <v>48</v>
      </c>
      <c r="D100" s="211" t="s">
        <v>835</v>
      </c>
      <c r="E100" s="212" t="s">
        <v>836</v>
      </c>
      <c r="F100" s="213" t="s">
        <v>837</v>
      </c>
      <c r="G100" s="213" t="s">
        <v>838</v>
      </c>
      <c r="H100" s="213" t="s">
        <v>839</v>
      </c>
      <c r="I100" s="213" t="s">
        <v>547</v>
      </c>
      <c r="J100" s="214">
        <v>503660</v>
      </c>
      <c r="K100" s="215">
        <v>424176</v>
      </c>
      <c r="L100" s="215"/>
      <c r="M100" s="215"/>
      <c r="N100" s="233"/>
      <c r="O100" s="233"/>
      <c r="P100" s="216"/>
      <c r="Q100" s="216" t="s">
        <v>548</v>
      </c>
      <c r="R100" s="217">
        <v>35348</v>
      </c>
      <c r="S100" s="217">
        <v>35348</v>
      </c>
      <c r="T100" s="217">
        <v>35348</v>
      </c>
      <c r="U100" s="217">
        <v>35348</v>
      </c>
      <c r="V100" s="217">
        <v>35348</v>
      </c>
      <c r="W100" s="217">
        <v>35348</v>
      </c>
      <c r="X100" s="217">
        <v>35348</v>
      </c>
      <c r="Y100" s="217">
        <v>35348</v>
      </c>
      <c r="Z100" s="217">
        <v>35348</v>
      </c>
      <c r="AA100" s="217">
        <v>35348</v>
      </c>
      <c r="AB100" s="217">
        <v>35348</v>
      </c>
      <c r="AC100" s="217">
        <v>35348</v>
      </c>
      <c r="AD100" s="217">
        <v>0</v>
      </c>
      <c r="AE100" s="217">
        <v>0</v>
      </c>
      <c r="AF100" s="217">
        <v>0</v>
      </c>
      <c r="AG100" s="217">
        <v>0</v>
      </c>
      <c r="AH100" s="217">
        <v>0</v>
      </c>
      <c r="AI100" s="217">
        <v>0</v>
      </c>
      <c r="AJ100" s="217">
        <v>0</v>
      </c>
      <c r="AK100" s="217">
        <v>0</v>
      </c>
      <c r="AL100" s="217">
        <v>0</v>
      </c>
      <c r="AM100" s="217">
        <v>0</v>
      </c>
      <c r="AN100" s="217">
        <v>0</v>
      </c>
      <c r="AO100" s="217">
        <v>0</v>
      </c>
      <c r="AP100" s="217">
        <v>0</v>
      </c>
      <c r="AQ100" s="217">
        <v>0</v>
      </c>
      <c r="AR100" s="217"/>
      <c r="AS100" s="217"/>
      <c r="AT100" s="218">
        <f t="shared" ref="AT100:AT129" si="9">SUM(R100:AS100)</f>
        <v>424176</v>
      </c>
      <c r="AU100" s="219">
        <f t="shared" ref="AU100:AU127" si="10">AT100-SUM(R100:AS100)</f>
        <v>0</v>
      </c>
      <c r="AV100" s="220">
        <f t="shared" si="8"/>
        <v>176740</v>
      </c>
      <c r="AW100" s="217">
        <f t="shared" si="7"/>
        <v>424176</v>
      </c>
      <c r="AY100" s="221"/>
    </row>
    <row r="101" spans="2:51" outlineLevel="2" x14ac:dyDescent="0.25">
      <c r="B101" s="222" t="s">
        <v>586</v>
      </c>
      <c r="C101" s="223"/>
      <c r="D101" s="224" t="s">
        <v>840</v>
      </c>
      <c r="E101" s="225"/>
      <c r="F101" s="226"/>
      <c r="G101" s="226"/>
      <c r="H101" s="226"/>
      <c r="I101" s="226"/>
      <c r="J101" s="227"/>
      <c r="K101" s="228"/>
      <c r="L101" s="227">
        <v>0</v>
      </c>
      <c r="M101" s="227"/>
      <c r="N101" s="229">
        <f>SUM(O101:P101)</f>
        <v>3.41</v>
      </c>
      <c r="O101" s="229">
        <v>3.41</v>
      </c>
      <c r="P101" s="229">
        <f>$P$4</f>
        <v>0</v>
      </c>
      <c r="Q101" s="229" t="s">
        <v>551</v>
      </c>
      <c r="R101" s="230">
        <f>SUM(R100:$AQ100)*$N101/100</f>
        <v>14464.401600000001</v>
      </c>
      <c r="S101" s="230">
        <f>SUM(S100:$AQ100)*$N101/100</f>
        <v>13259.034799999999</v>
      </c>
      <c r="T101" s="230">
        <f>SUM(T100:$AQ100)*$N101/100</f>
        <v>12053.668</v>
      </c>
      <c r="U101" s="230">
        <f>SUM(U100:$AQ100)*$N101/100</f>
        <v>10848.301200000002</v>
      </c>
      <c r="V101" s="230">
        <f>SUM(V100:$AQ100)*$N101/100</f>
        <v>9642.9344000000001</v>
      </c>
      <c r="W101" s="230">
        <f>SUM(W100:$AQ100)*$N101/100</f>
        <v>8437.5676000000003</v>
      </c>
      <c r="X101" s="230">
        <f>SUM(X100:$AQ100)*$N101/100</f>
        <v>7232.2008000000005</v>
      </c>
      <c r="Y101" s="230">
        <f>SUM(Y100:$AQ100)*$N101/100</f>
        <v>6026.8339999999998</v>
      </c>
      <c r="Z101" s="230">
        <f>SUM(Z100:$AQ100)*$N101/100</f>
        <v>4821.4672</v>
      </c>
      <c r="AA101" s="230">
        <f>SUM(AA100:$AQ100)*$N101/100</f>
        <v>3616.1004000000003</v>
      </c>
      <c r="AB101" s="230">
        <f>SUM(AB100:$AQ100)*$N101/100</f>
        <v>2410.7336</v>
      </c>
      <c r="AC101" s="230">
        <f>SUM(AC100:$AQ100)*$N101/100</f>
        <v>1205.3668</v>
      </c>
      <c r="AD101" s="230">
        <v>0</v>
      </c>
      <c r="AE101" s="230">
        <v>0</v>
      </c>
      <c r="AF101" s="230">
        <v>0</v>
      </c>
      <c r="AG101" s="230">
        <v>0</v>
      </c>
      <c r="AH101" s="230">
        <v>0</v>
      </c>
      <c r="AI101" s="230">
        <v>0</v>
      </c>
      <c r="AJ101" s="230">
        <v>0</v>
      </c>
      <c r="AK101" s="230">
        <v>0</v>
      </c>
      <c r="AL101" s="230">
        <v>0</v>
      </c>
      <c r="AM101" s="230">
        <v>0</v>
      </c>
      <c r="AN101" s="230">
        <v>0</v>
      </c>
      <c r="AO101" s="230">
        <v>0</v>
      </c>
      <c r="AP101" s="230">
        <v>0</v>
      </c>
      <c r="AQ101" s="230">
        <v>0</v>
      </c>
      <c r="AR101" s="230"/>
      <c r="AS101" s="230"/>
      <c r="AT101" s="231">
        <f t="shared" si="9"/>
        <v>94018.610400000005</v>
      </c>
      <c r="AU101" s="219">
        <f t="shared" si="10"/>
        <v>0</v>
      </c>
      <c r="AV101" s="232">
        <f t="shared" si="8"/>
        <v>18080.502</v>
      </c>
      <c r="AW101" s="230">
        <f t="shared" si="7"/>
        <v>94018.610400000005</v>
      </c>
      <c r="AY101" s="221"/>
    </row>
    <row r="102" spans="2:51" s="208" customFormat="1" outlineLevel="2" x14ac:dyDescent="0.25">
      <c r="B102" s="209" t="s">
        <v>586</v>
      </c>
      <c r="C102" s="210">
        <v>49</v>
      </c>
      <c r="D102" s="211" t="s">
        <v>835</v>
      </c>
      <c r="E102" s="212" t="s">
        <v>841</v>
      </c>
      <c r="F102" s="213" t="s">
        <v>842</v>
      </c>
      <c r="G102" s="213" t="s">
        <v>838</v>
      </c>
      <c r="H102" s="213" t="s">
        <v>843</v>
      </c>
      <c r="I102" s="213" t="s">
        <v>547</v>
      </c>
      <c r="J102" s="214">
        <v>300000</v>
      </c>
      <c r="K102" s="215">
        <v>227052</v>
      </c>
      <c r="L102" s="215"/>
      <c r="M102" s="215"/>
      <c r="N102" s="233"/>
      <c r="O102" s="233"/>
      <c r="P102" s="216"/>
      <c r="Q102" s="216" t="s">
        <v>548</v>
      </c>
      <c r="R102" s="217">
        <v>32436</v>
      </c>
      <c r="S102" s="217">
        <v>32436</v>
      </c>
      <c r="T102" s="217">
        <v>32436</v>
      </c>
      <c r="U102" s="217">
        <v>32436</v>
      </c>
      <c r="V102" s="217">
        <v>32436</v>
      </c>
      <c r="W102" s="217">
        <v>32436</v>
      </c>
      <c r="X102" s="217">
        <v>32436</v>
      </c>
      <c r="Y102" s="217">
        <v>0</v>
      </c>
      <c r="Z102" s="217">
        <v>0</v>
      </c>
      <c r="AA102" s="217">
        <v>0</v>
      </c>
      <c r="AB102" s="217">
        <v>0</v>
      </c>
      <c r="AC102" s="217">
        <v>0</v>
      </c>
      <c r="AD102" s="217">
        <v>0</v>
      </c>
      <c r="AE102" s="217">
        <v>0</v>
      </c>
      <c r="AF102" s="217">
        <v>0</v>
      </c>
      <c r="AG102" s="217">
        <v>0</v>
      </c>
      <c r="AH102" s="217">
        <v>0</v>
      </c>
      <c r="AI102" s="217">
        <v>0</v>
      </c>
      <c r="AJ102" s="217">
        <v>0</v>
      </c>
      <c r="AK102" s="217">
        <v>0</v>
      </c>
      <c r="AL102" s="217">
        <v>0</v>
      </c>
      <c r="AM102" s="217">
        <v>0</v>
      </c>
      <c r="AN102" s="217">
        <v>0</v>
      </c>
      <c r="AO102" s="217">
        <v>0</v>
      </c>
      <c r="AP102" s="217">
        <v>0</v>
      </c>
      <c r="AQ102" s="217">
        <v>0</v>
      </c>
      <c r="AR102" s="217"/>
      <c r="AS102" s="217"/>
      <c r="AT102" s="218">
        <f t="shared" si="9"/>
        <v>227052</v>
      </c>
      <c r="AU102" s="219">
        <f t="shared" si="10"/>
        <v>0</v>
      </c>
      <c r="AV102" s="220">
        <f t="shared" si="8"/>
        <v>0</v>
      </c>
      <c r="AW102" s="217">
        <f t="shared" si="7"/>
        <v>227052</v>
      </c>
      <c r="AY102" s="221"/>
    </row>
    <row r="103" spans="2:51" outlineLevel="2" x14ac:dyDescent="0.25">
      <c r="B103" s="222" t="s">
        <v>586</v>
      </c>
      <c r="C103" s="223"/>
      <c r="D103" s="224" t="s">
        <v>844</v>
      </c>
      <c r="E103" s="225"/>
      <c r="F103" s="226"/>
      <c r="G103" s="226"/>
      <c r="H103" s="226"/>
      <c r="I103" s="226"/>
      <c r="J103" s="227"/>
      <c r="K103" s="228"/>
      <c r="L103" s="227">
        <v>0</v>
      </c>
      <c r="M103" s="227"/>
      <c r="N103" s="229">
        <f>SUM(O103:P103)</f>
        <v>3.2160000000000002</v>
      </c>
      <c r="O103" s="229">
        <v>3.2160000000000002</v>
      </c>
      <c r="P103" s="229">
        <f>$P$4</f>
        <v>0</v>
      </c>
      <c r="Q103" s="229" t="s">
        <v>551</v>
      </c>
      <c r="R103" s="230">
        <f>SUM(R102:$AQ102)*$N103/100</f>
        <v>7301.9923200000012</v>
      </c>
      <c r="S103" s="230">
        <f>SUM(S102:$AQ102)*$N103/100</f>
        <v>6258.8505599999999</v>
      </c>
      <c r="T103" s="230">
        <f>SUM(T102:$AQ102)*$N103/100</f>
        <v>5215.7088000000003</v>
      </c>
      <c r="U103" s="230">
        <f>SUM(U102:$AQ102)*$N103/100</f>
        <v>4172.5670399999999</v>
      </c>
      <c r="V103" s="230">
        <f>SUM(V102:$AQ102)*$N103/100</f>
        <v>3129.4252799999999</v>
      </c>
      <c r="W103" s="230">
        <f>SUM(W102:$AQ102)*$N103/100</f>
        <v>2086.28352</v>
      </c>
      <c r="X103" s="230">
        <f>SUM(X102:$AQ102)*$N103/100</f>
        <v>1043.14176</v>
      </c>
      <c r="Y103" s="230">
        <v>0</v>
      </c>
      <c r="Z103" s="230">
        <v>0</v>
      </c>
      <c r="AA103" s="230">
        <v>0</v>
      </c>
      <c r="AB103" s="230">
        <v>0</v>
      </c>
      <c r="AC103" s="230">
        <v>0</v>
      </c>
      <c r="AD103" s="230">
        <v>0</v>
      </c>
      <c r="AE103" s="230">
        <v>0</v>
      </c>
      <c r="AF103" s="230">
        <v>0</v>
      </c>
      <c r="AG103" s="230">
        <v>0</v>
      </c>
      <c r="AH103" s="230">
        <v>0</v>
      </c>
      <c r="AI103" s="230">
        <v>0</v>
      </c>
      <c r="AJ103" s="230">
        <v>0</v>
      </c>
      <c r="AK103" s="230">
        <v>0</v>
      </c>
      <c r="AL103" s="230">
        <v>0</v>
      </c>
      <c r="AM103" s="230">
        <v>0</v>
      </c>
      <c r="AN103" s="230">
        <v>0</v>
      </c>
      <c r="AO103" s="230">
        <v>0</v>
      </c>
      <c r="AP103" s="230">
        <v>0</v>
      </c>
      <c r="AQ103" s="230">
        <v>0</v>
      </c>
      <c r="AR103" s="230"/>
      <c r="AS103" s="230"/>
      <c r="AT103" s="231">
        <f t="shared" si="9"/>
        <v>29207.969279999998</v>
      </c>
      <c r="AU103" s="219">
        <f t="shared" si="10"/>
        <v>0</v>
      </c>
      <c r="AV103" s="232">
        <f t="shared" si="8"/>
        <v>0</v>
      </c>
      <c r="AW103" s="230">
        <f t="shared" si="7"/>
        <v>29207.969279999998</v>
      </c>
      <c r="AY103" s="221"/>
    </row>
    <row r="104" spans="2:51" s="208" customFormat="1" outlineLevel="2" x14ac:dyDescent="0.25">
      <c r="B104" s="209" t="s">
        <v>541</v>
      </c>
      <c r="C104" s="210">
        <v>50</v>
      </c>
      <c r="D104" s="211" t="s">
        <v>845</v>
      </c>
      <c r="E104" s="212" t="s">
        <v>846</v>
      </c>
      <c r="F104" s="213" t="s">
        <v>847</v>
      </c>
      <c r="G104" s="213" t="s">
        <v>848</v>
      </c>
      <c r="H104" s="213" t="s">
        <v>849</v>
      </c>
      <c r="I104" s="213" t="s">
        <v>547</v>
      </c>
      <c r="J104" s="214">
        <v>292889</v>
      </c>
      <c r="K104" s="215">
        <v>173884.25</v>
      </c>
      <c r="L104" s="215"/>
      <c r="M104" s="215"/>
      <c r="N104" s="233"/>
      <c r="O104" s="233"/>
      <c r="P104" s="216"/>
      <c r="Q104" s="216" t="s">
        <v>548</v>
      </c>
      <c r="R104" s="217">
        <v>20200</v>
      </c>
      <c r="S104" s="217">
        <v>20200</v>
      </c>
      <c r="T104" s="217">
        <v>20200</v>
      </c>
      <c r="U104" s="217">
        <v>20200</v>
      </c>
      <c r="V104" s="217">
        <v>20200</v>
      </c>
      <c r="W104" s="217">
        <v>20200</v>
      </c>
      <c r="X104" s="217">
        <v>20200</v>
      </c>
      <c r="Y104" s="217">
        <v>20200</v>
      </c>
      <c r="Z104" s="217">
        <f>20200-7916</f>
        <v>12284</v>
      </c>
      <c r="AA104" s="217"/>
      <c r="AB104" s="217"/>
      <c r="AC104" s="217"/>
      <c r="AD104" s="217">
        <v>0</v>
      </c>
      <c r="AE104" s="217">
        <v>0</v>
      </c>
      <c r="AF104" s="217">
        <v>0</v>
      </c>
      <c r="AG104" s="217">
        <v>0</v>
      </c>
      <c r="AH104" s="217">
        <v>0</v>
      </c>
      <c r="AI104" s="217">
        <v>0</v>
      </c>
      <c r="AJ104" s="217">
        <v>0</v>
      </c>
      <c r="AK104" s="217">
        <v>0</v>
      </c>
      <c r="AL104" s="217">
        <v>0</v>
      </c>
      <c r="AM104" s="217">
        <v>0</v>
      </c>
      <c r="AN104" s="217">
        <v>0</v>
      </c>
      <c r="AO104" s="217">
        <v>0</v>
      </c>
      <c r="AP104" s="217">
        <v>0</v>
      </c>
      <c r="AQ104" s="217">
        <v>0</v>
      </c>
      <c r="AR104" s="217"/>
      <c r="AS104" s="217"/>
      <c r="AT104" s="218">
        <f t="shared" si="9"/>
        <v>173884</v>
      </c>
      <c r="AU104" s="219">
        <f t="shared" si="10"/>
        <v>0</v>
      </c>
      <c r="AV104" s="220">
        <f t="shared" si="8"/>
        <v>32484</v>
      </c>
      <c r="AW104" s="217">
        <f t="shared" si="7"/>
        <v>173884</v>
      </c>
      <c r="AY104" s="221"/>
    </row>
    <row r="105" spans="2:51" outlineLevel="2" x14ac:dyDescent="0.25">
      <c r="B105" s="222" t="s">
        <v>541</v>
      </c>
      <c r="C105" s="223"/>
      <c r="D105" s="224" t="s">
        <v>850</v>
      </c>
      <c r="E105" s="225"/>
      <c r="F105" s="226"/>
      <c r="G105" s="226"/>
      <c r="H105" s="226"/>
      <c r="I105" s="226"/>
      <c r="J105" s="227"/>
      <c r="K105" s="228"/>
      <c r="L105" s="227">
        <v>0</v>
      </c>
      <c r="M105" s="227"/>
      <c r="N105" s="229">
        <f>SUM(O105:P105)</f>
        <v>3.41</v>
      </c>
      <c r="O105" s="229">
        <v>3.41</v>
      </c>
      <c r="P105" s="229">
        <f>$P$4</f>
        <v>0</v>
      </c>
      <c r="Q105" s="229" t="s">
        <v>551</v>
      </c>
      <c r="R105" s="230">
        <f>SUM(R104:$AQ104)*$N105/100</f>
        <v>5929.4444000000003</v>
      </c>
      <c r="S105" s="230">
        <f>SUM(S104:$AQ104)*$N105/100</f>
        <v>5240.6243999999997</v>
      </c>
      <c r="T105" s="230">
        <f>SUM(T104:$AQ104)*$N105/100</f>
        <v>4551.8044</v>
      </c>
      <c r="U105" s="230">
        <f>SUM(U104:$AQ104)*$N105/100</f>
        <v>3862.9843999999998</v>
      </c>
      <c r="V105" s="230">
        <f>SUM(V104:$AQ104)*$N105/100</f>
        <v>3174.1644000000001</v>
      </c>
      <c r="W105" s="230">
        <f>SUM(W104:$AQ104)*$N105/100</f>
        <v>2485.3444</v>
      </c>
      <c r="X105" s="230">
        <f>SUM(X104:$AQ104)*$N105/100</f>
        <v>1796.5244</v>
      </c>
      <c r="Y105" s="230">
        <f>SUM(Y104:$AQ104)*$N105/100</f>
        <v>1107.7044000000001</v>
      </c>
      <c r="Z105" s="230">
        <f>SUM(Z104:$AQ104)*$N105/100</f>
        <v>418.88440000000003</v>
      </c>
      <c r="AA105" s="230">
        <f>SUM(AA104:$AQ104)*$N105/100</f>
        <v>0</v>
      </c>
      <c r="AB105" s="230">
        <f>SUM(AB104:$AQ104)*$N105/100</f>
        <v>0</v>
      </c>
      <c r="AC105" s="230">
        <f>SUM(AC104:$AQ104)*$N105/100</f>
        <v>0</v>
      </c>
      <c r="AD105" s="230">
        <v>0</v>
      </c>
      <c r="AE105" s="230">
        <v>0</v>
      </c>
      <c r="AF105" s="230">
        <v>0</v>
      </c>
      <c r="AG105" s="230">
        <v>0</v>
      </c>
      <c r="AH105" s="230">
        <v>0</v>
      </c>
      <c r="AI105" s="230">
        <v>0</v>
      </c>
      <c r="AJ105" s="230">
        <v>0</v>
      </c>
      <c r="AK105" s="230">
        <v>0</v>
      </c>
      <c r="AL105" s="230">
        <v>0</v>
      </c>
      <c r="AM105" s="230">
        <v>0</v>
      </c>
      <c r="AN105" s="230">
        <v>0</v>
      </c>
      <c r="AO105" s="230">
        <v>0</v>
      </c>
      <c r="AP105" s="230">
        <v>0</v>
      </c>
      <c r="AQ105" s="230">
        <v>0</v>
      </c>
      <c r="AR105" s="230"/>
      <c r="AS105" s="230"/>
      <c r="AT105" s="231">
        <f t="shared" si="9"/>
        <v>28567.479600000002</v>
      </c>
      <c r="AU105" s="219">
        <f t="shared" si="10"/>
        <v>0</v>
      </c>
      <c r="AV105" s="232">
        <f t="shared" si="8"/>
        <v>1526.5888</v>
      </c>
      <c r="AW105" s="230">
        <f t="shared" si="7"/>
        <v>28567.479600000006</v>
      </c>
      <c r="AY105" s="221"/>
    </row>
    <row r="106" spans="2:51" s="208" customFormat="1" outlineLevel="2" x14ac:dyDescent="0.25">
      <c r="B106" s="209" t="s">
        <v>586</v>
      </c>
      <c r="C106" s="210">
        <v>51</v>
      </c>
      <c r="D106" s="211" t="s">
        <v>851</v>
      </c>
      <c r="E106" s="212" t="s">
        <v>852</v>
      </c>
      <c r="F106" s="213" t="s">
        <v>853</v>
      </c>
      <c r="G106" s="213" t="s">
        <v>854</v>
      </c>
      <c r="H106" s="213" t="s">
        <v>749</v>
      </c>
      <c r="I106" s="213" t="s">
        <v>547</v>
      </c>
      <c r="J106" s="214">
        <v>495501</v>
      </c>
      <c r="K106" s="215">
        <v>434650</v>
      </c>
      <c r="L106" s="215"/>
      <c r="M106" s="215"/>
      <c r="N106" s="233"/>
      <c r="O106" s="233"/>
      <c r="P106" s="216"/>
      <c r="Q106" s="216" t="s">
        <v>548</v>
      </c>
      <c r="R106" s="217">
        <v>34772</v>
      </c>
      <c r="S106" s="217">
        <v>34772</v>
      </c>
      <c r="T106" s="217">
        <v>34772</v>
      </c>
      <c r="U106" s="217">
        <v>34772</v>
      </c>
      <c r="V106" s="217">
        <v>34772</v>
      </c>
      <c r="W106" s="217">
        <v>34772</v>
      </c>
      <c r="X106" s="217">
        <v>34772</v>
      </c>
      <c r="Y106" s="217">
        <v>34772</v>
      </c>
      <c r="Z106" s="217">
        <v>34772</v>
      </c>
      <c r="AA106" s="217">
        <v>34772</v>
      </c>
      <c r="AB106" s="217">
        <v>34772</v>
      </c>
      <c r="AC106" s="217">
        <v>34772</v>
      </c>
      <c r="AD106" s="217">
        <v>17386</v>
      </c>
      <c r="AE106" s="217">
        <v>0</v>
      </c>
      <c r="AF106" s="217">
        <v>0</v>
      </c>
      <c r="AG106" s="217">
        <v>0</v>
      </c>
      <c r="AH106" s="217">
        <v>0</v>
      </c>
      <c r="AI106" s="217">
        <v>0</v>
      </c>
      <c r="AJ106" s="217">
        <v>0</v>
      </c>
      <c r="AK106" s="217">
        <v>0</v>
      </c>
      <c r="AL106" s="217">
        <v>0</v>
      </c>
      <c r="AM106" s="217">
        <v>0</v>
      </c>
      <c r="AN106" s="217">
        <v>0</v>
      </c>
      <c r="AO106" s="217">
        <v>0</v>
      </c>
      <c r="AP106" s="217">
        <v>0</v>
      </c>
      <c r="AQ106" s="217">
        <v>0</v>
      </c>
      <c r="AR106" s="217"/>
      <c r="AS106" s="217"/>
      <c r="AT106" s="218">
        <f t="shared" si="9"/>
        <v>434650</v>
      </c>
      <c r="AU106" s="219">
        <f t="shared" si="10"/>
        <v>0</v>
      </c>
      <c r="AV106" s="220">
        <f t="shared" si="8"/>
        <v>191246</v>
      </c>
      <c r="AW106" s="217">
        <f t="shared" si="7"/>
        <v>434650</v>
      </c>
      <c r="AY106" s="221"/>
    </row>
    <row r="107" spans="2:51" outlineLevel="2" x14ac:dyDescent="0.25">
      <c r="B107" s="222" t="s">
        <v>586</v>
      </c>
      <c r="C107" s="223"/>
      <c r="D107" s="224" t="s">
        <v>855</v>
      </c>
      <c r="E107" s="225"/>
      <c r="F107" s="226"/>
      <c r="G107" s="226"/>
      <c r="H107" s="226"/>
      <c r="I107" s="226"/>
      <c r="J107" s="227"/>
      <c r="K107" s="228"/>
      <c r="L107" s="227" t="s">
        <v>856</v>
      </c>
      <c r="M107" s="227"/>
      <c r="N107" s="229">
        <f>SUM(O107:P107)</f>
        <v>3.4969999999999999</v>
      </c>
      <c r="O107" s="229">
        <v>3.4969999999999999</v>
      </c>
      <c r="P107" s="229">
        <f>$P$4</f>
        <v>0</v>
      </c>
      <c r="Q107" s="229" t="s">
        <v>551</v>
      </c>
      <c r="R107" s="230">
        <f>SUM(R106:$AQ106)*$N107/100</f>
        <v>15199.710500000001</v>
      </c>
      <c r="S107" s="230">
        <f>SUM(S106:$AQ106)*$N107/100</f>
        <v>13983.73366</v>
      </c>
      <c r="T107" s="230">
        <f>SUM(T106:$AQ106)*$N107/100</f>
        <v>12767.756820000001</v>
      </c>
      <c r="U107" s="230">
        <f>SUM(U106:$AQ106)*$N107/100</f>
        <v>11551.779979999999</v>
      </c>
      <c r="V107" s="230">
        <f>SUM(V106:$AQ106)*$N107/100</f>
        <v>10335.80314</v>
      </c>
      <c r="W107" s="230">
        <f>SUM(W106:$AQ106)*$N107/100</f>
        <v>9119.8263000000006</v>
      </c>
      <c r="X107" s="230">
        <f>SUM(X106:$AQ106)*$N107/100</f>
        <v>7903.8494600000004</v>
      </c>
      <c r="Y107" s="230">
        <f>SUM(Y106:$AQ106)*$N107/100</f>
        <v>6687.8726200000001</v>
      </c>
      <c r="Z107" s="230">
        <f>SUM(Z106:$AQ106)*$N107/100</f>
        <v>5471.8957799999998</v>
      </c>
      <c r="AA107" s="230">
        <f>SUM(AA106:$AQ106)*$N107/100</f>
        <v>4255.9189399999996</v>
      </c>
      <c r="AB107" s="230">
        <f>SUM(AB106:$AQ106)*$N107/100</f>
        <v>3039.9420999999998</v>
      </c>
      <c r="AC107" s="230">
        <f>SUM(AC106:$AQ106)*$N107/100</f>
        <v>1823.9652599999999</v>
      </c>
      <c r="AD107" s="230">
        <f>SUM(AD106:$AQ106)*$N107/100</f>
        <v>607.98842000000002</v>
      </c>
      <c r="AE107" s="230">
        <v>0</v>
      </c>
      <c r="AF107" s="230">
        <v>0</v>
      </c>
      <c r="AG107" s="230">
        <v>0</v>
      </c>
      <c r="AH107" s="230">
        <v>0</v>
      </c>
      <c r="AI107" s="230">
        <v>0</v>
      </c>
      <c r="AJ107" s="230">
        <v>0</v>
      </c>
      <c r="AK107" s="230">
        <v>0</v>
      </c>
      <c r="AL107" s="230">
        <v>0</v>
      </c>
      <c r="AM107" s="230">
        <v>0</v>
      </c>
      <c r="AN107" s="230">
        <v>0</v>
      </c>
      <c r="AO107" s="230">
        <v>0</v>
      </c>
      <c r="AP107" s="230">
        <v>0</v>
      </c>
      <c r="AQ107" s="230">
        <v>0</v>
      </c>
      <c r="AR107" s="230"/>
      <c r="AS107" s="230"/>
      <c r="AT107" s="231">
        <f t="shared" si="9"/>
        <v>102750.04298</v>
      </c>
      <c r="AU107" s="219">
        <f t="shared" si="10"/>
        <v>0</v>
      </c>
      <c r="AV107" s="232">
        <f t="shared" si="8"/>
        <v>21887.583120000003</v>
      </c>
      <c r="AW107" s="230">
        <f t="shared" si="7"/>
        <v>102750.04298</v>
      </c>
      <c r="AY107" s="221"/>
    </row>
    <row r="108" spans="2:51" s="198" customFormat="1" outlineLevel="1" x14ac:dyDescent="0.25">
      <c r="B108" s="234" t="s">
        <v>541</v>
      </c>
      <c r="C108" s="235">
        <v>52</v>
      </c>
      <c r="D108" s="236" t="s">
        <v>857</v>
      </c>
      <c r="E108" s="212" t="s">
        <v>858</v>
      </c>
      <c r="F108" s="212" t="s">
        <v>859</v>
      </c>
      <c r="G108" s="241">
        <v>45159</v>
      </c>
      <c r="H108" s="212" t="s">
        <v>860</v>
      </c>
      <c r="I108" s="212" t="s">
        <v>547</v>
      </c>
      <c r="J108" s="214">
        <v>165176</v>
      </c>
      <c r="K108" s="215">
        <v>118549.93</v>
      </c>
      <c r="L108" s="215"/>
      <c r="M108" s="215"/>
      <c r="N108" s="233"/>
      <c r="O108" s="233"/>
      <c r="P108" s="216"/>
      <c r="Q108" s="216" t="s">
        <v>548</v>
      </c>
      <c r="R108" s="217">
        <v>31084</v>
      </c>
      <c r="S108" s="217">
        <v>31084</v>
      </c>
      <c r="T108" s="217">
        <v>31084</v>
      </c>
      <c r="U108" s="217">
        <f>31084-5786</f>
        <v>25298</v>
      </c>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8">
        <f t="shared" si="9"/>
        <v>118550</v>
      </c>
      <c r="AU108" s="219">
        <f t="shared" si="10"/>
        <v>0</v>
      </c>
      <c r="AV108" s="220">
        <f t="shared" si="8"/>
        <v>0</v>
      </c>
      <c r="AW108" s="217">
        <f t="shared" si="7"/>
        <v>118550</v>
      </c>
      <c r="AY108" s="221"/>
    </row>
    <row r="109" spans="2:51" s="190" customFormat="1" outlineLevel="1" x14ac:dyDescent="0.25">
      <c r="B109" s="238" t="s">
        <v>541</v>
      </c>
      <c r="C109" s="239"/>
      <c r="D109" s="240" t="s">
        <v>861</v>
      </c>
      <c r="E109" s="225"/>
      <c r="F109" s="225"/>
      <c r="G109" s="225"/>
      <c r="H109" s="225"/>
      <c r="I109" s="225"/>
      <c r="J109" s="227"/>
      <c r="K109" s="228"/>
      <c r="L109" s="227" t="s">
        <v>862</v>
      </c>
      <c r="M109" s="227"/>
      <c r="N109" s="229">
        <f>SUM(O109:P109)</f>
        <v>3.1520000000000001</v>
      </c>
      <c r="O109" s="229">
        <v>3.1520000000000001</v>
      </c>
      <c r="P109" s="229">
        <f>$P$4</f>
        <v>0</v>
      </c>
      <c r="Q109" s="229" t="s">
        <v>551</v>
      </c>
      <c r="R109" s="230">
        <f>SUM(R108:$AQ108)*$N109/100</f>
        <v>3736.6960000000004</v>
      </c>
      <c r="S109" s="230">
        <f>SUM(S108:$AQ108)*$N109/100</f>
        <v>2756.92832</v>
      </c>
      <c r="T109" s="230">
        <f>SUM(T108:$AQ108)*$N109/100</f>
        <v>1777.1606400000001</v>
      </c>
      <c r="U109" s="230">
        <f>SUM(U108:$AQ108)*$N109/100</f>
        <v>797.39296000000002</v>
      </c>
      <c r="V109" s="230"/>
      <c r="W109" s="230"/>
      <c r="X109" s="230"/>
      <c r="Y109" s="230"/>
      <c r="Z109" s="230"/>
      <c r="AA109" s="230"/>
      <c r="AB109" s="230"/>
      <c r="AC109" s="230"/>
      <c r="AD109" s="230"/>
      <c r="AE109" s="230"/>
      <c r="AF109" s="230"/>
      <c r="AG109" s="230"/>
      <c r="AH109" s="230"/>
      <c r="AI109" s="230"/>
      <c r="AJ109" s="230"/>
      <c r="AK109" s="230"/>
      <c r="AL109" s="230"/>
      <c r="AM109" s="230"/>
      <c r="AN109" s="230"/>
      <c r="AO109" s="230"/>
      <c r="AP109" s="230"/>
      <c r="AQ109" s="230"/>
      <c r="AR109" s="230"/>
      <c r="AS109" s="230"/>
      <c r="AT109" s="231">
        <f t="shared" si="9"/>
        <v>9068.1779200000001</v>
      </c>
      <c r="AU109" s="219">
        <f t="shared" si="10"/>
        <v>0</v>
      </c>
      <c r="AV109" s="232">
        <f t="shared" si="8"/>
        <v>0</v>
      </c>
      <c r="AW109" s="230">
        <f t="shared" si="7"/>
        <v>9068.1779200000001</v>
      </c>
      <c r="AY109" s="221"/>
    </row>
    <row r="110" spans="2:51" s="198" customFormat="1" outlineLevel="1" x14ac:dyDescent="0.25">
      <c r="B110" s="234" t="s">
        <v>541</v>
      </c>
      <c r="C110" s="235">
        <v>53</v>
      </c>
      <c r="D110" s="236" t="s">
        <v>863</v>
      </c>
      <c r="E110" s="212" t="s">
        <v>864</v>
      </c>
      <c r="F110" s="212" t="s">
        <v>865</v>
      </c>
      <c r="G110" s="241">
        <v>45215</v>
      </c>
      <c r="H110" s="241">
        <v>49572</v>
      </c>
      <c r="I110" s="212" t="s">
        <v>547</v>
      </c>
      <c r="J110" s="214">
        <v>345038</v>
      </c>
      <c r="K110" s="215">
        <v>284822</v>
      </c>
      <c r="L110" s="215"/>
      <c r="M110" s="215"/>
      <c r="N110" s="233"/>
      <c r="O110" s="233"/>
      <c r="P110" s="216"/>
      <c r="Q110" s="216" t="s">
        <v>548</v>
      </c>
      <c r="R110" s="217">
        <f t="shared" ref="R110:Z110" si="11">7527*4</f>
        <v>30108</v>
      </c>
      <c r="S110" s="217">
        <f t="shared" si="11"/>
        <v>30108</v>
      </c>
      <c r="T110" s="217">
        <f t="shared" si="11"/>
        <v>30108</v>
      </c>
      <c r="U110" s="217">
        <f t="shared" si="11"/>
        <v>30108</v>
      </c>
      <c r="V110" s="217">
        <f t="shared" si="11"/>
        <v>30108</v>
      </c>
      <c r="W110" s="217">
        <f t="shared" si="11"/>
        <v>30108</v>
      </c>
      <c r="X110" s="217">
        <f t="shared" si="11"/>
        <v>30108</v>
      </c>
      <c r="Y110" s="217">
        <f t="shared" si="11"/>
        <v>30108</v>
      </c>
      <c r="Z110" s="217">
        <f t="shared" si="11"/>
        <v>30108</v>
      </c>
      <c r="AA110" s="217">
        <f>7527*2+7508-8712</f>
        <v>13850</v>
      </c>
      <c r="AB110" s="217"/>
      <c r="AC110" s="217"/>
      <c r="AD110" s="217"/>
      <c r="AE110" s="217"/>
      <c r="AF110" s="217"/>
      <c r="AG110" s="217"/>
      <c r="AH110" s="217"/>
      <c r="AI110" s="217"/>
      <c r="AJ110" s="217"/>
      <c r="AK110" s="217"/>
      <c r="AL110" s="217"/>
      <c r="AM110" s="217"/>
      <c r="AN110" s="217"/>
      <c r="AO110" s="217"/>
      <c r="AP110" s="217"/>
      <c r="AQ110" s="217"/>
      <c r="AR110" s="217"/>
      <c r="AS110" s="217"/>
      <c r="AT110" s="218">
        <f t="shared" si="9"/>
        <v>284822</v>
      </c>
      <c r="AU110" s="219">
        <f t="shared" si="10"/>
        <v>0</v>
      </c>
      <c r="AV110" s="220">
        <f t="shared" si="8"/>
        <v>74066</v>
      </c>
      <c r="AW110" s="217">
        <f t="shared" si="7"/>
        <v>284822</v>
      </c>
      <c r="AY110" s="221"/>
    </row>
    <row r="111" spans="2:51" s="190" customFormat="1" outlineLevel="1" x14ac:dyDescent="0.25">
      <c r="B111" s="238" t="s">
        <v>541</v>
      </c>
      <c r="C111" s="239"/>
      <c r="D111" s="240" t="s">
        <v>866</v>
      </c>
      <c r="E111" s="225"/>
      <c r="F111" s="225"/>
      <c r="G111" s="225"/>
      <c r="H111" s="225"/>
      <c r="I111" s="225"/>
      <c r="J111" s="227"/>
      <c r="K111" s="228"/>
      <c r="L111" s="227"/>
      <c r="M111" s="227"/>
      <c r="N111" s="229">
        <f>SUM(O111:P111)</f>
        <v>3.294</v>
      </c>
      <c r="O111" s="229">
        <v>3.294</v>
      </c>
      <c r="P111" s="229"/>
      <c r="Q111" s="229" t="s">
        <v>551</v>
      </c>
      <c r="R111" s="230">
        <f>SUM(R110:$AQ110)*$N111/100</f>
        <v>9382.0366800000011</v>
      </c>
      <c r="S111" s="230">
        <f>SUM(S110:$AQ110)*$N111/100</f>
        <v>8390.27916</v>
      </c>
      <c r="T111" s="230">
        <f>SUM(T110:$AQ110)*$N111/100</f>
        <v>7398.5216399999999</v>
      </c>
      <c r="U111" s="230">
        <f>SUM(U110:$AQ110)*$N111/100</f>
        <v>6406.7641199999998</v>
      </c>
      <c r="V111" s="230">
        <f>SUM(V110:$AQ110)*$N111/100</f>
        <v>5415.0066000000006</v>
      </c>
      <c r="W111" s="230">
        <f>SUM(W110:$AQ110)*$N111/100</f>
        <v>4423.2490799999996</v>
      </c>
      <c r="X111" s="230">
        <f>SUM(X110:$AQ110)*$N111/100</f>
        <v>3431.4915600000004</v>
      </c>
      <c r="Y111" s="230">
        <f>SUM(Y110:$AQ110)*$N111/100</f>
        <v>2439.7340400000003</v>
      </c>
      <c r="Z111" s="230">
        <f>SUM(Z110:$AQ110)*$N111/100</f>
        <v>1447.9765199999999</v>
      </c>
      <c r="AA111" s="230">
        <f>SUM(AA110:$AQ110)*$N111/100</f>
        <v>456.21899999999999</v>
      </c>
      <c r="AB111" s="230"/>
      <c r="AC111" s="230"/>
      <c r="AD111" s="230"/>
      <c r="AE111" s="230"/>
      <c r="AF111" s="230"/>
      <c r="AG111" s="230"/>
      <c r="AH111" s="230"/>
      <c r="AI111" s="230"/>
      <c r="AJ111" s="230"/>
      <c r="AK111" s="230"/>
      <c r="AL111" s="230"/>
      <c r="AM111" s="230"/>
      <c r="AN111" s="230"/>
      <c r="AO111" s="230"/>
      <c r="AP111" s="230"/>
      <c r="AQ111" s="230"/>
      <c r="AR111" s="230"/>
      <c r="AS111" s="230"/>
      <c r="AT111" s="231">
        <f t="shared" si="9"/>
        <v>49191.278400000003</v>
      </c>
      <c r="AU111" s="219">
        <f t="shared" si="10"/>
        <v>0</v>
      </c>
      <c r="AV111" s="232">
        <f t="shared" si="8"/>
        <v>4343.9295600000005</v>
      </c>
      <c r="AW111" s="230">
        <f t="shared" si="7"/>
        <v>49191.27840000001</v>
      </c>
      <c r="AY111" s="221"/>
    </row>
    <row r="112" spans="2:51" s="198" customFormat="1" outlineLevel="1" x14ac:dyDescent="0.25">
      <c r="B112" s="234" t="s">
        <v>541</v>
      </c>
      <c r="C112" s="235">
        <v>54</v>
      </c>
      <c r="D112" s="236" t="s">
        <v>867</v>
      </c>
      <c r="E112" s="212" t="s">
        <v>868</v>
      </c>
      <c r="F112" s="212" t="s">
        <v>869</v>
      </c>
      <c r="G112" s="241">
        <v>45561</v>
      </c>
      <c r="H112" s="241">
        <v>49207</v>
      </c>
      <c r="I112" s="212" t="s">
        <v>547</v>
      </c>
      <c r="J112" s="214">
        <v>729424</v>
      </c>
      <c r="K112" s="215">
        <v>689994</v>
      </c>
      <c r="L112" s="215"/>
      <c r="M112" s="215"/>
      <c r="N112" s="233"/>
      <c r="O112" s="233"/>
      <c r="P112" s="216"/>
      <c r="Q112" s="216" t="s">
        <v>548</v>
      </c>
      <c r="R112" s="217">
        <f>19715*4</f>
        <v>78860</v>
      </c>
      <c r="S112" s="217">
        <f t="shared" ref="S112:Y112" si="12">19715*4</f>
        <v>78860</v>
      </c>
      <c r="T112" s="217">
        <f t="shared" si="12"/>
        <v>78860</v>
      </c>
      <c r="U112" s="217">
        <f t="shared" si="12"/>
        <v>78860</v>
      </c>
      <c r="V112" s="217">
        <f t="shared" si="12"/>
        <v>78860</v>
      </c>
      <c r="W112" s="217">
        <f t="shared" si="12"/>
        <v>78860</v>
      </c>
      <c r="X112" s="217">
        <f t="shared" si="12"/>
        <v>78860</v>
      </c>
      <c r="Y112" s="217">
        <f t="shared" si="12"/>
        <v>78860</v>
      </c>
      <c r="Z112" s="217">
        <v>59114</v>
      </c>
      <c r="AA112" s="217"/>
      <c r="AB112" s="217"/>
      <c r="AC112" s="217"/>
      <c r="AD112" s="217"/>
      <c r="AE112" s="217"/>
      <c r="AF112" s="217"/>
      <c r="AG112" s="217"/>
      <c r="AH112" s="217"/>
      <c r="AI112" s="217"/>
      <c r="AJ112" s="217"/>
      <c r="AK112" s="217"/>
      <c r="AL112" s="217"/>
      <c r="AM112" s="217"/>
      <c r="AN112" s="217"/>
      <c r="AO112" s="217"/>
      <c r="AP112" s="217"/>
      <c r="AQ112" s="217"/>
      <c r="AR112" s="217"/>
      <c r="AS112" s="217"/>
      <c r="AT112" s="218">
        <f t="shared" si="9"/>
        <v>689994</v>
      </c>
      <c r="AU112" s="219">
        <f t="shared" si="10"/>
        <v>0</v>
      </c>
      <c r="AV112" s="220">
        <f t="shared" si="8"/>
        <v>137974</v>
      </c>
      <c r="AW112" s="217">
        <f t="shared" si="7"/>
        <v>689994</v>
      </c>
      <c r="AY112" s="221"/>
    </row>
    <row r="113" spans="2:51" s="190" customFormat="1" ht="14.25" customHeight="1" outlineLevel="1" x14ac:dyDescent="0.25">
      <c r="B113" s="238" t="s">
        <v>541</v>
      </c>
      <c r="C113" s="239"/>
      <c r="D113" s="240" t="s">
        <v>870</v>
      </c>
      <c r="E113" s="225"/>
      <c r="F113" s="225"/>
      <c r="G113" s="225"/>
      <c r="H113" s="225"/>
      <c r="I113" s="225"/>
      <c r="J113" s="227"/>
      <c r="K113" s="228"/>
      <c r="L113" s="227" t="s">
        <v>871</v>
      </c>
      <c r="M113" s="227"/>
      <c r="N113" s="229">
        <f>SUM(O113:P113)</f>
        <v>3.379</v>
      </c>
      <c r="O113" s="229">
        <v>3.379</v>
      </c>
      <c r="P113" s="229">
        <f>$P$4</f>
        <v>0</v>
      </c>
      <c r="Q113" s="229" t="s">
        <v>551</v>
      </c>
      <c r="R113" s="230">
        <f>SUM(R112:$AQ112)*$N113/100</f>
        <v>23314.897259999998</v>
      </c>
      <c r="S113" s="230">
        <f>SUM(S112:$AQ112)*$N113/100</f>
        <v>20650.217860000001</v>
      </c>
      <c r="T113" s="230">
        <f>SUM(T112:$AQ112)*$N113/100</f>
        <v>17985.53846</v>
      </c>
      <c r="U113" s="230">
        <f>SUM(U112:$AQ112)*$N113/100</f>
        <v>15320.859059999999</v>
      </c>
      <c r="V113" s="230">
        <f>SUM(V112:$AQ112)*$N113/100</f>
        <v>12656.17966</v>
      </c>
      <c r="W113" s="230">
        <f>SUM(W112:$AQ112)*$N113/100</f>
        <v>9991.5002599999989</v>
      </c>
      <c r="X113" s="230">
        <f>SUM(X112:$AQ112)*$N113/100</f>
        <v>7326.8208599999998</v>
      </c>
      <c r="Y113" s="230">
        <f>SUM(Y112:$AQ112)*$N113/100</f>
        <v>4662.1414599999998</v>
      </c>
      <c r="Z113" s="230">
        <f>SUM(Z112:$AQ112)*$N113/100</f>
        <v>1997.4620600000001</v>
      </c>
      <c r="AA113" s="230"/>
      <c r="AB113" s="230"/>
      <c r="AC113" s="230"/>
      <c r="AD113" s="230"/>
      <c r="AE113" s="230"/>
      <c r="AF113" s="230"/>
      <c r="AG113" s="230"/>
      <c r="AH113" s="230"/>
      <c r="AI113" s="230"/>
      <c r="AJ113" s="230"/>
      <c r="AK113" s="230"/>
      <c r="AL113" s="230"/>
      <c r="AM113" s="230"/>
      <c r="AN113" s="230"/>
      <c r="AO113" s="230"/>
      <c r="AP113" s="230"/>
      <c r="AQ113" s="230"/>
      <c r="AR113" s="230"/>
      <c r="AS113" s="230"/>
      <c r="AT113" s="231">
        <f t="shared" si="9"/>
        <v>113905.61694000001</v>
      </c>
      <c r="AU113" s="219">
        <f t="shared" si="10"/>
        <v>0</v>
      </c>
      <c r="AV113" s="232">
        <f t="shared" si="8"/>
        <v>6659.6035199999997</v>
      </c>
      <c r="AW113" s="230">
        <f t="shared" si="7"/>
        <v>113905.61694000001</v>
      </c>
      <c r="AY113" s="221"/>
    </row>
    <row r="114" spans="2:51" s="190" customFormat="1" outlineLevel="1" x14ac:dyDescent="0.25">
      <c r="B114" s="234" t="s">
        <v>541</v>
      </c>
      <c r="C114" s="235">
        <v>55</v>
      </c>
      <c r="D114" s="236" t="s">
        <v>333</v>
      </c>
      <c r="E114" s="212" t="s">
        <v>872</v>
      </c>
      <c r="F114" s="212" t="s">
        <v>873</v>
      </c>
      <c r="G114" s="241">
        <v>45616</v>
      </c>
      <c r="H114" s="241">
        <v>47411</v>
      </c>
      <c r="I114" s="212" t="s">
        <v>547</v>
      </c>
      <c r="J114" s="214">
        <v>123379.93</v>
      </c>
      <c r="K114" s="215">
        <v>59450.57</v>
      </c>
      <c r="L114" s="214"/>
      <c r="M114" s="214"/>
      <c r="N114" s="242"/>
      <c r="O114" s="242"/>
      <c r="P114" s="243"/>
      <c r="Q114" s="216" t="s">
        <v>548</v>
      </c>
      <c r="R114" s="217">
        <f>6494*4</f>
        <v>25976</v>
      </c>
      <c r="S114" s="217">
        <f>6494*4</f>
        <v>25976</v>
      </c>
      <c r="T114" s="217">
        <f>6494*4-18477</f>
        <v>7499</v>
      </c>
      <c r="U114" s="217">
        <v>0</v>
      </c>
      <c r="V114" s="217">
        <v>0</v>
      </c>
      <c r="W114" s="217">
        <v>0</v>
      </c>
      <c r="X114" s="217">
        <v>0</v>
      </c>
      <c r="Y114" s="217"/>
      <c r="Z114" s="217"/>
      <c r="AA114" s="217"/>
      <c r="AB114" s="217"/>
      <c r="AC114" s="217"/>
      <c r="AD114" s="217"/>
      <c r="AE114" s="217"/>
      <c r="AF114" s="217"/>
      <c r="AG114" s="217"/>
      <c r="AH114" s="217"/>
      <c r="AI114" s="217"/>
      <c r="AJ114" s="217"/>
      <c r="AK114" s="217"/>
      <c r="AL114" s="217"/>
      <c r="AM114" s="217"/>
      <c r="AN114" s="217"/>
      <c r="AO114" s="217"/>
      <c r="AP114" s="217"/>
      <c r="AQ114" s="217"/>
      <c r="AR114" s="217"/>
      <c r="AS114" s="217"/>
      <c r="AT114" s="217">
        <f t="shared" si="9"/>
        <v>59451</v>
      </c>
      <c r="AU114" s="237">
        <f t="shared" si="10"/>
        <v>0</v>
      </c>
      <c r="AV114" s="220">
        <f t="shared" si="8"/>
        <v>0</v>
      </c>
      <c r="AW114" s="217">
        <f t="shared" si="7"/>
        <v>59451</v>
      </c>
      <c r="AY114" s="221"/>
    </row>
    <row r="115" spans="2:51" s="190" customFormat="1" outlineLevel="1" x14ac:dyDescent="0.25">
      <c r="B115" s="238" t="s">
        <v>541</v>
      </c>
      <c r="C115" s="244"/>
      <c r="D115" s="240"/>
      <c r="E115" s="225"/>
      <c r="F115" s="225"/>
      <c r="G115" s="225"/>
      <c r="H115" s="225"/>
      <c r="I115" s="225"/>
      <c r="J115" s="227"/>
      <c r="K115" s="228"/>
      <c r="L115" s="227" t="s">
        <v>874</v>
      </c>
      <c r="M115" s="227"/>
      <c r="N115" s="229">
        <f>SUM(O115:P115)</f>
        <v>3.177</v>
      </c>
      <c r="O115" s="229">
        <v>3.177</v>
      </c>
      <c r="P115" s="229">
        <f>$P$4</f>
        <v>0</v>
      </c>
      <c r="Q115" s="229" t="s">
        <v>551</v>
      </c>
      <c r="R115" s="230">
        <f>SUM(R114:$AQ114)*$N115/100</f>
        <v>1888.7582699999998</v>
      </c>
      <c r="S115" s="230">
        <f>SUM(S114:$AQ114)*$N115/100</f>
        <v>1063.5007499999999</v>
      </c>
      <c r="T115" s="230">
        <f>SUM(T114:$AQ114)*$N115/100</f>
        <v>238.24323000000001</v>
      </c>
      <c r="U115" s="230">
        <v>0</v>
      </c>
      <c r="V115" s="230">
        <v>0</v>
      </c>
      <c r="W115" s="230">
        <v>0</v>
      </c>
      <c r="X115" s="230">
        <v>0</v>
      </c>
      <c r="Y115" s="230"/>
      <c r="Z115" s="230"/>
      <c r="AA115" s="230"/>
      <c r="AB115" s="230"/>
      <c r="AC115" s="230"/>
      <c r="AD115" s="230"/>
      <c r="AE115" s="230"/>
      <c r="AF115" s="230"/>
      <c r="AG115" s="230"/>
      <c r="AH115" s="230"/>
      <c r="AI115" s="230"/>
      <c r="AJ115" s="230"/>
      <c r="AK115" s="230"/>
      <c r="AL115" s="230"/>
      <c r="AM115" s="230"/>
      <c r="AN115" s="230"/>
      <c r="AO115" s="230"/>
      <c r="AP115" s="230"/>
      <c r="AQ115" s="230"/>
      <c r="AR115" s="230"/>
      <c r="AS115" s="230"/>
      <c r="AT115" s="230">
        <f t="shared" si="9"/>
        <v>3190.5022499999995</v>
      </c>
      <c r="AU115" s="237">
        <f t="shared" si="10"/>
        <v>0</v>
      </c>
      <c r="AV115" s="232">
        <f t="shared" si="8"/>
        <v>0</v>
      </c>
      <c r="AW115" s="230">
        <f t="shared" si="7"/>
        <v>3190.5022499999995</v>
      </c>
      <c r="AY115" s="221"/>
    </row>
    <row r="116" spans="2:51" s="257" customFormat="1" x14ac:dyDescent="0.25">
      <c r="B116" s="245" t="s">
        <v>586</v>
      </c>
      <c r="C116" s="246">
        <v>56</v>
      </c>
      <c r="D116" s="247" t="s">
        <v>875</v>
      </c>
      <c r="E116" s="248" t="s">
        <v>876</v>
      </c>
      <c r="F116" s="248" t="s">
        <v>877</v>
      </c>
      <c r="G116" s="249">
        <v>45915</v>
      </c>
      <c r="H116" s="249">
        <v>47715</v>
      </c>
      <c r="I116" s="248" t="s">
        <v>547</v>
      </c>
      <c r="J116" s="250">
        <v>223584</v>
      </c>
      <c r="K116" s="251"/>
      <c r="L116" s="250"/>
      <c r="M116" s="250"/>
      <c r="N116" s="242"/>
      <c r="O116" s="242"/>
      <c r="P116" s="252"/>
      <c r="Q116" s="253" t="s">
        <v>548</v>
      </c>
      <c r="R116" s="254">
        <f>13152*2</f>
        <v>26304</v>
      </c>
      <c r="S116" s="254">
        <f>13152*4</f>
        <v>52608</v>
      </c>
      <c r="T116" s="254">
        <f t="shared" ref="T116:U116" si="13">13152*4</f>
        <v>52608</v>
      </c>
      <c r="U116" s="254">
        <f t="shared" si="13"/>
        <v>52608</v>
      </c>
      <c r="V116" s="254">
        <f>13152*3</f>
        <v>39456</v>
      </c>
      <c r="W116" s="255">
        <v>0</v>
      </c>
      <c r="X116" s="255">
        <v>0</v>
      </c>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f t="shared" si="9"/>
        <v>223584</v>
      </c>
      <c r="AU116" s="256">
        <f t="shared" si="10"/>
        <v>0</v>
      </c>
      <c r="AV116" s="255">
        <f t="shared" si="8"/>
        <v>0</v>
      </c>
      <c r="AW116" s="254">
        <f t="shared" si="7"/>
        <v>223584</v>
      </c>
      <c r="AY116" s="258"/>
    </row>
    <row r="117" spans="2:51" s="257" customFormat="1" x14ac:dyDescent="0.25">
      <c r="B117" s="259" t="s">
        <v>586</v>
      </c>
      <c r="C117" s="260"/>
      <c r="D117" s="261" t="s">
        <v>878</v>
      </c>
      <c r="E117" s="262"/>
      <c r="F117" s="262"/>
      <c r="G117" s="262"/>
      <c r="H117" s="262"/>
      <c r="I117" s="262"/>
      <c r="J117" s="263"/>
      <c r="K117" s="228"/>
      <c r="L117" s="263"/>
      <c r="M117" s="263"/>
      <c r="N117" s="229">
        <f>SUM(O117:P117)</f>
        <v>2.8180000000000001</v>
      </c>
      <c r="O117" s="229">
        <v>2.8180000000000001</v>
      </c>
      <c r="P117" s="264">
        <f>$P$4</f>
        <v>0</v>
      </c>
      <c r="Q117" s="264" t="s">
        <v>551</v>
      </c>
      <c r="R117" s="265">
        <f>SUM(R116:$AQ116)*$N117/100</f>
        <v>6300.5971200000004</v>
      </c>
      <c r="S117" s="265">
        <f>SUM(S116:$AQ116)*$N117/100</f>
        <v>5559.3504000000003</v>
      </c>
      <c r="T117" s="265">
        <f>SUM(T116:$AQ116)*$N117/100</f>
        <v>4076.8569600000001</v>
      </c>
      <c r="U117" s="265">
        <f>SUM(U116:$AQ116)*$N117/100</f>
        <v>2594.3635200000003</v>
      </c>
      <c r="V117" s="265">
        <f>SUM(V116:$AQ116)*$N117/100</f>
        <v>1111.8700799999999</v>
      </c>
      <c r="W117" s="266">
        <v>0</v>
      </c>
      <c r="X117" s="266">
        <v>0</v>
      </c>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f t="shared" si="9"/>
        <v>19643.038080000002</v>
      </c>
      <c r="AU117" s="256">
        <f t="shared" si="10"/>
        <v>0</v>
      </c>
      <c r="AV117" s="266">
        <f t="shared" si="8"/>
        <v>0</v>
      </c>
      <c r="AW117" s="265">
        <f t="shared" si="7"/>
        <v>19643.038080000002</v>
      </c>
      <c r="AY117" s="258"/>
    </row>
    <row r="118" spans="2:51" s="257" customFormat="1" x14ac:dyDescent="0.25">
      <c r="B118" s="245" t="s">
        <v>586</v>
      </c>
      <c r="C118" s="246">
        <v>57</v>
      </c>
      <c r="D118" s="247" t="s">
        <v>879</v>
      </c>
      <c r="E118" s="248" t="s">
        <v>880</v>
      </c>
      <c r="F118" s="248" t="s">
        <v>881</v>
      </c>
      <c r="G118" s="249">
        <v>45922</v>
      </c>
      <c r="H118" s="249">
        <v>51399</v>
      </c>
      <c r="I118" s="248" t="s">
        <v>547</v>
      </c>
      <c r="J118" s="250">
        <v>2691272</v>
      </c>
      <c r="K118" s="251"/>
      <c r="L118" s="250"/>
      <c r="M118" s="250"/>
      <c r="N118" s="242"/>
      <c r="O118" s="242"/>
      <c r="P118" s="252"/>
      <c r="Q118" s="253" t="s">
        <v>548</v>
      </c>
      <c r="R118" s="254">
        <v>390462</v>
      </c>
      <c r="S118" s="254"/>
      <c r="T118" s="254">
        <f>52771*4</f>
        <v>211084</v>
      </c>
      <c r="U118" s="254">
        <f t="shared" ref="U118:AC118" si="14">52771*4</f>
        <v>211084</v>
      </c>
      <c r="V118" s="254">
        <f t="shared" si="14"/>
        <v>211084</v>
      </c>
      <c r="W118" s="254">
        <f t="shared" si="14"/>
        <v>211084</v>
      </c>
      <c r="X118" s="254">
        <f t="shared" si="14"/>
        <v>211084</v>
      </c>
      <c r="Y118" s="254">
        <f t="shared" si="14"/>
        <v>211084</v>
      </c>
      <c r="Z118" s="254">
        <f t="shared" si="14"/>
        <v>211084</v>
      </c>
      <c r="AA118" s="254">
        <f t="shared" si="14"/>
        <v>211084</v>
      </c>
      <c r="AB118" s="254">
        <f t="shared" si="14"/>
        <v>211084</v>
      </c>
      <c r="AC118" s="254">
        <f t="shared" si="14"/>
        <v>211084</v>
      </c>
      <c r="AD118" s="254">
        <f>52771*4-21114</f>
        <v>189970</v>
      </c>
      <c r="AE118" s="254">
        <f>52771*4-211084</f>
        <v>0</v>
      </c>
      <c r="AF118" s="254">
        <f>52771*3-158313</f>
        <v>0</v>
      </c>
      <c r="AG118" s="254"/>
      <c r="AH118" s="254"/>
      <c r="AI118" s="254"/>
      <c r="AJ118" s="254"/>
      <c r="AK118" s="254"/>
      <c r="AL118" s="254"/>
      <c r="AM118" s="254"/>
      <c r="AN118" s="254"/>
      <c r="AO118" s="254"/>
      <c r="AP118" s="254"/>
      <c r="AQ118" s="254"/>
      <c r="AR118" s="254"/>
      <c r="AS118" s="254"/>
      <c r="AT118" s="254">
        <f t="shared" si="9"/>
        <v>2691272</v>
      </c>
      <c r="AU118" s="256">
        <f t="shared" si="10"/>
        <v>0</v>
      </c>
      <c r="AV118" s="255">
        <f t="shared" si="8"/>
        <v>1245390</v>
      </c>
      <c r="AW118" s="254">
        <f t="shared" si="7"/>
        <v>2691272</v>
      </c>
      <c r="AX118" s="267"/>
      <c r="AY118" s="258"/>
    </row>
    <row r="119" spans="2:51" s="257" customFormat="1" x14ac:dyDescent="0.25">
      <c r="B119" s="259" t="s">
        <v>586</v>
      </c>
      <c r="C119" s="260"/>
      <c r="D119" s="261" t="s">
        <v>882</v>
      </c>
      <c r="E119" s="262"/>
      <c r="F119" s="262"/>
      <c r="G119" s="262"/>
      <c r="H119" s="262"/>
      <c r="I119" s="262"/>
      <c r="J119" s="262"/>
      <c r="K119" s="228"/>
      <c r="L119" s="263"/>
      <c r="M119" s="263"/>
      <c r="N119" s="229">
        <f>SUM(O119:P119)</f>
        <v>3.282</v>
      </c>
      <c r="O119" s="229">
        <v>3.282</v>
      </c>
      <c r="P119" s="264">
        <f>$P$4</f>
        <v>0</v>
      </c>
      <c r="Q119" s="264" t="s">
        <v>551</v>
      </c>
      <c r="R119" s="265">
        <f>SUM(R118:$AQ118)*$N119/100/4</f>
        <v>22081.886760000001</v>
      </c>
      <c r="S119" s="265">
        <f>SUM(S118:$AQ118)*$N119/100</f>
        <v>75512.584199999998</v>
      </c>
      <c r="T119" s="265">
        <f>SUM(T118:$AQ118)*$N119/100-5000</f>
        <v>70512.584199999998</v>
      </c>
      <c r="U119" s="265">
        <f>SUM(U118:$AQ118)*$N119/100</f>
        <v>68584.807319999993</v>
      </c>
      <c r="V119" s="265">
        <f>SUM(V118:$AQ118)*$N119/100</f>
        <v>61657.030439999995</v>
      </c>
      <c r="W119" s="265">
        <f>SUM(W118:$AQ118)*$N119/100</f>
        <v>54729.253559999997</v>
      </c>
      <c r="X119" s="265">
        <f>SUM(X118:$AQ118)*$N119/100</f>
        <v>47801.476679999992</v>
      </c>
      <c r="Y119" s="265">
        <f>SUM(Y118:$AQ118)*$N119/100</f>
        <v>40873.699800000002</v>
      </c>
      <c r="Z119" s="265">
        <f>SUM(Z118:$AQ118)*$N119/100</f>
        <v>33945.922919999997</v>
      </c>
      <c r="AA119" s="265">
        <f>SUM(AA118:$AQ118)*$N119/100</f>
        <v>27018.14604</v>
      </c>
      <c r="AB119" s="265">
        <f>SUM(AB118:$AQ118)*$N119/100</f>
        <v>20090.369159999998</v>
      </c>
      <c r="AC119" s="265">
        <f>SUM(AC118:$AQ118)*$N119/100</f>
        <v>13162.592280000001</v>
      </c>
      <c r="AD119" s="265">
        <f>SUM(AD118:$AQ118)*$N119/100</f>
        <v>6234.8154000000004</v>
      </c>
      <c r="AE119" s="265">
        <f>SUM(AE118:$AQ118)*$N119/100</f>
        <v>0</v>
      </c>
      <c r="AF119" s="265">
        <f>SUM(AF118:$AQ118)*$N119/100</f>
        <v>0</v>
      </c>
      <c r="AG119" s="265">
        <f>SUM(AG118:$AQ118)*$N119/100</f>
        <v>0</v>
      </c>
      <c r="AH119" s="265"/>
      <c r="AI119" s="265"/>
      <c r="AJ119" s="265"/>
      <c r="AK119" s="265"/>
      <c r="AL119" s="265"/>
      <c r="AM119" s="265"/>
      <c r="AN119" s="265"/>
      <c r="AO119" s="265"/>
      <c r="AP119" s="265"/>
      <c r="AQ119" s="265"/>
      <c r="AR119" s="265"/>
      <c r="AS119" s="265"/>
      <c r="AT119" s="265">
        <f t="shared" si="9"/>
        <v>542205.16875999991</v>
      </c>
      <c r="AU119" s="256">
        <f t="shared" si="10"/>
        <v>0</v>
      </c>
      <c r="AV119" s="266">
        <f t="shared" si="8"/>
        <v>141325.54560000001</v>
      </c>
      <c r="AW119" s="265">
        <f t="shared" si="7"/>
        <v>542205.16876000003</v>
      </c>
      <c r="AY119" s="258"/>
    </row>
    <row r="120" spans="2:51" s="257" customFormat="1" x14ac:dyDescent="0.25">
      <c r="B120" s="245" t="s">
        <v>541</v>
      </c>
      <c r="C120" s="246">
        <v>58</v>
      </c>
      <c r="D120" s="247" t="s">
        <v>221</v>
      </c>
      <c r="E120" s="248" t="s">
        <v>883</v>
      </c>
      <c r="F120" s="248" t="s">
        <v>884</v>
      </c>
      <c r="G120" s="249">
        <v>45992</v>
      </c>
      <c r="H120" s="249">
        <v>49633</v>
      </c>
      <c r="I120" s="248" t="s">
        <v>547</v>
      </c>
      <c r="J120" s="250">
        <v>231105</v>
      </c>
      <c r="K120" s="251"/>
      <c r="L120" s="250"/>
      <c r="M120" s="250"/>
      <c r="N120" s="252"/>
      <c r="O120" s="252"/>
      <c r="P120" s="252"/>
      <c r="Q120" s="253" t="s">
        <v>548</v>
      </c>
      <c r="R120" s="254">
        <f>6082*2</f>
        <v>12164</v>
      </c>
      <c r="S120" s="254">
        <f>6082*4</f>
        <v>24328</v>
      </c>
      <c r="T120" s="254">
        <f t="shared" ref="T120:Z120" si="15">6082*4</f>
        <v>24328</v>
      </c>
      <c r="U120" s="254">
        <f t="shared" si="15"/>
        <v>24328</v>
      </c>
      <c r="V120" s="254">
        <f t="shared" si="15"/>
        <v>24328</v>
      </c>
      <c r="W120" s="254">
        <f t="shared" si="15"/>
        <v>24328</v>
      </c>
      <c r="X120" s="254">
        <f t="shared" si="15"/>
        <v>24328</v>
      </c>
      <c r="Y120" s="254">
        <f t="shared" si="15"/>
        <v>24328</v>
      </c>
      <c r="Z120" s="254">
        <f t="shared" si="15"/>
        <v>24328</v>
      </c>
      <c r="AA120" s="254">
        <f>6082*3+6071</f>
        <v>24317</v>
      </c>
      <c r="AB120" s="254"/>
      <c r="AC120" s="254"/>
      <c r="AD120" s="254"/>
      <c r="AE120" s="254"/>
      <c r="AF120" s="254"/>
      <c r="AG120" s="254"/>
      <c r="AH120" s="254"/>
      <c r="AI120" s="254"/>
      <c r="AJ120" s="254"/>
      <c r="AK120" s="254"/>
      <c r="AL120" s="254"/>
      <c r="AM120" s="254"/>
      <c r="AN120" s="254"/>
      <c r="AO120" s="254"/>
      <c r="AP120" s="254"/>
      <c r="AQ120" s="254"/>
      <c r="AR120" s="254"/>
      <c r="AS120" s="254"/>
      <c r="AT120" s="254">
        <f>SUM(R120:AS120)</f>
        <v>231105</v>
      </c>
      <c r="AU120" s="256"/>
      <c r="AV120" s="255">
        <f>SUM(Y120:AS120)</f>
        <v>72973</v>
      </c>
      <c r="AW120" s="254">
        <f>SUM(R120:X120,AV120)</f>
        <v>231105</v>
      </c>
      <c r="AX120" s="267"/>
      <c r="AY120" s="258"/>
    </row>
    <row r="121" spans="2:51" s="257" customFormat="1" x14ac:dyDescent="0.25">
      <c r="B121" s="259" t="s">
        <v>541</v>
      </c>
      <c r="C121" s="260"/>
      <c r="D121" s="261"/>
      <c r="E121" s="262"/>
      <c r="F121" s="262"/>
      <c r="G121" s="262"/>
      <c r="H121" s="262"/>
      <c r="I121" s="262"/>
      <c r="J121" s="262"/>
      <c r="K121" s="228"/>
      <c r="L121" s="263"/>
      <c r="M121" s="263"/>
      <c r="N121" s="264">
        <f>SUM(O121:P121)</f>
        <v>3.0670000000000002</v>
      </c>
      <c r="O121" s="264">
        <v>3.0670000000000002</v>
      </c>
      <c r="P121" s="264">
        <f>$P$4</f>
        <v>0</v>
      </c>
      <c r="Q121" s="264" t="s">
        <v>551</v>
      </c>
      <c r="R121" s="265">
        <f>SUM(R120:$AQ120)*$N121/100</f>
        <v>7087.99035</v>
      </c>
      <c r="S121" s="265">
        <f>SUM(S120:$AQ120)*$N121/100</f>
        <v>6714.92047</v>
      </c>
      <c r="T121" s="265">
        <f>SUM(T120:$AQ120)*$N121/100</f>
        <v>5968.78071</v>
      </c>
      <c r="U121" s="265">
        <f>SUM(U120:$AQ120)*$N121/100</f>
        <v>5222.64095</v>
      </c>
      <c r="V121" s="265">
        <f>SUM(V120:$AQ120)*$N121/100</f>
        <v>4476.50119</v>
      </c>
      <c r="W121" s="265">
        <f>SUM(W120:$AQ120)*$N121/100</f>
        <v>3730.3614300000004</v>
      </c>
      <c r="X121" s="265">
        <f>SUM(X120:$AQ120)*$N121/100</f>
        <v>2984.2216700000004</v>
      </c>
      <c r="Y121" s="265">
        <f>SUM(Y120:$AQ120)*$N121/100</f>
        <v>2238.0819100000003</v>
      </c>
      <c r="Z121" s="265">
        <f>SUM(Z120:$AQ120)*$N121/100</f>
        <v>1491.9421499999999</v>
      </c>
      <c r="AA121" s="265">
        <f>SUM(AA120:$AQ120)*$N121/100</f>
        <v>745.80239000000006</v>
      </c>
      <c r="AB121" s="265"/>
      <c r="AC121" s="265"/>
      <c r="AD121" s="265"/>
      <c r="AE121" s="265"/>
      <c r="AF121" s="265"/>
      <c r="AG121" s="265"/>
      <c r="AH121" s="265"/>
      <c r="AI121" s="265"/>
      <c r="AJ121" s="265"/>
      <c r="AK121" s="265"/>
      <c r="AL121" s="265"/>
      <c r="AM121" s="265"/>
      <c r="AN121" s="265"/>
      <c r="AO121" s="265"/>
      <c r="AP121" s="265"/>
      <c r="AQ121" s="265"/>
      <c r="AR121" s="265"/>
      <c r="AS121" s="265"/>
      <c r="AT121" s="265">
        <f>SUM(R121:AS121)</f>
        <v>40661.243219999997</v>
      </c>
      <c r="AU121" s="256"/>
      <c r="AV121" s="266">
        <f>SUM(Y121:AS121)</f>
        <v>4475.8264500000005</v>
      </c>
      <c r="AW121" s="265">
        <f>SUM(R121:X121,AV121)</f>
        <v>40661.243219999997</v>
      </c>
      <c r="AY121" s="258"/>
    </row>
    <row r="122" spans="2:51" s="257" customFormat="1" x14ac:dyDescent="0.25">
      <c r="B122" s="245" t="s">
        <v>586</v>
      </c>
      <c r="C122" s="246">
        <v>59</v>
      </c>
      <c r="D122" s="247" t="s">
        <v>885</v>
      </c>
      <c r="E122" s="248" t="s">
        <v>886</v>
      </c>
      <c r="F122" s="248" t="s">
        <v>887</v>
      </c>
      <c r="G122" s="249">
        <v>46006</v>
      </c>
      <c r="H122" s="249">
        <v>50729</v>
      </c>
      <c r="I122" s="248" t="s">
        <v>547</v>
      </c>
      <c r="J122" s="250">
        <v>512760</v>
      </c>
      <c r="K122" s="251"/>
      <c r="L122" s="250"/>
      <c r="M122" s="250"/>
      <c r="N122" s="252"/>
      <c r="O122" s="252"/>
      <c r="P122" s="252"/>
      <c r="Q122" s="253" t="s">
        <v>548</v>
      </c>
      <c r="R122" s="254">
        <f>10256*2</f>
        <v>20512</v>
      </c>
      <c r="S122" s="254">
        <f>10256*4</f>
        <v>41024</v>
      </c>
      <c r="T122" s="254">
        <f t="shared" ref="T122:AC122" si="16">10256*4</f>
        <v>41024</v>
      </c>
      <c r="U122" s="254">
        <f t="shared" si="16"/>
        <v>41024</v>
      </c>
      <c r="V122" s="254">
        <f t="shared" si="16"/>
        <v>41024</v>
      </c>
      <c r="W122" s="254">
        <f t="shared" si="16"/>
        <v>41024</v>
      </c>
      <c r="X122" s="254">
        <f t="shared" si="16"/>
        <v>41024</v>
      </c>
      <c r="Y122" s="254">
        <f t="shared" si="16"/>
        <v>41024</v>
      </c>
      <c r="Z122" s="254">
        <f t="shared" si="16"/>
        <v>41024</v>
      </c>
      <c r="AA122" s="254">
        <f t="shared" si="16"/>
        <v>41024</v>
      </c>
      <c r="AB122" s="254">
        <f t="shared" si="16"/>
        <v>41024</v>
      </c>
      <c r="AC122" s="254">
        <f t="shared" si="16"/>
        <v>41024</v>
      </c>
      <c r="AD122" s="254">
        <v>40984</v>
      </c>
      <c r="AE122" s="254"/>
      <c r="AF122" s="254"/>
      <c r="AG122" s="254"/>
      <c r="AH122" s="254"/>
      <c r="AI122" s="254"/>
      <c r="AJ122" s="254"/>
      <c r="AK122" s="254"/>
      <c r="AL122" s="254"/>
      <c r="AM122" s="254"/>
      <c r="AN122" s="254"/>
      <c r="AO122" s="254"/>
      <c r="AP122" s="254"/>
      <c r="AQ122" s="254"/>
      <c r="AR122" s="254"/>
      <c r="AS122" s="254"/>
      <c r="AT122" s="254">
        <f>SUM(R122:AS122)</f>
        <v>512760</v>
      </c>
      <c r="AU122" s="256">
        <f>AT122-SUM(R122:AS122)</f>
        <v>0</v>
      </c>
      <c r="AV122" s="255">
        <f>SUM(Y122:AS122)</f>
        <v>246104</v>
      </c>
      <c r="AW122" s="254">
        <f>SUM(R122:X122,AV122)</f>
        <v>512760</v>
      </c>
      <c r="AX122" s="267"/>
      <c r="AY122" s="258"/>
    </row>
    <row r="123" spans="2:51" s="257" customFormat="1" x14ac:dyDescent="0.25">
      <c r="B123" s="259" t="s">
        <v>586</v>
      </c>
      <c r="C123" s="260"/>
      <c r="D123" s="261"/>
      <c r="E123" s="262"/>
      <c r="F123" s="262"/>
      <c r="G123" s="262"/>
      <c r="H123" s="262"/>
      <c r="I123" s="262"/>
      <c r="J123" s="262"/>
      <c r="K123" s="228"/>
      <c r="L123" s="263"/>
      <c r="M123" s="263"/>
      <c r="N123" s="264">
        <f>SUM(O123:P123)</f>
        <v>3.2869999999999999</v>
      </c>
      <c r="O123" s="264">
        <v>3.2869999999999999</v>
      </c>
      <c r="P123" s="264">
        <f>$P$4</f>
        <v>0</v>
      </c>
      <c r="Q123" s="264" t="s">
        <v>551</v>
      </c>
      <c r="R123" s="265">
        <f>SUM(R122:$AQ122)*$N123/100</f>
        <v>16854.421199999997</v>
      </c>
      <c r="S123" s="265">
        <f>SUM(S122:$AQ122)*$N123/100</f>
        <v>16180.19176</v>
      </c>
      <c r="T123" s="265">
        <f>SUM(T122:$AQ122)*$N123/100</f>
        <v>14831.73288</v>
      </c>
      <c r="U123" s="265">
        <f>SUM(U122:$AQ122)*$N123/100</f>
        <v>13483.273999999999</v>
      </c>
      <c r="V123" s="265">
        <f>SUM(V122:$AQ122)*$N123/100</f>
        <v>12134.815119999999</v>
      </c>
      <c r="W123" s="265">
        <f>SUM(W122:$AQ122)*$N123/100</f>
        <v>10786.356240000001</v>
      </c>
      <c r="X123" s="265">
        <f>SUM(X122:$AQ122)*$N123/100</f>
        <v>9437.8973600000008</v>
      </c>
      <c r="Y123" s="265">
        <f>SUM(Y122:$AQ122)*$N123/100</f>
        <v>8089.4384799999998</v>
      </c>
      <c r="Z123" s="265">
        <f>SUM(Z122:$AQ122)*$N123/100</f>
        <v>6740.9795999999997</v>
      </c>
      <c r="AA123" s="265">
        <f>SUM(AA122:$AQ122)*$N123/100</f>
        <v>5392.5207200000004</v>
      </c>
      <c r="AB123" s="265">
        <f>SUM(AB122:$AQ122)*$N123/100</f>
        <v>4044.0618400000003</v>
      </c>
      <c r="AC123" s="265">
        <f>SUM(AC122:$AQ122)*$N123/100</f>
        <v>2695.6029599999997</v>
      </c>
      <c r="AD123" s="265">
        <f>SUM(AD122:$AQ122)*$N123/100</f>
        <v>1347.14408</v>
      </c>
      <c r="AE123" s="265">
        <f>SUM(AE122:$AQ122)*$N123/100</f>
        <v>0</v>
      </c>
      <c r="AF123" s="265">
        <f>SUM(AF122:$AQ122)*$N123/100</f>
        <v>0</v>
      </c>
      <c r="AG123" s="265">
        <f>SUM(AG122:$AQ122)*$N123/100</f>
        <v>0</v>
      </c>
      <c r="AH123" s="265">
        <f>SUM(AH122:$AQ122)*$N123/100</f>
        <v>0</v>
      </c>
      <c r="AI123" s="265">
        <f>SUM(AI122:$AQ122)*$N123/100</f>
        <v>0</v>
      </c>
      <c r="AJ123" s="265">
        <f>SUM(AJ122:$AQ122)*$N123/100</f>
        <v>0</v>
      </c>
      <c r="AK123" s="265"/>
      <c r="AL123" s="265"/>
      <c r="AM123" s="265"/>
      <c r="AN123" s="265"/>
      <c r="AO123" s="265"/>
      <c r="AP123" s="265"/>
      <c r="AQ123" s="265"/>
      <c r="AR123" s="265"/>
      <c r="AS123" s="265"/>
      <c r="AT123" s="265">
        <f>SUM(R123:AS123)</f>
        <v>122018.43623999998</v>
      </c>
      <c r="AU123" s="256">
        <f>AT123-SUM(R123:AS123)</f>
        <v>0</v>
      </c>
      <c r="AV123" s="266">
        <f>SUM(Y123:AS123)</f>
        <v>28309.74768</v>
      </c>
      <c r="AW123" s="265">
        <f>SUM(R123:X123,AV123)</f>
        <v>122018.43623999998</v>
      </c>
      <c r="AY123" s="258"/>
    </row>
    <row r="124" spans="2:51" s="198" customFormat="1" x14ac:dyDescent="0.25">
      <c r="B124" s="234" t="s">
        <v>541</v>
      </c>
      <c r="C124" s="235">
        <v>60</v>
      </c>
      <c r="D124" s="236" t="s">
        <v>888</v>
      </c>
      <c r="E124" s="212" t="s">
        <v>889</v>
      </c>
      <c r="F124" s="212"/>
      <c r="G124" s="212">
        <v>2026</v>
      </c>
      <c r="H124" s="212">
        <v>2045</v>
      </c>
      <c r="I124" s="212" t="s">
        <v>547</v>
      </c>
      <c r="J124" s="214">
        <v>9672043</v>
      </c>
      <c r="K124" s="215"/>
      <c r="L124" s="215"/>
      <c r="M124" s="215"/>
      <c r="N124" s="216"/>
      <c r="O124" s="216"/>
      <c r="P124" s="216"/>
      <c r="Q124" s="216" t="s">
        <v>548</v>
      </c>
      <c r="R124" s="217"/>
      <c r="S124" s="217">
        <f>$J$124/18/2</f>
        <v>268667.86111111112</v>
      </c>
      <c r="T124" s="217">
        <f>$J$124/18</f>
        <v>537335.72222222225</v>
      </c>
      <c r="U124" s="217">
        <f t="shared" ref="U124:AJ124" si="17">$J$124/18</f>
        <v>537335.72222222225</v>
      </c>
      <c r="V124" s="217">
        <f t="shared" si="17"/>
        <v>537335.72222222225</v>
      </c>
      <c r="W124" s="217">
        <f t="shared" si="17"/>
        <v>537335.72222222225</v>
      </c>
      <c r="X124" s="217">
        <f t="shared" si="17"/>
        <v>537335.72222222225</v>
      </c>
      <c r="Y124" s="217">
        <f t="shared" si="17"/>
        <v>537335.72222222225</v>
      </c>
      <c r="Z124" s="217">
        <f t="shared" si="17"/>
        <v>537335.72222222225</v>
      </c>
      <c r="AA124" s="217">
        <f t="shared" si="17"/>
        <v>537335.72222222225</v>
      </c>
      <c r="AB124" s="217">
        <f t="shared" si="17"/>
        <v>537335.72222222225</v>
      </c>
      <c r="AC124" s="217">
        <f t="shared" si="17"/>
        <v>537335.72222222225</v>
      </c>
      <c r="AD124" s="217">
        <f t="shared" si="17"/>
        <v>537335.72222222225</v>
      </c>
      <c r="AE124" s="217">
        <f t="shared" si="17"/>
        <v>537335.72222222225</v>
      </c>
      <c r="AF124" s="217">
        <f t="shared" si="17"/>
        <v>537335.72222222225</v>
      </c>
      <c r="AG124" s="217">
        <f t="shared" si="17"/>
        <v>537335.72222222225</v>
      </c>
      <c r="AH124" s="217">
        <f t="shared" si="17"/>
        <v>537335.72222222225</v>
      </c>
      <c r="AI124" s="217">
        <f t="shared" si="17"/>
        <v>537335.72222222225</v>
      </c>
      <c r="AJ124" s="217">
        <f t="shared" si="17"/>
        <v>537335.72222222225</v>
      </c>
      <c r="AK124" s="217">
        <f>$J$124/18/2</f>
        <v>268667.86111111112</v>
      </c>
      <c r="AL124" s="217"/>
      <c r="AM124" s="217"/>
      <c r="AN124" s="217"/>
      <c r="AO124" s="217"/>
      <c r="AP124" s="217"/>
      <c r="AQ124" s="217"/>
      <c r="AR124" s="217"/>
      <c r="AS124" s="217"/>
      <c r="AT124" s="217">
        <f t="shared" si="9"/>
        <v>9672042.9999999981</v>
      </c>
      <c r="AU124" s="268">
        <f t="shared" si="10"/>
        <v>0</v>
      </c>
      <c r="AV124" s="220">
        <f t="shared" si="8"/>
        <v>6716696.5277777761</v>
      </c>
      <c r="AW124" s="217">
        <f t="shared" si="7"/>
        <v>9672042.9999999981</v>
      </c>
      <c r="AY124" s="269"/>
    </row>
    <row r="125" spans="2:51" s="198" customFormat="1" x14ac:dyDescent="0.25">
      <c r="B125" s="270" t="s">
        <v>541</v>
      </c>
      <c r="C125" s="244"/>
      <c r="D125" s="240"/>
      <c r="E125" s="225"/>
      <c r="F125" s="225"/>
      <c r="G125" s="225"/>
      <c r="H125" s="225"/>
      <c r="I125" s="225"/>
      <c r="J125" s="227"/>
      <c r="K125" s="271"/>
      <c r="L125" s="271"/>
      <c r="M125" s="271"/>
      <c r="N125" s="272">
        <f>SUM(O125:P125)</f>
        <v>2</v>
      </c>
      <c r="O125" s="272">
        <v>2</v>
      </c>
      <c r="P125" s="272">
        <f>$P$4</f>
        <v>0</v>
      </c>
      <c r="Q125" s="272" t="s">
        <v>551</v>
      </c>
      <c r="R125" s="230">
        <v>96710.43</v>
      </c>
      <c r="S125" s="230">
        <f>SUM(S124:$AQ124)*$N125/100-90000</f>
        <v>103440.85999999996</v>
      </c>
      <c r="T125" s="230">
        <f>SUM(T124:$AQ124)*$N125/100-80000</f>
        <v>108067.50277777776</v>
      </c>
      <c r="U125" s="230">
        <f>SUM(U124:$AQ124)*$N125/100</f>
        <v>177320.78833333333</v>
      </c>
      <c r="V125" s="230">
        <f>SUM(V124:$AQ124)*$N125/100</f>
        <v>166574.07388888884</v>
      </c>
      <c r="W125" s="230">
        <f>SUM(W124:$AQ124)*$N125/100</f>
        <v>155827.35944444442</v>
      </c>
      <c r="X125" s="230">
        <f>SUM(X124:$AQ124)*$N125/100</f>
        <v>145080.64499999996</v>
      </c>
      <c r="Y125" s="230">
        <f>SUM(Y124:$AQ124)*$N125/100</f>
        <v>134333.93055555553</v>
      </c>
      <c r="Z125" s="230">
        <f>SUM(Z124:$AQ124)*$N125/100</f>
        <v>123587.21611111108</v>
      </c>
      <c r="AA125" s="230">
        <f>SUM(AA124:$AQ124)*$N125/100</f>
        <v>112840.50166666665</v>
      </c>
      <c r="AB125" s="230">
        <f>SUM(AB124:$AQ124)*$N125/100</f>
        <v>102093.78722222221</v>
      </c>
      <c r="AC125" s="230">
        <f>SUM(AC124:$AQ124)*$N125/100</f>
        <v>91347.072777777765</v>
      </c>
      <c r="AD125" s="230">
        <f>SUM(AD124:$AQ124)*$N125/100</f>
        <v>80600.358333333323</v>
      </c>
      <c r="AE125" s="230">
        <f>SUM(AE124:$AQ124)*$N125/100</f>
        <v>69853.643888888881</v>
      </c>
      <c r="AF125" s="230">
        <f>SUM(AF124:$AQ124)*$N125/100</f>
        <v>59106.929444444439</v>
      </c>
      <c r="AG125" s="230">
        <f>SUM(AG124:$AQ124)*$N125/100</f>
        <v>48360.214999999997</v>
      </c>
      <c r="AH125" s="230">
        <f>SUM(AH124:$AQ124)*$N125/100</f>
        <v>37613.500555555562</v>
      </c>
      <c r="AI125" s="230">
        <f>SUM(AI124:$AQ124)*$N125/100</f>
        <v>26866.786111111109</v>
      </c>
      <c r="AJ125" s="230">
        <f>SUM(AJ124:$AQ124)*$N125/100</f>
        <v>16120.071666666667</v>
      </c>
      <c r="AK125" s="230">
        <f>SUM(AK124:$AQ124)*$N125/100</f>
        <v>5373.3572222222228</v>
      </c>
      <c r="AL125" s="230"/>
      <c r="AM125" s="230"/>
      <c r="AN125" s="230"/>
      <c r="AO125" s="230"/>
      <c r="AP125" s="230"/>
      <c r="AQ125" s="230"/>
      <c r="AR125" s="230"/>
      <c r="AS125" s="230"/>
      <c r="AT125" s="230">
        <f t="shared" si="9"/>
        <v>1861119.0299999998</v>
      </c>
      <c r="AU125" s="273">
        <f t="shared" si="10"/>
        <v>0</v>
      </c>
      <c r="AV125" s="232">
        <f t="shared" si="8"/>
        <v>908097.37055555533</v>
      </c>
      <c r="AW125" s="230">
        <f t="shared" si="7"/>
        <v>1861119.0299999998</v>
      </c>
      <c r="AY125" s="269"/>
    </row>
    <row r="126" spans="2:51" s="198" customFormat="1" x14ac:dyDescent="0.25">
      <c r="B126" s="234" t="s">
        <v>541</v>
      </c>
      <c r="C126" s="235">
        <v>61</v>
      </c>
      <c r="D126" s="236" t="s">
        <v>890</v>
      </c>
      <c r="E126" s="212" t="s">
        <v>889</v>
      </c>
      <c r="F126" s="212"/>
      <c r="G126" s="212">
        <v>2026</v>
      </c>
      <c r="H126" s="212">
        <v>2036</v>
      </c>
      <c r="I126" s="212" t="s">
        <v>547</v>
      </c>
      <c r="J126" s="214">
        <v>1514893.8</v>
      </c>
      <c r="K126" s="215"/>
      <c r="L126" s="215"/>
      <c r="M126" s="215"/>
      <c r="N126" s="216"/>
      <c r="O126" s="216"/>
      <c r="P126" s="216"/>
      <c r="Q126" s="216" t="s">
        <v>548</v>
      </c>
      <c r="R126" s="217"/>
      <c r="S126" s="217">
        <f>$J$126/8/2</f>
        <v>94680.862500000003</v>
      </c>
      <c r="T126" s="217">
        <f>$J$126/8</f>
        <v>189361.72500000001</v>
      </c>
      <c r="U126" s="217">
        <f t="shared" ref="U126:Z126" si="18">$J$126/8</f>
        <v>189361.72500000001</v>
      </c>
      <c r="V126" s="217">
        <f t="shared" si="18"/>
        <v>189361.72500000001</v>
      </c>
      <c r="W126" s="217">
        <f t="shared" si="18"/>
        <v>189361.72500000001</v>
      </c>
      <c r="X126" s="217">
        <f t="shared" si="18"/>
        <v>189361.72500000001</v>
      </c>
      <c r="Y126" s="217">
        <f t="shared" si="18"/>
        <v>189361.72500000001</v>
      </c>
      <c r="Z126" s="217">
        <f t="shared" si="18"/>
        <v>189361.72500000001</v>
      </c>
      <c r="AA126" s="217">
        <f>$J$126/8/2</f>
        <v>94680.862500000003</v>
      </c>
      <c r="AB126" s="217"/>
      <c r="AC126" s="217"/>
      <c r="AD126" s="217"/>
      <c r="AE126" s="217"/>
      <c r="AF126" s="217"/>
      <c r="AG126" s="217"/>
      <c r="AH126" s="217"/>
      <c r="AI126" s="217"/>
      <c r="AJ126" s="217"/>
      <c r="AK126" s="217"/>
      <c r="AL126" s="217"/>
      <c r="AM126" s="217"/>
      <c r="AN126" s="217"/>
      <c r="AO126" s="217"/>
      <c r="AP126" s="217"/>
      <c r="AQ126" s="217"/>
      <c r="AR126" s="217"/>
      <c r="AS126" s="217"/>
      <c r="AT126" s="217">
        <f t="shared" si="9"/>
        <v>1514893.8</v>
      </c>
      <c r="AU126" s="268">
        <f t="shared" si="10"/>
        <v>0</v>
      </c>
      <c r="AV126" s="220">
        <f t="shared" si="8"/>
        <v>473404.3125</v>
      </c>
      <c r="AW126" s="217">
        <f t="shared" si="7"/>
        <v>1514893.7999999998</v>
      </c>
      <c r="AY126" s="269"/>
    </row>
    <row r="127" spans="2:51" s="198" customFormat="1" x14ac:dyDescent="0.25">
      <c r="B127" s="270" t="s">
        <v>541</v>
      </c>
      <c r="C127" s="244"/>
      <c r="D127" s="240"/>
      <c r="E127" s="225"/>
      <c r="F127" s="225"/>
      <c r="G127" s="225"/>
      <c r="H127" s="225"/>
      <c r="I127" s="225"/>
      <c r="J127" s="227"/>
      <c r="K127" s="271"/>
      <c r="L127" s="271"/>
      <c r="M127" s="271"/>
      <c r="N127" s="272">
        <f>SUM(O127:P127)</f>
        <v>2</v>
      </c>
      <c r="O127" s="272">
        <v>2</v>
      </c>
      <c r="P127" s="272">
        <f>$P$4</f>
        <v>0</v>
      </c>
      <c r="Q127" s="272" t="s">
        <v>551</v>
      </c>
      <c r="R127" s="230">
        <v>16289.407000000003</v>
      </c>
      <c r="S127" s="230">
        <f>SUM(S126:$AQ126)*$N127/100-8000</f>
        <v>22297.876</v>
      </c>
      <c r="T127" s="230">
        <f>SUM(T126:$AQ126)*$N127/100-10000</f>
        <v>18404.258750000005</v>
      </c>
      <c r="U127" s="230">
        <f>SUM(U126:$AQ126)*$N127/100-7000</f>
        <v>17617.024250000002</v>
      </c>
      <c r="V127" s="230">
        <f>SUM(V126:$AQ126)*$N127/100-4000</f>
        <v>16829.78975</v>
      </c>
      <c r="W127" s="230">
        <f>SUM(W126:$AQ126)*$N127/100-2000</f>
        <v>15042.555250000001</v>
      </c>
      <c r="X127" s="230">
        <f>SUM(X126:$AQ126)*$N127/100</f>
        <v>13255.320750000003</v>
      </c>
      <c r="Y127" s="230">
        <f>SUM(Y126:$AQ126)*$N127/100</f>
        <v>9468.0862500000003</v>
      </c>
      <c r="Z127" s="230">
        <f>SUM(Z126:$AQ126)*$N127/100</f>
        <v>5680.8517500000007</v>
      </c>
      <c r="AA127" s="230">
        <f>SUM(AA126:$AQ126)*$N127/100</f>
        <v>1893.61725</v>
      </c>
      <c r="AB127" s="230"/>
      <c r="AC127" s="230"/>
      <c r="AD127" s="230"/>
      <c r="AE127" s="230"/>
      <c r="AF127" s="230"/>
      <c r="AG127" s="230"/>
      <c r="AH127" s="230"/>
      <c r="AI127" s="230"/>
      <c r="AJ127" s="230"/>
      <c r="AK127" s="230"/>
      <c r="AL127" s="230"/>
      <c r="AM127" s="230"/>
      <c r="AN127" s="230"/>
      <c r="AO127" s="230"/>
      <c r="AP127" s="230"/>
      <c r="AQ127" s="230"/>
      <c r="AR127" s="230"/>
      <c r="AS127" s="230"/>
      <c r="AT127" s="230">
        <f t="shared" si="9"/>
        <v>136778.78700000001</v>
      </c>
      <c r="AU127" s="273">
        <f t="shared" si="10"/>
        <v>0</v>
      </c>
      <c r="AV127" s="232">
        <f t="shared" si="8"/>
        <v>17042.555250000001</v>
      </c>
      <c r="AW127" s="230">
        <f t="shared" si="7"/>
        <v>136778.78700000001</v>
      </c>
      <c r="AY127" s="269"/>
    </row>
    <row r="128" spans="2:51" s="198" customFormat="1" x14ac:dyDescent="0.25">
      <c r="B128" s="234" t="s">
        <v>541</v>
      </c>
      <c r="C128" s="235">
        <v>62</v>
      </c>
      <c r="D128" s="236" t="s">
        <v>891</v>
      </c>
      <c r="E128" s="212" t="s">
        <v>889</v>
      </c>
      <c r="F128" s="212"/>
      <c r="G128" s="212">
        <v>2026</v>
      </c>
      <c r="H128" s="212">
        <v>2036</v>
      </c>
      <c r="I128" s="212" t="s">
        <v>547</v>
      </c>
      <c r="J128" s="214">
        <v>240428.40000000014</v>
      </c>
      <c r="K128" s="215"/>
      <c r="L128" s="215"/>
      <c r="M128" s="215"/>
      <c r="N128" s="216"/>
      <c r="O128" s="216"/>
      <c r="P128" s="216"/>
      <c r="Q128" s="216" t="s">
        <v>548</v>
      </c>
      <c r="R128" s="217"/>
      <c r="S128" s="217">
        <f t="shared" ref="S128:AB128" si="19">$J$128/10</f>
        <v>24042.840000000015</v>
      </c>
      <c r="T128" s="217">
        <f t="shared" si="19"/>
        <v>24042.840000000015</v>
      </c>
      <c r="U128" s="217">
        <f t="shared" si="19"/>
        <v>24042.840000000015</v>
      </c>
      <c r="V128" s="217">
        <f t="shared" si="19"/>
        <v>24042.840000000015</v>
      </c>
      <c r="W128" s="217">
        <f t="shared" si="19"/>
        <v>24042.840000000015</v>
      </c>
      <c r="X128" s="217">
        <f t="shared" si="19"/>
        <v>24042.840000000015</v>
      </c>
      <c r="Y128" s="217">
        <f t="shared" si="19"/>
        <v>24042.840000000015</v>
      </c>
      <c r="Z128" s="217">
        <f t="shared" si="19"/>
        <v>24042.840000000015</v>
      </c>
      <c r="AA128" s="217">
        <f t="shared" si="19"/>
        <v>24042.840000000015</v>
      </c>
      <c r="AB128" s="217">
        <f t="shared" si="19"/>
        <v>24042.840000000015</v>
      </c>
      <c r="AC128" s="217"/>
      <c r="AD128" s="217"/>
      <c r="AE128" s="217"/>
      <c r="AF128" s="217"/>
      <c r="AG128" s="217"/>
      <c r="AH128" s="217"/>
      <c r="AI128" s="217"/>
      <c r="AJ128" s="217"/>
      <c r="AK128" s="217"/>
      <c r="AL128" s="217"/>
      <c r="AM128" s="217"/>
      <c r="AN128" s="217"/>
      <c r="AO128" s="217"/>
      <c r="AP128" s="217"/>
      <c r="AQ128" s="217"/>
      <c r="AR128" s="217"/>
      <c r="AS128" s="217"/>
      <c r="AT128" s="217">
        <f t="shared" si="9"/>
        <v>240428.4000000002</v>
      </c>
      <c r="AU128" s="268"/>
      <c r="AV128" s="220">
        <f t="shared" si="8"/>
        <v>96171.360000000059</v>
      </c>
      <c r="AW128" s="217">
        <f t="shared" si="7"/>
        <v>240428.40000000014</v>
      </c>
      <c r="AY128" s="269"/>
    </row>
    <row r="129" spans="2:51" s="198" customFormat="1" x14ac:dyDescent="0.25">
      <c r="B129" s="270" t="s">
        <v>541</v>
      </c>
      <c r="C129" s="244"/>
      <c r="D129" s="240" t="s">
        <v>892</v>
      </c>
      <c r="E129" s="240"/>
      <c r="F129" s="240"/>
      <c r="G129" s="240"/>
      <c r="H129" s="240"/>
      <c r="I129" s="240"/>
      <c r="J129" s="271"/>
      <c r="K129" s="271"/>
      <c r="L129" s="271"/>
      <c r="M129" s="271"/>
      <c r="N129" s="272">
        <f>SUM(O129:P129)</f>
        <v>2</v>
      </c>
      <c r="O129" s="272">
        <v>2</v>
      </c>
      <c r="P129" s="272">
        <f>$P$4</f>
        <v>0</v>
      </c>
      <c r="Q129" s="272" t="s">
        <v>551</v>
      </c>
      <c r="R129" s="230">
        <v>7212.8520000000062</v>
      </c>
      <c r="S129" s="230">
        <f>SUM(S128:$AQ128)*$N129/100</f>
        <v>4808.5680000000038</v>
      </c>
      <c r="T129" s="230">
        <f>SUM(T128:$AQ128)*$N129/100</f>
        <v>4327.7112000000034</v>
      </c>
      <c r="U129" s="230">
        <f>SUM(U128:$AQ128)*$N129/100</f>
        <v>3846.8544000000029</v>
      </c>
      <c r="V129" s="230">
        <f>SUM(V128:$AQ128)*$N129/100</f>
        <v>3365.9976000000024</v>
      </c>
      <c r="W129" s="230">
        <f>SUM(W128:$AQ128)*$N129/100</f>
        <v>2885.1408000000019</v>
      </c>
      <c r="X129" s="230">
        <f>SUM(X128:$AQ128)*$N129/100</f>
        <v>2404.2840000000015</v>
      </c>
      <c r="Y129" s="230">
        <f>SUM(Y128:$AQ128)*$N129/100</f>
        <v>1923.4272000000012</v>
      </c>
      <c r="Z129" s="230">
        <f>SUM(Z128:$AQ128)*$N129/100</f>
        <v>1442.570400000001</v>
      </c>
      <c r="AA129" s="230">
        <f>SUM(AA128:$AQ128)*$N129/100</f>
        <v>961.71360000000061</v>
      </c>
      <c r="AB129" s="230">
        <f>SUM(AB128:$AQ128)*$N129/100</f>
        <v>480.85680000000031</v>
      </c>
      <c r="AC129" s="230"/>
      <c r="AD129" s="230"/>
      <c r="AE129" s="230"/>
      <c r="AF129" s="230"/>
      <c r="AG129" s="230"/>
      <c r="AH129" s="230"/>
      <c r="AI129" s="230"/>
      <c r="AJ129" s="230"/>
      <c r="AK129" s="230"/>
      <c r="AL129" s="230"/>
      <c r="AM129" s="230"/>
      <c r="AN129" s="230"/>
      <c r="AO129" s="230"/>
      <c r="AP129" s="230"/>
      <c r="AQ129" s="230"/>
      <c r="AR129" s="230"/>
      <c r="AS129" s="230"/>
      <c r="AT129" s="230">
        <f t="shared" si="9"/>
        <v>33659.976000000024</v>
      </c>
      <c r="AU129" s="273"/>
      <c r="AV129" s="232">
        <f t="shared" si="8"/>
        <v>4808.5680000000038</v>
      </c>
      <c r="AW129" s="230">
        <f t="shared" si="7"/>
        <v>33659.976000000024</v>
      </c>
      <c r="AY129" s="269"/>
    </row>
    <row r="131" spans="2:51" hidden="1" outlineLevel="1" x14ac:dyDescent="0.25">
      <c r="J131" s="269">
        <f>SUM(J6:J129)</f>
        <v>81924246.579999998</v>
      </c>
      <c r="K131" s="274"/>
      <c r="L131" s="274"/>
      <c r="M131" s="274"/>
      <c r="N131" s="275"/>
      <c r="O131" s="275"/>
      <c r="P131" s="275"/>
      <c r="Q131" s="275"/>
      <c r="R131" s="274"/>
      <c r="S131" s="274"/>
      <c r="T131" s="274"/>
      <c r="U131" s="274"/>
      <c r="V131" s="274"/>
      <c r="W131" s="274"/>
      <c r="X131" s="274"/>
      <c r="Y131" s="274"/>
      <c r="Z131" s="274"/>
      <c r="AA131" s="274"/>
      <c r="AB131" s="274"/>
      <c r="AC131" s="274"/>
      <c r="AD131" s="274"/>
      <c r="AE131" s="274"/>
      <c r="AF131" s="274"/>
      <c r="AG131" s="274"/>
      <c r="AH131" s="274"/>
      <c r="AI131" s="274"/>
      <c r="AJ131" s="274"/>
      <c r="AK131" s="274"/>
      <c r="AL131" s="274"/>
      <c r="AM131" s="274"/>
      <c r="AN131" s="274"/>
      <c r="AO131" s="274"/>
      <c r="AP131" s="274"/>
      <c r="AQ131" s="274"/>
      <c r="AR131" s="274"/>
      <c r="AS131" s="274"/>
      <c r="AT131" s="274"/>
      <c r="AU131" s="276">
        <f t="shared" ref="AU131:AU134" si="20">AT131-SUM(R131:AS131)</f>
        <v>0</v>
      </c>
      <c r="AV131" s="274">
        <f>SUM(X131:AS131)</f>
        <v>0</v>
      </c>
      <c r="AW131" s="274">
        <f>SUM(R131:W131,AV131)</f>
        <v>0</v>
      </c>
      <c r="AY131" s="221"/>
    </row>
    <row r="132" spans="2:51" s="208" customFormat="1" collapsed="1" x14ac:dyDescent="0.25">
      <c r="E132" s="198"/>
      <c r="H132" s="277"/>
      <c r="I132" s="278"/>
      <c r="J132" s="221"/>
      <c r="K132" s="221">
        <f>SUM(K6:K129)</f>
        <v>44352623.920000002</v>
      </c>
      <c r="L132" s="221"/>
      <c r="M132" s="221"/>
      <c r="N132" s="279">
        <f>AVERAGE(N7:N129)</f>
        <v>2.708338709677419</v>
      </c>
      <c r="O132" s="221"/>
      <c r="P132" s="274"/>
      <c r="Q132" s="280" t="s">
        <v>548</v>
      </c>
      <c r="R132" s="217">
        <f t="shared" ref="R132:AG133" si="21">SUMIF($Q$6:$Q$129,$Q132,R$6:R$129)</f>
        <v>3907497.16</v>
      </c>
      <c r="S132" s="217">
        <f t="shared" si="21"/>
        <v>3804714.0236111106</v>
      </c>
      <c r="T132" s="217">
        <f t="shared" si="21"/>
        <v>4320686.4472222216</v>
      </c>
      <c r="U132" s="217">
        <f t="shared" si="21"/>
        <v>4242592.4472222216</v>
      </c>
      <c r="V132" s="217">
        <f t="shared" si="21"/>
        <v>4175079.4472222221</v>
      </c>
      <c r="W132" s="217">
        <f t="shared" si="21"/>
        <v>4088621.1072222223</v>
      </c>
      <c r="X132" s="217">
        <f t="shared" si="21"/>
        <v>3429993.9972222219</v>
      </c>
      <c r="Y132" s="217">
        <f t="shared" si="21"/>
        <v>3267262.037222222</v>
      </c>
      <c r="Z132" s="217">
        <f t="shared" si="21"/>
        <v>2897527.0472222217</v>
      </c>
      <c r="AA132" s="217">
        <f t="shared" si="21"/>
        <v>2598958.1847222219</v>
      </c>
      <c r="AB132" s="217">
        <f t="shared" si="21"/>
        <v>2359563.2722222218</v>
      </c>
      <c r="AC132" s="217">
        <f t="shared" si="21"/>
        <v>2224707.722222222</v>
      </c>
      <c r="AD132" s="217">
        <f t="shared" si="21"/>
        <v>2089349.7222222222</v>
      </c>
      <c r="AE132" s="217">
        <f t="shared" si="21"/>
        <v>1786267.7222222222</v>
      </c>
      <c r="AF132" s="217">
        <f t="shared" si="21"/>
        <v>1745217.7622222223</v>
      </c>
      <c r="AG132" s="217">
        <f t="shared" si="21"/>
        <v>1728696.7922222223</v>
      </c>
      <c r="AH132" s="217">
        <f t="shared" ref="AH132:AS133" si="22">SUMIF($Q$6:$Q$129,$Q132,AH$6:AH$129)</f>
        <v>1721683.7222222222</v>
      </c>
      <c r="AI132" s="217">
        <f t="shared" si="22"/>
        <v>1721683.7222222222</v>
      </c>
      <c r="AJ132" s="217">
        <f t="shared" si="22"/>
        <v>1721683.7222222222</v>
      </c>
      <c r="AK132" s="217">
        <f t="shared" si="22"/>
        <v>1453015.861111111</v>
      </c>
      <c r="AL132" s="217">
        <f t="shared" si="22"/>
        <v>1184348</v>
      </c>
      <c r="AM132" s="217">
        <f t="shared" si="22"/>
        <v>1184348</v>
      </c>
      <c r="AN132" s="217">
        <f t="shared" si="22"/>
        <v>867315.83000000007</v>
      </c>
      <c r="AO132" s="217">
        <f t="shared" si="22"/>
        <v>452632</v>
      </c>
      <c r="AP132" s="217">
        <f t="shared" si="22"/>
        <v>409981</v>
      </c>
      <c r="AQ132" s="217">
        <f t="shared" si="22"/>
        <v>55587.92</v>
      </c>
      <c r="AR132" s="217">
        <f t="shared" si="22"/>
        <v>0</v>
      </c>
      <c r="AS132" s="217">
        <f t="shared" si="22"/>
        <v>0</v>
      </c>
      <c r="AT132" s="217">
        <f>SUM(R132:AS132)</f>
        <v>59439014.670000009</v>
      </c>
      <c r="AU132" s="276">
        <f t="shared" si="20"/>
        <v>0</v>
      </c>
      <c r="AV132" s="217">
        <f t="shared" ref="AV132:AV134" si="23">SUM(Y132:AS132)</f>
        <v>31469830.040277787</v>
      </c>
      <c r="AW132" s="217">
        <f t="shared" ref="AW132:AW134" si="24">SUM(R132:X132,AV132)</f>
        <v>59439014.670000002</v>
      </c>
      <c r="AY132" s="221"/>
    </row>
    <row r="133" spans="2:51" x14ac:dyDescent="0.25">
      <c r="H133" s="277"/>
      <c r="J133" s="221"/>
      <c r="K133" s="194"/>
      <c r="L133" s="194"/>
      <c r="M133" s="194"/>
      <c r="N133" s="194"/>
      <c r="O133" s="194"/>
      <c r="P133" s="274"/>
      <c r="Q133" s="281" t="s">
        <v>551</v>
      </c>
      <c r="R133" s="230">
        <f t="shared" si="21"/>
        <v>1402431.3806191001</v>
      </c>
      <c r="S133" s="230">
        <f t="shared" si="21"/>
        <v>1379718.4488190997</v>
      </c>
      <c r="T133" s="230">
        <f t="shared" si="21"/>
        <v>1256534.180915178</v>
      </c>
      <c r="U133" s="230">
        <f t="shared" si="21"/>
        <v>1253798.2083607337</v>
      </c>
      <c r="V133" s="230">
        <f t="shared" si="21"/>
        <v>1144173.0994862886</v>
      </c>
      <c r="W133" s="230">
        <f t="shared" si="21"/>
        <v>1035484.2313418447</v>
      </c>
      <c r="X133" s="230">
        <f t="shared" si="21"/>
        <v>929538.14587279991</v>
      </c>
      <c r="Y133" s="230">
        <f t="shared" si="21"/>
        <v>838014.45009835565</v>
      </c>
      <c r="Z133" s="230">
        <f t="shared" si="21"/>
        <v>751387.15772221109</v>
      </c>
      <c r="AA133" s="230">
        <f t="shared" si="21"/>
        <v>674760.78725776658</v>
      </c>
      <c r="AB133" s="230">
        <f t="shared" si="21"/>
        <v>606204.16345332202</v>
      </c>
      <c r="AC133" s="230">
        <f t="shared" si="21"/>
        <v>543495.93652887782</v>
      </c>
      <c r="AD133" s="230">
        <f t="shared" si="21"/>
        <v>483889.11944443331</v>
      </c>
      <c r="AE133" s="230">
        <f t="shared" si="21"/>
        <v>428336.55233998888</v>
      </c>
      <c r="AF133" s="230">
        <f t="shared" si="21"/>
        <v>382343.18465554441</v>
      </c>
      <c r="AG133" s="230">
        <f t="shared" si="21"/>
        <v>337417.46397909999</v>
      </c>
      <c r="AH133" s="230">
        <f t="shared" si="22"/>
        <v>292942.80002875556</v>
      </c>
      <c r="AI133" s="230">
        <f t="shared" si="22"/>
        <v>248646.05766431105</v>
      </c>
      <c r="AJ133" s="230">
        <f t="shared" si="22"/>
        <v>204349.31529986666</v>
      </c>
      <c r="AK133" s="230">
        <f t="shared" si="22"/>
        <v>160052.57293542221</v>
      </c>
      <c r="AL133" s="230">
        <f t="shared" si="22"/>
        <v>121129.18779319999</v>
      </c>
      <c r="AM133" s="230">
        <f t="shared" si="22"/>
        <v>87579.159873199984</v>
      </c>
      <c r="AN133" s="230">
        <f t="shared" si="22"/>
        <v>54029.131953199991</v>
      </c>
      <c r="AO133" s="230">
        <f t="shared" si="22"/>
        <v>29303.884686399997</v>
      </c>
      <c r="AP133" s="230">
        <f t="shared" si="22"/>
        <v>15006.094726399999</v>
      </c>
      <c r="AQ133" s="230">
        <f t="shared" si="22"/>
        <v>1749.3202464000001</v>
      </c>
      <c r="AR133" s="230">
        <f t="shared" si="22"/>
        <v>0</v>
      </c>
      <c r="AS133" s="230">
        <f t="shared" si="22"/>
        <v>0</v>
      </c>
      <c r="AT133" s="230">
        <f>SUM(R133:AS133)</f>
        <v>14662314.036101805</v>
      </c>
      <c r="AU133" s="276">
        <f t="shared" si="20"/>
        <v>0</v>
      </c>
      <c r="AV133" s="230">
        <f t="shared" si="23"/>
        <v>6260636.3406867553</v>
      </c>
      <c r="AW133" s="230">
        <f t="shared" si="24"/>
        <v>14662314.036101799</v>
      </c>
      <c r="AY133" s="221"/>
    </row>
    <row r="134" spans="2:51" s="198" customFormat="1" x14ac:dyDescent="0.25">
      <c r="H134" s="277"/>
      <c r="J134" s="221"/>
      <c r="O134" s="269"/>
      <c r="P134" s="274"/>
      <c r="Q134" s="280" t="s">
        <v>893</v>
      </c>
      <c r="R134" s="282">
        <f t="shared" ref="R134:AS134" si="25">SUM(R132:R133)</f>
        <v>5309928.5406191004</v>
      </c>
      <c r="S134" s="282">
        <f t="shared" si="25"/>
        <v>5184432.4724302106</v>
      </c>
      <c r="T134" s="282">
        <f t="shared" si="25"/>
        <v>5577220.6281373994</v>
      </c>
      <c r="U134" s="282">
        <f t="shared" si="25"/>
        <v>5496390.6555829551</v>
      </c>
      <c r="V134" s="282">
        <f t="shared" si="25"/>
        <v>5319252.5467085112</v>
      </c>
      <c r="W134" s="282">
        <f t="shared" si="25"/>
        <v>5124105.3385640671</v>
      </c>
      <c r="X134" s="282">
        <f t="shared" si="25"/>
        <v>4359532.1430950221</v>
      </c>
      <c r="Y134" s="282">
        <f t="shared" si="25"/>
        <v>4105276.4873205777</v>
      </c>
      <c r="Z134" s="282">
        <f t="shared" si="25"/>
        <v>3648914.2049444327</v>
      </c>
      <c r="AA134" s="282">
        <f t="shared" si="25"/>
        <v>3273718.9719799887</v>
      </c>
      <c r="AB134" s="282">
        <f t="shared" si="25"/>
        <v>2965767.4356755437</v>
      </c>
      <c r="AC134" s="282">
        <f t="shared" si="25"/>
        <v>2768203.6587510998</v>
      </c>
      <c r="AD134" s="282">
        <f t="shared" si="25"/>
        <v>2573238.8416666556</v>
      </c>
      <c r="AE134" s="282">
        <f t="shared" si="25"/>
        <v>2214604.2745622112</v>
      </c>
      <c r="AF134" s="282">
        <f t="shared" si="25"/>
        <v>2127560.9468777669</v>
      </c>
      <c r="AG134" s="282">
        <f t="shared" si="25"/>
        <v>2066114.2562013222</v>
      </c>
      <c r="AH134" s="282">
        <f t="shared" si="25"/>
        <v>2014626.5222509778</v>
      </c>
      <c r="AI134" s="282">
        <f t="shared" si="25"/>
        <v>1970329.7798865333</v>
      </c>
      <c r="AJ134" s="282">
        <f t="shared" si="25"/>
        <v>1926033.037522089</v>
      </c>
      <c r="AK134" s="282">
        <f t="shared" si="25"/>
        <v>1613068.4340465332</v>
      </c>
      <c r="AL134" s="282">
        <f t="shared" si="25"/>
        <v>1305477.1877931999</v>
      </c>
      <c r="AM134" s="282">
        <f t="shared" si="25"/>
        <v>1271927.1598731999</v>
      </c>
      <c r="AN134" s="282">
        <f t="shared" si="25"/>
        <v>921344.96195320005</v>
      </c>
      <c r="AO134" s="282">
        <f t="shared" si="25"/>
        <v>481935.88468640001</v>
      </c>
      <c r="AP134" s="282">
        <f t="shared" si="25"/>
        <v>424987.09472639998</v>
      </c>
      <c r="AQ134" s="282">
        <f t="shared" si="25"/>
        <v>57337.240246399997</v>
      </c>
      <c r="AR134" s="282">
        <f t="shared" si="25"/>
        <v>0</v>
      </c>
      <c r="AS134" s="282">
        <f t="shared" si="25"/>
        <v>0</v>
      </c>
      <c r="AT134" s="282">
        <f>SUM(R134:AS134)</f>
        <v>74101328.70610179</v>
      </c>
      <c r="AU134" s="276">
        <f t="shared" si="20"/>
        <v>0</v>
      </c>
      <c r="AV134" s="282">
        <f t="shared" si="23"/>
        <v>37730466.380964532</v>
      </c>
      <c r="AW134" s="282">
        <f t="shared" si="24"/>
        <v>74101328.706101805</v>
      </c>
      <c r="AY134" s="221"/>
    </row>
    <row r="135" spans="2:51" x14ac:dyDescent="0.25">
      <c r="K135" s="198"/>
      <c r="R135" s="283"/>
      <c r="S135" s="283"/>
      <c r="T135" s="194"/>
      <c r="U135" s="194"/>
      <c r="V135" s="194"/>
      <c r="AW135" s="194"/>
      <c r="AY135" s="221"/>
    </row>
    <row r="136" spans="2:51" ht="15.75" x14ac:dyDescent="0.25">
      <c r="C136" s="195" t="s">
        <v>894</v>
      </c>
      <c r="J136" s="284"/>
      <c r="R136" s="285"/>
      <c r="S136" s="283"/>
    </row>
    <row r="137" spans="2:51" ht="60" x14ac:dyDescent="0.25">
      <c r="C137" s="202" t="s">
        <v>523</v>
      </c>
      <c r="D137" s="202" t="s">
        <v>895</v>
      </c>
      <c r="E137" s="202" t="s">
        <v>896</v>
      </c>
      <c r="F137" s="202" t="s">
        <v>897</v>
      </c>
      <c r="G137" s="202" t="s">
        <v>527</v>
      </c>
      <c r="H137" s="202" t="s">
        <v>528</v>
      </c>
      <c r="I137" s="202" t="s">
        <v>529</v>
      </c>
      <c r="J137" s="204" t="s">
        <v>898</v>
      </c>
      <c r="K137" s="204" t="s">
        <v>531</v>
      </c>
      <c r="L137" s="204" t="s">
        <v>532</v>
      </c>
      <c r="M137" s="204" t="s">
        <v>533</v>
      </c>
      <c r="N137" s="204" t="s">
        <v>534</v>
      </c>
      <c r="O137" s="204" t="s">
        <v>535</v>
      </c>
      <c r="P137" s="204" t="s">
        <v>536</v>
      </c>
      <c r="Q137" s="204" t="s">
        <v>537</v>
      </c>
      <c r="R137" s="203">
        <v>2026</v>
      </c>
      <c r="S137" s="203">
        <v>2027</v>
      </c>
      <c r="T137" s="203">
        <v>2028</v>
      </c>
      <c r="U137" s="203">
        <v>2029</v>
      </c>
      <c r="V137" s="203">
        <v>2030</v>
      </c>
      <c r="W137" s="203">
        <v>2031</v>
      </c>
      <c r="X137" s="203">
        <v>2032</v>
      </c>
      <c r="Y137" s="203">
        <v>2033</v>
      </c>
      <c r="Z137" s="203">
        <v>2034</v>
      </c>
      <c r="AA137" s="203">
        <v>2035</v>
      </c>
      <c r="AB137" s="203">
        <v>2036</v>
      </c>
      <c r="AC137" s="203">
        <v>2037</v>
      </c>
      <c r="AD137" s="203">
        <v>2038</v>
      </c>
      <c r="AE137" s="203">
        <v>2039</v>
      </c>
      <c r="AF137" s="203">
        <v>2040</v>
      </c>
      <c r="AG137" s="203">
        <v>2041</v>
      </c>
      <c r="AH137" s="203">
        <v>2042</v>
      </c>
      <c r="AI137" s="203">
        <v>2043</v>
      </c>
      <c r="AJ137" s="203">
        <v>2044</v>
      </c>
      <c r="AK137" s="203">
        <v>2045</v>
      </c>
      <c r="AL137" s="203">
        <v>2046</v>
      </c>
      <c r="AM137" s="203">
        <v>2047</v>
      </c>
      <c r="AN137" s="203">
        <v>2048</v>
      </c>
      <c r="AO137" s="203">
        <v>2049</v>
      </c>
      <c r="AP137" s="203">
        <v>2050</v>
      </c>
      <c r="AQ137" s="203">
        <v>2051</v>
      </c>
      <c r="AR137" s="203">
        <v>2052</v>
      </c>
      <c r="AS137" s="203">
        <v>2053</v>
      </c>
      <c r="AT137" s="202" t="s">
        <v>538</v>
      </c>
      <c r="AV137" s="201" t="s">
        <v>899</v>
      </c>
      <c r="AW137" s="202" t="s">
        <v>900</v>
      </c>
    </row>
    <row r="138" spans="2:51" s="208" customFormat="1" x14ac:dyDescent="0.25">
      <c r="B138" s="209"/>
      <c r="C138" s="210">
        <v>1</v>
      </c>
      <c r="D138" s="211" t="s">
        <v>901</v>
      </c>
      <c r="E138" s="212" t="s">
        <v>902</v>
      </c>
      <c r="F138" s="211"/>
      <c r="G138" s="213">
        <v>3.2017000000000002</v>
      </c>
      <c r="H138" s="213">
        <v>3.2031999999999998</v>
      </c>
      <c r="I138" s="213" t="s">
        <v>547</v>
      </c>
      <c r="J138" s="214">
        <v>129553</v>
      </c>
      <c r="K138" s="215"/>
      <c r="L138" s="215"/>
      <c r="M138" s="215"/>
      <c r="N138" s="216"/>
      <c r="O138" s="216"/>
      <c r="P138" s="216"/>
      <c r="Q138" s="286" t="s">
        <v>548</v>
      </c>
      <c r="R138" s="217">
        <v>8936</v>
      </c>
      <c r="S138" s="217">
        <v>8936</v>
      </c>
      <c r="T138" s="217">
        <v>8936</v>
      </c>
      <c r="U138" s="217">
        <v>8936</v>
      </c>
      <c r="V138" s="217">
        <v>8936</v>
      </c>
      <c r="W138" s="217">
        <v>8936</v>
      </c>
      <c r="X138" s="217">
        <v>2234</v>
      </c>
      <c r="Y138" s="217"/>
      <c r="Z138" s="217"/>
      <c r="AA138" s="217"/>
      <c r="AB138" s="217"/>
      <c r="AC138" s="217"/>
      <c r="AD138" s="217"/>
      <c r="AE138" s="217"/>
      <c r="AF138" s="217"/>
      <c r="AG138" s="217"/>
      <c r="AH138" s="217"/>
      <c r="AI138" s="217"/>
      <c r="AJ138" s="217"/>
      <c r="AK138" s="217"/>
      <c r="AL138" s="217"/>
      <c r="AM138" s="217"/>
      <c r="AN138" s="217"/>
      <c r="AO138" s="217"/>
      <c r="AP138" s="217"/>
      <c r="AQ138" s="217"/>
      <c r="AR138" s="217"/>
      <c r="AS138" s="217"/>
      <c r="AT138" s="217">
        <f t="shared" ref="AT138:AT144" si="26">SUM(R138:AS138)</f>
        <v>55850</v>
      </c>
      <c r="AU138" s="287"/>
      <c r="AV138" s="220">
        <f t="shared" ref="AV138:AV144" si="27">SUM(X138:AS138)</f>
        <v>2234</v>
      </c>
      <c r="AW138" s="217">
        <f t="shared" ref="AW138:AW144" si="28">SUM(R138:W138,AV138)</f>
        <v>55850</v>
      </c>
    </row>
    <row r="139" spans="2:51" x14ac:dyDescent="0.25">
      <c r="B139" s="222"/>
      <c r="C139" s="223"/>
      <c r="D139" s="226"/>
      <c r="E139" s="225"/>
      <c r="F139" s="226"/>
      <c r="G139" s="226"/>
      <c r="H139" s="226"/>
      <c r="I139" s="226"/>
      <c r="J139" s="227"/>
      <c r="K139" s="227"/>
      <c r="L139" s="227"/>
      <c r="M139" s="227"/>
      <c r="N139" s="229">
        <f>SUM(O139:P139)</f>
        <v>2.25</v>
      </c>
      <c r="O139" s="229">
        <v>2</v>
      </c>
      <c r="P139" s="229">
        <v>0.25</v>
      </c>
      <c r="Q139" s="288" t="s">
        <v>551</v>
      </c>
      <c r="R139" s="230">
        <v>1680.5264999999999</v>
      </c>
      <c r="S139" s="230">
        <f>SUM(S138:$AQ138)*$N139/100</f>
        <v>1055.5650000000001</v>
      </c>
      <c r="T139" s="230">
        <f>SUM(T138:$AQ138)*$N139/100</f>
        <v>854.505</v>
      </c>
      <c r="U139" s="230">
        <f>SUM(U138:$AQ138)*$N139/100</f>
        <v>653.44500000000005</v>
      </c>
      <c r="V139" s="230">
        <f>SUM(V138:$AQ138)*$N139/100</f>
        <v>452.38499999999999</v>
      </c>
      <c r="W139" s="230">
        <f>SUM(W138:$AQ138)*$N139/100</f>
        <v>251.32499999999999</v>
      </c>
      <c r="X139" s="230">
        <f>SUM(X138:$AQ138)*$N139/100</f>
        <v>50.265000000000001</v>
      </c>
      <c r="Y139" s="230"/>
      <c r="Z139" s="230"/>
      <c r="AA139" s="230"/>
      <c r="AB139" s="230"/>
      <c r="AC139" s="230"/>
      <c r="AD139" s="230"/>
      <c r="AE139" s="230"/>
      <c r="AF139" s="230"/>
      <c r="AG139" s="230"/>
      <c r="AH139" s="230"/>
      <c r="AI139" s="230"/>
      <c r="AJ139" s="230"/>
      <c r="AK139" s="230"/>
      <c r="AL139" s="230"/>
      <c r="AM139" s="230"/>
      <c r="AN139" s="230"/>
      <c r="AO139" s="230"/>
      <c r="AP139" s="230"/>
      <c r="AQ139" s="230"/>
      <c r="AR139" s="230"/>
      <c r="AS139" s="230"/>
      <c r="AT139" s="230">
        <f t="shared" si="26"/>
        <v>4998.0165000000006</v>
      </c>
      <c r="AU139" s="289"/>
      <c r="AV139" s="232">
        <f t="shared" si="27"/>
        <v>50.265000000000001</v>
      </c>
      <c r="AW139" s="230">
        <f t="shared" si="28"/>
        <v>4998.0165000000006</v>
      </c>
    </row>
    <row r="140" spans="2:51" s="208" customFormat="1" x14ac:dyDescent="0.25">
      <c r="B140" s="209"/>
      <c r="C140" s="210">
        <v>2</v>
      </c>
      <c r="D140" s="211" t="s">
        <v>901</v>
      </c>
      <c r="E140" s="212" t="s">
        <v>903</v>
      </c>
      <c r="F140" s="211"/>
      <c r="G140" s="290">
        <v>44655</v>
      </c>
      <c r="H140" s="290">
        <v>55598</v>
      </c>
      <c r="I140" s="213" t="s">
        <v>547</v>
      </c>
      <c r="J140" s="214">
        <v>2209678</v>
      </c>
      <c r="K140" s="215"/>
      <c r="L140" s="215"/>
      <c r="M140" s="215"/>
      <c r="N140" s="216"/>
      <c r="O140" s="216"/>
      <c r="P140" s="216"/>
      <c r="Q140" s="286" t="s">
        <v>548</v>
      </c>
      <c r="R140" s="217">
        <v>81588</v>
      </c>
      <c r="S140" s="217">
        <v>81588</v>
      </c>
      <c r="T140" s="217">
        <v>81588</v>
      </c>
      <c r="U140" s="217">
        <v>81588</v>
      </c>
      <c r="V140" s="217">
        <v>81588</v>
      </c>
      <c r="W140" s="217">
        <v>81588</v>
      </c>
      <c r="X140" s="217">
        <v>81588</v>
      </c>
      <c r="Y140" s="217">
        <v>81588</v>
      </c>
      <c r="Z140" s="217">
        <v>81588</v>
      </c>
      <c r="AA140" s="217">
        <v>81588</v>
      </c>
      <c r="AB140" s="217">
        <v>81588</v>
      </c>
      <c r="AC140" s="217">
        <v>81588</v>
      </c>
      <c r="AD140" s="217">
        <v>81588</v>
      </c>
      <c r="AE140" s="217">
        <v>81588</v>
      </c>
      <c r="AF140" s="217">
        <v>81588</v>
      </c>
      <c r="AG140" s="217">
        <v>81588</v>
      </c>
      <c r="AH140" s="217">
        <v>81588</v>
      </c>
      <c r="AI140" s="217">
        <v>81588</v>
      </c>
      <c r="AJ140" s="217">
        <v>81588</v>
      </c>
      <c r="AK140" s="217">
        <v>81588</v>
      </c>
      <c r="AL140" s="217">
        <v>81588</v>
      </c>
      <c r="AM140" s="217">
        <v>81588</v>
      </c>
      <c r="AN140" s="217">
        <v>81588</v>
      </c>
      <c r="AO140" s="217">
        <v>81588</v>
      </c>
      <c r="AP140" s="217">
        <v>81588</v>
      </c>
      <c r="AQ140" s="217">
        <v>81588</v>
      </c>
      <c r="AR140" s="217">
        <v>81588</v>
      </c>
      <c r="AS140" s="217">
        <v>20400</v>
      </c>
      <c r="AT140" s="217">
        <f t="shared" si="26"/>
        <v>2223276</v>
      </c>
      <c r="AU140" s="287"/>
      <c r="AV140" s="220">
        <f t="shared" si="27"/>
        <v>1733748</v>
      </c>
      <c r="AW140" s="217">
        <f t="shared" si="28"/>
        <v>2223276</v>
      </c>
    </row>
    <row r="141" spans="2:51" x14ac:dyDescent="0.25">
      <c r="B141" s="222"/>
      <c r="C141" s="223"/>
      <c r="D141" s="226"/>
      <c r="E141" s="225"/>
      <c r="F141" s="226"/>
      <c r="G141" s="226"/>
      <c r="H141" s="226"/>
      <c r="I141" s="226"/>
      <c r="J141" s="227"/>
      <c r="K141" s="227"/>
      <c r="L141" s="227"/>
      <c r="M141" s="227"/>
      <c r="N141" s="229">
        <f>SUM(O141:P141)</f>
        <v>2.25</v>
      </c>
      <c r="O141" s="229">
        <v>2</v>
      </c>
      <c r="P141" s="229">
        <v>0.25</v>
      </c>
      <c r="Q141" s="288" t="s">
        <v>551</v>
      </c>
      <c r="R141" s="230">
        <v>66876.142079999991</v>
      </c>
      <c r="S141" s="230">
        <f>SUM(S140:$AS140)*$N141/100</f>
        <v>48187.98</v>
      </c>
      <c r="T141" s="230">
        <f>SUM(T140:$AS140)*$N141/100</f>
        <v>46352.25</v>
      </c>
      <c r="U141" s="230">
        <f>SUM(U140:$AS140)*$N141/100</f>
        <v>44516.52</v>
      </c>
      <c r="V141" s="230">
        <f>SUM(V140:$AS140)*$N141/100</f>
        <v>42680.79</v>
      </c>
      <c r="W141" s="230">
        <f>SUM(W140:$AS140)*$N141/100</f>
        <v>40845.06</v>
      </c>
      <c r="X141" s="230">
        <f>SUM(X140:$AS140)*$N141/100</f>
        <v>39009.33</v>
      </c>
      <c r="Y141" s="230">
        <f>SUM(Y140:$AS140)*$N141/100</f>
        <v>37173.599999999999</v>
      </c>
      <c r="Z141" s="230">
        <f>SUM(Z140:$AS140)*$N141/100</f>
        <v>35337.870000000003</v>
      </c>
      <c r="AA141" s="230">
        <f>SUM(AA140:$AS140)*$N141/100</f>
        <v>33502.14</v>
      </c>
      <c r="AB141" s="230">
        <f>SUM(AB140:$AS140)*$N141/100</f>
        <v>31666.41</v>
      </c>
      <c r="AC141" s="230">
        <f>SUM(AC140:$AS140)*$N141/100</f>
        <v>29830.68</v>
      </c>
      <c r="AD141" s="230">
        <f>SUM(AD140:$AS140)*$N141/100</f>
        <v>27994.95</v>
      </c>
      <c r="AE141" s="230">
        <f>SUM(AE140:$AS140)*$N141/100</f>
        <v>26159.22</v>
      </c>
      <c r="AF141" s="230">
        <f>SUM(AF140:$AS140)*$N141/100</f>
        <v>24323.49</v>
      </c>
      <c r="AG141" s="230">
        <f>SUM(AG140:$AS140)*$N141/100</f>
        <v>22487.759999999998</v>
      </c>
      <c r="AH141" s="230">
        <f>SUM(AH140:$AS140)*$N141/100</f>
        <v>20652.03</v>
      </c>
      <c r="AI141" s="230">
        <f>SUM(AI140:$AS140)*$N141/100</f>
        <v>18816.3</v>
      </c>
      <c r="AJ141" s="230">
        <f>SUM(AJ140:$AS140)*$N141/100</f>
        <v>16980.57</v>
      </c>
      <c r="AK141" s="230">
        <f>SUM(AK140:$AS140)*$N141/100</f>
        <v>15144.84</v>
      </c>
      <c r="AL141" s="230">
        <f>SUM(AL140:$AS140)*$N141/100</f>
        <v>13309.11</v>
      </c>
      <c r="AM141" s="230">
        <f>SUM(AM140:$AS140)*$N141/100</f>
        <v>11473.38</v>
      </c>
      <c r="AN141" s="230">
        <f>SUM(AN140:$AS140)*$N141/100</f>
        <v>9637.65</v>
      </c>
      <c r="AO141" s="230">
        <f>SUM(AO140:$AS140)*$N141/100</f>
        <v>7801.92</v>
      </c>
      <c r="AP141" s="230">
        <f>SUM(AP140:$AS140)*$N141/100</f>
        <v>5966.19</v>
      </c>
      <c r="AQ141" s="230">
        <f>SUM(AQ140:$AS140)*$N141/100</f>
        <v>4130.46</v>
      </c>
      <c r="AR141" s="230">
        <f>SUM(AR140:$AS140)*$N141/100</f>
        <v>2294.73</v>
      </c>
      <c r="AS141" s="230">
        <f>SUM(AS140:$AS140)*$N141/100</f>
        <v>459</v>
      </c>
      <c r="AT141" s="230">
        <f t="shared" si="26"/>
        <v>723610.37207999988</v>
      </c>
      <c r="AU141" s="219"/>
      <c r="AV141" s="232">
        <f t="shared" si="27"/>
        <v>434151.63</v>
      </c>
      <c r="AW141" s="230">
        <f t="shared" si="28"/>
        <v>723610.37208</v>
      </c>
    </row>
    <row r="142" spans="2:51" s="198" customFormat="1" x14ac:dyDescent="0.25">
      <c r="B142" s="234"/>
      <c r="C142" s="235">
        <v>3</v>
      </c>
      <c r="D142" s="236" t="s">
        <v>901</v>
      </c>
      <c r="E142" s="236"/>
      <c r="F142" s="236"/>
      <c r="G142" s="241" t="s">
        <v>889</v>
      </c>
      <c r="H142" s="241">
        <v>49572</v>
      </c>
      <c r="I142" s="212" t="s">
        <v>547</v>
      </c>
      <c r="J142" s="214">
        <v>801681</v>
      </c>
      <c r="K142" s="215"/>
      <c r="L142" s="215"/>
      <c r="M142" s="215"/>
      <c r="N142" s="216"/>
      <c r="O142" s="216"/>
      <c r="P142" s="216"/>
      <c r="Q142" s="286" t="s">
        <v>548</v>
      </c>
      <c r="R142" s="217"/>
      <c r="S142" s="217">
        <f t="shared" ref="S142:AB142" si="29">$J$142/40*4</f>
        <v>80168.100000000006</v>
      </c>
      <c r="T142" s="217">
        <f t="shared" si="29"/>
        <v>80168.100000000006</v>
      </c>
      <c r="U142" s="217">
        <f t="shared" si="29"/>
        <v>80168.100000000006</v>
      </c>
      <c r="V142" s="217">
        <f t="shared" si="29"/>
        <v>80168.100000000006</v>
      </c>
      <c r="W142" s="217">
        <f t="shared" si="29"/>
        <v>80168.100000000006</v>
      </c>
      <c r="X142" s="217">
        <f t="shared" si="29"/>
        <v>80168.100000000006</v>
      </c>
      <c r="Y142" s="217">
        <f t="shared" si="29"/>
        <v>80168.100000000006</v>
      </c>
      <c r="Z142" s="217">
        <f t="shared" si="29"/>
        <v>80168.100000000006</v>
      </c>
      <c r="AA142" s="217">
        <f t="shared" si="29"/>
        <v>80168.100000000006</v>
      </c>
      <c r="AB142" s="217">
        <f t="shared" si="29"/>
        <v>80168.100000000006</v>
      </c>
      <c r="AC142" s="217"/>
      <c r="AD142" s="217"/>
      <c r="AE142" s="217"/>
      <c r="AF142" s="217"/>
      <c r="AG142" s="217"/>
      <c r="AH142" s="217"/>
      <c r="AI142" s="217"/>
      <c r="AJ142" s="217"/>
      <c r="AK142" s="217"/>
      <c r="AL142" s="217"/>
      <c r="AM142" s="217"/>
      <c r="AN142" s="217"/>
      <c r="AO142" s="217"/>
      <c r="AP142" s="217"/>
      <c r="AQ142" s="217"/>
      <c r="AR142" s="217"/>
      <c r="AS142" s="217"/>
      <c r="AT142" s="217">
        <f t="shared" si="26"/>
        <v>801680.99999999988</v>
      </c>
      <c r="AU142" s="291"/>
      <c r="AV142" s="220">
        <f t="shared" si="27"/>
        <v>400840.5</v>
      </c>
      <c r="AW142" s="217">
        <f t="shared" si="28"/>
        <v>801681</v>
      </c>
    </row>
    <row r="143" spans="2:51" s="190" customFormat="1" x14ac:dyDescent="0.25">
      <c r="B143" s="238"/>
      <c r="C143" s="239"/>
      <c r="D143" s="240" t="s">
        <v>904</v>
      </c>
      <c r="E143" s="225"/>
      <c r="F143" s="225"/>
      <c r="G143" s="225"/>
      <c r="H143" s="225"/>
      <c r="I143" s="225"/>
      <c r="J143" s="227"/>
      <c r="K143" s="227"/>
      <c r="L143" s="227"/>
      <c r="M143" s="227"/>
      <c r="N143" s="229">
        <f>SUM(O143:P143)</f>
        <v>2.25</v>
      </c>
      <c r="O143" s="229">
        <v>2</v>
      </c>
      <c r="P143" s="229">
        <v>0.25</v>
      </c>
      <c r="Q143" s="288" t="s">
        <v>551</v>
      </c>
      <c r="R143" s="230">
        <v>39402.621149999992</v>
      </c>
      <c r="S143" s="230">
        <f>SUM(S142:$AS142)*$N143/100</f>
        <v>18037.822499999998</v>
      </c>
      <c r="T143" s="230">
        <f>SUM(T142:$AS142)*$N143/100</f>
        <v>16234.040249999998</v>
      </c>
      <c r="U143" s="230">
        <f>SUM(U142:$AS142)*$N143/100</f>
        <v>14430.257999999998</v>
      </c>
      <c r="V143" s="230">
        <f>SUM(V142:$AS142)*$N143/100</f>
        <v>12626.47575</v>
      </c>
      <c r="W143" s="230">
        <f>SUM(W142:$AS142)*$N143/100</f>
        <v>10822.693499999999</v>
      </c>
      <c r="X143" s="230">
        <f>SUM(X142:$AS142)*$N143/100</f>
        <v>9018.9112499999992</v>
      </c>
      <c r="Y143" s="230">
        <f>SUM(Y142:$AS142)*$N143/100</f>
        <v>7215.1289999999999</v>
      </c>
      <c r="Z143" s="230">
        <f>SUM(Z142:$AS142)*$N143/100</f>
        <v>5411.3467500000006</v>
      </c>
      <c r="AA143" s="230">
        <f>SUM(AA142:$AS142)*$N143/100</f>
        <v>3607.5645</v>
      </c>
      <c r="AB143" s="230">
        <f>SUM(AB142:$AS142)*$N143/100</f>
        <v>1803.78225</v>
      </c>
      <c r="AC143" s="230">
        <f>SUM(AC142:$AS142)*$N143/100</f>
        <v>0</v>
      </c>
      <c r="AD143" s="230">
        <f>SUM(AD142:$AS142)*$N143/100</f>
        <v>0</v>
      </c>
      <c r="AE143" s="230">
        <f>SUM(AE142:$AS142)*$N143/100</f>
        <v>0</v>
      </c>
      <c r="AF143" s="230">
        <f>SUM(AF142:$AS142)*$N143/100</f>
        <v>0</v>
      </c>
      <c r="AG143" s="230">
        <f>SUM(AG142:$AS142)*$N143/100</f>
        <v>0</v>
      </c>
      <c r="AH143" s="230">
        <f>SUM(AH142:$AS142)*$N143/100</f>
        <v>0</v>
      </c>
      <c r="AI143" s="230">
        <f>SUM(AI142:$AS142)*$N143/100</f>
        <v>0</v>
      </c>
      <c r="AJ143" s="230">
        <f>SUM(AJ142:$AS142)*$N143/100</f>
        <v>0</v>
      </c>
      <c r="AK143" s="230">
        <f>SUM(AK142:$AS142)*$N143/100</f>
        <v>0</v>
      </c>
      <c r="AL143" s="230">
        <f>SUM(AL142:$AS142)*$N143/100</f>
        <v>0</v>
      </c>
      <c r="AM143" s="230">
        <f>SUM(AM142:$AS142)*$N143/100</f>
        <v>0</v>
      </c>
      <c r="AN143" s="230">
        <f>SUM(AN142:$AS142)*$N143/100</f>
        <v>0</v>
      </c>
      <c r="AO143" s="230">
        <f>SUM(AO142:$AS142)*$N143/100</f>
        <v>0</v>
      </c>
      <c r="AP143" s="230">
        <f>SUM(AP142:$AS142)*$N143/100</f>
        <v>0</v>
      </c>
      <c r="AQ143" s="230">
        <f>SUM(AQ142:$AS142)*$N143/100</f>
        <v>0</v>
      </c>
      <c r="AR143" s="230">
        <f>SUM(AR142:$AS142)*$N143/100</f>
        <v>0</v>
      </c>
      <c r="AS143" s="230">
        <f>SUM(AS142:$AS142)*$N143/100</f>
        <v>0</v>
      </c>
      <c r="AT143" s="230">
        <f t="shared" si="26"/>
        <v>138610.64489999998</v>
      </c>
      <c r="AU143" s="237"/>
      <c r="AV143" s="232">
        <f t="shared" si="27"/>
        <v>27056.733749999999</v>
      </c>
      <c r="AW143" s="230">
        <f t="shared" si="28"/>
        <v>138610.64489999998</v>
      </c>
    </row>
    <row r="144" spans="2:51" s="198" customFormat="1" x14ac:dyDescent="0.25">
      <c r="C144" s="291"/>
      <c r="D144" s="291"/>
      <c r="E144" s="291"/>
      <c r="F144" s="291"/>
      <c r="G144" s="291"/>
      <c r="H144" s="291"/>
      <c r="I144" s="291"/>
      <c r="J144" s="291"/>
      <c r="K144" s="291"/>
      <c r="L144" s="291"/>
      <c r="M144" s="291"/>
      <c r="N144" s="291"/>
      <c r="O144" s="291"/>
      <c r="P144" s="291"/>
      <c r="Q144" s="292" t="s">
        <v>905</v>
      </c>
      <c r="R144" s="293">
        <f t="shared" ref="R144:AS144" si="30">SUM(R138:R143)</f>
        <v>198483.28972999999</v>
      </c>
      <c r="S144" s="293">
        <f t="shared" si="30"/>
        <v>237973.46750000003</v>
      </c>
      <c r="T144" s="293">
        <f t="shared" si="30"/>
        <v>234132.89525</v>
      </c>
      <c r="U144" s="293">
        <f t="shared" si="30"/>
        <v>230292.323</v>
      </c>
      <c r="V144" s="293">
        <f t="shared" si="30"/>
        <v>226451.75075000001</v>
      </c>
      <c r="W144" s="293">
        <f t="shared" si="30"/>
        <v>222611.17850000001</v>
      </c>
      <c r="X144" s="293">
        <f t="shared" si="30"/>
        <v>212068.60625000001</v>
      </c>
      <c r="Y144" s="293">
        <f t="shared" si="30"/>
        <v>206144.829</v>
      </c>
      <c r="Z144" s="293">
        <f t="shared" si="30"/>
        <v>202505.31675</v>
      </c>
      <c r="AA144" s="293">
        <f t="shared" si="30"/>
        <v>198865.8045</v>
      </c>
      <c r="AB144" s="293">
        <f t="shared" si="30"/>
        <v>195226.29225</v>
      </c>
      <c r="AC144" s="293">
        <f t="shared" si="30"/>
        <v>111418.68</v>
      </c>
      <c r="AD144" s="293">
        <f t="shared" si="30"/>
        <v>109582.95</v>
      </c>
      <c r="AE144" s="293">
        <f t="shared" si="30"/>
        <v>107747.22</v>
      </c>
      <c r="AF144" s="293">
        <f t="shared" si="30"/>
        <v>105911.49</v>
      </c>
      <c r="AG144" s="293">
        <f t="shared" si="30"/>
        <v>104075.76</v>
      </c>
      <c r="AH144" s="293">
        <f t="shared" si="30"/>
        <v>102240.03</v>
      </c>
      <c r="AI144" s="293">
        <f t="shared" si="30"/>
        <v>100404.3</v>
      </c>
      <c r="AJ144" s="293">
        <f t="shared" si="30"/>
        <v>98568.57</v>
      </c>
      <c r="AK144" s="293">
        <f t="shared" si="30"/>
        <v>96732.84</v>
      </c>
      <c r="AL144" s="293">
        <f t="shared" si="30"/>
        <v>94897.11</v>
      </c>
      <c r="AM144" s="293">
        <f t="shared" si="30"/>
        <v>93061.38</v>
      </c>
      <c r="AN144" s="293">
        <f t="shared" si="30"/>
        <v>91225.65</v>
      </c>
      <c r="AO144" s="293">
        <f t="shared" si="30"/>
        <v>89389.92</v>
      </c>
      <c r="AP144" s="293">
        <f t="shared" si="30"/>
        <v>87554.19</v>
      </c>
      <c r="AQ144" s="293">
        <f t="shared" si="30"/>
        <v>85718.46</v>
      </c>
      <c r="AR144" s="293">
        <f t="shared" si="30"/>
        <v>83882.73</v>
      </c>
      <c r="AS144" s="293">
        <f t="shared" si="30"/>
        <v>20859</v>
      </c>
      <c r="AT144" s="294">
        <f t="shared" si="26"/>
        <v>3948026.0334799988</v>
      </c>
      <c r="AU144" s="291"/>
      <c r="AV144" s="295">
        <f t="shared" si="27"/>
        <v>2598081.1287499997</v>
      </c>
      <c r="AW144" s="295">
        <f t="shared" si="28"/>
        <v>3948026.0334799998</v>
      </c>
    </row>
    <row r="147" spans="10:49" ht="30" x14ac:dyDescent="0.25">
      <c r="R147" s="203">
        <v>2026</v>
      </c>
      <c r="S147" s="203">
        <v>2027</v>
      </c>
      <c r="T147" s="203">
        <v>2028</v>
      </c>
      <c r="U147" s="203">
        <v>2029</v>
      </c>
      <c r="V147" s="203">
        <v>2030</v>
      </c>
      <c r="W147" s="203">
        <v>2031</v>
      </c>
      <c r="X147" s="203">
        <v>2032</v>
      </c>
      <c r="Y147" s="203">
        <v>2033</v>
      </c>
      <c r="Z147" s="203">
        <v>2034</v>
      </c>
      <c r="AA147" s="203">
        <v>2035</v>
      </c>
      <c r="AB147" s="203">
        <v>2036</v>
      </c>
      <c r="AC147" s="203">
        <v>2037</v>
      </c>
      <c r="AD147" s="203">
        <v>2038</v>
      </c>
      <c r="AE147" s="203">
        <v>2039</v>
      </c>
      <c r="AF147" s="203">
        <v>2040</v>
      </c>
      <c r="AG147" s="203">
        <v>2041</v>
      </c>
      <c r="AH147" s="203">
        <v>2042</v>
      </c>
      <c r="AI147" s="203">
        <v>2043</v>
      </c>
      <c r="AJ147" s="203">
        <v>2044</v>
      </c>
      <c r="AK147" s="203">
        <v>2045</v>
      </c>
      <c r="AL147" s="203">
        <v>2046</v>
      </c>
      <c r="AM147" s="203">
        <v>2047</v>
      </c>
      <c r="AN147" s="203">
        <v>2048</v>
      </c>
      <c r="AO147" s="203">
        <v>2049</v>
      </c>
      <c r="AP147" s="203">
        <v>2050</v>
      </c>
      <c r="AQ147" s="203">
        <v>2051</v>
      </c>
      <c r="AR147" s="203">
        <v>2052</v>
      </c>
      <c r="AS147" s="203">
        <v>2053</v>
      </c>
      <c r="AT147" s="202" t="s">
        <v>538</v>
      </c>
      <c r="AV147" s="203" t="s">
        <v>899</v>
      </c>
      <c r="AW147" s="202" t="s">
        <v>900</v>
      </c>
    </row>
    <row r="148" spans="10:49" x14ac:dyDescent="0.25">
      <c r="Q148" s="296" t="s">
        <v>906</v>
      </c>
      <c r="R148" s="297">
        <f t="shared" ref="R148:AS149" si="31">R132</f>
        <v>3907497.16</v>
      </c>
      <c r="S148" s="297">
        <f t="shared" si="31"/>
        <v>3804714.0236111106</v>
      </c>
      <c r="T148" s="297">
        <f t="shared" si="31"/>
        <v>4320686.4472222216</v>
      </c>
      <c r="U148" s="297">
        <f t="shared" si="31"/>
        <v>4242592.4472222216</v>
      </c>
      <c r="V148" s="297">
        <f t="shared" si="31"/>
        <v>4175079.4472222221</v>
      </c>
      <c r="W148" s="297">
        <f t="shared" si="31"/>
        <v>4088621.1072222223</v>
      </c>
      <c r="X148" s="297">
        <f t="shared" si="31"/>
        <v>3429993.9972222219</v>
      </c>
      <c r="Y148" s="297">
        <f t="shared" si="31"/>
        <v>3267262.037222222</v>
      </c>
      <c r="Z148" s="297">
        <f t="shared" si="31"/>
        <v>2897527.0472222217</v>
      </c>
      <c r="AA148" s="297">
        <f t="shared" si="31"/>
        <v>2598958.1847222219</v>
      </c>
      <c r="AB148" s="297">
        <f t="shared" si="31"/>
        <v>2359563.2722222218</v>
      </c>
      <c r="AC148" s="297">
        <f t="shared" si="31"/>
        <v>2224707.722222222</v>
      </c>
      <c r="AD148" s="297">
        <f t="shared" si="31"/>
        <v>2089349.7222222222</v>
      </c>
      <c r="AE148" s="297">
        <f t="shared" si="31"/>
        <v>1786267.7222222222</v>
      </c>
      <c r="AF148" s="297">
        <f t="shared" si="31"/>
        <v>1745217.7622222223</v>
      </c>
      <c r="AG148" s="297">
        <f t="shared" si="31"/>
        <v>1728696.7922222223</v>
      </c>
      <c r="AH148" s="297">
        <f t="shared" si="31"/>
        <v>1721683.7222222222</v>
      </c>
      <c r="AI148" s="297">
        <f t="shared" si="31"/>
        <v>1721683.7222222222</v>
      </c>
      <c r="AJ148" s="297">
        <f t="shared" si="31"/>
        <v>1721683.7222222222</v>
      </c>
      <c r="AK148" s="297">
        <f t="shared" si="31"/>
        <v>1453015.861111111</v>
      </c>
      <c r="AL148" s="297">
        <f t="shared" si="31"/>
        <v>1184348</v>
      </c>
      <c r="AM148" s="297">
        <f t="shared" si="31"/>
        <v>1184348</v>
      </c>
      <c r="AN148" s="297">
        <f t="shared" si="31"/>
        <v>867315.83000000007</v>
      </c>
      <c r="AO148" s="297">
        <f t="shared" si="31"/>
        <v>452632</v>
      </c>
      <c r="AP148" s="297">
        <f t="shared" si="31"/>
        <v>409981</v>
      </c>
      <c r="AQ148" s="297">
        <f t="shared" si="31"/>
        <v>55587.92</v>
      </c>
      <c r="AR148" s="297">
        <f t="shared" si="31"/>
        <v>0</v>
      </c>
      <c r="AS148" s="297">
        <f t="shared" si="31"/>
        <v>0</v>
      </c>
      <c r="AT148" s="298">
        <f>SUM(R148:AS148)</f>
        <v>59439014.670000009</v>
      </c>
      <c r="AV148" s="299">
        <f>SUM(X148:AS148)</f>
        <v>34899824.037500009</v>
      </c>
      <c r="AW148" s="217">
        <f>SUM(R148:W148,AV148)</f>
        <v>59439014.670000002</v>
      </c>
    </row>
    <row r="149" spans="10:49" x14ac:dyDescent="0.25">
      <c r="Q149" s="296" t="s">
        <v>907</v>
      </c>
      <c r="R149" s="297">
        <f t="shared" si="31"/>
        <v>1402431.3806191001</v>
      </c>
      <c r="S149" s="297">
        <f t="shared" si="31"/>
        <v>1379718.4488190997</v>
      </c>
      <c r="T149" s="297">
        <f t="shared" si="31"/>
        <v>1256534.180915178</v>
      </c>
      <c r="U149" s="297">
        <f t="shared" si="31"/>
        <v>1253798.2083607337</v>
      </c>
      <c r="V149" s="297">
        <f t="shared" si="31"/>
        <v>1144173.0994862886</v>
      </c>
      <c r="W149" s="297">
        <f t="shared" si="31"/>
        <v>1035484.2313418447</v>
      </c>
      <c r="X149" s="297">
        <f t="shared" si="31"/>
        <v>929538.14587279991</v>
      </c>
      <c r="Y149" s="297">
        <f t="shared" si="31"/>
        <v>838014.45009835565</v>
      </c>
      <c r="Z149" s="297">
        <f t="shared" si="31"/>
        <v>751387.15772221109</v>
      </c>
      <c r="AA149" s="297">
        <f t="shared" si="31"/>
        <v>674760.78725776658</v>
      </c>
      <c r="AB149" s="297">
        <f t="shared" si="31"/>
        <v>606204.16345332202</v>
      </c>
      <c r="AC149" s="297">
        <f t="shared" si="31"/>
        <v>543495.93652887782</v>
      </c>
      <c r="AD149" s="297">
        <f t="shared" si="31"/>
        <v>483889.11944443331</v>
      </c>
      <c r="AE149" s="297">
        <f t="shared" si="31"/>
        <v>428336.55233998888</v>
      </c>
      <c r="AF149" s="297">
        <f t="shared" si="31"/>
        <v>382343.18465554441</v>
      </c>
      <c r="AG149" s="297">
        <f t="shared" si="31"/>
        <v>337417.46397909999</v>
      </c>
      <c r="AH149" s="297">
        <f t="shared" si="31"/>
        <v>292942.80002875556</v>
      </c>
      <c r="AI149" s="297">
        <f t="shared" si="31"/>
        <v>248646.05766431105</v>
      </c>
      <c r="AJ149" s="297">
        <f t="shared" si="31"/>
        <v>204349.31529986666</v>
      </c>
      <c r="AK149" s="297">
        <f t="shared" si="31"/>
        <v>160052.57293542221</v>
      </c>
      <c r="AL149" s="297">
        <f t="shared" si="31"/>
        <v>121129.18779319999</v>
      </c>
      <c r="AM149" s="297">
        <f t="shared" si="31"/>
        <v>87579.159873199984</v>
      </c>
      <c r="AN149" s="297">
        <f t="shared" si="31"/>
        <v>54029.131953199991</v>
      </c>
      <c r="AO149" s="297">
        <f t="shared" si="31"/>
        <v>29303.884686399997</v>
      </c>
      <c r="AP149" s="297">
        <f t="shared" si="31"/>
        <v>15006.094726399999</v>
      </c>
      <c r="AQ149" s="297">
        <f t="shared" si="31"/>
        <v>1749.3202464000001</v>
      </c>
      <c r="AR149" s="297">
        <f t="shared" si="31"/>
        <v>0</v>
      </c>
      <c r="AS149" s="297">
        <f t="shared" si="31"/>
        <v>0</v>
      </c>
      <c r="AT149" s="298">
        <f>SUM(R149:AS149)</f>
        <v>14662314.036101805</v>
      </c>
      <c r="AV149" s="299">
        <f>SUM(X149:AS149)</f>
        <v>7190174.4865595559</v>
      </c>
      <c r="AW149" s="298">
        <f>SUM(R149:W149,AV149)</f>
        <v>14662314.036101799</v>
      </c>
    </row>
    <row r="150" spans="10:49" x14ac:dyDescent="0.25">
      <c r="Q150" s="296" t="s">
        <v>908</v>
      </c>
      <c r="R150" s="297">
        <f t="shared" ref="R150:AS150" si="32">R144</f>
        <v>198483.28972999999</v>
      </c>
      <c r="S150" s="297">
        <f t="shared" si="32"/>
        <v>237973.46750000003</v>
      </c>
      <c r="T150" s="297">
        <f t="shared" si="32"/>
        <v>234132.89525</v>
      </c>
      <c r="U150" s="297">
        <f t="shared" si="32"/>
        <v>230292.323</v>
      </c>
      <c r="V150" s="297">
        <f t="shared" si="32"/>
        <v>226451.75075000001</v>
      </c>
      <c r="W150" s="297">
        <f t="shared" si="32"/>
        <v>222611.17850000001</v>
      </c>
      <c r="X150" s="297">
        <f t="shared" si="32"/>
        <v>212068.60625000001</v>
      </c>
      <c r="Y150" s="297">
        <f t="shared" si="32"/>
        <v>206144.829</v>
      </c>
      <c r="Z150" s="297">
        <f t="shared" si="32"/>
        <v>202505.31675</v>
      </c>
      <c r="AA150" s="297">
        <f t="shared" si="32"/>
        <v>198865.8045</v>
      </c>
      <c r="AB150" s="297">
        <f t="shared" si="32"/>
        <v>195226.29225</v>
      </c>
      <c r="AC150" s="297">
        <f t="shared" si="32"/>
        <v>111418.68</v>
      </c>
      <c r="AD150" s="297">
        <f t="shared" si="32"/>
        <v>109582.95</v>
      </c>
      <c r="AE150" s="297">
        <f t="shared" si="32"/>
        <v>107747.22</v>
      </c>
      <c r="AF150" s="297">
        <f t="shared" si="32"/>
        <v>105911.49</v>
      </c>
      <c r="AG150" s="297">
        <f t="shared" si="32"/>
        <v>104075.76</v>
      </c>
      <c r="AH150" s="297">
        <f t="shared" si="32"/>
        <v>102240.03</v>
      </c>
      <c r="AI150" s="297">
        <f t="shared" si="32"/>
        <v>100404.3</v>
      </c>
      <c r="AJ150" s="297">
        <f t="shared" si="32"/>
        <v>98568.57</v>
      </c>
      <c r="AK150" s="297">
        <f t="shared" si="32"/>
        <v>96732.84</v>
      </c>
      <c r="AL150" s="297">
        <f t="shared" si="32"/>
        <v>94897.11</v>
      </c>
      <c r="AM150" s="297">
        <f t="shared" si="32"/>
        <v>93061.38</v>
      </c>
      <c r="AN150" s="297">
        <f t="shared" si="32"/>
        <v>91225.65</v>
      </c>
      <c r="AO150" s="297">
        <f t="shared" si="32"/>
        <v>89389.92</v>
      </c>
      <c r="AP150" s="297">
        <f t="shared" si="32"/>
        <v>87554.19</v>
      </c>
      <c r="AQ150" s="297">
        <f t="shared" si="32"/>
        <v>85718.46</v>
      </c>
      <c r="AR150" s="297">
        <f t="shared" si="32"/>
        <v>83882.73</v>
      </c>
      <c r="AS150" s="297">
        <f t="shared" si="32"/>
        <v>20859</v>
      </c>
      <c r="AT150" s="298">
        <f>SUM(R150:AS150)</f>
        <v>3948026.0334799988</v>
      </c>
      <c r="AV150" s="230">
        <f>SUM(X150:AS150)</f>
        <v>2598081.1287499997</v>
      </c>
      <c r="AW150" s="298">
        <f>SUM(R150:W150,AV150)</f>
        <v>3948026.0334799998</v>
      </c>
    </row>
    <row r="151" spans="10:49" s="198" customFormat="1" x14ac:dyDescent="0.25">
      <c r="Q151" s="300" t="s">
        <v>909</v>
      </c>
      <c r="R151" s="301">
        <f t="shared" ref="R151:AS151" si="33">SUM(R148:R150)</f>
        <v>5508411.8303491008</v>
      </c>
      <c r="S151" s="301">
        <f t="shared" si="33"/>
        <v>5422405.9399302108</v>
      </c>
      <c r="T151" s="301">
        <f t="shared" si="33"/>
        <v>5811353.5233873995</v>
      </c>
      <c r="U151" s="301">
        <f t="shared" si="33"/>
        <v>5726682.978582955</v>
      </c>
      <c r="V151" s="301">
        <f t="shared" si="33"/>
        <v>5545704.2974585108</v>
      </c>
      <c r="W151" s="301">
        <f t="shared" si="33"/>
        <v>5346716.5170640675</v>
      </c>
      <c r="X151" s="301">
        <f t="shared" si="33"/>
        <v>4571600.7493450223</v>
      </c>
      <c r="Y151" s="301">
        <f t="shared" si="33"/>
        <v>4311421.3163205776</v>
      </c>
      <c r="Z151" s="301">
        <f t="shared" si="33"/>
        <v>3851419.5216944329</v>
      </c>
      <c r="AA151" s="301">
        <f t="shared" si="33"/>
        <v>3472584.7764799888</v>
      </c>
      <c r="AB151" s="301">
        <f t="shared" si="33"/>
        <v>3160993.7279255437</v>
      </c>
      <c r="AC151" s="301">
        <f t="shared" si="33"/>
        <v>2879622.3387511</v>
      </c>
      <c r="AD151" s="301">
        <f t="shared" si="33"/>
        <v>2682821.7916666558</v>
      </c>
      <c r="AE151" s="301">
        <f t="shared" si="33"/>
        <v>2322351.4945622114</v>
      </c>
      <c r="AF151" s="301">
        <f t="shared" si="33"/>
        <v>2233472.4368777671</v>
      </c>
      <c r="AG151" s="301">
        <f t="shared" si="33"/>
        <v>2170190.016201322</v>
      </c>
      <c r="AH151" s="301">
        <f t="shared" si="33"/>
        <v>2116866.5522509776</v>
      </c>
      <c r="AI151" s="301">
        <f t="shared" si="33"/>
        <v>2070734.0798865333</v>
      </c>
      <c r="AJ151" s="301">
        <f t="shared" si="33"/>
        <v>2024601.607522089</v>
      </c>
      <c r="AK151" s="301">
        <f t="shared" si="33"/>
        <v>1709801.2740465333</v>
      </c>
      <c r="AL151" s="301">
        <f t="shared" si="33"/>
        <v>1400374.2977932</v>
      </c>
      <c r="AM151" s="301">
        <f t="shared" si="33"/>
        <v>1364988.5398732</v>
      </c>
      <c r="AN151" s="301">
        <f t="shared" si="33"/>
        <v>1012570.6119532001</v>
      </c>
      <c r="AO151" s="301">
        <f t="shared" si="33"/>
        <v>571325.80468639999</v>
      </c>
      <c r="AP151" s="301">
        <f t="shared" si="33"/>
        <v>512541.28472639999</v>
      </c>
      <c r="AQ151" s="301">
        <f t="shared" si="33"/>
        <v>143055.7002464</v>
      </c>
      <c r="AR151" s="301">
        <f t="shared" si="33"/>
        <v>83882.73</v>
      </c>
      <c r="AS151" s="301">
        <f t="shared" si="33"/>
        <v>20859</v>
      </c>
      <c r="AT151" s="301">
        <f>SUM(R151:AS151)</f>
        <v>78049354.739581779</v>
      </c>
      <c r="AV151" s="301">
        <f>SUM(X151:AS151)</f>
        <v>44688079.652809553</v>
      </c>
      <c r="AW151" s="301">
        <f>SUM(R151:W151,AV151)</f>
        <v>78049354.739581794</v>
      </c>
    </row>
    <row r="153" spans="10:49" s="198" customFormat="1" x14ac:dyDescent="0.25">
      <c r="Q153" s="300" t="s">
        <v>910</v>
      </c>
      <c r="R153" s="302">
        <f t="shared" ref="R153:AS153" si="34">R151/$Q$154</f>
        <v>0.14127798156324506</v>
      </c>
      <c r="S153" s="302">
        <f t="shared" si="34"/>
        <v>0.13907213004466673</v>
      </c>
      <c r="T153" s="302">
        <f t="shared" si="34"/>
        <v>0.14904773303462163</v>
      </c>
      <c r="U153" s="302">
        <f t="shared" si="34"/>
        <v>0.14687613003247751</v>
      </c>
      <c r="V153" s="302">
        <f t="shared" si="34"/>
        <v>0.14223444681003422</v>
      </c>
      <c r="W153" s="302">
        <f t="shared" si="34"/>
        <v>0.1371308719801734</v>
      </c>
      <c r="X153" s="302">
        <f t="shared" si="34"/>
        <v>0.11725095114022202</v>
      </c>
      <c r="Y153" s="302">
        <f t="shared" si="34"/>
        <v>0.11057795241136091</v>
      </c>
      <c r="Z153" s="302">
        <f t="shared" si="34"/>
        <v>9.87799737812603E-2</v>
      </c>
      <c r="AA153" s="302">
        <f t="shared" si="34"/>
        <v>8.9063741626096454E-2</v>
      </c>
      <c r="AB153" s="302">
        <f t="shared" si="34"/>
        <v>8.1072154255956555E-2</v>
      </c>
      <c r="AC153" s="302">
        <f t="shared" si="34"/>
        <v>7.3855631026303187E-2</v>
      </c>
      <c r="AD153" s="302">
        <f t="shared" si="34"/>
        <v>6.8808153655521606E-2</v>
      </c>
      <c r="AE153" s="302">
        <f t="shared" si="34"/>
        <v>5.9562926980959094E-2</v>
      </c>
      <c r="AF153" s="302">
        <f t="shared" si="34"/>
        <v>5.7283385389003412E-2</v>
      </c>
      <c r="AG153" s="302">
        <f t="shared" si="34"/>
        <v>5.5660338141093169E-2</v>
      </c>
      <c r="AH153" s="302">
        <f t="shared" si="34"/>
        <v>5.429271502414338E-2</v>
      </c>
      <c r="AI153" s="302">
        <f t="shared" si="34"/>
        <v>5.3109524155177834E-2</v>
      </c>
      <c r="AJ153" s="302">
        <f t="shared" si="34"/>
        <v>5.1926333286212281E-2</v>
      </c>
      <c r="AK153" s="302">
        <f t="shared" si="34"/>
        <v>4.3852435204767566E-2</v>
      </c>
      <c r="AL153" s="302">
        <f t="shared" si="34"/>
        <v>3.5916351267572443E-2</v>
      </c>
      <c r="AM153" s="302">
        <f t="shared" si="34"/>
        <v>3.5008788687106052E-2</v>
      </c>
      <c r="AN153" s="302">
        <f t="shared" si="34"/>
        <v>2.5970086597163849E-2</v>
      </c>
      <c r="AO153" s="302">
        <f t="shared" si="34"/>
        <v>1.4653181168550343E-2</v>
      </c>
      <c r="AP153" s="302">
        <f t="shared" si="34"/>
        <v>1.3145494636952222E-2</v>
      </c>
      <c r="AQ153" s="302">
        <f t="shared" si="34"/>
        <v>3.6690467605518784E-3</v>
      </c>
      <c r="AR153" s="302">
        <f t="shared" si="34"/>
        <v>2.1513973804793765E-3</v>
      </c>
      <c r="AS153" s="302">
        <f t="shared" si="34"/>
        <v>5.3498494814629082E-4</v>
      </c>
      <c r="AV153" s="303"/>
      <c r="AW153" s="303"/>
    </row>
    <row r="154" spans="10:49" x14ac:dyDescent="0.25">
      <c r="J154" s="304" t="s">
        <v>911</v>
      </c>
      <c r="Q154" s="305">
        <v>38989882</v>
      </c>
      <c r="R154" s="306"/>
      <c r="S154" s="306"/>
      <c r="T154" s="306"/>
      <c r="U154" s="306"/>
    </row>
    <row r="155" spans="10:49" x14ac:dyDescent="0.25">
      <c r="Q155" s="307"/>
      <c r="R155" s="277"/>
      <c r="S155" s="277"/>
      <c r="T155" s="277"/>
      <c r="U155" s="277"/>
      <c r="V155" s="277"/>
      <c r="W155" s="277"/>
      <c r="X155" s="277"/>
      <c r="Y155" s="277"/>
      <c r="Z155" s="277"/>
      <c r="AA155" s="277"/>
      <c r="AB155" s="277"/>
      <c r="AC155" s="277"/>
      <c r="AD155" s="277"/>
      <c r="AE155" s="277"/>
      <c r="AF155" s="277"/>
      <c r="AG155" s="277"/>
      <c r="AH155" s="277"/>
      <c r="AI155" s="277"/>
      <c r="AJ155" s="277"/>
      <c r="AK155" s="277"/>
      <c r="AL155" s="277"/>
      <c r="AM155" s="277"/>
      <c r="AN155" s="277"/>
      <c r="AO155" s="277"/>
      <c r="AP155" s="277"/>
      <c r="AQ155" s="277"/>
      <c r="AR155" s="277"/>
      <c r="AS155" s="277"/>
      <c r="AT155" s="277"/>
      <c r="AU155" s="277"/>
      <c r="AV155" s="277"/>
      <c r="AW155" s="277"/>
    </row>
  </sheetData>
  <pageMargins left="0.25" right="0.25" top="0.75" bottom="0.75" header="0.3" footer="0.3"/>
  <pageSetup paperSize="9" scale="4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2026.gada budzeta plans_apvieno</vt:lpstr>
      <vt:lpstr>Līgumu saraksts_2026</vt:lpstr>
      <vt:lpstr>'2026.gada budzeta plans_apvieno'!Drukas_apgabals</vt:lpstr>
      <vt:lpstr>'2026.gada budzeta plans_apvieno'!Drukāt_virsrakstus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2026-03-11T13:07:34Z</dcterms:created>
  <dcterms:modified xsi:type="dcterms:W3CDTF">2026-03-24T14:48:00Z</dcterms:modified>
</cp:coreProperties>
</file>