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andadminadazi-my.sharepoint.com/personal/sintijat_adazi_lv/Documents/Desktop/"/>
    </mc:Choice>
  </mc:AlternateContent>
  <xr:revisionPtr revIDLastSave="0" documentId="8_{26749EF3-FC10-4CB8-8702-A5E880EEE9C8}" xr6:coauthVersionLast="47" xr6:coauthVersionMax="47" xr10:uidLastSave="{00000000-0000-0000-0000-000000000000}"/>
  <bookViews>
    <workbookView xWindow="-120" yWindow="-120" windowWidth="29040" windowHeight="15720" activeTab="2" xr2:uid="{79149A77-AE4D-41F9-AFD4-3C927FA9A424}"/>
  </bookViews>
  <sheets>
    <sheet name="Investīcijas_2025" sheetId="2" r:id="rId1"/>
    <sheet name="Investīcijas_2026" sheetId="3" r:id="rId2"/>
    <sheet name="2022-2027" sheetId="1" r:id="rId3"/>
  </sheets>
  <definedNames>
    <definedName name="_0812" localSheetId="2">#REF!</definedName>
    <definedName name="_0812" localSheetId="0">#REF!</definedName>
    <definedName name="_0812" localSheetId="1">#REF!</definedName>
    <definedName name="_0812">#REF!</definedName>
    <definedName name="_xlnm._FilterDatabase" localSheetId="0" hidden="1">Investīcijas_2025!$A$155:$W$319</definedName>
    <definedName name="_xlnm._FilterDatabase" localSheetId="1" hidden="1">Investīcijas_2026!$A$208:$Y$393</definedName>
    <definedName name="Apmaksa" localSheetId="2">#REF!</definedName>
    <definedName name="Apmaksa" localSheetId="0">#REF!</definedName>
    <definedName name="Apmaksa" localSheetId="1">#REF!</definedName>
    <definedName name="Apmaksa">#REF!</definedName>
    <definedName name="Darijums" localSheetId="2">#REF!</definedName>
    <definedName name="Darijums" localSheetId="0">#REF!</definedName>
    <definedName name="Darijums" localSheetId="1">#REF!</definedName>
    <definedName name="Darijums">#REF!</definedName>
    <definedName name="_xlnm.Print_Area" localSheetId="2">'2022-2027'!$A$1:$H$468</definedName>
    <definedName name="_xlnm.Print_Titles" localSheetId="2">'2022-2027'!$1:$1</definedName>
    <definedName name="Excel_BuiltIn__FilterDatabase" localSheetId="2">#REF!</definedName>
    <definedName name="Excel_BuiltIn__FilterDatabase" localSheetId="0">#REF!</definedName>
    <definedName name="Excel_BuiltIn__FilterDatabase" localSheetId="1">#REF!</definedName>
    <definedName name="Excel_BuiltIn__FilterDatabase">#REF!</definedName>
    <definedName name="Firmas" localSheetId="2">#REF!</definedName>
    <definedName name="Firmas" localSheetId="0">#REF!</definedName>
    <definedName name="Firmas" localSheetId="1">#REF!</definedName>
    <definedName name="Firmas">#REF!</definedName>
    <definedName name="Kolonnas_virsraksta_reģions1..B11.1" localSheetId="0">#REF!</definedName>
    <definedName name="Kolonnas_virsraksta_reģions1..B11.1" localSheetId="1">#REF!</definedName>
    <definedName name="Kolonnas_virsraksta_reģions1..B11.1">#REF!</definedName>
    <definedName name="Kolonnas_virsraksta_reģions1..D4" localSheetId="0">#REF!</definedName>
    <definedName name="Kolonnas_virsraksta_reģions1..D4" localSheetId="1">#REF!</definedName>
    <definedName name="Kolonnas_virsraksta_reģions1..D4">#REF!</definedName>
    <definedName name="Kolonnas_virsraksta_reģions2..D7" localSheetId="0">#REF!</definedName>
    <definedName name="Kolonnas_virsraksta_reģions2..D7" localSheetId="1">#REF!</definedName>
    <definedName name="Kolonnas_virsraksta_reģions2..D7">#REF!</definedName>
    <definedName name="Kolonnas_virsraksta_reģions3..C12" localSheetId="0">#REF!</definedName>
    <definedName name="Kolonnas_virsraksta_reģions3..C12" localSheetId="1">#REF!</definedName>
    <definedName name="Kolonnas_virsraksta_reģions3..C12">#REF!</definedName>
    <definedName name="KolonnasNosaukums1" localSheetId="2">#REF!</definedName>
    <definedName name="KolonnasNosaukums1" localSheetId="0">#REF!</definedName>
    <definedName name="KolonnasNosaukums1" localSheetId="1">#REF!</definedName>
    <definedName name="KolonnasNosaukums1">#REF!</definedName>
    <definedName name="Parvadataji" localSheetId="2">#REF!</definedName>
    <definedName name="Parvadataji" localSheetId="0">#REF!</definedName>
    <definedName name="Parvadataji" localSheetId="1">#REF!</definedName>
    <definedName name="Parvadataji">#REF!</definedName>
    <definedName name="Saist_apmers_ar_galvojumu" localSheetId="2">#REF!</definedName>
    <definedName name="Saist_apmers_ar_galvojumu" localSheetId="0">#REF!</definedName>
    <definedName name="Saist_apmers_ar_galvojumu" localSheetId="1">#REF!</definedName>
    <definedName name="Saist_apmers_ar_galvojumu">#REF!</definedName>
    <definedName name="Z_1893421C_DBAA_4C10_AA6C_4D0F39122205_.wvu.FilterData" localSheetId="2">#REF!</definedName>
    <definedName name="Z_1893421C_DBAA_4C10_AA6C_4D0F39122205_.wvu.FilterData" localSheetId="0">#REF!</definedName>
    <definedName name="Z_1893421C_DBAA_4C10_AA6C_4D0F39122205_.wvu.FilterData" localSheetId="1">#REF!</definedName>
    <definedName name="Z_1893421C_DBAA_4C10_AA6C_4D0F39122205_.wvu.FilterData">#REF!</definedName>
    <definedName name="Z_483F8D4B_D649_4D59_A67B_5E8B6C0D2E28_.wvu.FilterData" localSheetId="2">#REF!</definedName>
    <definedName name="Z_483F8D4B_D649_4D59_A67B_5E8B6C0D2E28_.wvu.FilterData" localSheetId="0">#REF!</definedName>
    <definedName name="Z_483F8D4B_D649_4D59_A67B_5E8B6C0D2E28_.wvu.FilterData" localSheetId="1">#REF!</definedName>
    <definedName name="Z_483F8D4B_D649_4D59_A67B_5E8B6C0D2E28_.wvu.FilterData">#REF!</definedName>
    <definedName name="Z_56A06D27_97E5_4D01_ADCE_F8E0A2A870EF_.wvu.FilterData" localSheetId="2">#REF!</definedName>
    <definedName name="Z_56A06D27_97E5_4D01_ADCE_F8E0A2A870EF_.wvu.FilterData" localSheetId="0">#REF!</definedName>
    <definedName name="Z_56A06D27_97E5_4D01_ADCE_F8E0A2A870EF_.wvu.FilterData" localSheetId="1">#REF!</definedName>
    <definedName name="Z_56A06D27_97E5_4D01_ADCE_F8E0A2A870EF_.wvu.FilterData">#REF!</definedName>
    <definedName name="Z_81EB1DB6_89AB_4045_90FA_EF2BA7E792F9_.wvu.FilterData" localSheetId="2">#REF!</definedName>
    <definedName name="Z_81EB1DB6_89AB_4045_90FA_EF2BA7E792F9_.wvu.FilterData" localSheetId="0">#REF!</definedName>
    <definedName name="Z_81EB1DB6_89AB_4045_90FA_EF2BA7E792F9_.wvu.FilterData" localSheetId="1">#REF!</definedName>
    <definedName name="Z_81EB1DB6_89AB_4045_90FA_EF2BA7E792F9_.wvu.FilterData">#REF!</definedName>
    <definedName name="Z_81EB1DB6_89AB_4045_90FA_EF2BA7E792F9_.wvu.PrintArea" localSheetId="2">#REF!</definedName>
    <definedName name="Z_81EB1DB6_89AB_4045_90FA_EF2BA7E792F9_.wvu.PrintArea" localSheetId="0">#REF!</definedName>
    <definedName name="Z_81EB1DB6_89AB_4045_90FA_EF2BA7E792F9_.wvu.PrintArea" localSheetId="1">#REF!</definedName>
    <definedName name="Z_81EB1DB6_89AB_4045_90FA_EF2BA7E792F9_.wvu.PrintArea">#REF!</definedName>
    <definedName name="Z_8545B4E6_A517_4BD7_BFB7_42FEB5F229AD_.wvu.FilterData" localSheetId="2">#REF!</definedName>
    <definedName name="Z_8545B4E6_A517_4BD7_BFB7_42FEB5F229AD_.wvu.FilterData" localSheetId="0">#REF!</definedName>
    <definedName name="Z_8545B4E6_A517_4BD7_BFB7_42FEB5F229AD_.wvu.FilterData" localSheetId="1">#REF!</definedName>
    <definedName name="Z_8545B4E6_A517_4BD7_BFB7_42FEB5F229AD_.wvu.FilterData">#REF!</definedName>
    <definedName name="Z_877A1030_2452_46B0_88DF_8A068656C08E_.wvu.FilterData" localSheetId="2">#REF!</definedName>
    <definedName name="Z_877A1030_2452_46B0_88DF_8A068656C08E_.wvu.FilterData" localSheetId="0">#REF!</definedName>
    <definedName name="Z_877A1030_2452_46B0_88DF_8A068656C08E_.wvu.FilterData" localSheetId="1">#REF!</definedName>
    <definedName name="Z_877A1030_2452_46B0_88DF_8A068656C08E_.wvu.FilterData">#REF!</definedName>
    <definedName name="Z_ABD8A783_3A6C_4629_9559_1E4E89E80131_.wvu.FilterData" localSheetId="2">#REF!</definedName>
    <definedName name="Z_ABD8A783_3A6C_4629_9559_1E4E89E80131_.wvu.FilterData" localSheetId="0">#REF!</definedName>
    <definedName name="Z_ABD8A783_3A6C_4629_9559_1E4E89E80131_.wvu.FilterData" localSheetId="1">#REF!</definedName>
    <definedName name="Z_ABD8A783_3A6C_4629_9559_1E4E89E80131_.wvu.FilterData">#REF!</definedName>
    <definedName name="Z_AF277C95_CBD9_4696_AC72_D010599E9831_.wvu.FilterData" localSheetId="2">#REF!</definedName>
    <definedName name="Z_AF277C95_CBD9_4696_AC72_D010599E9831_.wvu.FilterData" localSheetId="0">#REF!</definedName>
    <definedName name="Z_AF277C95_CBD9_4696_AC72_D010599E9831_.wvu.FilterData" localSheetId="1">#REF!</definedName>
    <definedName name="Z_AF277C95_CBD9_4696_AC72_D010599E9831_.wvu.FilterData">#REF!</definedName>
    <definedName name="Z_B7CBCF06_FF41_423A_9AB3_E1D1F70C6FC5_.wvu.FilterData" localSheetId="2">#REF!</definedName>
    <definedName name="Z_B7CBCF06_FF41_423A_9AB3_E1D1F70C6FC5_.wvu.FilterData" localSheetId="0">#REF!</definedName>
    <definedName name="Z_B7CBCF06_FF41_423A_9AB3_E1D1F70C6FC5_.wvu.FilterData" localSheetId="1">#REF!</definedName>
    <definedName name="Z_B7CBCF06_FF41_423A_9AB3_E1D1F70C6FC5_.wvu.FilterData">#REF!</definedName>
    <definedName name="Z_C5511FB8_86C5_41F3_ADCD_B10310F066F5_.wvu.FilterData" localSheetId="2">#REF!</definedName>
    <definedName name="Z_C5511FB8_86C5_41F3_ADCD_B10310F066F5_.wvu.FilterData" localSheetId="0">#REF!</definedName>
    <definedName name="Z_C5511FB8_86C5_41F3_ADCD_B10310F066F5_.wvu.FilterData" localSheetId="1">#REF!</definedName>
    <definedName name="Z_C5511FB8_86C5_41F3_ADCD_B10310F066F5_.wvu.FilterData">#REF!</definedName>
    <definedName name="Z_DB8ECBD1_2D44_4F97_BCC9_F610BA0A3109_.wvu.FilterData" localSheetId="2">#REF!</definedName>
    <definedName name="Z_DB8ECBD1_2D44_4F97_BCC9_F610BA0A3109_.wvu.FilterData" localSheetId="0">#REF!</definedName>
    <definedName name="Z_DB8ECBD1_2D44_4F97_BCC9_F610BA0A3109_.wvu.FilterData" localSheetId="1">#REF!</definedName>
    <definedName name="Z_DB8ECBD1_2D44_4F97_BCC9_F610BA0A3109_.wvu.FilterData">#REF!</definedName>
    <definedName name="Z_DEE3A27E_689A_4E9F_A3EB_C84F1E3B413E_.wvu.FilterData" localSheetId="2">#REF!</definedName>
    <definedName name="Z_DEE3A27E_689A_4E9F_A3EB_C84F1E3B413E_.wvu.FilterData" localSheetId="0">#REF!</definedName>
    <definedName name="Z_DEE3A27E_689A_4E9F_A3EB_C84F1E3B413E_.wvu.FilterData" localSheetId="1">#REF!</definedName>
    <definedName name="Z_DEE3A27E_689A_4E9F_A3EB_C84F1E3B413E_.wvu.FilterData">#REF!</definedName>
    <definedName name="Z_F1F489B9_0F61_4F1F_A151_75EF77465344_.wvu.Cols" localSheetId="2">#REF!</definedName>
    <definedName name="Z_F1F489B9_0F61_4F1F_A151_75EF77465344_.wvu.Cols" localSheetId="0">#REF!</definedName>
    <definedName name="Z_F1F489B9_0F61_4F1F_A151_75EF77465344_.wvu.Cols" localSheetId="1">#REF!</definedName>
    <definedName name="Z_F1F489B9_0F61_4F1F_A151_75EF77465344_.wvu.Cols">#REF!</definedName>
    <definedName name="Z_F1F489B9_0F61_4F1F_A151_75EF77465344_.wvu.FilterData" localSheetId="2">#REF!</definedName>
    <definedName name="Z_F1F489B9_0F61_4F1F_A151_75EF77465344_.wvu.FilterData" localSheetId="0">#REF!</definedName>
    <definedName name="Z_F1F489B9_0F61_4F1F_A151_75EF77465344_.wvu.FilterData" localSheetId="1">#REF!</definedName>
    <definedName name="Z_F1F489B9_0F61_4F1F_A151_75EF77465344_.wvu.FilterData">#REF!</definedName>
    <definedName name="Z_F1F489B9_0F61_4F1F_A151_75EF77465344_.wvu.PrintArea" localSheetId="2">#REF!</definedName>
    <definedName name="Z_F1F489B9_0F61_4F1F_A151_75EF77465344_.wvu.PrintArea" localSheetId="0">#REF!</definedName>
    <definedName name="Z_F1F489B9_0F61_4F1F_A151_75EF77465344_.wvu.PrintArea" localSheetId="1">#REF!</definedName>
    <definedName name="Z_F1F489B9_0F61_4F1F_A151_75EF77465344_.wvu.PrintArea">#REF!</definedName>
    <definedName name="Z_F1F489B9_0F61_4F1F_A151_75EF77465344_.wvu.PrintTitles" localSheetId="2">#REF!</definedName>
    <definedName name="Z_F1F489B9_0F61_4F1F_A151_75EF77465344_.wvu.PrintTitles" localSheetId="0">#REF!</definedName>
    <definedName name="Z_F1F489B9_0F61_4F1F_A151_75EF77465344_.wvu.PrintTitles" localSheetId="1">#REF!</definedName>
    <definedName name="Z_F1F489B9_0F61_4F1F_A151_75EF77465344_.wvu.PrintTit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442" i="1" l="1"/>
  <c r="K442" i="1"/>
  <c r="L442" i="1"/>
  <c r="I23" i="1"/>
  <c r="H440" i="1"/>
  <c r="H198" i="1"/>
  <c r="H197" i="1"/>
  <c r="M126" i="3"/>
  <c r="L126" i="3"/>
  <c r="K126" i="3"/>
  <c r="M122" i="3"/>
  <c r="L122" i="3"/>
  <c r="K122" i="3"/>
  <c r="I122" i="3"/>
  <c r="I126" i="3"/>
  <c r="L446" i="1"/>
  <c r="K447" i="1"/>
  <c r="L447" i="1"/>
  <c r="I445" i="1"/>
  <c r="J445" i="1"/>
  <c r="K445" i="1"/>
  <c r="L445" i="1"/>
  <c r="L444" i="1"/>
  <c r="K444" i="1"/>
  <c r="J444" i="1"/>
  <c r="L443" i="1"/>
  <c r="K443" i="1"/>
  <c r="J443" i="1"/>
  <c r="H59" i="1"/>
  <c r="I60" i="1"/>
  <c r="L58" i="1"/>
  <c r="H456" i="1" l="1"/>
  <c r="L453" i="1"/>
  <c r="L452" i="1"/>
  <c r="L457" i="1"/>
  <c r="H455" i="1" l="1"/>
  <c r="H352" i="1" l="1"/>
  <c r="G352" i="1"/>
  <c r="I325" i="1"/>
  <c r="I316" i="1"/>
  <c r="I307" i="1"/>
  <c r="I299" i="1"/>
  <c r="J290" i="1"/>
  <c r="I289" i="1"/>
  <c r="I280" i="1"/>
  <c r="J447" i="1" l="1"/>
  <c r="I447" i="1"/>
  <c r="I207" i="1"/>
  <c r="I204" i="1"/>
  <c r="H209" i="1"/>
  <c r="H447" i="1" s="1"/>
  <c r="H434" i="1" s="1"/>
  <c r="J223" i="1" l="1"/>
  <c r="J228" i="1" s="1"/>
  <c r="H215" i="1" l="1"/>
  <c r="I216" i="1" s="1"/>
  <c r="M151" i="1" l="1"/>
  <c r="J412" i="1" l="1"/>
  <c r="H412" i="1"/>
  <c r="I412" i="1"/>
  <c r="J116" i="1" l="1"/>
  <c r="K116" i="1"/>
  <c r="I116" i="1"/>
  <c r="J113" i="1"/>
  <c r="K58" i="1" l="1"/>
  <c r="K446" i="1"/>
  <c r="J58" i="1"/>
  <c r="J446" i="1"/>
  <c r="K113" i="1"/>
  <c r="I394" i="1"/>
  <c r="J394" i="1"/>
  <c r="K394" i="1"/>
  <c r="G148" i="1" l="1"/>
  <c r="G151" i="1"/>
  <c r="G107" i="1" l="1"/>
  <c r="H88" i="1" l="1"/>
  <c r="G88" i="1"/>
  <c r="G90" i="1"/>
  <c r="H28" i="1" l="1"/>
  <c r="H30" i="1"/>
  <c r="H29" i="1"/>
  <c r="H41" i="1"/>
  <c r="H42" i="1"/>
  <c r="H40" i="1"/>
  <c r="H21" i="1"/>
  <c r="H33" i="1"/>
  <c r="H34" i="1"/>
  <c r="H35" i="1"/>
  <c r="H36" i="1"/>
  <c r="H37" i="1"/>
  <c r="H27" i="1"/>
  <c r="H16" i="1"/>
  <c r="H10" i="1"/>
  <c r="H5" i="1"/>
  <c r="K469" i="3"/>
  <c r="I468" i="3"/>
  <c r="I469" i="3" s="1"/>
  <c r="I467" i="3"/>
  <c r="I429" i="3"/>
  <c r="L429" i="3" s="1"/>
  <c r="L428" i="3"/>
  <c r="L427" i="3"/>
  <c r="L426" i="3"/>
  <c r="I425" i="3"/>
  <c r="L425" i="3" s="1"/>
  <c r="L424" i="3"/>
  <c r="L423" i="3"/>
  <c r="L422" i="3"/>
  <c r="L421" i="3"/>
  <c r="I420" i="3"/>
  <c r="L420" i="3" s="1"/>
  <c r="L419" i="3"/>
  <c r="I418" i="3"/>
  <c r="L418" i="3" s="1"/>
  <c r="I417" i="3"/>
  <c r="L417" i="3" s="1"/>
  <c r="L416" i="3"/>
  <c r="L415" i="3"/>
  <c r="L414" i="3"/>
  <c r="L413" i="3"/>
  <c r="L412" i="3"/>
  <c r="L411" i="3"/>
  <c r="L410" i="3"/>
  <c r="L409" i="3"/>
  <c r="L408" i="3"/>
  <c r="L407" i="3"/>
  <c r="L406" i="3"/>
  <c r="L405" i="3"/>
  <c r="L404" i="3"/>
  <c r="M397" i="3"/>
  <c r="L397" i="3"/>
  <c r="L33" i="3" s="1"/>
  <c r="M396" i="3"/>
  <c r="L396" i="3"/>
  <c r="L32" i="3" s="1"/>
  <c r="M393" i="3"/>
  <c r="M398" i="3" s="1"/>
  <c r="J393" i="3"/>
  <c r="I392" i="3"/>
  <c r="I391" i="3"/>
  <c r="I390" i="3"/>
  <c r="I389" i="3"/>
  <c r="I388" i="3"/>
  <c r="L387" i="3"/>
  <c r="L393" i="3" s="1"/>
  <c r="L386" i="3"/>
  <c r="I386" i="3"/>
  <c r="I385" i="3"/>
  <c r="K384" i="3"/>
  <c r="I384" i="3"/>
  <c r="I383" i="3"/>
  <c r="I382" i="3"/>
  <c r="I381" i="3"/>
  <c r="I380" i="3"/>
  <c r="K379" i="3"/>
  <c r="I379" i="3" s="1"/>
  <c r="I378" i="3"/>
  <c r="I377" i="3"/>
  <c r="I376" i="3"/>
  <c r="I375" i="3"/>
  <c r="I374" i="3"/>
  <c r="I373" i="3"/>
  <c r="I372" i="3"/>
  <c r="K371" i="3"/>
  <c r="I371" i="3"/>
  <c r="K370" i="3"/>
  <c r="I370" i="3"/>
  <c r="I369" i="3"/>
  <c r="I368" i="3"/>
  <c r="I367" i="3"/>
  <c r="I366" i="3"/>
  <c r="I365" i="3"/>
  <c r="I364" i="3"/>
  <c r="I362" i="3"/>
  <c r="I361" i="3"/>
  <c r="I360" i="3"/>
  <c r="I359" i="3"/>
  <c r="I358" i="3"/>
  <c r="I357" i="3"/>
  <c r="K356" i="3"/>
  <c r="I356" i="3" s="1"/>
  <c r="I355" i="3"/>
  <c r="K354" i="3"/>
  <c r="I354" i="3"/>
  <c r="I353" i="3"/>
  <c r="I352" i="3"/>
  <c r="I351" i="3"/>
  <c r="I350" i="3"/>
  <c r="I349" i="3"/>
  <c r="I348" i="3"/>
  <c r="I347" i="3"/>
  <c r="I346" i="3"/>
  <c r="I345" i="3"/>
  <c r="I344" i="3"/>
  <c r="I343" i="3"/>
  <c r="I342" i="3"/>
  <c r="I341" i="3"/>
  <c r="I340" i="3"/>
  <c r="I339" i="3"/>
  <c r="I338" i="3"/>
  <c r="K337" i="3"/>
  <c r="I337" i="3" s="1"/>
  <c r="K336" i="3"/>
  <c r="I336" i="3" s="1"/>
  <c r="I335" i="3"/>
  <c r="I334" i="3"/>
  <c r="I333" i="3"/>
  <c r="I332" i="3"/>
  <c r="I331" i="3"/>
  <c r="I330" i="3"/>
  <c r="I329" i="3"/>
  <c r="I328" i="3"/>
  <c r="I327" i="3"/>
  <c r="I326" i="3"/>
  <c r="I325" i="3"/>
  <c r="K324" i="3"/>
  <c r="I324" i="3" s="1"/>
  <c r="I323" i="3"/>
  <c r="I322" i="3"/>
  <c r="I321" i="3"/>
  <c r="I320" i="3"/>
  <c r="I318" i="3"/>
  <c r="I317" i="3"/>
  <c r="I316" i="3"/>
  <c r="I315" i="3"/>
  <c r="I314" i="3"/>
  <c r="I313" i="3"/>
  <c r="I312" i="3"/>
  <c r="I311" i="3"/>
  <c r="I310" i="3"/>
  <c r="I309" i="3"/>
  <c r="I308" i="3"/>
  <c r="I307" i="3"/>
  <c r="I306" i="3"/>
  <c r="I305" i="3"/>
  <c r="I304" i="3"/>
  <c r="I303" i="3"/>
  <c r="I302" i="3"/>
  <c r="I301" i="3"/>
  <c r="K300" i="3"/>
  <c r="I300" i="3" s="1"/>
  <c r="I299" i="3"/>
  <c r="I298" i="3"/>
  <c r="I297" i="3"/>
  <c r="I296" i="3"/>
  <c r="I295" i="3"/>
  <c r="I294" i="3"/>
  <c r="I293" i="3"/>
  <c r="I292" i="3"/>
  <c r="I291" i="3"/>
  <c r="I290" i="3"/>
  <c r="I289" i="3"/>
  <c r="I288" i="3"/>
  <c r="I287" i="3"/>
  <c r="I286" i="3"/>
  <c r="I285" i="3"/>
  <c r="I284" i="3"/>
  <c r="I283" i="3"/>
  <c r="I282" i="3"/>
  <c r="K281" i="3"/>
  <c r="I281" i="3"/>
  <c r="K280" i="3"/>
  <c r="I280" i="3"/>
  <c r="I279" i="3"/>
  <c r="I278" i="3"/>
  <c r="I277" i="3"/>
  <c r="I276" i="3"/>
  <c r="I275" i="3"/>
  <c r="I274" i="3"/>
  <c r="I273" i="3"/>
  <c r="I272" i="3"/>
  <c r="I271" i="3"/>
  <c r="I270" i="3"/>
  <c r="I269" i="3"/>
  <c r="K268" i="3"/>
  <c r="I268" i="3" s="1"/>
  <c r="I267" i="3"/>
  <c r="I266" i="3"/>
  <c r="I265" i="3"/>
  <c r="I264" i="3"/>
  <c r="I263" i="3"/>
  <c r="I262" i="3"/>
  <c r="I261" i="3"/>
  <c r="I260" i="3"/>
  <c r="I259" i="3"/>
  <c r="I258" i="3"/>
  <c r="I257" i="3"/>
  <c r="I256" i="3"/>
  <c r="I255" i="3"/>
  <c r="I254" i="3"/>
  <c r="K253" i="3"/>
  <c r="I253" i="3"/>
  <c r="I252" i="3"/>
  <c r="K251" i="3"/>
  <c r="I251" i="3"/>
  <c r="I250" i="3"/>
  <c r="I249" i="3"/>
  <c r="I248" i="3"/>
  <c r="I247" i="3"/>
  <c r="I246" i="3"/>
  <c r="I245" i="3"/>
  <c r="I244" i="3"/>
  <c r="I243" i="3"/>
  <c r="I242" i="3"/>
  <c r="I241" i="3"/>
  <c r="K240" i="3"/>
  <c r="I240" i="3"/>
  <c r="I239" i="3"/>
  <c r="I238" i="3"/>
  <c r="I237" i="3"/>
  <c r="I236" i="3"/>
  <c r="K235" i="3"/>
  <c r="K397" i="3" s="1"/>
  <c r="K33" i="3" s="1"/>
  <c r="I234" i="3"/>
  <c r="I233" i="3"/>
  <c r="I232" i="3"/>
  <c r="I231" i="3"/>
  <c r="I230" i="3"/>
  <c r="I229" i="3"/>
  <c r="I228" i="3"/>
  <c r="K227" i="3"/>
  <c r="I227" i="3" s="1"/>
  <c r="I226" i="3"/>
  <c r="I225" i="3"/>
  <c r="I224" i="3"/>
  <c r="I223" i="3"/>
  <c r="I222" i="3"/>
  <c r="I221" i="3"/>
  <c r="I220" i="3"/>
  <c r="I219" i="3"/>
  <c r="I218" i="3"/>
  <c r="I217" i="3"/>
  <c r="K216" i="3"/>
  <c r="I216" i="3" s="1"/>
  <c r="K215" i="3"/>
  <c r="K393" i="3" s="1"/>
  <c r="K214" i="3"/>
  <c r="I214" i="3" s="1"/>
  <c r="I213" i="3"/>
  <c r="I212" i="3"/>
  <c r="I211" i="3"/>
  <c r="I210" i="3"/>
  <c r="I209" i="3"/>
  <c r="M204" i="3"/>
  <c r="L204" i="3"/>
  <c r="M203" i="3"/>
  <c r="L203" i="3"/>
  <c r="M202" i="3"/>
  <c r="L202" i="3"/>
  <c r="K202" i="3"/>
  <c r="I202" i="3"/>
  <c r="M200" i="3"/>
  <c r="L200" i="3"/>
  <c r="L30" i="3" s="1"/>
  <c r="I199" i="3"/>
  <c r="I198" i="3"/>
  <c r="I197" i="3"/>
  <c r="I196" i="3"/>
  <c r="I195" i="3"/>
  <c r="I194" i="3"/>
  <c r="I193" i="3"/>
  <c r="I192" i="3"/>
  <c r="I191" i="3"/>
  <c r="I190" i="3"/>
  <c r="I189" i="3"/>
  <c r="I188" i="3"/>
  <c r="I187" i="3"/>
  <c r="I186" i="3"/>
  <c r="I185" i="3"/>
  <c r="I184" i="3"/>
  <c r="I183" i="3"/>
  <c r="I182" i="3"/>
  <c r="I181" i="3"/>
  <c r="I180" i="3"/>
  <c r="I179" i="3"/>
  <c r="I178" i="3"/>
  <c r="I177" i="3"/>
  <c r="I176" i="3"/>
  <c r="I175" i="3"/>
  <c r="I173" i="3"/>
  <c r="K172" i="3"/>
  <c r="I172" i="3" s="1"/>
  <c r="I171" i="3"/>
  <c r="I170" i="3"/>
  <c r="K169" i="3"/>
  <c r="K203" i="3" s="1"/>
  <c r="I169" i="3"/>
  <c r="I168" i="3"/>
  <c r="I167" i="3"/>
  <c r="I166" i="3"/>
  <c r="I165" i="3"/>
  <c r="I164" i="3"/>
  <c r="I163" i="3"/>
  <c r="I162" i="3"/>
  <c r="I161" i="3"/>
  <c r="I160" i="3"/>
  <c r="I159" i="3"/>
  <c r="I158" i="3"/>
  <c r="I157" i="3"/>
  <c r="I156" i="3"/>
  <c r="I155" i="3"/>
  <c r="I154" i="3"/>
  <c r="I153" i="3"/>
  <c r="I152" i="3"/>
  <c r="I151" i="3"/>
  <c r="I150" i="3"/>
  <c r="I149" i="3"/>
  <c r="I148" i="3"/>
  <c r="K146" i="3"/>
  <c r="I146" i="3"/>
  <c r="I145" i="3"/>
  <c r="K144" i="3"/>
  <c r="K204" i="3" s="1"/>
  <c r="I144" i="3"/>
  <c r="I143" i="3"/>
  <c r="I142" i="3"/>
  <c r="I141" i="3"/>
  <c r="K140" i="3"/>
  <c r="I140" i="3" s="1"/>
  <c r="I139" i="3"/>
  <c r="I203" i="3" s="1"/>
  <c r="I138" i="3"/>
  <c r="I137" i="3"/>
  <c r="K136" i="3"/>
  <c r="I136" i="3"/>
  <c r="I135" i="3"/>
  <c r="I134" i="3"/>
  <c r="K133" i="3"/>
  <c r="K200" i="3" s="1"/>
  <c r="K30" i="3" s="1"/>
  <c r="O132" i="3"/>
  <c r="I132" i="3"/>
  <c r="O131" i="3"/>
  <c r="I131" i="3"/>
  <c r="O130" i="3"/>
  <c r="I130" i="3"/>
  <c r="M125" i="3"/>
  <c r="L125" i="3"/>
  <c r="K125" i="3"/>
  <c r="M124" i="3"/>
  <c r="L120" i="3"/>
  <c r="I120" i="3" s="1"/>
  <c r="L119" i="3"/>
  <c r="I119" i="3" s="1"/>
  <c r="L118" i="3"/>
  <c r="I118" i="3"/>
  <c r="I117" i="3"/>
  <c r="L116" i="3"/>
  <c r="I116" i="3"/>
  <c r="R115" i="3"/>
  <c r="I115" i="3"/>
  <c r="Q114" i="3"/>
  <c r="L114" i="3"/>
  <c r="K114" i="3"/>
  <c r="I114" i="3" s="1"/>
  <c r="L113" i="3"/>
  <c r="I113" i="3"/>
  <c r="K112" i="3"/>
  <c r="I112" i="3" s="1"/>
  <c r="I111" i="3"/>
  <c r="I110" i="3"/>
  <c r="I109" i="3"/>
  <c r="I108" i="3"/>
  <c r="I107" i="3"/>
  <c r="I106" i="3"/>
  <c r="O105" i="3" s="1"/>
  <c r="I105" i="3"/>
  <c r="I104" i="3"/>
  <c r="I103" i="3"/>
  <c r="I102" i="3"/>
  <c r="K101" i="3"/>
  <c r="I101" i="3"/>
  <c r="M100" i="3"/>
  <c r="M123" i="3" s="1"/>
  <c r="K100" i="3"/>
  <c r="I100" i="3"/>
  <c r="L99" i="3"/>
  <c r="K99" i="3"/>
  <c r="I99" i="3" s="1"/>
  <c r="I98" i="3"/>
  <c r="L97" i="3"/>
  <c r="I97" i="3"/>
  <c r="O96" i="3"/>
  <c r="I96" i="3"/>
  <c r="I95" i="3"/>
  <c r="I94" i="3"/>
  <c r="I93" i="3"/>
  <c r="M92" i="3"/>
  <c r="M121" i="3" s="1"/>
  <c r="M29" i="3" s="1"/>
  <c r="M34" i="3" s="1"/>
  <c r="I91" i="3"/>
  <c r="I90" i="3"/>
  <c r="I89" i="3"/>
  <c r="I88" i="3"/>
  <c r="I87" i="3"/>
  <c r="I86" i="3"/>
  <c r="I85" i="3"/>
  <c r="I84" i="3"/>
  <c r="I83" i="3"/>
  <c r="I82" i="3"/>
  <c r="I81" i="3"/>
  <c r="I80" i="3"/>
  <c r="I79" i="3"/>
  <c r="I78" i="3"/>
  <c r="I77" i="3"/>
  <c r="I76" i="3"/>
  <c r="I75" i="3"/>
  <c r="I74" i="3"/>
  <c r="K73" i="3"/>
  <c r="I73" i="3"/>
  <c r="I72" i="3"/>
  <c r="I71" i="3"/>
  <c r="I70" i="3"/>
  <c r="I69" i="3"/>
  <c r="I68" i="3"/>
  <c r="I67" i="3"/>
  <c r="K66" i="3"/>
  <c r="I66" i="3"/>
  <c r="I65" i="3"/>
  <c r="K64" i="3"/>
  <c r="I64" i="3"/>
  <c r="I63" i="3"/>
  <c r="I62" i="3"/>
  <c r="L61" i="3"/>
  <c r="L121" i="3" s="1"/>
  <c r="L29" i="3" s="1"/>
  <c r="I60" i="3"/>
  <c r="I59" i="3"/>
  <c r="L58" i="3"/>
  <c r="K58" i="3" s="1"/>
  <c r="I57" i="3"/>
  <c r="I56" i="3"/>
  <c r="I55" i="3"/>
  <c r="K54" i="3"/>
  <c r="I54" i="3"/>
  <c r="I53" i="3"/>
  <c r="I52" i="3"/>
  <c r="I51" i="3"/>
  <c r="I50" i="3"/>
  <c r="K49" i="3"/>
  <c r="I49" i="3" s="1"/>
  <c r="I48" i="3"/>
  <c r="I47" i="3"/>
  <c r="K46" i="3"/>
  <c r="I46" i="3"/>
  <c r="K45" i="3"/>
  <c r="K124" i="3" s="1"/>
  <c r="I45" i="3"/>
  <c r="I44" i="3"/>
  <c r="I125" i="3" s="1"/>
  <c r="I43" i="3"/>
  <c r="I42" i="3"/>
  <c r="K41" i="3"/>
  <c r="I41" i="3" s="1"/>
  <c r="I40" i="3"/>
  <c r="M35" i="3"/>
  <c r="L35" i="3"/>
  <c r="K35" i="3"/>
  <c r="I35" i="3"/>
  <c r="M33" i="3"/>
  <c r="M32" i="3"/>
  <c r="M31" i="3"/>
  <c r="M30" i="3"/>
  <c r="L7" i="3"/>
  <c r="S6" i="3"/>
  <c r="M4" i="3"/>
  <c r="I3" i="1"/>
  <c r="H3" i="1"/>
  <c r="H31" i="1" l="1"/>
  <c r="H48" i="1" s="1"/>
  <c r="O3" i="3"/>
  <c r="M15" i="3"/>
  <c r="O4" i="3"/>
  <c r="K5" i="3"/>
  <c r="I58" i="3"/>
  <c r="I123" i="3" s="1"/>
  <c r="I30" i="3"/>
  <c r="L14" i="3"/>
  <c r="K31" i="3"/>
  <c r="L398" i="3"/>
  <c r="L31" i="3"/>
  <c r="L34" i="3" s="1"/>
  <c r="L430" i="3"/>
  <c r="I124" i="3"/>
  <c r="I204" i="3"/>
  <c r="I235" i="3"/>
  <c r="I397" i="3" s="1"/>
  <c r="I33" i="3" s="1"/>
  <c r="I387" i="3"/>
  <c r="I393" i="3" s="1"/>
  <c r="L124" i="3"/>
  <c r="I133" i="3"/>
  <c r="I200" i="3" s="1"/>
  <c r="I215" i="3"/>
  <c r="I396" i="3" s="1"/>
  <c r="I32" i="3" s="1"/>
  <c r="K396" i="3"/>
  <c r="K32" i="3" s="1"/>
  <c r="L18" i="3" s="1"/>
  <c r="L5" i="3"/>
  <c r="I61" i="3"/>
  <c r="K92" i="3"/>
  <c r="I92" i="3" s="1"/>
  <c r="O133" i="3"/>
  <c r="M3" i="3"/>
  <c r="M5" i="3" s="1"/>
  <c r="K123" i="3"/>
  <c r="L123" i="3"/>
  <c r="E161" i="1"/>
  <c r="G157" i="1"/>
  <c r="I157" i="1" s="1"/>
  <c r="L417" i="1"/>
  <c r="K417" i="1"/>
  <c r="J417" i="1"/>
  <c r="H417" i="1"/>
  <c r="G412" i="1"/>
  <c r="G417" i="1" s="1"/>
  <c r="F412" i="1"/>
  <c r="F417" i="1" s="1"/>
  <c r="E412" i="1"/>
  <c r="E417" i="1" s="1"/>
  <c r="I417" i="1"/>
  <c r="L408" i="1"/>
  <c r="K408" i="1"/>
  <c r="J408" i="1"/>
  <c r="I403" i="1"/>
  <c r="H403" i="1"/>
  <c r="G403" i="1"/>
  <c r="G408" i="1" s="1"/>
  <c r="F403" i="1"/>
  <c r="F408" i="1" s="1"/>
  <c r="E403" i="1"/>
  <c r="E408" i="1" s="1"/>
  <c r="I402" i="1"/>
  <c r="H402" i="1"/>
  <c r="H408" i="1" l="1"/>
  <c r="I408" i="1"/>
  <c r="I398" i="3"/>
  <c r="L8" i="3"/>
  <c r="L11" i="3" s="1"/>
  <c r="O5" i="3"/>
  <c r="L23" i="3"/>
  <c r="I31" i="3"/>
  <c r="K398" i="3"/>
  <c r="I121" i="3"/>
  <c r="K121" i="3"/>
  <c r="K29" i="3" s="1"/>
  <c r="L43" i="1"/>
  <c r="I20" i="1"/>
  <c r="I25" i="1" l="1"/>
  <c r="I24" i="1"/>
  <c r="L15" i="3"/>
  <c r="L13" i="3"/>
  <c r="K34" i="3"/>
  <c r="I29" i="3"/>
  <c r="I34" i="3" s="1"/>
  <c r="J385" i="1"/>
  <c r="J390" i="1" s="1"/>
  <c r="L385" i="1"/>
  <c r="L390" i="1" s="1"/>
  <c r="K385" i="1"/>
  <c r="K390" i="1" s="1"/>
  <c r="J426" i="1"/>
  <c r="K426" i="1"/>
  <c r="L426" i="1"/>
  <c r="J399" i="1"/>
  <c r="K399" i="1"/>
  <c r="L399" i="1"/>
  <c r="J381" i="1"/>
  <c r="K381" i="1"/>
  <c r="L381" i="1"/>
  <c r="L19" i="3" l="1"/>
  <c r="L25" i="3"/>
  <c r="G59" i="1" l="1"/>
  <c r="H445" i="1"/>
  <c r="I197" i="1"/>
  <c r="I361" i="1"/>
  <c r="H361" i="1"/>
  <c r="J358" i="1"/>
  <c r="O398" i="1"/>
  <c r="O397" i="1"/>
  <c r="O396" i="1"/>
  <c r="O395" i="1"/>
  <c r="H394" i="1"/>
  <c r="G394" i="1"/>
  <c r="G399" i="1" s="1"/>
  <c r="F394" i="1"/>
  <c r="F399" i="1" s="1"/>
  <c r="E394" i="1"/>
  <c r="E399" i="1" s="1"/>
  <c r="O393" i="1"/>
  <c r="H58" i="1" l="1"/>
  <c r="H446" i="1"/>
  <c r="I58" i="1"/>
  <c r="I446" i="1"/>
  <c r="H399" i="1"/>
  <c r="I399" i="1"/>
  <c r="O394" i="1"/>
  <c r="O399" i="1" s="1"/>
  <c r="M306" i="1"/>
  <c r="H421" i="1" l="1"/>
  <c r="H426" i="1" s="1"/>
  <c r="S22" i="1" l="1"/>
  <c r="R22" i="1"/>
  <c r="Q22" i="1"/>
  <c r="H195" i="1" l="1"/>
  <c r="H201" i="1" l="1"/>
  <c r="U37" i="1"/>
  <c r="V37" i="1"/>
  <c r="W37" i="1"/>
  <c r="I38" i="1"/>
  <c r="J372" i="1"/>
  <c r="K372" i="1"/>
  <c r="L372" i="1"/>
  <c r="J363" i="1"/>
  <c r="K363" i="1"/>
  <c r="L363" i="1"/>
  <c r="J354" i="1"/>
  <c r="K354" i="1"/>
  <c r="L354" i="1"/>
  <c r="J345" i="1"/>
  <c r="K345" i="1"/>
  <c r="L345" i="1"/>
  <c r="J336" i="1"/>
  <c r="K336" i="1"/>
  <c r="L336" i="1"/>
  <c r="J322" i="1"/>
  <c r="J327" i="1" s="1"/>
  <c r="K322" i="1"/>
  <c r="K327" i="1" s="1"/>
  <c r="M324" i="1" s="1"/>
  <c r="L322" i="1"/>
  <c r="L327" i="1" s="1"/>
  <c r="L318" i="1"/>
  <c r="J313" i="1" l="1"/>
  <c r="J318" i="1" s="1"/>
  <c r="K313" i="1"/>
  <c r="K318" i="1" s="1"/>
  <c r="M315" i="1" s="1"/>
  <c r="J304" i="1"/>
  <c r="J309" i="1" s="1"/>
  <c r="K304" i="1"/>
  <c r="K309" i="1" s="1"/>
  <c r="L309" i="1"/>
  <c r="I85" i="1"/>
  <c r="J77" i="1"/>
  <c r="K77" i="1"/>
  <c r="L77" i="1"/>
  <c r="J277" i="1"/>
  <c r="J282" i="1" s="1"/>
  <c r="K277" i="1"/>
  <c r="K282" i="1" s="1"/>
  <c r="M279" i="1" s="1"/>
  <c r="L277" i="1"/>
  <c r="L282" i="1" s="1"/>
  <c r="J295" i="1"/>
  <c r="J300" i="1" s="1"/>
  <c r="K295" i="1"/>
  <c r="K300" i="1" s="1"/>
  <c r="L295" i="1"/>
  <c r="L300" i="1" s="1"/>
  <c r="J286" i="1"/>
  <c r="J291" i="1" s="1"/>
  <c r="K286" i="1"/>
  <c r="K291" i="1" s="1"/>
  <c r="L286" i="1"/>
  <c r="L291" i="1" s="1"/>
  <c r="J273" i="1"/>
  <c r="K273" i="1"/>
  <c r="L273" i="1"/>
  <c r="J264" i="1"/>
  <c r="K264" i="1"/>
  <c r="L264" i="1"/>
  <c r="J255" i="1"/>
  <c r="K255" i="1"/>
  <c r="L255" i="1"/>
  <c r="J246" i="1"/>
  <c r="K246" i="1"/>
  <c r="L246" i="1"/>
  <c r="J237" i="1"/>
  <c r="K237" i="1"/>
  <c r="L237" i="1"/>
  <c r="K228" i="1"/>
  <c r="L228" i="1"/>
  <c r="J219" i="1"/>
  <c r="K219" i="1"/>
  <c r="L219" i="1"/>
  <c r="J210" i="1"/>
  <c r="K210" i="1"/>
  <c r="L210" i="1"/>
  <c r="J201" i="1"/>
  <c r="K201" i="1"/>
  <c r="L201" i="1"/>
  <c r="J191" i="1"/>
  <c r="K191" i="1"/>
  <c r="L191" i="1"/>
  <c r="J181" i="1"/>
  <c r="K181" i="1"/>
  <c r="L181" i="1"/>
  <c r="J172" i="1"/>
  <c r="K172" i="1"/>
  <c r="L172" i="1"/>
  <c r="J163" i="1"/>
  <c r="K163" i="1"/>
  <c r="L163" i="1"/>
  <c r="J154" i="1"/>
  <c r="K154" i="1"/>
  <c r="L154" i="1"/>
  <c r="J140" i="1"/>
  <c r="J145" i="1" s="1"/>
  <c r="K140" i="1"/>
  <c r="K145" i="1" s="1"/>
  <c r="L140" i="1"/>
  <c r="L145" i="1" s="1"/>
  <c r="J136" i="1"/>
  <c r="K136" i="1"/>
  <c r="L136" i="1"/>
  <c r="J127" i="1"/>
  <c r="K127" i="1"/>
  <c r="L127" i="1"/>
  <c r="J118" i="1"/>
  <c r="K118" i="1"/>
  <c r="L118" i="1"/>
  <c r="J109" i="1"/>
  <c r="K109" i="1"/>
  <c r="L109" i="1"/>
  <c r="J100" i="1"/>
  <c r="K100" i="1"/>
  <c r="L100" i="1"/>
  <c r="J91" i="1"/>
  <c r="K91" i="1"/>
  <c r="L91" i="1"/>
  <c r="J23" i="1"/>
  <c r="K23" i="1"/>
  <c r="L23" i="1"/>
  <c r="G23" i="1"/>
  <c r="W23" i="1" l="1"/>
  <c r="H49" i="1"/>
  <c r="U23" i="1"/>
  <c r="V23" i="1"/>
  <c r="E61" i="1"/>
  <c r="G29" i="1"/>
  <c r="G28" i="1"/>
  <c r="F31" i="1"/>
  <c r="G231" i="1"/>
  <c r="G235" i="1"/>
  <c r="G60" i="1" s="1"/>
  <c r="G58" i="1"/>
  <c r="G27" i="1"/>
  <c r="G49" i="1"/>
  <c r="G440" i="1"/>
  <c r="K433" i="1"/>
  <c r="L433" i="1"/>
  <c r="K434" i="1"/>
  <c r="L434" i="1"/>
  <c r="J433" i="1"/>
  <c r="J434" i="1"/>
  <c r="E447" i="1"/>
  <c r="E446" i="1"/>
  <c r="D447" i="1"/>
  <c r="D446" i="1"/>
  <c r="D443" i="1"/>
  <c r="D444" i="1"/>
  <c r="H438" i="1"/>
  <c r="I440" i="1"/>
  <c r="J440" i="1"/>
  <c r="K440" i="1"/>
  <c r="L440" i="1"/>
  <c r="G446" i="1"/>
  <c r="D442" i="1"/>
  <c r="G57" i="1" l="1"/>
  <c r="I358" i="1" l="1"/>
  <c r="I363" i="1" s="1"/>
  <c r="O372" i="1"/>
  <c r="E372" i="1"/>
  <c r="O371" i="1"/>
  <c r="O370" i="1"/>
  <c r="I367" i="1"/>
  <c r="I372" i="1" s="1"/>
  <c r="H367" i="1"/>
  <c r="H372" i="1" s="1"/>
  <c r="G367" i="1"/>
  <c r="G372" i="1" s="1"/>
  <c r="F367" i="1"/>
  <c r="F372" i="1" s="1"/>
  <c r="O363" i="1"/>
  <c r="E363" i="1"/>
  <c r="O361" i="1"/>
  <c r="G358" i="1"/>
  <c r="G363" i="1" s="1"/>
  <c r="F358" i="1"/>
  <c r="F363" i="1" s="1"/>
  <c r="O354" i="1"/>
  <c r="E354" i="1"/>
  <c r="O353" i="1"/>
  <c r="O352" i="1"/>
  <c r="I349" i="1"/>
  <c r="I354" i="1" s="1"/>
  <c r="H349" i="1"/>
  <c r="H354" i="1" s="1"/>
  <c r="G349" i="1"/>
  <c r="G354" i="1" s="1"/>
  <c r="F349" i="1"/>
  <c r="F354" i="1" s="1"/>
  <c r="O345" i="1"/>
  <c r="E345" i="1"/>
  <c r="O344" i="1"/>
  <c r="O343" i="1"/>
  <c r="I340" i="1"/>
  <c r="I345" i="1" s="1"/>
  <c r="H340" i="1"/>
  <c r="H345" i="1" s="1"/>
  <c r="G340" i="1"/>
  <c r="G345" i="1" s="1"/>
  <c r="F340" i="1"/>
  <c r="F345" i="1" s="1"/>
  <c r="O336" i="1"/>
  <c r="E336" i="1"/>
  <c r="O335" i="1"/>
  <c r="O334" i="1"/>
  <c r="I331" i="1"/>
  <c r="I336" i="1" s="1"/>
  <c r="H331" i="1"/>
  <c r="H336" i="1" s="1"/>
  <c r="G331" i="1"/>
  <c r="G336" i="1" s="1"/>
  <c r="F331" i="1"/>
  <c r="F336" i="1" s="1"/>
  <c r="O362" i="1" l="1"/>
  <c r="H358" i="1"/>
  <c r="H363" i="1" s="1"/>
  <c r="O327" i="1"/>
  <c r="E327" i="1"/>
  <c r="O326" i="1"/>
  <c r="O325" i="1"/>
  <c r="I322" i="1"/>
  <c r="I327" i="1" s="1"/>
  <c r="H322" i="1"/>
  <c r="H327" i="1" s="1"/>
  <c r="G322" i="1"/>
  <c r="G327" i="1" s="1"/>
  <c r="F322" i="1"/>
  <c r="F327" i="1" s="1"/>
  <c r="O318" i="1"/>
  <c r="E318" i="1"/>
  <c r="O317" i="1"/>
  <c r="O316" i="1"/>
  <c r="I313" i="1"/>
  <c r="I318" i="1" s="1"/>
  <c r="H313" i="1"/>
  <c r="H318" i="1" s="1"/>
  <c r="G313" i="1"/>
  <c r="G318" i="1" s="1"/>
  <c r="F313" i="1"/>
  <c r="F318" i="1" s="1"/>
  <c r="O309" i="1"/>
  <c r="E309" i="1"/>
  <c r="O308" i="1"/>
  <c r="O307" i="1"/>
  <c r="I304" i="1"/>
  <c r="I309" i="1" s="1"/>
  <c r="H304" i="1"/>
  <c r="H309" i="1" s="1"/>
  <c r="G304" i="1"/>
  <c r="G309" i="1" s="1"/>
  <c r="F304" i="1"/>
  <c r="F309" i="1" s="1"/>
  <c r="M297" i="1"/>
  <c r="J455" i="1" s="1"/>
  <c r="O300" i="1"/>
  <c r="E300" i="1"/>
  <c r="O299" i="1"/>
  <c r="O298" i="1"/>
  <c r="I295" i="1"/>
  <c r="I300" i="1" s="1"/>
  <c r="H295" i="1"/>
  <c r="H300" i="1" s="1"/>
  <c r="G295" i="1"/>
  <c r="G300" i="1" s="1"/>
  <c r="F295" i="1"/>
  <c r="F300" i="1" s="1"/>
  <c r="M288" i="1"/>
  <c r="K455" i="1" s="1"/>
  <c r="O291" i="1"/>
  <c r="E291" i="1"/>
  <c r="O290" i="1"/>
  <c r="O289" i="1"/>
  <c r="I286" i="1"/>
  <c r="I291" i="1" s="1"/>
  <c r="H286" i="1"/>
  <c r="H291" i="1" s="1"/>
  <c r="G286" i="1"/>
  <c r="G291" i="1" s="1"/>
  <c r="F286" i="1"/>
  <c r="F291" i="1" s="1"/>
  <c r="O282" i="1" l="1"/>
  <c r="E282" i="1"/>
  <c r="O281" i="1"/>
  <c r="O280" i="1"/>
  <c r="I277" i="1"/>
  <c r="I282" i="1" s="1"/>
  <c r="H277" i="1"/>
  <c r="H282" i="1" s="1"/>
  <c r="G277" i="1"/>
  <c r="G282" i="1" s="1"/>
  <c r="F277" i="1"/>
  <c r="F282" i="1" s="1"/>
  <c r="O273" i="1" l="1"/>
  <c r="E273" i="1"/>
  <c r="O272" i="1"/>
  <c r="O271" i="1"/>
  <c r="I268" i="1"/>
  <c r="H268" i="1"/>
  <c r="H273" i="1" s="1"/>
  <c r="G268" i="1"/>
  <c r="G273" i="1" s="1"/>
  <c r="F268" i="1"/>
  <c r="F273" i="1" s="1"/>
  <c r="I267" i="1"/>
  <c r="O116" i="1"/>
  <c r="O264" i="1"/>
  <c r="E264" i="1"/>
  <c r="O263" i="1"/>
  <c r="O262" i="1"/>
  <c r="I259" i="1"/>
  <c r="H259" i="1"/>
  <c r="H264" i="1" s="1"/>
  <c r="G259" i="1"/>
  <c r="G264" i="1" s="1"/>
  <c r="F259" i="1"/>
  <c r="F264" i="1" s="1"/>
  <c r="I258" i="1"/>
  <c r="O255" i="1"/>
  <c r="E255" i="1"/>
  <c r="O254" i="1"/>
  <c r="O253" i="1"/>
  <c r="I250" i="1"/>
  <c r="H250" i="1"/>
  <c r="H255" i="1" s="1"/>
  <c r="G250" i="1"/>
  <c r="G255" i="1" s="1"/>
  <c r="F250" i="1"/>
  <c r="F255" i="1" s="1"/>
  <c r="I249" i="1"/>
  <c r="O246" i="1"/>
  <c r="E246" i="1"/>
  <c r="O245" i="1"/>
  <c r="O244" i="1"/>
  <c r="I241" i="1"/>
  <c r="H241" i="1"/>
  <c r="H246" i="1" s="1"/>
  <c r="G241" i="1"/>
  <c r="G246" i="1" s="1"/>
  <c r="F241" i="1"/>
  <c r="F246" i="1" s="1"/>
  <c r="I240" i="1"/>
  <c r="E181" i="1"/>
  <c r="E191" i="1"/>
  <c r="E201" i="1"/>
  <c r="E210" i="1"/>
  <c r="E228" i="1"/>
  <c r="E237" i="1"/>
  <c r="O237" i="1"/>
  <c r="O236" i="1"/>
  <c r="O235" i="1"/>
  <c r="I232" i="1"/>
  <c r="H232" i="1"/>
  <c r="H237" i="1" s="1"/>
  <c r="G232" i="1"/>
  <c r="G237" i="1" s="1"/>
  <c r="F232" i="1"/>
  <c r="F237" i="1" s="1"/>
  <c r="I231" i="1"/>
  <c r="E219" i="1"/>
  <c r="I255" i="1" l="1"/>
  <c r="I237" i="1"/>
  <c r="I246" i="1"/>
  <c r="I264" i="1"/>
  <c r="I273" i="1"/>
  <c r="G444" i="1" l="1"/>
  <c r="G433" i="1" s="1"/>
  <c r="I59" i="1" l="1"/>
  <c r="J59" i="1" s="1"/>
  <c r="I368" i="2"/>
  <c r="I367" i="2"/>
  <c r="I366" i="2"/>
  <c r="I365" i="2"/>
  <c r="K364" i="2"/>
  <c r="I364" i="2"/>
  <c r="K363" i="2"/>
  <c r="I363" i="2"/>
  <c r="K359" i="2"/>
  <c r="I359" i="2"/>
  <c r="I370" i="2" s="1"/>
  <c r="I358" i="2"/>
  <c r="I357" i="2"/>
  <c r="I356" i="2"/>
  <c r="K355" i="2"/>
  <c r="K369" i="2" s="1"/>
  <c r="K354" i="2"/>
  <c r="I354" i="2" s="1"/>
  <c r="I353" i="2"/>
  <c r="I352" i="2"/>
  <c r="I351" i="2"/>
  <c r="K350" i="2"/>
  <c r="I350" i="2"/>
  <c r="K332" i="2"/>
  <c r="I331" i="2"/>
  <c r="I330" i="2"/>
  <c r="I332" i="2" s="1"/>
  <c r="M323" i="2"/>
  <c r="L323" i="2"/>
  <c r="L33" i="2" s="1"/>
  <c r="K323" i="2"/>
  <c r="L322" i="2"/>
  <c r="L32" i="2" s="1"/>
  <c r="J319" i="2"/>
  <c r="I318" i="2"/>
  <c r="I317" i="2"/>
  <c r="I316" i="2"/>
  <c r="I315" i="2"/>
  <c r="K314" i="2"/>
  <c r="I314" i="2" s="1"/>
  <c r="I313" i="2"/>
  <c r="I311" i="2"/>
  <c r="K310" i="2"/>
  <c r="I310" i="2" s="1"/>
  <c r="K309" i="2"/>
  <c r="I309" i="2"/>
  <c r="I308" i="2"/>
  <c r="I307" i="2"/>
  <c r="I306" i="2"/>
  <c r="K304" i="2"/>
  <c r="I304" i="2"/>
  <c r="I303" i="2"/>
  <c r="I302" i="2"/>
  <c r="I301" i="2"/>
  <c r="I300" i="2"/>
  <c r="I299" i="2"/>
  <c r="I298" i="2"/>
  <c r="I297" i="2"/>
  <c r="I296" i="2"/>
  <c r="M295" i="2"/>
  <c r="K295" i="2" s="1"/>
  <c r="I295" i="2" s="1"/>
  <c r="I294" i="2"/>
  <c r="K293" i="2"/>
  <c r="I293" i="2" s="1"/>
  <c r="I291" i="2"/>
  <c r="I290" i="2"/>
  <c r="I289" i="2"/>
  <c r="I288" i="2"/>
  <c r="I287" i="2"/>
  <c r="I286" i="2"/>
  <c r="I285" i="2"/>
  <c r="I284" i="2"/>
  <c r="K283" i="2"/>
  <c r="I283" i="2"/>
  <c r="K280" i="2"/>
  <c r="I280" i="2" s="1"/>
  <c r="I279" i="2"/>
  <c r="I278" i="2"/>
  <c r="I277" i="2"/>
  <c r="K276" i="2"/>
  <c r="I276" i="2"/>
  <c r="I275" i="2"/>
  <c r="I274" i="2"/>
  <c r="I273" i="2"/>
  <c r="I272" i="2"/>
  <c r="K271" i="2"/>
  <c r="I271" i="2" s="1"/>
  <c r="I270" i="2"/>
  <c r="L269" i="2"/>
  <c r="L319" i="2" s="1"/>
  <c r="K268" i="2"/>
  <c r="I268" i="2"/>
  <c r="I267" i="2"/>
  <c r="I266" i="2"/>
  <c r="I265" i="2"/>
  <c r="I264" i="2"/>
  <c r="I263" i="2"/>
  <c r="I262" i="2"/>
  <c r="I260" i="2"/>
  <c r="K259" i="2"/>
  <c r="I259" i="2" s="1"/>
  <c r="I258" i="2"/>
  <c r="I257" i="2"/>
  <c r="I256" i="2"/>
  <c r="I255" i="2"/>
  <c r="I254" i="2"/>
  <c r="I253" i="2"/>
  <c r="I252" i="2"/>
  <c r="I251" i="2"/>
  <c r="K250" i="2"/>
  <c r="I250" i="2" s="1"/>
  <c r="I249" i="2"/>
  <c r="I248" i="2"/>
  <c r="I247" i="2"/>
  <c r="I245" i="2"/>
  <c r="I244" i="2"/>
  <c r="I243" i="2"/>
  <c r="I242" i="2"/>
  <c r="I241" i="2"/>
  <c r="I240" i="2"/>
  <c r="I239" i="2"/>
  <c r="I238" i="2"/>
  <c r="I237" i="2"/>
  <c r="I236" i="2"/>
  <c r="I235" i="2"/>
  <c r="I234" i="2"/>
  <c r="I233" i="2"/>
  <c r="I232" i="2"/>
  <c r="I231" i="2"/>
  <c r="M230" i="2"/>
  <c r="K230" i="2" s="1"/>
  <c r="I230" i="2" s="1"/>
  <c r="M229" i="2"/>
  <c r="M322" i="2" s="1"/>
  <c r="M32" i="2" s="1"/>
  <c r="I228" i="2"/>
  <c r="I227" i="2"/>
  <c r="I226" i="2"/>
  <c r="I225" i="2"/>
  <c r="I224" i="2"/>
  <c r="I223" i="2"/>
  <c r="I222" i="2"/>
  <c r="I221" i="2"/>
  <c r="I220" i="2"/>
  <c r="I219" i="2"/>
  <c r="I218" i="2"/>
  <c r="I217" i="2"/>
  <c r="I216" i="2"/>
  <c r="I215" i="2"/>
  <c r="I214" i="2"/>
  <c r="I213" i="2"/>
  <c r="I212" i="2"/>
  <c r="I211" i="2"/>
  <c r="I210" i="2"/>
  <c r="I209" i="2"/>
  <c r="I208" i="2"/>
  <c r="I207" i="2"/>
  <c r="I206" i="2"/>
  <c r="I205" i="2"/>
  <c r="I204" i="2"/>
  <c r="K203" i="2"/>
  <c r="I203" i="2"/>
  <c r="K202" i="2"/>
  <c r="I202" i="2"/>
  <c r="I201" i="2"/>
  <c r="I200" i="2"/>
  <c r="I199" i="2"/>
  <c r="I198" i="2"/>
  <c r="I197" i="2"/>
  <c r="I196" i="2"/>
  <c r="I195" i="2"/>
  <c r="I194" i="2"/>
  <c r="I193" i="2"/>
  <c r="I192" i="2"/>
  <c r="I191" i="2"/>
  <c r="I190" i="2"/>
  <c r="I189" i="2"/>
  <c r="I188" i="2"/>
  <c r="I187" i="2"/>
  <c r="I186" i="2"/>
  <c r="I185" i="2"/>
  <c r="I183" i="2"/>
  <c r="I182" i="2"/>
  <c r="I181" i="2"/>
  <c r="I180" i="2"/>
  <c r="I179" i="2"/>
  <c r="I178" i="2"/>
  <c r="I176" i="2"/>
  <c r="I175" i="2"/>
  <c r="K174" i="2"/>
  <c r="I174" i="2" s="1"/>
  <c r="I173" i="2"/>
  <c r="I172" i="2"/>
  <c r="I171" i="2"/>
  <c r="I170" i="2"/>
  <c r="I169" i="2"/>
  <c r="K168" i="2"/>
  <c r="I168" i="2"/>
  <c r="K167" i="2"/>
  <c r="I167" i="2"/>
  <c r="I166" i="2"/>
  <c r="I165" i="2"/>
  <c r="I323" i="2" s="1"/>
  <c r="I33" i="2" s="1"/>
  <c r="I164" i="2"/>
  <c r="I163" i="2"/>
  <c r="I162" i="2"/>
  <c r="I161" i="2"/>
  <c r="I160" i="2"/>
  <c r="K159" i="2"/>
  <c r="I159" i="2" s="1"/>
  <c r="I158" i="2"/>
  <c r="K157" i="2"/>
  <c r="I157" i="2"/>
  <c r="I156" i="2"/>
  <c r="M151" i="2"/>
  <c r="L151" i="2"/>
  <c r="K151" i="2"/>
  <c r="M150" i="2"/>
  <c r="L150" i="2"/>
  <c r="M149" i="2"/>
  <c r="L149" i="2"/>
  <c r="K149" i="2"/>
  <c r="M147" i="2"/>
  <c r="L147" i="2"/>
  <c r="I145" i="2"/>
  <c r="I144" i="2"/>
  <c r="I143" i="2"/>
  <c r="I142" i="2"/>
  <c r="I141" i="2"/>
  <c r="K140" i="2"/>
  <c r="I140" i="2"/>
  <c r="I139" i="2"/>
  <c r="I138" i="2"/>
  <c r="I137" i="2"/>
  <c r="I136" i="2"/>
  <c r="I135" i="2"/>
  <c r="I134" i="2"/>
  <c r="I133" i="2"/>
  <c r="I132" i="2"/>
  <c r="I131" i="2"/>
  <c r="I130" i="2"/>
  <c r="I129" i="2"/>
  <c r="I128" i="2"/>
  <c r="I127" i="2"/>
  <c r="I126" i="2"/>
  <c r="I125" i="2"/>
  <c r="I124" i="2"/>
  <c r="I123" i="2"/>
  <c r="I122" i="2"/>
  <c r="I121" i="2"/>
  <c r="I120" i="2"/>
  <c r="I118" i="2"/>
  <c r="I117" i="2"/>
  <c r="I116" i="2"/>
  <c r="I115" i="2"/>
  <c r="K114" i="2"/>
  <c r="I114" i="2" s="1"/>
  <c r="I113" i="2"/>
  <c r="I112" i="2"/>
  <c r="I111" i="2"/>
  <c r="K110" i="2"/>
  <c r="I110" i="2" s="1"/>
  <c r="I149" i="2" s="1"/>
  <c r="I109" i="2"/>
  <c r="I108" i="2"/>
  <c r="I107" i="2"/>
  <c r="I106" i="2"/>
  <c r="I105" i="2"/>
  <c r="I104" i="2"/>
  <c r="I103" i="2"/>
  <c r="I102" i="2"/>
  <c r="I101" i="2"/>
  <c r="K100" i="2"/>
  <c r="I100" i="2"/>
  <c r="I98" i="2"/>
  <c r="I97" i="2"/>
  <c r="I96" i="2"/>
  <c r="I95" i="2"/>
  <c r="I94" i="2"/>
  <c r="I93" i="2"/>
  <c r="I92" i="2"/>
  <c r="I90" i="2"/>
  <c r="I89" i="2"/>
  <c r="I88" i="2"/>
  <c r="I86" i="2"/>
  <c r="I85" i="2"/>
  <c r="I84" i="2"/>
  <c r="I83" i="2"/>
  <c r="I82" i="2"/>
  <c r="I81" i="2"/>
  <c r="I80" i="2"/>
  <c r="K79" i="2"/>
  <c r="K147" i="2" s="1"/>
  <c r="K30" i="2" s="1"/>
  <c r="I79" i="2"/>
  <c r="I78" i="2"/>
  <c r="K77" i="2"/>
  <c r="I77" i="2"/>
  <c r="I76" i="2"/>
  <c r="I75" i="2"/>
  <c r="I151" i="2" s="1"/>
  <c r="I74" i="2"/>
  <c r="I73" i="2"/>
  <c r="I72" i="2"/>
  <c r="M67" i="2"/>
  <c r="L67" i="2"/>
  <c r="K67" i="2"/>
  <c r="I67" i="2"/>
  <c r="M66" i="2"/>
  <c r="L66" i="2"/>
  <c r="K66" i="2"/>
  <c r="M65" i="2"/>
  <c r="L65" i="2"/>
  <c r="K65" i="2"/>
  <c r="I65" i="2"/>
  <c r="L63" i="2"/>
  <c r="L29" i="2" s="1"/>
  <c r="I62" i="2"/>
  <c r="I61" i="2"/>
  <c r="I60" i="2"/>
  <c r="I59" i="2"/>
  <c r="I58" i="2"/>
  <c r="M57" i="2"/>
  <c r="K57" i="2"/>
  <c r="I57" i="2" s="1"/>
  <c r="L56" i="2"/>
  <c r="I56" i="2"/>
  <c r="I55" i="2"/>
  <c r="I54" i="2"/>
  <c r="I53" i="2"/>
  <c r="I52" i="2"/>
  <c r="L51" i="2"/>
  <c r="I51" i="2"/>
  <c r="I50" i="2"/>
  <c r="I49" i="2"/>
  <c r="I48" i="2"/>
  <c r="M47" i="2"/>
  <c r="M63" i="2" s="1"/>
  <c r="M29" i="2" s="1"/>
  <c r="K46" i="2"/>
  <c r="I46" i="2"/>
  <c r="I45" i="2"/>
  <c r="I44" i="2"/>
  <c r="I43" i="2"/>
  <c r="I42" i="2"/>
  <c r="I41" i="2"/>
  <c r="I40" i="2"/>
  <c r="I66" i="2" s="1"/>
  <c r="M35" i="2"/>
  <c r="I35" i="2" s="1"/>
  <c r="L35" i="2"/>
  <c r="K35" i="2"/>
  <c r="M33" i="2"/>
  <c r="K33" i="2"/>
  <c r="M30" i="2"/>
  <c r="L30" i="2"/>
  <c r="Q5" i="2"/>
  <c r="N4" i="2"/>
  <c r="M4" i="2"/>
  <c r="L5" i="2"/>
  <c r="K5" i="2"/>
  <c r="Q4" i="2"/>
  <c r="Q6" i="2" s="1"/>
  <c r="L7" i="2" s="1"/>
  <c r="K59" i="1" l="1"/>
  <c r="J57" i="1"/>
  <c r="L31" i="2"/>
  <c r="L324" i="2"/>
  <c r="L14" i="2"/>
  <c r="I30" i="2"/>
  <c r="L34" i="2"/>
  <c r="K319" i="2"/>
  <c r="I150" i="2"/>
  <c r="N5" i="2"/>
  <c r="L8" i="2"/>
  <c r="L11" i="2" s="1"/>
  <c r="I319" i="2"/>
  <c r="M3" i="2"/>
  <c r="M5" i="2" s="1"/>
  <c r="N3" i="2"/>
  <c r="K47" i="2"/>
  <c r="I47" i="2" s="1"/>
  <c r="I63" i="2" s="1"/>
  <c r="K269" i="2"/>
  <c r="I269" i="2" s="1"/>
  <c r="K150" i="2"/>
  <c r="M319" i="2"/>
  <c r="I355" i="2"/>
  <c r="I369" i="2" s="1"/>
  <c r="I371" i="2" s="1"/>
  <c r="K229" i="2"/>
  <c r="I229" i="2" s="1"/>
  <c r="I322" i="2" s="1"/>
  <c r="I32" i="2" s="1"/>
  <c r="K322" i="2"/>
  <c r="K32" i="2" s="1"/>
  <c r="L18" i="2" s="1"/>
  <c r="I147" i="2"/>
  <c r="L59" i="1" l="1"/>
  <c r="L57" i="1" s="1"/>
  <c r="K57" i="1"/>
  <c r="J441" i="1"/>
  <c r="M324" i="2"/>
  <c r="M31" i="2"/>
  <c r="M34" i="2" s="1"/>
  <c r="I324" i="2"/>
  <c r="K31" i="2"/>
  <c r="K324" i="2"/>
  <c r="K63" i="2"/>
  <c r="K29" i="2" s="1"/>
  <c r="L441" i="1" l="1"/>
  <c r="K441" i="1"/>
  <c r="I31" i="2"/>
  <c r="L23" i="2"/>
  <c r="K34" i="2"/>
  <c r="L13" i="2"/>
  <c r="L15" i="2" s="1"/>
  <c r="I29" i="2"/>
  <c r="I34" i="2" s="1"/>
  <c r="L19" i="2" l="1"/>
  <c r="L25" i="2"/>
  <c r="U13" i="1" l="1"/>
  <c r="V13" i="1"/>
  <c r="W13" i="1"/>
  <c r="U14" i="1"/>
  <c r="V14" i="1"/>
  <c r="W14" i="1"/>
  <c r="J3" i="1"/>
  <c r="K3" i="1"/>
  <c r="L3" i="1"/>
  <c r="J20" i="1"/>
  <c r="J38" i="1" s="1"/>
  <c r="K20" i="1"/>
  <c r="L20" i="1"/>
  <c r="K38" i="1" l="1"/>
  <c r="L38" i="1" s="1"/>
  <c r="H459" i="1"/>
  <c r="G459" i="1"/>
  <c r="F459" i="1"/>
  <c r="E459" i="1"/>
  <c r="D449" i="1"/>
  <c r="E434" i="1"/>
  <c r="D441" i="1"/>
  <c r="D440" i="1"/>
  <c r="G439" i="1"/>
  <c r="D439" i="1"/>
  <c r="G438" i="1"/>
  <c r="F438" i="1"/>
  <c r="E438" i="1"/>
  <c r="E432" i="1"/>
  <c r="I421" i="1"/>
  <c r="G421" i="1"/>
  <c r="G426" i="1" s="1"/>
  <c r="F421" i="1"/>
  <c r="F426" i="1" s="1"/>
  <c r="E421" i="1"/>
  <c r="O389" i="1"/>
  <c r="O388" i="1"/>
  <c r="O387" i="1"/>
  <c r="O386" i="1"/>
  <c r="I385" i="1"/>
  <c r="I390" i="1" s="1"/>
  <c r="H385" i="1"/>
  <c r="G385" i="1"/>
  <c r="G390" i="1" s="1"/>
  <c r="F385" i="1"/>
  <c r="F390" i="1" s="1"/>
  <c r="E385" i="1"/>
  <c r="H384" i="1"/>
  <c r="O380" i="1"/>
  <c r="O379" i="1"/>
  <c r="O378" i="1"/>
  <c r="O377" i="1"/>
  <c r="I376" i="1"/>
  <c r="H376" i="1"/>
  <c r="H381" i="1" s="1"/>
  <c r="G376" i="1"/>
  <c r="G381" i="1" s="1"/>
  <c r="F376" i="1"/>
  <c r="F381" i="1" s="1"/>
  <c r="E376" i="1"/>
  <c r="I375" i="1"/>
  <c r="O228" i="1"/>
  <c r="O227" i="1"/>
  <c r="O226" i="1"/>
  <c r="I223" i="1"/>
  <c r="I228" i="1" s="1"/>
  <c r="H223" i="1"/>
  <c r="H228" i="1" s="1"/>
  <c r="G223" i="1"/>
  <c r="G228" i="1" s="1"/>
  <c r="F223" i="1"/>
  <c r="F228" i="1" s="1"/>
  <c r="O219" i="1"/>
  <c r="O218" i="1"/>
  <c r="O217" i="1"/>
  <c r="I214" i="1"/>
  <c r="I219" i="1" s="1"/>
  <c r="M216" i="1" s="1"/>
  <c r="H214" i="1"/>
  <c r="H219" i="1" s="1"/>
  <c r="G214" i="1"/>
  <c r="G219" i="1" s="1"/>
  <c r="F214" i="1"/>
  <c r="F219" i="1" s="1"/>
  <c r="O210" i="1"/>
  <c r="O209" i="1"/>
  <c r="O208" i="1"/>
  <c r="H205" i="1"/>
  <c r="H210" i="1" s="1"/>
  <c r="G205" i="1"/>
  <c r="G210" i="1" s="1"/>
  <c r="F205" i="1"/>
  <c r="F210" i="1" s="1"/>
  <c r="O201" i="1"/>
  <c r="O200" i="1"/>
  <c r="O199" i="1"/>
  <c r="I195" i="1"/>
  <c r="G195" i="1"/>
  <c r="G201" i="1" s="1"/>
  <c r="F195" i="1"/>
  <c r="F201" i="1" s="1"/>
  <c r="O191" i="1"/>
  <c r="O190" i="1"/>
  <c r="O189" i="1"/>
  <c r="I185" i="1"/>
  <c r="H185" i="1"/>
  <c r="G185" i="1"/>
  <c r="G191" i="1" s="1"/>
  <c r="F185" i="1"/>
  <c r="F191" i="1" s="1"/>
  <c r="I184" i="1"/>
  <c r="H184" i="1"/>
  <c r="O181" i="1"/>
  <c r="O180" i="1"/>
  <c r="O179" i="1"/>
  <c r="I176" i="1"/>
  <c r="H176" i="1"/>
  <c r="G176" i="1"/>
  <c r="G181" i="1" s="1"/>
  <c r="F176" i="1"/>
  <c r="F181" i="1" s="1"/>
  <c r="I175" i="1"/>
  <c r="H175" i="1"/>
  <c r="O171" i="1"/>
  <c r="O170" i="1"/>
  <c r="O169" i="1"/>
  <c r="O168" i="1"/>
  <c r="I167" i="1"/>
  <c r="H167" i="1"/>
  <c r="G167" i="1"/>
  <c r="G172" i="1" s="1"/>
  <c r="F167" i="1"/>
  <c r="F172" i="1" s="1"/>
  <c r="E167" i="1"/>
  <c r="E172" i="1" s="1"/>
  <c r="I166" i="1"/>
  <c r="H166" i="1"/>
  <c r="O162" i="1"/>
  <c r="F161" i="1"/>
  <c r="O161" i="1" s="1"/>
  <c r="E160" i="1"/>
  <c r="I160" i="1" s="1"/>
  <c r="O153" i="1"/>
  <c r="O152" i="1"/>
  <c r="O151" i="1"/>
  <c r="O150" i="1"/>
  <c r="I149" i="1"/>
  <c r="I154" i="1" s="1"/>
  <c r="H149" i="1"/>
  <c r="H154" i="1" s="1"/>
  <c r="G149" i="1"/>
  <c r="G154" i="1" s="1"/>
  <c r="F149" i="1"/>
  <c r="F154" i="1" s="1"/>
  <c r="E149" i="1"/>
  <c r="E154" i="1" s="1"/>
  <c r="O148" i="1"/>
  <c r="O144" i="1"/>
  <c r="O143" i="1"/>
  <c r="O142" i="1"/>
  <c r="I140" i="1"/>
  <c r="H140" i="1"/>
  <c r="G140" i="1"/>
  <c r="G145" i="1" s="1"/>
  <c r="E140" i="1"/>
  <c r="E145" i="1" s="1"/>
  <c r="F141" i="1" s="1"/>
  <c r="F140" i="1" s="1"/>
  <c r="F145" i="1" s="1"/>
  <c r="I139" i="1"/>
  <c r="H139" i="1"/>
  <c r="O135" i="1"/>
  <c r="O134" i="1"/>
  <c r="O133" i="1"/>
  <c r="O132" i="1"/>
  <c r="I131" i="1"/>
  <c r="H131" i="1"/>
  <c r="G131" i="1"/>
  <c r="G136" i="1" s="1"/>
  <c r="F131" i="1"/>
  <c r="F136" i="1" s="1"/>
  <c r="E131" i="1"/>
  <c r="E136" i="1" s="1"/>
  <c r="I130" i="1"/>
  <c r="H130" i="1"/>
  <c r="O126" i="1"/>
  <c r="O125" i="1"/>
  <c r="O124" i="1"/>
  <c r="O123" i="1"/>
  <c r="I122" i="1"/>
  <c r="H122" i="1"/>
  <c r="H127" i="1" s="1"/>
  <c r="G122" i="1"/>
  <c r="G127" i="1" s="1"/>
  <c r="F122" i="1"/>
  <c r="F127" i="1" s="1"/>
  <c r="E122" i="1"/>
  <c r="E127" i="1" s="1"/>
  <c r="I121" i="1"/>
  <c r="O121" i="1" s="1"/>
  <c r="O117" i="1"/>
  <c r="F115" i="1"/>
  <c r="E115" i="1"/>
  <c r="E114" i="1"/>
  <c r="I113" i="1"/>
  <c r="H113" i="1"/>
  <c r="G113" i="1"/>
  <c r="G118" i="1" s="1"/>
  <c r="H112" i="1"/>
  <c r="E112" i="1"/>
  <c r="O108" i="1"/>
  <c r="F107" i="1"/>
  <c r="O106" i="1"/>
  <c r="O105" i="1"/>
  <c r="I104" i="1"/>
  <c r="H104" i="1"/>
  <c r="G104" i="1"/>
  <c r="G109" i="1" s="1"/>
  <c r="E104" i="1"/>
  <c r="E109" i="1" s="1"/>
  <c r="I103" i="1"/>
  <c r="H103" i="1"/>
  <c r="H442" i="1" s="1"/>
  <c r="H95" i="1"/>
  <c r="I95" i="1"/>
  <c r="G95" i="1"/>
  <c r="G100" i="1" s="1"/>
  <c r="F95" i="1"/>
  <c r="F100" i="1" s="1"/>
  <c r="E95" i="1"/>
  <c r="E100" i="1" s="1"/>
  <c r="I94" i="1"/>
  <c r="G86" i="1"/>
  <c r="G91" i="1" s="1"/>
  <c r="O89" i="1"/>
  <c r="O88" i="1"/>
  <c r="O87" i="1"/>
  <c r="I86" i="1"/>
  <c r="I91" i="1" s="1"/>
  <c r="F86" i="1"/>
  <c r="E86" i="1"/>
  <c r="E91" i="1" s="1"/>
  <c r="F85" i="1"/>
  <c r="O80" i="1"/>
  <c r="F79" i="1"/>
  <c r="I77" i="1"/>
  <c r="E77" i="1"/>
  <c r="E82" i="1" s="1"/>
  <c r="I76" i="1"/>
  <c r="O76" i="1" s="1"/>
  <c r="O72" i="1"/>
  <c r="O71" i="1"/>
  <c r="O70" i="1"/>
  <c r="E68" i="1"/>
  <c r="I67" i="1"/>
  <c r="I442" i="1" s="1"/>
  <c r="E67" i="1"/>
  <c r="F61" i="1"/>
  <c r="F430" i="1" s="1"/>
  <c r="E430" i="1"/>
  <c r="F60" i="1"/>
  <c r="I57" i="1"/>
  <c r="I441" i="1" s="1"/>
  <c r="F59" i="1"/>
  <c r="E59" i="1"/>
  <c r="E58" i="1"/>
  <c r="S49" i="1"/>
  <c r="R49" i="1"/>
  <c r="Q49" i="1"/>
  <c r="P49" i="1"/>
  <c r="R47" i="1"/>
  <c r="Q47" i="1"/>
  <c r="P47" i="1"/>
  <c r="S47" i="1"/>
  <c r="R46" i="1"/>
  <c r="Q46" i="1"/>
  <c r="P46" i="1"/>
  <c r="R45" i="1"/>
  <c r="Q45" i="1"/>
  <c r="P45" i="1"/>
  <c r="R44" i="1"/>
  <c r="Q44" i="1"/>
  <c r="P44" i="1"/>
  <c r="R42" i="1"/>
  <c r="Q42" i="1"/>
  <c r="P42" i="1"/>
  <c r="R41" i="1"/>
  <c r="Q41" i="1"/>
  <c r="P41" i="1"/>
  <c r="R40" i="1"/>
  <c r="Q40" i="1"/>
  <c r="P40" i="1"/>
  <c r="R39" i="1"/>
  <c r="Q39" i="1"/>
  <c r="P39" i="1"/>
  <c r="R37" i="1"/>
  <c r="Q37" i="1"/>
  <c r="P37" i="1"/>
  <c r="R36" i="1"/>
  <c r="Q36" i="1"/>
  <c r="P36" i="1"/>
  <c r="R35" i="1"/>
  <c r="Q35" i="1"/>
  <c r="P35" i="1"/>
  <c r="R34" i="1"/>
  <c r="Q34" i="1"/>
  <c r="P34" i="1"/>
  <c r="R33" i="1"/>
  <c r="Q33" i="1"/>
  <c r="P33" i="1"/>
  <c r="R32" i="1"/>
  <c r="Q32" i="1"/>
  <c r="P32" i="1"/>
  <c r="G31" i="1"/>
  <c r="E31" i="1"/>
  <c r="D31" i="1"/>
  <c r="R30" i="1"/>
  <c r="Q30" i="1"/>
  <c r="P30" i="1"/>
  <c r="F29" i="1"/>
  <c r="R29" i="1" s="1"/>
  <c r="E29" i="1"/>
  <c r="P29" i="1" s="1"/>
  <c r="F28" i="1"/>
  <c r="R28" i="1" s="1"/>
  <c r="E28" i="1"/>
  <c r="D28" i="1"/>
  <c r="F27" i="1"/>
  <c r="E27" i="1"/>
  <c r="P27" i="1" s="1"/>
  <c r="R26" i="1"/>
  <c r="Q26" i="1"/>
  <c r="P26" i="1"/>
  <c r="R25" i="1"/>
  <c r="Q25" i="1"/>
  <c r="P25" i="1"/>
  <c r="Q24" i="1"/>
  <c r="G24" i="1"/>
  <c r="D24" i="1"/>
  <c r="P24" i="1" s="1"/>
  <c r="T23" i="1"/>
  <c r="S23" i="1"/>
  <c r="R23" i="1"/>
  <c r="Q23" i="1"/>
  <c r="P23" i="1"/>
  <c r="P22" i="1"/>
  <c r="F21" i="1"/>
  <c r="R21" i="1" s="1"/>
  <c r="E21" i="1"/>
  <c r="H20" i="1"/>
  <c r="G20" i="1"/>
  <c r="E17" i="1"/>
  <c r="E431" i="1" s="1"/>
  <c r="Q16" i="1"/>
  <c r="P16" i="1"/>
  <c r="G16" i="1"/>
  <c r="R16" i="1" s="1"/>
  <c r="R15" i="1"/>
  <c r="Q15" i="1"/>
  <c r="P15" i="1"/>
  <c r="I15" i="1"/>
  <c r="T14" i="1"/>
  <c r="S14" i="1"/>
  <c r="R14" i="1"/>
  <c r="Q14" i="1"/>
  <c r="P14" i="1"/>
  <c r="T13" i="1"/>
  <c r="S13" i="1"/>
  <c r="R13" i="1"/>
  <c r="Q13" i="1"/>
  <c r="P13" i="1"/>
  <c r="P12" i="1"/>
  <c r="G12" i="1"/>
  <c r="F12" i="1"/>
  <c r="Q12" i="1" s="1"/>
  <c r="R11" i="1"/>
  <c r="Q11" i="1"/>
  <c r="P11" i="1"/>
  <c r="S11" i="1"/>
  <c r="R10" i="1"/>
  <c r="Q10" i="1"/>
  <c r="P10" i="1"/>
  <c r="S10" i="1"/>
  <c r="F9" i="1"/>
  <c r="G9" i="1" s="1"/>
  <c r="R9" i="1" s="1"/>
  <c r="R8" i="1"/>
  <c r="Q8" i="1"/>
  <c r="P8" i="1"/>
  <c r="R7" i="1"/>
  <c r="Q7" i="1"/>
  <c r="P7" i="1"/>
  <c r="R6" i="1"/>
  <c r="Q6" i="1"/>
  <c r="P6" i="1"/>
  <c r="R5" i="1"/>
  <c r="Q5" i="1"/>
  <c r="D5" i="1"/>
  <c r="D17" i="1" s="1"/>
  <c r="G4" i="1"/>
  <c r="F4" i="1"/>
  <c r="E4" i="1"/>
  <c r="I454" i="1"/>
  <c r="G3" i="1"/>
  <c r="O67" i="1" l="1"/>
  <c r="H191" i="1"/>
  <c r="I444" i="1"/>
  <c r="I433" i="1" s="1"/>
  <c r="H390" i="1"/>
  <c r="I381" i="1"/>
  <c r="H109" i="1"/>
  <c r="I426" i="1"/>
  <c r="T22" i="1"/>
  <c r="J454" i="1"/>
  <c r="G447" i="1"/>
  <c r="G434" i="1" s="1"/>
  <c r="I118" i="1"/>
  <c r="H181" i="1"/>
  <c r="H145" i="1"/>
  <c r="H100" i="1"/>
  <c r="I109" i="1"/>
  <c r="H172" i="1"/>
  <c r="I100" i="1"/>
  <c r="I145" i="1"/>
  <c r="I172" i="1"/>
  <c r="H136" i="1"/>
  <c r="I191" i="1"/>
  <c r="I181" i="1"/>
  <c r="I136" i="1"/>
  <c r="I127" i="1"/>
  <c r="H118" i="1"/>
  <c r="I201" i="1"/>
  <c r="M198" i="1" s="1"/>
  <c r="I455" i="1" s="1"/>
  <c r="I456" i="1" s="1"/>
  <c r="E444" i="1"/>
  <c r="E433" i="1" s="1"/>
  <c r="F104" i="1"/>
  <c r="F109" i="1" s="1"/>
  <c r="F446" i="1"/>
  <c r="F444" i="1"/>
  <c r="F433" i="1" s="1"/>
  <c r="E439" i="1"/>
  <c r="F432" i="1"/>
  <c r="F439" i="1" s="1"/>
  <c r="I205" i="1"/>
  <c r="I210" i="1" s="1"/>
  <c r="F77" i="1"/>
  <c r="F82" i="1" s="1"/>
  <c r="G78" i="1" s="1"/>
  <c r="F443" i="1"/>
  <c r="E443" i="1"/>
  <c r="E440" i="1" s="1"/>
  <c r="F447" i="1"/>
  <c r="F434" i="1" s="1"/>
  <c r="G441" i="1"/>
  <c r="G442" i="1"/>
  <c r="S16" i="1"/>
  <c r="F91" i="1"/>
  <c r="O103" i="1"/>
  <c r="D48" i="1"/>
  <c r="D437" i="1" s="1"/>
  <c r="D435" i="1" s="1"/>
  <c r="O81" i="1"/>
  <c r="E73" i="1"/>
  <c r="F69" i="1" s="1"/>
  <c r="F68" i="1" s="1"/>
  <c r="I82" i="1"/>
  <c r="O157" i="1"/>
  <c r="O130" i="1"/>
  <c r="Q21" i="1"/>
  <c r="O166" i="1"/>
  <c r="I11" i="1"/>
  <c r="J11" i="1" s="1"/>
  <c r="U11" i="1" s="1"/>
  <c r="R31" i="1"/>
  <c r="O107" i="1"/>
  <c r="H9" i="1"/>
  <c r="S9" i="1" s="1"/>
  <c r="O139" i="1"/>
  <c r="P28" i="1"/>
  <c r="O384" i="1"/>
  <c r="F17" i="1"/>
  <c r="I10" i="1"/>
  <c r="T10" i="1" s="1"/>
  <c r="S34" i="1"/>
  <c r="O112" i="1"/>
  <c r="O385" i="1"/>
  <c r="T15" i="1"/>
  <c r="J15" i="1"/>
  <c r="Q9" i="1"/>
  <c r="R12" i="1"/>
  <c r="F48" i="1"/>
  <c r="F437" i="1" s="1"/>
  <c r="R24" i="1"/>
  <c r="Q29" i="1"/>
  <c r="O131" i="1"/>
  <c r="E158" i="1"/>
  <c r="E163" i="1" s="1"/>
  <c r="F159" i="1" s="1"/>
  <c r="O167" i="1"/>
  <c r="O375" i="1"/>
  <c r="I8" i="1"/>
  <c r="P21" i="1"/>
  <c r="G48" i="1"/>
  <c r="M48" i="1" s="1"/>
  <c r="E57" i="1"/>
  <c r="O122" i="1"/>
  <c r="O127" i="1" s="1"/>
  <c r="O149" i="1"/>
  <c r="O154" i="1" s="1"/>
  <c r="O376" i="1"/>
  <c r="O79" i="1"/>
  <c r="F58" i="1"/>
  <c r="F57" i="1" s="1"/>
  <c r="O115" i="1"/>
  <c r="R27" i="1"/>
  <c r="Q27" i="1"/>
  <c r="Q31" i="1"/>
  <c r="P31" i="1"/>
  <c r="S28" i="1"/>
  <c r="I28" i="1"/>
  <c r="I39" i="1"/>
  <c r="P17" i="1"/>
  <c r="S12" i="1"/>
  <c r="I12" i="1"/>
  <c r="D431" i="1"/>
  <c r="E48" i="1"/>
  <c r="O140" i="1"/>
  <c r="P5" i="1"/>
  <c r="S15" i="1"/>
  <c r="O22" i="1"/>
  <c r="O141" i="1"/>
  <c r="G17" i="1"/>
  <c r="H57" i="1"/>
  <c r="H441" i="1" s="1"/>
  <c r="H77" i="1"/>
  <c r="H82" i="1" s="1"/>
  <c r="Q28" i="1"/>
  <c r="E113" i="1"/>
  <c r="E118" i="1" s="1"/>
  <c r="E381" i="1"/>
  <c r="E390" i="1"/>
  <c r="E426" i="1"/>
  <c r="H4" i="1"/>
  <c r="I4" i="1" s="1"/>
  <c r="I5" i="1" s="1"/>
  <c r="I459" i="1" l="1"/>
  <c r="I49" i="1"/>
  <c r="I438" i="1"/>
  <c r="J4" i="1"/>
  <c r="J5" i="1" s="1"/>
  <c r="G462" i="1"/>
  <c r="U22" i="1"/>
  <c r="V22" i="1" s="1"/>
  <c r="W22" i="1" s="1"/>
  <c r="K454" i="1"/>
  <c r="J456" i="1"/>
  <c r="I16" i="1"/>
  <c r="J16" i="1" s="1"/>
  <c r="T49" i="1"/>
  <c r="O104" i="1"/>
  <c r="O109" i="1" s="1"/>
  <c r="Q17" i="1"/>
  <c r="F431" i="1"/>
  <c r="F429" i="1" s="1"/>
  <c r="E441" i="1"/>
  <c r="E442" i="1"/>
  <c r="F441" i="1"/>
  <c r="F442" i="1"/>
  <c r="D50" i="1"/>
  <c r="D54" i="1" s="1"/>
  <c r="D64" i="1" s="1"/>
  <c r="D52" i="1"/>
  <c r="O136" i="1"/>
  <c r="K11" i="1"/>
  <c r="L11" i="1" s="1"/>
  <c r="W11" i="1" s="1"/>
  <c r="O172" i="1"/>
  <c r="O145" i="1"/>
  <c r="F73" i="1"/>
  <c r="S24" i="1"/>
  <c r="Q48" i="1"/>
  <c r="F50" i="1"/>
  <c r="F53" i="1" s="1"/>
  <c r="F52" i="1"/>
  <c r="I34" i="1"/>
  <c r="O390" i="1"/>
  <c r="I9" i="1"/>
  <c r="T9" i="1" s="1"/>
  <c r="R48" i="1"/>
  <c r="T11" i="1"/>
  <c r="G437" i="1"/>
  <c r="G436" i="1" s="1"/>
  <c r="G50" i="1"/>
  <c r="G54" i="1" s="1"/>
  <c r="S8" i="1"/>
  <c r="J10" i="1"/>
  <c r="K10" i="1" s="1"/>
  <c r="O381" i="1"/>
  <c r="T24" i="1"/>
  <c r="J24" i="1"/>
  <c r="U24" i="1" s="1"/>
  <c r="T8" i="1"/>
  <c r="J8" i="1"/>
  <c r="K15" i="1"/>
  <c r="U15" i="1"/>
  <c r="E52" i="1"/>
  <c r="K4" i="1"/>
  <c r="L4" i="1" s="1"/>
  <c r="T12" i="1"/>
  <c r="J12" i="1"/>
  <c r="T28" i="1"/>
  <c r="J28" i="1"/>
  <c r="S6" i="1"/>
  <c r="I6" i="1"/>
  <c r="F158" i="1"/>
  <c r="F163" i="1" s="1"/>
  <c r="E429" i="1"/>
  <c r="I35" i="1"/>
  <c r="S35" i="1"/>
  <c r="F114" i="1"/>
  <c r="S39" i="1"/>
  <c r="S30" i="1"/>
  <c r="I30" i="1"/>
  <c r="S4" i="1"/>
  <c r="S33" i="1"/>
  <c r="I33" i="1"/>
  <c r="S41" i="1"/>
  <c r="I41" i="1"/>
  <c r="O78" i="1"/>
  <c r="G77" i="1"/>
  <c r="G82" i="1" s="1"/>
  <c r="S7" i="1"/>
  <c r="I7" i="1"/>
  <c r="I44" i="1"/>
  <c r="S44" i="1"/>
  <c r="S25" i="1"/>
  <c r="O85" i="1"/>
  <c r="I29" i="1"/>
  <c r="S29" i="1"/>
  <c r="S27" i="1"/>
  <c r="I27" i="1"/>
  <c r="S42" i="1"/>
  <c r="I42" i="1"/>
  <c r="T37" i="1"/>
  <c r="S37" i="1"/>
  <c r="G52" i="1"/>
  <c r="R17" i="1"/>
  <c r="G431" i="1"/>
  <c r="E50" i="1"/>
  <c r="P48" i="1"/>
  <c r="E437" i="1"/>
  <c r="S36" i="1"/>
  <c r="I36" i="1"/>
  <c r="I32" i="1"/>
  <c r="J32" i="1" s="1"/>
  <c r="U32" i="1" s="1"/>
  <c r="S32" i="1"/>
  <c r="S45" i="1"/>
  <c r="I45" i="1"/>
  <c r="I46" i="1"/>
  <c r="S46" i="1"/>
  <c r="S26" i="1"/>
  <c r="I26" i="1"/>
  <c r="S40" i="1"/>
  <c r="I40" i="1"/>
  <c r="T16" i="1" l="1"/>
  <c r="G443" i="1"/>
  <c r="G450" i="1" s="1"/>
  <c r="G63" i="1"/>
  <c r="G61" i="1" s="1"/>
  <c r="G430" i="1" s="1"/>
  <c r="G429" i="1" s="1"/>
  <c r="G449" i="1" s="1"/>
  <c r="G53" i="1"/>
  <c r="J49" i="1"/>
  <c r="J438" i="1"/>
  <c r="J459" i="1"/>
  <c r="L454" i="1"/>
  <c r="K456" i="1"/>
  <c r="S31" i="1"/>
  <c r="V11" i="1"/>
  <c r="K28" i="1"/>
  <c r="U28" i="1"/>
  <c r="T36" i="1"/>
  <c r="J36" i="1"/>
  <c r="T40" i="1"/>
  <c r="J40" i="1"/>
  <c r="T41" i="1"/>
  <c r="J41" i="1"/>
  <c r="T35" i="1"/>
  <c r="J35" i="1"/>
  <c r="T46" i="1"/>
  <c r="J46" i="1"/>
  <c r="T34" i="1"/>
  <c r="J34" i="1"/>
  <c r="T33" i="1"/>
  <c r="J33" i="1"/>
  <c r="T45" i="1"/>
  <c r="J45" i="1"/>
  <c r="T42" i="1"/>
  <c r="J42" i="1"/>
  <c r="T39" i="1"/>
  <c r="J39" i="1"/>
  <c r="K32" i="1"/>
  <c r="V32" i="1" s="1"/>
  <c r="T44" i="1"/>
  <c r="J44" i="1"/>
  <c r="K24" i="1"/>
  <c r="V24" i="1" s="1"/>
  <c r="E436" i="1"/>
  <c r="E449" i="1" s="1"/>
  <c r="F436" i="1"/>
  <c r="F449" i="1" s="1"/>
  <c r="D53" i="1"/>
  <c r="Q50" i="1"/>
  <c r="G68" i="1"/>
  <c r="F54" i="1"/>
  <c r="F64" i="1" s="1"/>
  <c r="F74" i="1" s="1"/>
  <c r="F83" i="1" s="1"/>
  <c r="F101" i="1" s="1"/>
  <c r="F128" i="1" s="1"/>
  <c r="J9" i="1"/>
  <c r="K9" i="1" s="1"/>
  <c r="R50" i="1"/>
  <c r="U10" i="1"/>
  <c r="T4" i="1"/>
  <c r="U4" i="1" s="1"/>
  <c r="V4" i="1" s="1"/>
  <c r="W4" i="1" s="1"/>
  <c r="L10" i="1"/>
  <c r="W10" i="1" s="1"/>
  <c r="V10" i="1"/>
  <c r="U8" i="1"/>
  <c r="K8" i="1"/>
  <c r="T26" i="1"/>
  <c r="J26" i="1"/>
  <c r="T27" i="1"/>
  <c r="J27" i="1"/>
  <c r="T29" i="1"/>
  <c r="J29" i="1"/>
  <c r="G158" i="1"/>
  <c r="G163" i="1" s="1"/>
  <c r="H159" i="1" s="1"/>
  <c r="J6" i="1"/>
  <c r="T6" i="1"/>
  <c r="K12" i="1"/>
  <c r="U12" i="1"/>
  <c r="T30" i="1"/>
  <c r="J30" i="1"/>
  <c r="K16" i="1"/>
  <c r="U16" i="1"/>
  <c r="L15" i="1"/>
  <c r="W15" i="1" s="1"/>
  <c r="V15" i="1"/>
  <c r="T25" i="1"/>
  <c r="J25" i="1"/>
  <c r="T7" i="1"/>
  <c r="J7" i="1"/>
  <c r="O77" i="1"/>
  <c r="O82" i="1" s="1"/>
  <c r="T32" i="1"/>
  <c r="I31" i="1"/>
  <c r="T31" i="1" s="1"/>
  <c r="H86" i="1"/>
  <c r="H91" i="1" s="1"/>
  <c r="O90" i="1"/>
  <c r="O114" i="1"/>
  <c r="F113" i="1"/>
  <c r="F118" i="1" s="1"/>
  <c r="P50" i="1"/>
  <c r="E53" i="1"/>
  <c r="E54" i="1"/>
  <c r="E64" i="1" s="1"/>
  <c r="E74" i="1" s="1"/>
  <c r="I47" i="1"/>
  <c r="T47" i="1" s="1"/>
  <c r="S5" i="1"/>
  <c r="H17" i="1"/>
  <c r="H443" i="1" l="1"/>
  <c r="L456" i="1"/>
  <c r="L49" i="1" s="1"/>
  <c r="G64" i="1"/>
  <c r="G74" i="1" s="1"/>
  <c r="G83" i="1" s="1"/>
  <c r="G92" i="1" s="1"/>
  <c r="G101" i="1" s="1"/>
  <c r="G110" i="1" s="1"/>
  <c r="G119" i="1" s="1"/>
  <c r="G128" i="1" s="1"/>
  <c r="G137" i="1" s="1"/>
  <c r="G146" i="1" s="1"/>
  <c r="G155" i="1" s="1"/>
  <c r="G164" i="1" s="1"/>
  <c r="G173" i="1" s="1"/>
  <c r="G182" i="1" s="1"/>
  <c r="G192" i="1" s="1"/>
  <c r="G202" i="1" s="1"/>
  <c r="G211" i="1" s="1"/>
  <c r="G73" i="1"/>
  <c r="H462" i="1"/>
  <c r="H461" i="1" s="1"/>
  <c r="H52" i="1"/>
  <c r="O160" i="1"/>
  <c r="H444" i="1"/>
  <c r="J47" i="1"/>
  <c r="U47" i="1" s="1"/>
  <c r="I22" i="1"/>
  <c r="I21" i="1" s="1"/>
  <c r="K49" i="1"/>
  <c r="V49" i="1" s="1"/>
  <c r="K438" i="1"/>
  <c r="K459" i="1"/>
  <c r="L438" i="1"/>
  <c r="U49" i="1"/>
  <c r="K46" i="1"/>
  <c r="U46" i="1"/>
  <c r="K42" i="1"/>
  <c r="U42" i="1"/>
  <c r="K35" i="1"/>
  <c r="U35" i="1"/>
  <c r="K41" i="1"/>
  <c r="U41" i="1"/>
  <c r="K45" i="1"/>
  <c r="U45" i="1"/>
  <c r="K40" i="1"/>
  <c r="U40" i="1"/>
  <c r="K39" i="1"/>
  <c r="U39" i="1"/>
  <c r="K29" i="1"/>
  <c r="U29" i="1"/>
  <c r="K33" i="1"/>
  <c r="U33" i="1"/>
  <c r="K36" i="1"/>
  <c r="U36" i="1"/>
  <c r="K25" i="1"/>
  <c r="U25" i="1"/>
  <c r="K26" i="1"/>
  <c r="U26" i="1"/>
  <c r="K27" i="1"/>
  <c r="U27" i="1"/>
  <c r="K30" i="1"/>
  <c r="U30" i="1"/>
  <c r="K44" i="1"/>
  <c r="U44" i="1"/>
  <c r="K34" i="1"/>
  <c r="U34" i="1"/>
  <c r="L28" i="1"/>
  <c r="W28" i="1" s="1"/>
  <c r="V28" i="1"/>
  <c r="L32" i="1"/>
  <c r="U9" i="1"/>
  <c r="J31" i="1"/>
  <c r="U31" i="1" s="1"/>
  <c r="L24" i="1"/>
  <c r="W24" i="1" s="1"/>
  <c r="F92" i="1"/>
  <c r="F110" i="1"/>
  <c r="F119" i="1" s="1"/>
  <c r="L16" i="1"/>
  <c r="W16" i="1" s="1"/>
  <c r="V16" i="1"/>
  <c r="U7" i="1"/>
  <c r="K7" i="1"/>
  <c r="K6" i="1"/>
  <c r="U6" i="1"/>
  <c r="L9" i="1"/>
  <c r="W9" i="1" s="1"/>
  <c r="V9" i="1"/>
  <c r="H158" i="1"/>
  <c r="L8" i="1"/>
  <c r="W8" i="1" s="1"/>
  <c r="V8" i="1"/>
  <c r="L12" i="1"/>
  <c r="W12" i="1" s="1"/>
  <c r="V12" i="1"/>
  <c r="S21" i="1"/>
  <c r="O113" i="1"/>
  <c r="O118" i="1" s="1"/>
  <c r="E92" i="1"/>
  <c r="E83" i="1"/>
  <c r="E101" i="1" s="1"/>
  <c r="G464" i="1"/>
  <c r="G465" i="1" s="1"/>
  <c r="G461" i="1"/>
  <c r="T5" i="1"/>
  <c r="I17" i="1"/>
  <c r="I431" i="1" s="1"/>
  <c r="S17" i="1"/>
  <c r="H431" i="1"/>
  <c r="O86" i="1"/>
  <c r="O91" i="1" s="1"/>
  <c r="L459" i="1" l="1"/>
  <c r="H439" i="1"/>
  <c r="H432" i="1"/>
  <c r="H433" i="1"/>
  <c r="G220" i="1"/>
  <c r="G229" i="1" s="1"/>
  <c r="G238" i="1" s="1"/>
  <c r="G247" i="1" s="1"/>
  <c r="G256" i="1" s="1"/>
  <c r="G265" i="1" s="1"/>
  <c r="G274" i="1" s="1"/>
  <c r="G283" i="1" s="1"/>
  <c r="G292" i="1" s="1"/>
  <c r="G301" i="1" s="1"/>
  <c r="G310" i="1" s="1"/>
  <c r="G319" i="1" s="1"/>
  <c r="G328" i="1" s="1"/>
  <c r="G337" i="1" s="1"/>
  <c r="G346" i="1" s="1"/>
  <c r="G355" i="1" s="1"/>
  <c r="G364" i="1" s="1"/>
  <c r="G373" i="1" s="1"/>
  <c r="G382" i="1" s="1"/>
  <c r="H68" i="1"/>
  <c r="H73" i="1" s="1"/>
  <c r="I69" i="1" s="1"/>
  <c r="W49" i="1"/>
  <c r="K31" i="1"/>
  <c r="V31" i="1" s="1"/>
  <c r="W32" i="1"/>
  <c r="L26" i="1"/>
  <c r="W26" i="1" s="1"/>
  <c r="V26" i="1"/>
  <c r="L25" i="1"/>
  <c r="W25" i="1" s="1"/>
  <c r="V25" i="1"/>
  <c r="L45" i="1"/>
  <c r="W45" i="1" s="1"/>
  <c r="V45" i="1"/>
  <c r="L40" i="1"/>
  <c r="W40" i="1" s="1"/>
  <c r="V40" i="1"/>
  <c r="L34" i="1"/>
  <c r="W34" i="1" s="1"/>
  <c r="V34" i="1"/>
  <c r="L36" i="1"/>
  <c r="W36" i="1" s="1"/>
  <c r="V36" i="1"/>
  <c r="L41" i="1"/>
  <c r="W41" i="1" s="1"/>
  <c r="V41" i="1"/>
  <c r="L30" i="1"/>
  <c r="W30" i="1" s="1"/>
  <c r="V30" i="1"/>
  <c r="L29" i="1"/>
  <c r="W29" i="1" s="1"/>
  <c r="V29" i="1"/>
  <c r="L42" i="1"/>
  <c r="W42" i="1" s="1"/>
  <c r="V42" i="1"/>
  <c r="L44" i="1"/>
  <c r="W44" i="1" s="1"/>
  <c r="V44" i="1"/>
  <c r="L33" i="1"/>
  <c r="W33" i="1" s="1"/>
  <c r="V33" i="1"/>
  <c r="L35" i="1"/>
  <c r="W35" i="1" s="1"/>
  <c r="V35" i="1"/>
  <c r="L27" i="1"/>
  <c r="W27" i="1" s="1"/>
  <c r="V27" i="1"/>
  <c r="L39" i="1"/>
  <c r="W39" i="1" s="1"/>
  <c r="V39" i="1"/>
  <c r="L46" i="1"/>
  <c r="W46" i="1" s="1"/>
  <c r="V46" i="1"/>
  <c r="H163" i="1"/>
  <c r="I159" i="1" s="1"/>
  <c r="U5" i="1"/>
  <c r="J22" i="1"/>
  <c r="J21" i="1" s="1"/>
  <c r="J48" i="1" s="1"/>
  <c r="K47" i="1"/>
  <c r="V47" i="1" s="1"/>
  <c r="I462" i="1"/>
  <c r="I461" i="1" s="1"/>
  <c r="H437" i="1"/>
  <c r="F137" i="1"/>
  <c r="F146" i="1" s="1"/>
  <c r="J17" i="1"/>
  <c r="K5" i="1"/>
  <c r="V6" i="1"/>
  <c r="L6" i="1"/>
  <c r="W6" i="1" s="1"/>
  <c r="L7" i="1"/>
  <c r="W7" i="1" s="1"/>
  <c r="V7" i="1"/>
  <c r="T21" i="1"/>
  <c r="I48" i="1"/>
  <c r="T17" i="1"/>
  <c r="E128" i="1"/>
  <c r="E110" i="1"/>
  <c r="H50" i="1"/>
  <c r="S48" i="1"/>
  <c r="H436" i="1" l="1"/>
  <c r="N436" i="1" s="1"/>
  <c r="I443" i="1"/>
  <c r="G418" i="1"/>
  <c r="G409" i="1"/>
  <c r="G400" i="1"/>
  <c r="G391" i="1"/>
  <c r="G427" i="1" s="1"/>
  <c r="H53" i="1"/>
  <c r="H54" i="1"/>
  <c r="H64" i="1" s="1"/>
  <c r="J52" i="1"/>
  <c r="J437" i="1"/>
  <c r="J50" i="1"/>
  <c r="J54" i="1" s="1"/>
  <c r="L31" i="1"/>
  <c r="W31" i="1" s="1"/>
  <c r="J462" i="1"/>
  <c r="J461" i="1" s="1"/>
  <c r="I158" i="1"/>
  <c r="I163" i="1" s="1"/>
  <c r="O159" i="1"/>
  <c r="U48" i="1"/>
  <c r="L5" i="1"/>
  <c r="L22" i="1" s="1"/>
  <c r="L21" i="1" s="1"/>
  <c r="K22" i="1"/>
  <c r="K21" i="1" s="1"/>
  <c r="L47" i="1"/>
  <c r="W47" i="1" s="1"/>
  <c r="U21" i="1"/>
  <c r="U17" i="1"/>
  <c r="J431" i="1"/>
  <c r="I52" i="1"/>
  <c r="I437" i="1"/>
  <c r="V5" i="1"/>
  <c r="K17" i="1"/>
  <c r="F155" i="1"/>
  <c r="F164" i="1" s="1"/>
  <c r="F173" i="1" s="1"/>
  <c r="F182" i="1" s="1"/>
  <c r="F192" i="1" s="1"/>
  <c r="F202" i="1" s="1"/>
  <c r="F211" i="1" s="1"/>
  <c r="F220" i="1" s="1"/>
  <c r="F229" i="1" s="1"/>
  <c r="O69" i="1"/>
  <c r="I68" i="1"/>
  <c r="I50" i="1"/>
  <c r="T48" i="1"/>
  <c r="S50" i="1"/>
  <c r="E119" i="1"/>
  <c r="E137" i="1"/>
  <c r="E146" i="1" s="1"/>
  <c r="J464" i="1" l="1"/>
  <c r="J465" i="1" s="1"/>
  <c r="J53" i="1"/>
  <c r="U50" i="1"/>
  <c r="L17" i="1"/>
  <c r="W17" i="1" s="1"/>
  <c r="O158" i="1"/>
  <c r="O163" i="1" s="1"/>
  <c r="W5" i="1"/>
  <c r="K431" i="1"/>
  <c r="K462" i="1"/>
  <c r="L431" i="1"/>
  <c r="L462" i="1"/>
  <c r="V21" i="1"/>
  <c r="K48" i="1"/>
  <c r="L48" i="1"/>
  <c r="W21" i="1"/>
  <c r="V17" i="1"/>
  <c r="F238" i="1"/>
  <c r="F247" i="1" s="1"/>
  <c r="F256" i="1" s="1"/>
  <c r="F265" i="1" s="1"/>
  <c r="F274" i="1" s="1"/>
  <c r="F283" i="1" s="1"/>
  <c r="F292" i="1" s="1"/>
  <c r="F301" i="1" s="1"/>
  <c r="F310" i="1" s="1"/>
  <c r="F319" i="1" s="1"/>
  <c r="F328" i="1" s="1"/>
  <c r="F337" i="1" s="1"/>
  <c r="F346" i="1" s="1"/>
  <c r="F355" i="1" s="1"/>
  <c r="F364" i="1" s="1"/>
  <c r="F373" i="1" s="1"/>
  <c r="I73" i="1"/>
  <c r="I434" i="1" s="1"/>
  <c r="O68" i="1"/>
  <c r="O73" i="1" s="1"/>
  <c r="T50" i="1"/>
  <c r="I54" i="1"/>
  <c r="I53" i="1"/>
  <c r="E155" i="1"/>
  <c r="E164" i="1" s="1"/>
  <c r="E173" i="1" s="1"/>
  <c r="E182" i="1" s="1"/>
  <c r="E192" i="1" s="1"/>
  <c r="E202" i="1" s="1"/>
  <c r="E211" i="1" s="1"/>
  <c r="E220" i="1" s="1"/>
  <c r="E229" i="1" s="1"/>
  <c r="W48" i="1" l="1"/>
  <c r="K52" i="1"/>
  <c r="V48" i="1"/>
  <c r="L50" i="1"/>
  <c r="L437" i="1"/>
  <c r="L52" i="1"/>
  <c r="K437" i="1"/>
  <c r="K50" i="1"/>
  <c r="V50" i="1" s="1"/>
  <c r="K461" i="1"/>
  <c r="K464" i="1"/>
  <c r="K465" i="1" s="1"/>
  <c r="L461" i="1"/>
  <c r="L464" i="1"/>
  <c r="L465" i="1" s="1"/>
  <c r="F382" i="1"/>
  <c r="E238" i="1"/>
  <c r="E247" i="1" s="1"/>
  <c r="E256" i="1" s="1"/>
  <c r="E265" i="1" s="1"/>
  <c r="E274" i="1" s="1"/>
  <c r="E283" i="1" s="1"/>
  <c r="E292" i="1" s="1"/>
  <c r="E301" i="1" s="1"/>
  <c r="E310" i="1" s="1"/>
  <c r="E319" i="1" s="1"/>
  <c r="E328" i="1" s="1"/>
  <c r="E337" i="1" s="1"/>
  <c r="E346" i="1" s="1"/>
  <c r="E355" i="1" s="1"/>
  <c r="E364" i="1" s="1"/>
  <c r="E373" i="1" s="1"/>
  <c r="F409" i="1" l="1"/>
  <c r="F418" i="1"/>
  <c r="F391" i="1"/>
  <c r="F427" i="1" s="1"/>
  <c r="F400" i="1"/>
  <c r="W50" i="1"/>
  <c r="K53" i="1"/>
  <c r="K54" i="1"/>
  <c r="L53" i="1"/>
  <c r="L54" i="1"/>
  <c r="E382" i="1"/>
  <c r="E409" i="1" l="1"/>
  <c r="X409" i="1" s="1"/>
  <c r="E418" i="1"/>
  <c r="X418" i="1" s="1"/>
  <c r="E400" i="1"/>
  <c r="E391" i="1"/>
  <c r="E427" i="1" s="1"/>
  <c r="X427" i="1" s="1"/>
  <c r="H61" i="1" l="1"/>
  <c r="H430" i="1" s="1"/>
  <c r="H74" i="1"/>
  <c r="H83" i="1" s="1"/>
  <c r="H92" i="1" s="1"/>
  <c r="H101" i="1" s="1"/>
  <c r="H110" i="1" s="1"/>
  <c r="H119" i="1" s="1"/>
  <c r="H128" i="1" s="1"/>
  <c r="H137" i="1" s="1"/>
  <c r="H146" i="1" s="1"/>
  <c r="H155" i="1" s="1"/>
  <c r="H164" i="1" s="1"/>
  <c r="H173" i="1" s="1"/>
  <c r="H182" i="1" s="1"/>
  <c r="H192" i="1" s="1"/>
  <c r="H202" i="1" s="1"/>
  <c r="H211" i="1" s="1"/>
  <c r="H220" i="1" s="1"/>
  <c r="H229" i="1" s="1"/>
  <c r="H238" i="1" s="1"/>
  <c r="H247" i="1" s="1"/>
  <c r="H256" i="1" s="1"/>
  <c r="H265" i="1" s="1"/>
  <c r="H274" i="1" s="1"/>
  <c r="H283" i="1" s="1"/>
  <c r="H292" i="1" s="1"/>
  <c r="H301" i="1" s="1"/>
  <c r="H310" i="1" s="1"/>
  <c r="H319" i="1" s="1"/>
  <c r="H328" i="1" s="1"/>
  <c r="H337" i="1" s="1"/>
  <c r="H346" i="1" s="1"/>
  <c r="H355" i="1" s="1"/>
  <c r="H364" i="1" s="1"/>
  <c r="H373" i="1" s="1"/>
  <c r="H382" i="1" s="1"/>
  <c r="H391" i="1" s="1"/>
  <c r="H400" i="1" s="1"/>
  <c r="H409" i="1" s="1"/>
  <c r="H418" i="1" s="1"/>
  <c r="H427" i="1" s="1"/>
  <c r="H464" i="1"/>
  <c r="H465" i="1" s="1"/>
  <c r="I464" i="1"/>
  <c r="I465" i="1" s="1"/>
  <c r="I63" i="1" l="1"/>
  <c r="I64" i="1" l="1"/>
  <c r="I74" i="1" s="1"/>
  <c r="I83" i="1" s="1"/>
  <c r="I92" i="1" s="1"/>
  <c r="I101" i="1" s="1"/>
  <c r="I110" i="1" s="1"/>
  <c r="I119" i="1" s="1"/>
  <c r="I128" i="1" s="1"/>
  <c r="I137" i="1" s="1"/>
  <c r="I146" i="1" s="1"/>
  <c r="I61" i="1"/>
  <c r="I430" i="1" s="1"/>
  <c r="I155" i="1" l="1"/>
  <c r="I164" i="1" s="1"/>
  <c r="I173" i="1" s="1"/>
  <c r="I182" i="1" s="1"/>
  <c r="I192" i="1" s="1"/>
  <c r="I202" i="1" s="1"/>
  <c r="I211" i="1" s="1"/>
  <c r="I220" i="1" s="1"/>
  <c r="I229" i="1" s="1"/>
  <c r="I238" i="1" s="1"/>
  <c r="I247" i="1" s="1"/>
  <c r="I256" i="1" s="1"/>
  <c r="I265" i="1" s="1"/>
  <c r="I274" i="1" s="1"/>
  <c r="I283" i="1" s="1"/>
  <c r="I292" i="1" s="1"/>
  <c r="I301" i="1" s="1"/>
  <c r="I310" i="1" s="1"/>
  <c r="I319" i="1" s="1"/>
  <c r="I328" i="1" s="1"/>
  <c r="I337" i="1" s="1"/>
  <c r="I346" i="1" s="1"/>
  <c r="I355" i="1" s="1"/>
  <c r="I364" i="1" s="1"/>
  <c r="I373" i="1" s="1"/>
  <c r="I382" i="1" s="1"/>
  <c r="I391" i="1" s="1"/>
  <c r="I400" i="1" l="1"/>
  <c r="I409" i="1" s="1"/>
  <c r="I418" i="1" s="1"/>
  <c r="I427" i="1" s="1"/>
  <c r="J63" i="1" l="1"/>
  <c r="J64" i="1" s="1"/>
  <c r="J61" i="1" l="1"/>
  <c r="J74" i="1"/>
  <c r="J83" i="1" s="1"/>
  <c r="J92" i="1" s="1"/>
  <c r="J101" i="1" s="1"/>
  <c r="J110" i="1" s="1"/>
  <c r="J119" i="1" s="1"/>
  <c r="J128" i="1" s="1"/>
  <c r="J137" i="1" s="1"/>
  <c r="J146" i="1" s="1"/>
  <c r="J155" i="1" s="1"/>
  <c r="J164" i="1" s="1"/>
  <c r="J173" i="1" s="1"/>
  <c r="J182" i="1" s="1"/>
  <c r="J192" i="1" s="1"/>
  <c r="J202" i="1" s="1"/>
  <c r="J211" i="1" s="1"/>
  <c r="J220" i="1" s="1"/>
  <c r="J229" i="1" s="1"/>
  <c r="J238" i="1" s="1"/>
  <c r="J247" i="1" s="1"/>
  <c r="J256" i="1" s="1"/>
  <c r="J265" i="1" s="1"/>
  <c r="J274" i="1" s="1"/>
  <c r="J283" i="1" s="1"/>
  <c r="J292" i="1" s="1"/>
  <c r="J301" i="1" s="1"/>
  <c r="J310" i="1" s="1"/>
  <c r="J319" i="1" s="1"/>
  <c r="J328" i="1" s="1"/>
  <c r="J337" i="1" s="1"/>
  <c r="J346" i="1" s="1"/>
  <c r="J355" i="1" s="1"/>
  <c r="J364" i="1" s="1"/>
  <c r="J373" i="1" s="1"/>
  <c r="J382" i="1" s="1"/>
  <c r="J430" i="1" l="1"/>
  <c r="J391" i="1"/>
  <c r="J400" i="1" l="1"/>
  <c r="J409" i="1" s="1"/>
  <c r="J418" i="1" s="1"/>
  <c r="J427" i="1" s="1"/>
  <c r="K63" i="1" s="1"/>
  <c r="K64" i="1" l="1"/>
  <c r="K74" i="1" s="1"/>
  <c r="K83" i="1" s="1"/>
  <c r="K92" i="1" s="1"/>
  <c r="K101" i="1" s="1"/>
  <c r="K110" i="1" s="1"/>
  <c r="K119" i="1" s="1"/>
  <c r="K128" i="1" s="1"/>
  <c r="K137" i="1" s="1"/>
  <c r="K146" i="1" s="1"/>
  <c r="K155" i="1" s="1"/>
  <c r="K164" i="1" s="1"/>
  <c r="K173" i="1" s="1"/>
  <c r="K182" i="1" s="1"/>
  <c r="K192" i="1" s="1"/>
  <c r="K202" i="1" s="1"/>
  <c r="K211" i="1" s="1"/>
  <c r="K220" i="1" s="1"/>
  <c r="K229" i="1" s="1"/>
  <c r="K238" i="1" s="1"/>
  <c r="K247" i="1" s="1"/>
  <c r="K256" i="1" s="1"/>
  <c r="K265" i="1" s="1"/>
  <c r="K274" i="1" s="1"/>
  <c r="K283" i="1" s="1"/>
  <c r="K292" i="1" s="1"/>
  <c r="K301" i="1" s="1"/>
  <c r="K310" i="1" s="1"/>
  <c r="K319" i="1" s="1"/>
  <c r="K328" i="1" s="1"/>
  <c r="K337" i="1" s="1"/>
  <c r="K346" i="1" s="1"/>
  <c r="K355" i="1" s="1"/>
  <c r="K364" i="1" s="1"/>
  <c r="K373" i="1" s="1"/>
  <c r="K382" i="1" s="1"/>
  <c r="K391" i="1" s="1"/>
  <c r="K400" i="1" s="1"/>
  <c r="K409" i="1" s="1"/>
  <c r="K418" i="1" s="1"/>
  <c r="K427" i="1" s="1"/>
  <c r="L63" i="1" s="1"/>
  <c r="K61" i="1"/>
  <c r="K430" i="1" l="1"/>
  <c r="L64" i="1"/>
  <c r="L74" i="1" s="1"/>
  <c r="L83" i="1" s="1"/>
  <c r="L92" i="1" s="1"/>
  <c r="L101" i="1" s="1"/>
  <c r="L110" i="1" s="1"/>
  <c r="L119" i="1" s="1"/>
  <c r="L128" i="1" s="1"/>
  <c r="L137" i="1" s="1"/>
  <c r="L146" i="1" s="1"/>
  <c r="L155" i="1" s="1"/>
  <c r="L164" i="1" s="1"/>
  <c r="L173" i="1" s="1"/>
  <c r="L182" i="1" s="1"/>
  <c r="L192" i="1" s="1"/>
  <c r="L202" i="1" s="1"/>
  <c r="L211" i="1" s="1"/>
  <c r="L220" i="1" s="1"/>
  <c r="L229" i="1" s="1"/>
  <c r="L238" i="1" s="1"/>
  <c r="L247" i="1" s="1"/>
  <c r="L256" i="1" s="1"/>
  <c r="L265" i="1" s="1"/>
  <c r="L274" i="1" s="1"/>
  <c r="L283" i="1" s="1"/>
  <c r="L292" i="1" s="1"/>
  <c r="L301" i="1" s="1"/>
  <c r="L310" i="1" s="1"/>
  <c r="L319" i="1" s="1"/>
  <c r="L328" i="1" s="1"/>
  <c r="L337" i="1" s="1"/>
  <c r="L346" i="1" s="1"/>
  <c r="L355" i="1" s="1"/>
  <c r="L364" i="1" s="1"/>
  <c r="L373" i="1" s="1"/>
  <c r="L382" i="1" s="1"/>
  <c r="L391" i="1" s="1"/>
  <c r="L61" i="1"/>
  <c r="L430" i="1" l="1"/>
  <c r="L400" i="1"/>
  <c r="L409" i="1" s="1"/>
  <c r="L418" i="1" s="1"/>
  <c r="L427" i="1" s="1"/>
  <c r="N430" i="1" l="1"/>
  <c r="I432" i="1"/>
  <c r="J432" i="1" s="1"/>
  <c r="H429" i="1"/>
  <c r="N429" i="1" s="1"/>
  <c r="N431" i="1" l="1"/>
  <c r="I429" i="1"/>
  <c r="H449" i="1"/>
  <c r="I439" i="1"/>
  <c r="I436" i="1" s="1"/>
  <c r="J429" i="1"/>
  <c r="J439" i="1"/>
  <c r="J436" i="1" s="1"/>
  <c r="K432" i="1"/>
  <c r="I449" i="1" l="1"/>
  <c r="L432" i="1"/>
  <c r="K439" i="1"/>
  <c r="K436" i="1" s="1"/>
  <c r="K429" i="1"/>
  <c r="J449" i="1"/>
  <c r="K449" i="1" l="1"/>
  <c r="L429" i="1"/>
  <c r="L439" i="1"/>
  <c r="L436" i="1" s="1"/>
  <c r="L44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L51" authorId="0" shapeId="0" xr:uid="{2BDE417E-B9B4-4D67-B113-01F664D80B84}">
      <text>
        <r>
          <rPr>
            <b/>
            <sz val="9"/>
            <color indexed="81"/>
            <rFont val="Tahoma"/>
            <family val="2"/>
            <charset val="186"/>
          </rPr>
          <t>Sarmīte Mūze:</t>
        </r>
        <r>
          <rPr>
            <sz val="9"/>
            <color indexed="81"/>
            <rFont val="Tahoma"/>
            <family val="2"/>
            <charset val="186"/>
          </rPr>
          <t xml:space="preserve">
KA</t>
        </r>
      </text>
    </comment>
    <comment ref="L57" authorId="0" shapeId="0" xr:uid="{79C1BC38-771F-4968-9072-C5B1639B459C}">
      <text>
        <r>
          <rPr>
            <b/>
            <sz val="9"/>
            <color indexed="81"/>
            <rFont val="Tahoma"/>
            <family val="2"/>
            <charset val="186"/>
          </rPr>
          <t>Sarmīte Mūze:</t>
        </r>
        <r>
          <rPr>
            <sz val="9"/>
            <color indexed="81"/>
            <rFont val="Tahoma"/>
            <family val="2"/>
            <charset val="186"/>
          </rPr>
          <t xml:space="preserve">
12.12.2024.</t>
        </r>
      </text>
    </comment>
    <comment ref="I269" authorId="0" shapeId="0" xr:uid="{8F65B453-3064-4573-B374-F4EDD3B04B99}">
      <text>
        <r>
          <rPr>
            <b/>
            <sz val="9"/>
            <color indexed="81"/>
            <rFont val="Tahoma"/>
            <family val="2"/>
            <charset val="186"/>
          </rPr>
          <t>Sarmīte Mūze:</t>
        </r>
        <r>
          <rPr>
            <sz val="9"/>
            <color indexed="81"/>
            <rFont val="Tahoma"/>
            <family val="2"/>
            <charset val="186"/>
          </rPr>
          <t xml:space="preserve">
Daļu varam no DRN, bet ne tik daudz??</t>
        </r>
      </text>
    </comment>
    <comment ref="L269" authorId="0" shapeId="0" xr:uid="{D64F2D21-5533-4F79-B3F2-67D99A936EB6}">
      <text>
        <r>
          <rPr>
            <b/>
            <sz val="9"/>
            <color indexed="81"/>
            <rFont val="Tahoma"/>
            <family val="2"/>
            <charset val="186"/>
          </rPr>
          <t>Sarmīte Mūze:</t>
        </r>
        <r>
          <rPr>
            <sz val="9"/>
            <color indexed="81"/>
            <rFont val="Tahoma"/>
            <family val="2"/>
            <charset val="186"/>
          </rPr>
          <t xml:space="preserve">
DRN</t>
        </r>
      </text>
    </comment>
    <comment ref="L270" authorId="0" shapeId="0" xr:uid="{BD0CE106-F8BC-428B-A988-B3E7E6D9E486}">
      <text>
        <r>
          <rPr>
            <b/>
            <sz val="9"/>
            <color indexed="81"/>
            <rFont val="Tahoma"/>
            <family val="2"/>
            <charset val="186"/>
          </rPr>
          <t>Sarmīte Mūze:</t>
        </r>
        <r>
          <rPr>
            <sz val="9"/>
            <color indexed="81"/>
            <rFont val="Tahoma"/>
            <family val="2"/>
            <charset val="186"/>
          </rPr>
          <t xml:space="preserve">
NO DRN
</t>
        </r>
      </text>
    </comment>
    <comment ref="K353" authorId="0" shapeId="0" xr:uid="{F18CF930-93B6-435E-9C17-37DEE18024A0}">
      <text>
        <r>
          <rPr>
            <b/>
            <sz val="9"/>
            <color indexed="81"/>
            <rFont val="Tahoma"/>
            <family val="2"/>
            <charset val="186"/>
          </rPr>
          <t>Sarmīte Mūze:</t>
        </r>
        <r>
          <rPr>
            <sz val="9"/>
            <color indexed="81"/>
            <rFont val="Tahoma"/>
            <family val="2"/>
            <charset val="186"/>
          </rPr>
          <t xml:space="preserve">
Pēc epasta, ielikts arī zem svītras</t>
        </r>
      </text>
    </comment>
    <comment ref="K354" authorId="0" shapeId="0" xr:uid="{24601496-E52C-4365-B8C6-5902BD491C4A}">
      <text>
        <r>
          <rPr>
            <b/>
            <sz val="9"/>
            <color indexed="81"/>
            <rFont val="Tahoma"/>
            <family val="2"/>
            <charset val="186"/>
          </rPr>
          <t>Sarmīte Mūze:</t>
        </r>
        <r>
          <rPr>
            <sz val="9"/>
            <color indexed="81"/>
            <rFont val="Tahoma"/>
            <family val="2"/>
            <charset val="186"/>
          </rPr>
          <t xml:space="preserve">
Zemsvītras
</t>
        </r>
      </text>
    </comment>
    <comment ref="K355" authorId="0" shapeId="0" xr:uid="{5EAA305F-DBE5-49EC-9E0A-29BC6B998F30}">
      <text>
        <r>
          <rPr>
            <b/>
            <sz val="9"/>
            <color indexed="81"/>
            <rFont val="Tahoma"/>
            <family val="2"/>
            <charset val="186"/>
          </rPr>
          <t>Sarmīte Mūze:</t>
        </r>
        <r>
          <rPr>
            <sz val="9"/>
            <color indexed="81"/>
            <rFont val="Tahoma"/>
            <family val="2"/>
            <charset val="186"/>
          </rPr>
          <t xml:space="preserve">
Zemsvītras</t>
        </r>
      </text>
    </comment>
    <comment ref="K356" authorId="0" shapeId="0" xr:uid="{4009D0D5-6A90-4D62-B52F-8FB72CF0AF89}">
      <text>
        <r>
          <rPr>
            <b/>
            <sz val="9"/>
            <color indexed="81"/>
            <rFont val="Tahoma"/>
            <family val="2"/>
            <charset val="186"/>
          </rPr>
          <t>Sarmīte Mūze:</t>
        </r>
        <r>
          <rPr>
            <sz val="9"/>
            <color indexed="81"/>
            <rFont val="Tahoma"/>
            <family val="2"/>
            <charset val="186"/>
          </rPr>
          <t xml:space="preserve">
Zemsvītras</t>
        </r>
      </text>
    </comment>
    <comment ref="K363" authorId="0" shapeId="0" xr:uid="{6293F9D7-CA6E-4188-A723-15A01C872EDC}">
      <text>
        <r>
          <rPr>
            <b/>
            <sz val="9"/>
            <color indexed="81"/>
            <rFont val="Tahoma"/>
            <family val="2"/>
            <charset val="186"/>
          </rPr>
          <t>Sarmīte Mūze:</t>
        </r>
        <r>
          <rPr>
            <sz val="9"/>
            <color indexed="81"/>
            <rFont val="Tahoma"/>
            <family val="2"/>
            <charset val="186"/>
          </rPr>
          <t xml:space="preserve">
Pārcelt uz 2025.
Zemsvītras</t>
        </r>
      </text>
    </comment>
    <comment ref="K365" authorId="0" shapeId="0" xr:uid="{75D90389-D47D-48D4-AE11-2D390DC17D01}">
      <text>
        <r>
          <rPr>
            <b/>
            <sz val="9"/>
            <color indexed="81"/>
            <rFont val="Tahoma"/>
            <family val="2"/>
            <charset val="186"/>
          </rPr>
          <t>Sarmīte Mūze:</t>
        </r>
        <r>
          <rPr>
            <sz val="9"/>
            <color indexed="81"/>
            <rFont val="Tahoma"/>
            <family val="2"/>
            <charset val="186"/>
          </rPr>
          <t xml:space="preserve">
Pēc epasta, ielikts arī zem svītras</t>
        </r>
      </text>
    </comment>
    <comment ref="K366" authorId="0" shapeId="0" xr:uid="{48754107-141D-4757-8AA3-5A8487BA7120}">
      <text>
        <r>
          <rPr>
            <b/>
            <sz val="9"/>
            <color indexed="81"/>
            <rFont val="Tahoma"/>
            <family val="2"/>
            <charset val="186"/>
          </rPr>
          <t>Sarmīte Mūze:</t>
        </r>
        <r>
          <rPr>
            <sz val="9"/>
            <color indexed="81"/>
            <rFont val="Tahoma"/>
            <family val="2"/>
            <charset val="186"/>
          </rPr>
          <t xml:space="preserve">
Pēc epasta, ielikts arī zem svītras</t>
        </r>
      </text>
    </comment>
    <comment ref="K367" authorId="0" shapeId="0" xr:uid="{D93A2463-2C5C-4E0F-AC0D-4894377E5EEB}">
      <text>
        <r>
          <rPr>
            <b/>
            <sz val="9"/>
            <color indexed="81"/>
            <rFont val="Tahoma"/>
            <family val="2"/>
            <charset val="186"/>
          </rPr>
          <t>Sarmīte Mūze:</t>
        </r>
        <r>
          <rPr>
            <sz val="9"/>
            <color indexed="81"/>
            <rFont val="Tahoma"/>
            <family val="2"/>
            <charset val="186"/>
          </rPr>
          <t xml:space="preserve">
Zemsvītras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Sarmīte Mūze</author>
    <author>Baiba Kanča</author>
  </authors>
  <commentList>
    <comment ref="L54" authorId="0" shapeId="0" xr:uid="{F1F2D312-202B-4B37-8D76-7B6D689C4DEC}">
      <text>
        <r>
          <rPr>
            <b/>
            <sz val="9"/>
            <color indexed="81"/>
            <rFont val="Tahoma"/>
            <family val="2"/>
            <charset val="186"/>
          </rPr>
          <t>Sarmīte Mūze:</t>
        </r>
        <r>
          <rPr>
            <sz val="9"/>
            <color indexed="81"/>
            <rFont val="Tahoma"/>
            <family val="2"/>
            <charset val="186"/>
          </rPr>
          <t xml:space="preserve">
KA 76'125</t>
        </r>
      </text>
    </comment>
    <comment ref="L58" authorId="0" shapeId="0" xr:uid="{D40C755E-C120-48A5-9CB4-0C9CBD7AD7D6}">
      <text>
        <r>
          <rPr>
            <b/>
            <sz val="9"/>
            <color indexed="81"/>
            <rFont val="Tahoma"/>
            <family val="2"/>
            <charset val="186"/>
          </rPr>
          <t>Sarmīte Mūze:</t>
        </r>
        <r>
          <rPr>
            <sz val="9"/>
            <color indexed="81"/>
            <rFont val="Tahoma"/>
            <family val="2"/>
            <charset val="186"/>
          </rPr>
          <t xml:space="preserve">
KA 172'193</t>
        </r>
      </text>
    </comment>
    <comment ref="K64" authorId="0" shapeId="0" xr:uid="{130249D2-982E-4974-AD98-857BE70F1954}">
      <text>
        <r>
          <rPr>
            <b/>
            <sz val="9"/>
            <color indexed="81"/>
            <rFont val="Tahoma"/>
            <family val="2"/>
            <charset val="186"/>
          </rPr>
          <t>Sarmīte Mūze:</t>
        </r>
        <r>
          <rPr>
            <sz val="9"/>
            <color indexed="81"/>
            <rFont val="Tahoma"/>
            <family val="2"/>
            <charset val="186"/>
          </rPr>
          <t xml:space="preserve">
2026.gadā ietekme uz vidi un 20% avanss projektēšanai</t>
        </r>
      </text>
    </comment>
    <comment ref="M92" authorId="0" shapeId="0" xr:uid="{2D765119-D269-4564-BA3F-5418E6247291}">
      <text>
        <r>
          <rPr>
            <b/>
            <sz val="9"/>
            <color indexed="81"/>
            <rFont val="Tahoma"/>
            <family val="2"/>
            <charset val="186"/>
          </rPr>
          <t>Sarmīte Mūze:</t>
        </r>
        <r>
          <rPr>
            <sz val="9"/>
            <color indexed="81"/>
            <rFont val="Tahoma"/>
            <family val="2"/>
            <charset val="186"/>
          </rPr>
          <t xml:space="preserve">
Jāpārceļ 2025.gadā neizņemtais aizņēmums</t>
        </r>
      </text>
    </comment>
    <comment ref="L97" authorId="0" shapeId="0" xr:uid="{61C2DCA5-7B15-470F-B431-6B97F99A74B9}">
      <text>
        <r>
          <rPr>
            <b/>
            <sz val="9"/>
            <color indexed="81"/>
            <rFont val="Tahoma"/>
            <family val="2"/>
            <charset val="186"/>
          </rPr>
          <t>Sarmīte Mūze:</t>
        </r>
        <r>
          <rPr>
            <sz val="9"/>
            <color indexed="81"/>
            <rFont val="Tahoma"/>
            <family val="2"/>
            <charset val="186"/>
          </rPr>
          <t xml:space="preserve">
KF+DRN</t>
        </r>
      </text>
    </comment>
    <comment ref="L98" authorId="0" shapeId="0" xr:uid="{C69FF113-03C3-4C3A-9C90-9E2AC8C12F23}">
      <text>
        <r>
          <rPr>
            <b/>
            <sz val="9"/>
            <color indexed="81"/>
            <rFont val="Tahoma"/>
            <family val="2"/>
            <charset val="186"/>
          </rPr>
          <t>Sarmīte Mūze:</t>
        </r>
        <r>
          <rPr>
            <sz val="9"/>
            <color indexed="81"/>
            <rFont val="Tahoma"/>
            <family val="2"/>
            <charset val="186"/>
          </rPr>
          <t xml:space="preserve">
CFLA finansējums
</t>
        </r>
      </text>
    </comment>
    <comment ref="L99" authorId="1" shapeId="0" xr:uid="{8C762D3C-91CF-42B8-B652-1BAB51586EAF}">
      <text>
        <r>
          <rPr>
            <b/>
            <sz val="9"/>
            <color indexed="81"/>
            <rFont val="Tahoma"/>
            <family val="2"/>
            <charset val="186"/>
          </rPr>
          <t>Baiba Kanča:</t>
        </r>
        <r>
          <rPr>
            <sz val="9"/>
            <color indexed="81"/>
            <rFont val="Tahoma"/>
            <family val="2"/>
            <charset val="186"/>
          </rPr>
          <t xml:space="preserve">
ELFLA +DRN</t>
        </r>
      </text>
    </comment>
    <comment ref="M100" authorId="0" shapeId="0" xr:uid="{E72794E5-B612-45A7-9F3A-B6C51F46324F}">
      <text>
        <r>
          <rPr>
            <b/>
            <sz val="9"/>
            <color indexed="81"/>
            <rFont val="Tahoma"/>
            <family val="2"/>
            <charset val="186"/>
          </rPr>
          <t>Sarmīte Mūze:</t>
        </r>
        <r>
          <rPr>
            <sz val="9"/>
            <color indexed="81"/>
            <rFont val="Tahoma"/>
            <family val="2"/>
            <charset val="186"/>
          </rPr>
          <t xml:space="preserve">
Jāpārceļ 2025. neizņemtais aizņēmums</t>
        </r>
      </text>
    </comment>
    <comment ref="L113" authorId="0" shapeId="0" xr:uid="{B6BA1991-4C4D-4FC2-B92E-0BAE50D91209}">
      <text>
        <r>
          <rPr>
            <b/>
            <sz val="9"/>
            <color indexed="81"/>
            <rFont val="Tahoma"/>
            <family val="2"/>
            <charset val="186"/>
          </rPr>
          <t>Sarmīte Mūze:</t>
        </r>
        <r>
          <rPr>
            <sz val="9"/>
            <color indexed="81"/>
            <rFont val="Tahoma"/>
            <family val="2"/>
            <charset val="186"/>
          </rPr>
          <t xml:space="preserve">
KA 15'132</t>
        </r>
      </text>
    </comment>
    <comment ref="L114" authorId="0" shapeId="0" xr:uid="{6A9BF0B0-A098-458F-8377-8DF1BE3351F6}">
      <text>
        <r>
          <rPr>
            <b/>
            <sz val="9"/>
            <color indexed="81"/>
            <rFont val="Tahoma"/>
            <family val="2"/>
            <charset val="186"/>
          </rPr>
          <t>Sarmīte Mūze:</t>
        </r>
        <r>
          <rPr>
            <sz val="9"/>
            <color indexed="81"/>
            <rFont val="Tahoma"/>
            <family val="2"/>
            <charset val="186"/>
          </rPr>
          <t xml:space="preserve">
KA 8'432</t>
        </r>
      </text>
    </comment>
    <comment ref="L190" authorId="0" shapeId="0" xr:uid="{9914575C-DD0E-4612-9C8E-DE4EC60C1C25}">
      <text>
        <r>
          <rPr>
            <b/>
            <sz val="9"/>
            <color indexed="81"/>
            <rFont val="Tahoma"/>
            <family val="2"/>
            <charset val="186"/>
          </rPr>
          <t>Sarmīte Mūze:</t>
        </r>
        <r>
          <rPr>
            <sz val="9"/>
            <color indexed="81"/>
            <rFont val="Tahoma"/>
            <family val="2"/>
            <charset val="186"/>
          </rPr>
          <t xml:space="preserve">
Ielikts ieņ un izdev</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Sarmīte Mūze</author>
    <author>Baiba Kanča</author>
  </authors>
  <commentList>
    <comment ref="B28" authorId="0" shapeId="0" xr:uid="{F8FFC14D-E503-4E67-9ACA-A99481CA1D9F}">
      <text>
        <r>
          <rPr>
            <b/>
            <sz val="9"/>
            <color indexed="81"/>
            <rFont val="Tahoma"/>
            <family val="2"/>
            <charset val="186"/>
          </rPr>
          <t>Sarmīte Mūze:</t>
        </r>
        <r>
          <rPr>
            <sz val="9"/>
            <color indexed="81"/>
            <rFont val="Tahoma"/>
            <family val="2"/>
            <charset val="186"/>
          </rPr>
          <t xml:space="preserve">
Ar pasākumiem</t>
        </r>
      </text>
    </comment>
    <comment ref="M28" authorId="1" shapeId="0" xr:uid="{D4970933-7161-4247-87C6-F5625C2D9D73}">
      <text>
        <r>
          <rPr>
            <b/>
            <sz val="9"/>
            <color indexed="81"/>
            <rFont val="Tahoma"/>
            <family val="2"/>
            <charset val="186"/>
          </rPr>
          <t>Baiba Kanča:</t>
        </r>
        <r>
          <rPr>
            <sz val="9"/>
            <color indexed="81"/>
            <rFont val="Tahoma"/>
            <family val="2"/>
            <charset val="186"/>
          </rPr>
          <t xml:space="preserve">
Bāze,pasākumi pie investīcijām</t>
        </r>
      </text>
    </comment>
    <comment ref="B29" authorId="0" shapeId="0" xr:uid="{AB2F64ED-C38B-421A-9170-8BF61C73EAD3}">
      <text>
        <r>
          <rPr>
            <b/>
            <sz val="9"/>
            <color indexed="81"/>
            <rFont val="Tahoma"/>
            <family val="2"/>
            <charset val="186"/>
          </rPr>
          <t>Sarmīte Mūze:</t>
        </r>
        <r>
          <rPr>
            <sz val="9"/>
            <color indexed="81"/>
            <rFont val="Tahoma"/>
            <family val="2"/>
            <charset val="186"/>
          </rPr>
          <t xml:space="preserve">
Ar pabalstiem</t>
        </r>
      </text>
    </comment>
    <comment ref="M29" authorId="1" shapeId="0" xr:uid="{F8847D8E-F83B-4F34-B442-1B4E41349D28}">
      <text>
        <r>
          <rPr>
            <b/>
            <sz val="9"/>
            <color indexed="81"/>
            <rFont val="Tahoma"/>
            <family val="2"/>
            <charset val="186"/>
          </rPr>
          <t>Baiba Kanča:</t>
        </r>
        <r>
          <rPr>
            <sz val="9"/>
            <color indexed="81"/>
            <rFont val="Tahoma"/>
            <family val="2"/>
            <charset val="186"/>
          </rPr>
          <t xml:space="preserve">
Bāze, pabalsti pie investīcijām
</t>
        </r>
      </text>
    </comment>
    <comment ref="I38" authorId="1" shapeId="0" xr:uid="{FAF649C5-622C-4426-9A1A-F3F962455DA0}">
      <text>
        <r>
          <rPr>
            <b/>
            <sz val="9"/>
            <color indexed="81"/>
            <rFont val="Tahoma"/>
            <family val="2"/>
            <charset val="186"/>
          </rPr>
          <t>Baiba Kanča:</t>
        </r>
        <r>
          <rPr>
            <sz val="9"/>
            <color indexed="81"/>
            <rFont val="Tahoma"/>
            <family val="2"/>
            <charset val="186"/>
          </rPr>
          <t xml:space="preserve">
Sākotnējais ieguldījums EUR 95 030 + ikgadējā uzturēšana EUR 1 643 975
</t>
        </r>
      </text>
    </comment>
    <comment ref="G59" authorId="1" shapeId="0" xr:uid="{D55CA414-ED3B-4820-8E6F-50D5091DA0E4}">
      <text>
        <r>
          <rPr>
            <b/>
            <sz val="9"/>
            <color indexed="81"/>
            <rFont val="Tahoma"/>
            <family val="2"/>
            <charset val="186"/>
          </rPr>
          <t>Baiba Kanča:</t>
        </r>
        <r>
          <rPr>
            <sz val="9"/>
            <color indexed="81"/>
            <rFont val="Tahoma"/>
            <family val="2"/>
            <charset val="186"/>
          </rPr>
          <t xml:space="preserve">
te pabalsti un pasākumi! 
</t>
        </r>
      </text>
    </comment>
    <comment ref="E71" authorId="0" shapeId="0" xr:uid="{A5BDF208-FAE3-4D8B-B7F6-64E473F855D6}">
      <text>
        <r>
          <rPr>
            <b/>
            <sz val="9"/>
            <color indexed="81"/>
            <rFont val="Tahoma"/>
            <family val="2"/>
            <charset val="186"/>
          </rPr>
          <t>Sarmīte Mūze:</t>
        </r>
        <r>
          <rPr>
            <sz val="9"/>
            <color indexed="81"/>
            <rFont val="Tahoma"/>
            <family val="2"/>
            <charset val="186"/>
          </rPr>
          <t xml:space="preserve">
Cohabit KA</t>
        </r>
      </text>
    </comment>
    <comment ref="B184" authorId="0" shapeId="0" xr:uid="{0E9BBD7D-8555-46BE-BB48-14E1F5ED93BA}">
      <text>
        <r>
          <rPr>
            <b/>
            <sz val="9"/>
            <color indexed="81"/>
            <rFont val="Tahoma"/>
            <family val="2"/>
            <charset val="186"/>
          </rPr>
          <t>Sarmīte Mūze:</t>
        </r>
        <r>
          <rPr>
            <sz val="9"/>
            <color indexed="81"/>
            <rFont val="Tahoma"/>
            <family val="2"/>
            <charset val="186"/>
          </rPr>
          <t xml:space="preserve">
Līdzfinansējums plānots no DRN
</t>
        </r>
      </text>
    </comment>
    <comment ref="B194" authorId="0" shapeId="0" xr:uid="{44001C1F-5592-4C21-AC98-2970355B39FC}">
      <text>
        <r>
          <rPr>
            <b/>
            <sz val="9"/>
            <color indexed="81"/>
            <rFont val="Tahoma"/>
            <family val="2"/>
            <charset val="186"/>
          </rPr>
          <t>Sarmīte Mūze:</t>
        </r>
        <r>
          <rPr>
            <sz val="9"/>
            <color indexed="81"/>
            <rFont val="Tahoma"/>
            <family val="2"/>
            <charset val="186"/>
          </rPr>
          <t xml:space="preserve">
Līdzfinansējums plānots no DRN</t>
        </r>
      </text>
    </comment>
    <comment ref="H208" authorId="0" shapeId="0" xr:uid="{CCCC0110-A2DB-4336-9D91-5FFCD4E7047B}">
      <text>
        <r>
          <rPr>
            <b/>
            <sz val="9"/>
            <color indexed="81"/>
            <rFont val="Tahoma"/>
            <family val="2"/>
            <charset val="186"/>
          </rPr>
          <t>Sarmīte Mūze:</t>
        </r>
        <r>
          <rPr>
            <sz val="9"/>
            <color indexed="81"/>
            <rFont val="Tahoma"/>
            <family val="2"/>
            <charset val="186"/>
          </rPr>
          <t xml:space="preserve">
27.02.2025.lēmums #85 konteineranojume; liepas pārstādīšana (+18'000)
</t>
        </r>
      </text>
    </comment>
    <comment ref="I216" authorId="0" shapeId="0" xr:uid="{48D15D28-9973-428D-8805-51168BF7551B}">
      <text>
        <r>
          <rPr>
            <b/>
            <sz val="9"/>
            <color indexed="81"/>
            <rFont val="Tahoma"/>
            <family val="2"/>
            <charset val="186"/>
          </rPr>
          <t>Sarmīte Mūze:</t>
        </r>
        <r>
          <rPr>
            <sz val="9"/>
            <color indexed="81"/>
            <rFont val="Tahoma"/>
            <family val="2"/>
            <charset val="186"/>
          </rPr>
          <t xml:space="preserve">
tiks ieskaitīti pēc projekta beigām</t>
        </r>
      </text>
    </comment>
    <comment ref="D449" authorId="1" shapeId="0" xr:uid="{ECF67D3D-6C27-4241-AA81-BF829A5D4D49}">
      <text>
        <r>
          <rPr>
            <b/>
            <sz val="9"/>
            <color indexed="81"/>
            <rFont val="Tahoma"/>
            <family val="2"/>
            <charset val="186"/>
          </rPr>
          <t>Baiba Kanča:</t>
        </r>
        <r>
          <rPr>
            <sz val="9"/>
            <color indexed="81"/>
            <rFont val="Tahoma"/>
            <family val="2"/>
            <charset val="186"/>
          </rPr>
          <t xml:space="preserve">
Plānotais KA. Faktiskai bija 7milj.</t>
        </r>
      </text>
    </comment>
  </commentList>
</comments>
</file>

<file path=xl/sharedStrings.xml><?xml version="1.0" encoding="utf-8"?>
<sst xmlns="http://schemas.openxmlformats.org/spreadsheetml/2006/main" count="19340" uniqueCount="1224">
  <si>
    <t>28.12.2022 grozījumi</t>
  </si>
  <si>
    <t>BĀZES IEŅĒMUMI</t>
  </si>
  <si>
    <t>IKP pieaguma prognoze - koeficients</t>
  </si>
  <si>
    <t>Latvijas Bankas prognoze</t>
  </si>
  <si>
    <t>Iedzīvotāju skaita pieauguma prognoze - koeficients</t>
  </si>
  <si>
    <t>1.</t>
  </si>
  <si>
    <t>Iedzīvotāju ienākuma nodoklis (ieskaitot valsts budžeta dotāciju)</t>
  </si>
  <si>
    <t>2.</t>
  </si>
  <si>
    <t>Nekustamā īpašuma nodoklis par zemi</t>
  </si>
  <si>
    <t>3.</t>
  </si>
  <si>
    <t>Nekustamā īpašuma nodoklis par ēkām un inženierbūvēm</t>
  </si>
  <si>
    <t>4.</t>
  </si>
  <si>
    <t xml:space="preserve">Nekustamā īpašuma nodoklis par mājokļiem </t>
  </si>
  <si>
    <t>5.</t>
  </si>
  <si>
    <t>Dabas resursu nodoklis</t>
  </si>
  <si>
    <t>6.</t>
  </si>
  <si>
    <t>Valsts (pašvaldību) un kancelejas nodevas</t>
  </si>
  <si>
    <t>7.</t>
  </si>
  <si>
    <t>Naudas sodi un sankcijas</t>
  </si>
  <si>
    <t>8.</t>
  </si>
  <si>
    <t>Pārējie nenodokļu ieņēmumi</t>
  </si>
  <si>
    <t>9.</t>
  </si>
  <si>
    <t>Ieņēmumi no pašvaldības īpašuma pārdošana</t>
  </si>
  <si>
    <t>10.</t>
  </si>
  <si>
    <t>Valsts budžeta transferti</t>
  </si>
  <si>
    <t>11.</t>
  </si>
  <si>
    <t>Pašvaldību budžeta transferti</t>
  </si>
  <si>
    <t>12.</t>
  </si>
  <si>
    <t>Budžeta iestāžu ieņēmumi</t>
  </si>
  <si>
    <t>Bāzes Ieņēmumi kopā</t>
  </si>
  <si>
    <t>BĀZES IZDEVUMI</t>
  </si>
  <si>
    <t>Inflācijas prognoze - koeficients</t>
  </si>
  <si>
    <t>Vispārējie valdības dienesti</t>
  </si>
  <si>
    <t>Iemaksas PFIF</t>
  </si>
  <si>
    <t>PFIF/IIN</t>
  </si>
  <si>
    <t>Parāda procentu maksājumi</t>
  </si>
  <si>
    <t>Pārējās visp.vald.dienestu bāzes izmaksas</t>
  </si>
  <si>
    <t>Sabiedriskā kārtība un drošība</t>
  </si>
  <si>
    <t>Sabiedriskās attiecības, laikraksts</t>
  </si>
  <si>
    <t>Pašvaldības teritoriju un mājokļu apsaimniekošana</t>
  </si>
  <si>
    <t>Atpūta, kultūra un reliģija</t>
  </si>
  <si>
    <t>Sociālā aizsardzība</t>
  </si>
  <si>
    <t>Dienas centra uzturēšanas izmaksas</t>
  </si>
  <si>
    <t>Izglītība</t>
  </si>
  <si>
    <t>Norēķini ar pašvaldību budžetiem par izgl. Iest. pak.</t>
  </si>
  <si>
    <t>PII "Riekstiņš" (bāze)</t>
  </si>
  <si>
    <t>PII "Piejūra" (bāze)</t>
  </si>
  <si>
    <t>PII Ādažu vidusskolā (bāze)</t>
  </si>
  <si>
    <t>Privātās izglītības iestādes</t>
  </si>
  <si>
    <t>Ādažu sākumskola (bāze)</t>
  </si>
  <si>
    <t>Carnikavas vidusskola (bāze)</t>
  </si>
  <si>
    <t>Ādažu vidusskola (bāze)</t>
  </si>
  <si>
    <t>Ādažu Novada Mākslu skola (bāze)</t>
  </si>
  <si>
    <t>Sporta skola (bāze)</t>
  </si>
  <si>
    <t>Izglītības un jauniešu lietu pārvalde</t>
  </si>
  <si>
    <t>Izglītības un jauniešu lietu pārvalde (bāze)</t>
  </si>
  <si>
    <t>Līdzdalības budžets</t>
  </si>
  <si>
    <t>3gadu vidējais(IIN+NĪN)*0.5%</t>
  </si>
  <si>
    <t xml:space="preserve">Bāzes Izdevumi kopā </t>
  </si>
  <si>
    <t>Kredītu pamatsummas atmaksa</t>
  </si>
  <si>
    <t>Kopā Bāzes Izdevumi + Kredītu atmaksa</t>
  </si>
  <si>
    <t>Ieguldījumi kapitālsabiedrību PK:</t>
  </si>
  <si>
    <t>Bāzes Ieņēmumi - Bāzes Izdevumi</t>
  </si>
  <si>
    <t>Bāzes Ieņēmumi - Bāzes Izdevumi - Kredītsaistības</t>
  </si>
  <si>
    <t>Bāzes Ieņēmumi - Bāzes Izdevumi - Kredītsaistības - Ieguldījumi PK:</t>
  </si>
  <si>
    <t>INVESTĪCIJAS</t>
  </si>
  <si>
    <t>Investīciju saistības (tikai no pašvaldības budžeta):</t>
  </si>
  <si>
    <t>2. Obligātās/ gadskārtējās investīcijas:</t>
  </si>
  <si>
    <t>3. Akceptētās investīcijas un iniciatīvas</t>
  </si>
  <si>
    <t>Plānotais konta atlikums uz gada sākumu:</t>
  </si>
  <si>
    <t>Naudas atlikums iezīmētiem mērķiem</t>
  </si>
  <si>
    <t>Naudas atlikums pašvaldības līdzekļi</t>
  </si>
  <si>
    <t>Pieejamie līdzekļi attīstībai atņemot jau uzņemtās saistības:</t>
  </si>
  <si>
    <t>Projekta finansējums kopā</t>
  </si>
  <si>
    <t>Investīciju izmaksas - 0632.5  ”TEP “Atjaunojamo energoresursu izmantošana Ādažu novadā” (EUCF)” (LV29TREL..)</t>
  </si>
  <si>
    <t>Finansējums:</t>
  </si>
  <si>
    <t>KA uz gada sākumu</t>
  </si>
  <si>
    <t>ES iespējamais finansējums:</t>
  </si>
  <si>
    <t>Pašvaldības finansējums</t>
  </si>
  <si>
    <t>Aizņēmums VK</t>
  </si>
  <si>
    <t>Projekta KA</t>
  </si>
  <si>
    <t>Konta atlikums uz gada beigām pēc 1. un 2. realizācijas:</t>
  </si>
  <si>
    <t>Investīciju izmaksas - 0633.1  ”Mobilitātes punkta infrastruktūras izveidošana Rīgas metropoles areālā – “Carnikava””</t>
  </si>
  <si>
    <t>Atmaksātais projekta priekšfinansējums, kas jāatmaksā VK</t>
  </si>
  <si>
    <t>Gads</t>
  </si>
  <si>
    <t>Konta atlikums uz gada beigām pēc 1.-3. realizācijas:</t>
  </si>
  <si>
    <t>Investīciju izmaksas - 0633.2 Maģistrālā  veloceļa izbūve Rīga-Carnikava</t>
  </si>
  <si>
    <t>Konta atlikums uz gada beigām pēc 1. - 4. projekta realizācijas:</t>
  </si>
  <si>
    <t>Investīciju izmaksas - 0631.3 Publiskās ārtelpas izveide Gaujas ielā 31 Ādažos</t>
  </si>
  <si>
    <t>Konta atlikums uz gada beigām pēc 1. - 5. projekta realizācijas:</t>
  </si>
  <si>
    <t>Investīciju izmaksas - 1018 Atbalsta pasākumu cilvēkiem ar invaliditāti mājokļu vides pieejamības nodrošināšana Ādažu novadā</t>
  </si>
  <si>
    <t>Konta atlikums uz gada beigām pēc 1. - 6. projekta realizācijas:</t>
  </si>
  <si>
    <t>Investīciju izmaksas - 1013.1 SAM 9.2.4.2. projekts "Pasākumi vietējās sabiedrības veselības veicināšanai Ādažu novada pašvaldības Ādažu pagastā"</t>
  </si>
  <si>
    <t>Konta atlikums uz gada beigām pēc 1. - 7. projekta realizācijas:</t>
  </si>
  <si>
    <t>Investīciju izmaksas - 0631.4 Projekts “Infrastruktūras uzlabošana uzņēmējdarbības attīstībai Ādažos” 1. kārta</t>
  </si>
  <si>
    <t>Konta atlikums uz gada beigām pēc 1. - 8. projekta realizācijas:</t>
  </si>
  <si>
    <t>Konta atlikums uz gada beigām pēc 1. - 9. projekta realizācijas:</t>
  </si>
  <si>
    <t>Investīciju izmaksas - 0634 SAM 5.1.1. Pretplūdu pasākumi Ādažu centra polderī, Ādažu novadā</t>
  </si>
  <si>
    <t>Konta atlikums uz gada beigām pēc 1. - 10. projekta realizācijas:</t>
  </si>
  <si>
    <t>Investīciju izmaksas - 0903 Jauna pirrmsskolas izglītības iestāde Podniekos</t>
  </si>
  <si>
    <t>Konta atlikums uz gada beigām pēc 1. - 11. projekta realizācijas:</t>
  </si>
  <si>
    <t>Investīciju izmaksas - 0632.6  "LIFE BauhausingEurope" pieejas piemērošana sabiedrisko ēku pārveidošanai</t>
  </si>
  <si>
    <t>Konta atlikums uz gada beigām pēc 1. - 12. projekta realizācijas:</t>
  </si>
  <si>
    <t>13.</t>
  </si>
  <si>
    <t>Investīciju izmaksas - RPR Interreg projekts "Upesceļi II"</t>
  </si>
  <si>
    <t>Konta atlikums uz gada beigām pēc 1. - 13. projekta realizācijas:</t>
  </si>
  <si>
    <t>14.</t>
  </si>
  <si>
    <t>Investīciju izmaksas - 0340 Zivju resursu aizsardzības pasākumu īstenošana Ādažu novadā</t>
  </si>
  <si>
    <t>Konta atlikums uz gada beigām pēc 1. - 14. projekta realizācijas:</t>
  </si>
  <si>
    <t>15.</t>
  </si>
  <si>
    <t>Investīciju izmaksas - CKS Laveru sūkņu stacijas pārbūve</t>
  </si>
  <si>
    <t>Konta atlikums uz gada beigām pēc 1. - 15. projekta realizācijas:</t>
  </si>
  <si>
    <t>16.</t>
  </si>
  <si>
    <t>Investīciju izmaksas - CKS Atkritumu dalītās vākšanas laukums, Carnikavā</t>
  </si>
  <si>
    <t>Konta atlikums uz gada beigām pēc 1. - 16. projekta realizācijas:</t>
  </si>
  <si>
    <t>17.</t>
  </si>
  <si>
    <t>Investīciju izmaksas - 0631.2 Pielāgošanās klimata pārmaiņā Ādažu novada Podniekos (Krastupes ielas projekts)</t>
  </si>
  <si>
    <t>Konta atlikums uz gada beigām pēc 1. - 17. projekta realizācijas:</t>
  </si>
  <si>
    <t>18.</t>
  </si>
  <si>
    <t>Investīciju izmaksas - 0631.5 Jūras zeme: Blusu kroga atjaunošanas projekta 1.kārta</t>
  </si>
  <si>
    <t>Konta atlikums uz gada beigām pēc 1. - 18. projekta realizācijas:</t>
  </si>
  <si>
    <t>19.</t>
  </si>
  <si>
    <t>26.</t>
  </si>
  <si>
    <t>Konta atlikums uz gada beigām pēc 1. - 26. projekta realizācijas:</t>
  </si>
  <si>
    <t>29.</t>
  </si>
  <si>
    <t>Konta atlikums uz gada beigām pēc 1. - 29. projekta realizācijas:</t>
  </si>
  <si>
    <t>Konta atlikums uz gada beigām pēc 1. - 37. projekta realizācijas:</t>
  </si>
  <si>
    <t>Konta atlikums uz gada beigām pēc 1. - 19. projekta realizācijas:</t>
  </si>
  <si>
    <t>Konta atlikums uz gada beigām pēc 1. - 20. projekta realizācijas:</t>
  </si>
  <si>
    <t>Konta atlikums uz gada beigām pēc 1. - 21. projekta realizācijas:</t>
  </si>
  <si>
    <t>Konta atlikums uz gada beigām pēc 1. - 22. projekta realizācijas:</t>
  </si>
  <si>
    <t>Konta atlikums uz gada beigām pēc 1. - 24. projekta realizācijas:</t>
  </si>
  <si>
    <t>Konta atlikums uz gada beigām pēc 1. - 27. projekta realizācijas:</t>
  </si>
  <si>
    <t>Konta atlikums uz gada beigām pēc 1. - 31. projekta realizācijas:</t>
  </si>
  <si>
    <t>Konta atlikums uz gada beigām pēc 1. - 32. projekta realizācijas:</t>
  </si>
  <si>
    <t>Konta atlikums uz gada beigām pēc 1. - 33. projekta realizācijas:</t>
  </si>
  <si>
    <t>Konta atlikums uz gada beigām pēc 1. - 34. projekta realizācijas:</t>
  </si>
  <si>
    <t>Konta atlikums uz gada beigām pēc 1. - 35. projekta realizācijas:</t>
  </si>
  <si>
    <t>Konta atlikums uz gada beigām pēc 1. - 36. projekta realizācijas:</t>
  </si>
  <si>
    <t>PAVISAM KOPĀ IEŅĒMUMI:</t>
  </si>
  <si>
    <t>Bāzes Ieņēmumi</t>
  </si>
  <si>
    <t>Valsts finansējums (mērķdotācijas)</t>
  </si>
  <si>
    <t>Te jāpieliek mērķdotāciju prognoze</t>
  </si>
  <si>
    <t>Projektu finansējums</t>
  </si>
  <si>
    <t>PAVISAM KOPĀ IZDEVUMI:</t>
  </si>
  <si>
    <t>Bāzes Izdevumi</t>
  </si>
  <si>
    <t>KA uz gada sākumu (iezīmētiem mērķiem)</t>
  </si>
  <si>
    <t>KONTA ATLIKUMS:</t>
  </si>
  <si>
    <t>ESOŠĀS SAISTĪBAS:</t>
  </si>
  <si>
    <t>Pamatsumma VK:</t>
  </si>
  <si>
    <t>Procenti:</t>
  </si>
  <si>
    <t>Galvojumi un citas ilgtermiņa saistības:</t>
  </si>
  <si>
    <t>Kopā:</t>
  </si>
  <si>
    <t>Saistību apmērs % no pamatbudžeta ieņēmumiem</t>
  </si>
  <si>
    <t>Pašvaldības pamatbudžeta ieņēmumi bez mērķdotācijām un iemaksām PFIF saimnieciskajā gadā:</t>
  </si>
  <si>
    <t>Maksimālais pieļaujamais saistību apmērs no pamatbudžeta ieņēmumiem</t>
  </si>
  <si>
    <t>Maksimālais papildus saistību papildu apjoms, lai nepārkāptu noteikto 20% apjomu</t>
  </si>
  <si>
    <t>PII "Strautiņš" (bāze)</t>
  </si>
  <si>
    <t>PII "Mežavēji" (bāze)</t>
  </si>
  <si>
    <t>Jaunā PII Podniekos</t>
  </si>
  <si>
    <t>PMLP dati + prognoze balstoties uz 3 iepriekšējo gadu vidējo pieaugumu</t>
  </si>
  <si>
    <t>2025 / 2024, EUR</t>
  </si>
  <si>
    <t>2025 / 2024, %</t>
  </si>
  <si>
    <t>ĀNP KA uz 31.12.2024</t>
  </si>
  <si>
    <t>Bāzes ieņēmumi</t>
  </si>
  <si>
    <t>no tiem, iezīmētiem mērķiem:</t>
  </si>
  <si>
    <t>Plūdu projektam izņemtais aizņēmums</t>
  </si>
  <si>
    <t>Bāzes izdevumi</t>
  </si>
  <si>
    <t>1) ĀNP KA uz 31.12.2024</t>
  </si>
  <si>
    <t>2) CKS KA uz 31.12.2024</t>
  </si>
  <si>
    <t>Brīvais KA uz 31.12.2024</t>
  </si>
  <si>
    <t>Brīvais konta atlikums uz 31.12.2024</t>
  </si>
  <si>
    <t>Pieejamie līdzekļi</t>
  </si>
  <si>
    <t>CKS atlikums 02.01.2024.</t>
  </si>
  <si>
    <r>
      <t>Kredītu pamatsummas atmaksa</t>
    </r>
    <r>
      <rPr>
        <b/>
        <i/>
        <sz val="9"/>
        <color theme="1"/>
        <rFont val="Arial"/>
        <family val="2"/>
        <charset val="186"/>
      </rPr>
      <t xml:space="preserve"> (Investīciju finansēšanai)</t>
    </r>
  </si>
  <si>
    <t>1. Pašvaldības finansējums UZSĀKTAJIEM projektiem:</t>
  </si>
  <si>
    <t>2. OBLIGĀTĀS. GADSKĀRTĒJĀS investīcijas:</t>
  </si>
  <si>
    <t>Pieejamie līdzekļi investīcijām</t>
  </si>
  <si>
    <t>3. VĒRTĒJAMĀS investīcijas:</t>
  </si>
  <si>
    <t>Prioritāte 1</t>
  </si>
  <si>
    <t>KA realizējot "Priotitāte 1" investīcijas:</t>
  </si>
  <si>
    <t>Pārējās investīcijas:</t>
  </si>
  <si>
    <t>KA uz 31.12.2024.</t>
  </si>
  <si>
    <t>Kopsumma</t>
  </si>
  <si>
    <t>Cits finansējums</t>
  </si>
  <si>
    <t>Aizņēmums</t>
  </si>
  <si>
    <t>1. UZSĀKTIE projekti:</t>
  </si>
  <si>
    <t>2. OBLIGĀTĀS, GADSKĀRTĒJĀS investīcijas:</t>
  </si>
  <si>
    <t>Prioritāte 2 (Var tikt izskatīts budžeta ekonomijas rezultātā)</t>
  </si>
  <si>
    <t>INVESTĪCIJAS kopā:</t>
  </si>
  <si>
    <t>4. Zemsvītras ATBALSTĪTĀS investīcijas:</t>
  </si>
  <si>
    <t>1. UZSĀKTIE projekti</t>
  </si>
  <si>
    <t>Nr.p.k.</t>
  </si>
  <si>
    <t>Atsauce uz plānošanas dokumentiem</t>
  </si>
  <si>
    <t>Id.Nr. Investīciju plānā</t>
  </si>
  <si>
    <t>Struktv. kods</t>
  </si>
  <si>
    <t>Struktūrvienības nosaukums</t>
  </si>
  <si>
    <t>Uzsāktie un atbalstītie projekti</t>
  </si>
  <si>
    <t>Finansējuma avots</t>
  </si>
  <si>
    <t>C</t>
  </si>
  <si>
    <t>0630/ CKS</t>
  </si>
  <si>
    <t>APN</t>
  </si>
  <si>
    <t xml:space="preserve">Latvijas vides aizsardzības fonda finansējums "Piekrastes apsaimniekošanas praktisko aktivitāšu realizēšanai" </t>
  </si>
  <si>
    <t>Ikgadējs projekts, ko realizē CKS</t>
  </si>
  <si>
    <t xml:space="preserve"> </t>
  </si>
  <si>
    <t>N</t>
  </si>
  <si>
    <t>0630</t>
  </si>
  <si>
    <t>Projekts jauniešu asociāciju federācija Eiropas mobilitātei. CERV programmas projekts "YOUTth and democracy: empowering Europe's next generation"</t>
  </si>
  <si>
    <t>ĀNP 22.02.2023. lēmums Nr. 47</t>
  </si>
  <si>
    <t>Projekts "Portici towards Positive Energy District – P2PED"</t>
  </si>
  <si>
    <t>0632.7</t>
  </si>
  <si>
    <t>"Upesceļi II/Ūdenstūrisma pieejamības veicināšana (RiverwaysII/Facilitating access to watertourism activities)".</t>
  </si>
  <si>
    <t>RPR un VARAM konkurss "Remigrācijas atbalsta pasākums – uzņēmējdarbības atbalsts" - pašvaldības finansējums EUR 9'000; ārfinansējums EUR16'000. AP pasākums Ā7.1.2.3. ĀNP 26.10.2023. lēmums Nr. 412.</t>
  </si>
  <si>
    <t>ĀNP 26.10.2023. lēmums Nr. 412.</t>
  </si>
  <si>
    <t>0631.3</t>
  </si>
  <si>
    <t xml:space="preserve">Publiskās ārtelpas izveide Gaujas ielā 31 Ādažos - projektēšana. 03.10.2024. līgums ar SIA "Baltex Group" Nr. JUR 2024-09/981, kopējā līgumcena EUR 59'718,34.2025.gadā jāsamaksā 70% no līgumcenas. Būvdarbi - 2025.gadā plānots samaksāt avansu EUR 53'039. Ekspertu konsultācijas, publicitātes izmaksas ĀNP 23.11.2023. lēmums Nr. 451 un ĀNP 29.08.2024. lēmums Nr. 349. AP pasākums Ā5.1.1.5. </t>
  </si>
  <si>
    <t xml:space="preserve">0631.4 </t>
  </si>
  <si>
    <t>Projekts “Infrastruktūras uzlabošana uzņēmējdarbības attīstībai Ādažos” - būvdarbi, autoruzraudzība. Plānots EUR 1'046'960. ĀNP 25.04.2024. lēmums Nr. 164. AP pasākums Ā7.1.1.1.2. RPR 30.05.2024. lēmums Nr.7</t>
  </si>
  <si>
    <t xml:space="preserve">ĀNP 25.04.2024. lēmums Nr. 164. </t>
  </si>
  <si>
    <t>0631.2</t>
  </si>
  <si>
    <t>Krastupes ielas projekts</t>
  </si>
  <si>
    <t>0632.6</t>
  </si>
  <si>
    <t>LIFE BauhausingEurope pieejas piemērošana sabiedrisko ēku pārveidošanai</t>
  </si>
  <si>
    <t>KA + 267'455 projekta finansējums</t>
  </si>
  <si>
    <t xml:space="preserve">0633.1 </t>
  </si>
  <si>
    <t xml:space="preserve"> ”Mobilitātes punkta infrastruktūras izveidošana Rīgas metropoles areālā – “Carnikava””</t>
  </si>
  <si>
    <t>0633.2</t>
  </si>
  <si>
    <t xml:space="preserve"> Maģistrālā  veloceļa izbūve Rīga-Carnikava</t>
  </si>
  <si>
    <t>KA + 2'661'252 projekta finansējums</t>
  </si>
  <si>
    <t>0634</t>
  </si>
  <si>
    <t>Plūdu projekts (noslēguma maksājums - gaidam uzņēmēja garantijas polisi, pēdējais maksājums būs janvārī)</t>
  </si>
  <si>
    <r>
      <t xml:space="preserve">Aizņēmums izņemts decembrī un stāv konta atlikumā. VK aizņēmums atgriezts. </t>
    </r>
    <r>
      <rPr>
        <b/>
        <sz val="8"/>
        <color rgb="FFFF0000"/>
        <rFont val="Arial"/>
        <family val="2"/>
        <charset val="186"/>
      </rPr>
      <t>Garantijas ieturējums būs jāatgriez 2029.gadā.</t>
    </r>
  </si>
  <si>
    <t>0634.1</t>
  </si>
  <si>
    <t>Jaunais plūdu projekts - 2.1.3.2. "Nacionālas nozīmes plūdu un krasta erozijas pasākumi" 1.daļa</t>
  </si>
  <si>
    <t>0903</t>
  </si>
  <si>
    <t>Jauna PII izbūve Podniekos</t>
  </si>
  <si>
    <t>ĀNP 28.12.2022. lēmums Nr. 598</t>
  </si>
  <si>
    <t>0904</t>
  </si>
  <si>
    <t xml:space="preserve">Teritorijas novērtēšana pirms būvprojekta izstrādes un būvprojekts jaunas pamatskolas izveidei Ādažu pilsētā. ĀNP 23.11.2023. lēmums Nr. 425, ĀNP 29.02.2024. lēmums Nr. 68. AP pasākumi Ā3.2.2.2. un Ā5.1.2.12. </t>
  </si>
  <si>
    <t>1013.1</t>
  </si>
  <si>
    <t>SAM 9.2.4.2. projekts "Pasākumi vietējās sabiedrības veselības veicināšanai Ādažu novada pašvaldības Ādažu pagastā"</t>
  </si>
  <si>
    <t xml:space="preserve">Būs jauns projekts </t>
  </si>
  <si>
    <t>1018</t>
  </si>
  <si>
    <t>Projekts "Atbalsta pasākumi cilvēkiem ar invaliditāti mājokļu vides pieejamības nodrošināšanai"</t>
  </si>
  <si>
    <t>KA 22'170</t>
  </si>
  <si>
    <t>0950</t>
  </si>
  <si>
    <t xml:space="preserve">Ādažu vidusskola </t>
  </si>
  <si>
    <t>Ādažu vidusskolas ēkas A korpusa fasādes atjaunošana.</t>
  </si>
  <si>
    <t>0951</t>
  </si>
  <si>
    <t>Ādažu vidusskola</t>
  </si>
  <si>
    <t>Projekts "Skolas soma" Ādaži</t>
  </si>
  <si>
    <t>0957</t>
  </si>
  <si>
    <t>Ādažu vidusskola ERASMUS</t>
  </si>
  <si>
    <t>09822</t>
  </si>
  <si>
    <t>Carnikavas pamatskola</t>
  </si>
  <si>
    <t>Projekts "Skolas soma" Carnikava</t>
  </si>
  <si>
    <t>09825</t>
  </si>
  <si>
    <t>Carnikavas vidusskola ERASMUS+</t>
  </si>
  <si>
    <t>09826</t>
  </si>
  <si>
    <t>Carnikava vidusskola Projekts "Nordplus Junior"</t>
  </si>
  <si>
    <t>Uzsāktie un atbalstītie projekti pavisam kopā:</t>
  </si>
  <si>
    <t>Ā</t>
  </si>
  <si>
    <t>2. OBLIGĀTĀS/ GADSKĀRTĒJĀS investīcijas</t>
  </si>
  <si>
    <t>Obligātās/gadskārtējās investīcijas</t>
  </si>
  <si>
    <t xml:space="preserve">Dāvanu kartes 3 kategorijās konkursā "Sakopta vide Ādažu novadā" (3 kategorijas x (1.vieta EUR 140 + 2.vieta 100 EUR + 3.vieta EIR 50) = EUR 870). AP pasākums Ā15.1.1.3. </t>
  </si>
  <si>
    <t xml:space="preserve">Dāvanu kartes 3 kategorijās konkursā "Ziemassvētku noformējums" (3 kategorijas x (1.vieta EUR 100 + 2.vieta 50 EUR + 3.vieta EIR 30) = EUR 540). AP pasākums Ā15.1.1.4. </t>
  </si>
  <si>
    <t xml:space="preserve">Dāvanu kartes konkursā "Sabiedrība ar dvēseli" (3 kategorijas x EUR 50 = EUR 150). AP pasākums Ā15.1.2.1. </t>
  </si>
  <si>
    <t>Lilastes nobrauktuves ZIP izstrāde</t>
  </si>
  <si>
    <t>jauna nodaļa?</t>
  </si>
  <si>
    <t xml:space="preserve">0631.5 </t>
  </si>
  <si>
    <t xml:space="preserve">"Blusu" kroga pārbūves tehniskā projekta izstrāde. AP pasākums C5.1.3.5. </t>
  </si>
  <si>
    <t>"Blusu" kroga atjaunošana ir paredzēta "Jūras Zemes" administrētās LEADER programmas ietvaros. Tam paredzēti EUR 333 333.</t>
  </si>
  <si>
    <t>Jauno uzņēmēju konkurss</t>
  </si>
  <si>
    <t xml:space="preserve">Ā15.1.2.1. un C15.1.2.1. </t>
  </si>
  <si>
    <t>0630.1</t>
  </si>
  <si>
    <t>Sabiedrība ar dvēseli</t>
  </si>
  <si>
    <t>Ādažu novada domes nolikums “Iniciatīvas projektu finansēšanas kārtība Ādažu novada pašvaldībā” (katru gadu tiek izstrādāts no jauna). 2024.gadā piešķirtais, kas pārceļas uz 2025.gadu.</t>
  </si>
  <si>
    <t xml:space="preserve">Ā15.1.2.4. </t>
  </si>
  <si>
    <t>Ādažu novada domes nolikums “Iniciatīvas projektu finansēšanas kārtība Ādažu novada pašvaldībā” (katru gadu tiek izstrādāts no jauna).</t>
  </si>
  <si>
    <t>0648</t>
  </si>
  <si>
    <t>Saimniecības un infrastruktūras daļa</t>
  </si>
  <si>
    <t xml:space="preserve">Daudzstāvu ēku siltināšanas līdzfinansējums </t>
  </si>
  <si>
    <t xml:space="preserve">Pagalmu labiekārtošanu līdzfinansējums </t>
  </si>
  <si>
    <t>0660</t>
  </si>
  <si>
    <t xml:space="preserve"> Teritorijas plānošanas nodaļa</t>
  </si>
  <si>
    <t>“Ādažu novada transporta attīstības plāns” (gala norēķins pārceļas uz 2025.gadu)</t>
  </si>
  <si>
    <t>0812</t>
  </si>
  <si>
    <t xml:space="preserve"> Sporta daļa</t>
  </si>
  <si>
    <t xml:space="preserve">Novada sporta pasākumi </t>
  </si>
  <si>
    <t>Saskaņā ar pielikumu</t>
  </si>
  <si>
    <t>LR kompleksie sporta pasākumi - Florbola komandas dalība Elvi Virslīgā</t>
  </si>
  <si>
    <t>Dalības maksa Elvi Florbola Virslīgā + spēlētāju licenzes</t>
  </si>
  <si>
    <t>Latvijas Jaunatnes Olimpiāde Valmierā</t>
  </si>
  <si>
    <t>Te jāparedz līdzekļi, jo notiks 2025.gā Valmierā. Varētu tikpat cik bija 2024.-10 000e</t>
  </si>
  <si>
    <t>Valsts un pašvaldību budžeta dotācija biedrībām un nodibinājumiem  [EKK 3263]</t>
  </si>
  <si>
    <t>2024.gadā finansējums bija nepietiekams, jo nācās atteikt vairākiem sportistiem. Kā arī biedrību skaits ir palielinājies (pienākušas klāt vismaz 2 biedrības). Kā arī dalībnieku skaits esošajās biedrībās palielinās ar katru gadu. Katrā gadījumā šis atbalsts sportistiem ir vitāli nepieciešams. Jo jebkurā gadījumā š'da veida atbalsts ir krietni lētāks, kā, piemēram, uzturēt un veidot jaunas sekcijas ĀBJSS. Lai gan dažas biedrības noteikti atbilstu visiem kritērijiem, lai tiktu veidotas jaunas sporta programmas ĀBJSS.</t>
  </si>
  <si>
    <t>0841.1</t>
  </si>
  <si>
    <t>Kultūras centrs</t>
  </si>
  <si>
    <t>Autoratlīdzības līgumu apmaksa māksliniekiem</t>
  </si>
  <si>
    <t>GAUJAS SVĒTKI (Atsevišķa tāme). Prioritāte. Rīcības plānā 11.1.1.2.</t>
  </si>
  <si>
    <t xml:space="preserve">Saskaņā ar 28.03.2024. lēmumu Nr. 119, ieņēmumu palielinājums pārcelts arī uz izdevumu sadaļu GS rīkošanai. (EUR 21'000 (EUR 7'000 tirdzniecības nodevas; EUR 9'000 ieņēmumi par telpu nomu; 5'000 pārējie ieņēmumi)). </t>
  </si>
  <si>
    <t>Gaujas svētku ieņēmumu daļa, kas ar lēmumu tiek novirzīta svētku izdevumu segšanai</t>
  </si>
  <si>
    <t>Tradicionālo un novada svētku rīkošana</t>
  </si>
  <si>
    <t>Lieldienu sarīkojumi (20.04.)</t>
  </si>
  <si>
    <t>Latvijas Neatkarības atjaunošanas diena "Baltā galdauta svētki" (04.05.)</t>
  </si>
  <si>
    <t>LĪGO svētki Ādažos (23.06.)</t>
  </si>
  <si>
    <t>Pilsētas pikniks - brīvdabas pasākums (jūlijā vai augustā)</t>
  </si>
  <si>
    <t>Kino vai koncerts Gaujas parkā - brīvdabas pasākums (jūlijā vai augustā)</t>
  </si>
  <si>
    <t>Ekonomijas gadījumā, šo var nerīkot</t>
  </si>
  <si>
    <t>Latvijas Valsts svētku sarīkojumi (programmas, svinīgais sarīkojums Kultūras centrā ) (17.11.)</t>
  </si>
  <si>
    <t>Ādažu Ziemassvētku egles iedegšana (08.12.)</t>
  </si>
  <si>
    <t>Amatiermākslas kolektīvu organizētie pasākumi</t>
  </si>
  <si>
    <t>Tiks papildināts pēc amatiermākslas kolektīvu pieteikumu saņemšanas</t>
  </si>
  <si>
    <t xml:space="preserve">Koris JUMIS, SAKNES, MUNDUS Lieldienu koncerts </t>
  </si>
  <si>
    <t>Kora SAKNES Ukraiņu- Latviešu koru koprojekta koncerts</t>
  </si>
  <si>
    <t>VPDK SĀNSOLĪTIS koncerts Sadancis</t>
  </si>
  <si>
    <t>Kora SAKNES Ziemassvētku koncerts</t>
  </si>
  <si>
    <t>ZIEMAS SADANCIS ĀKC deju kolektīvu koncerts</t>
  </si>
  <si>
    <t>SDK DĒKA draugu kolektīvu koncerts</t>
  </si>
  <si>
    <t>Kora MUNDUS koncerts Ilzes Rijnieces dziesmu pirmatskaņojums</t>
  </si>
  <si>
    <t>Tradīciju kopa ĀBOLS pasākums</t>
  </si>
  <si>
    <t>Amatierteātris KONTAKTS jauiestudējums</t>
  </si>
  <si>
    <t>Pensionāru balle</t>
  </si>
  <si>
    <t>Domes lēmums</t>
  </si>
  <si>
    <t>Līdzfinansējums kultūras iniciatīvu projektiem.</t>
  </si>
  <si>
    <t>2023. budžetā iekļauts, 2024. gada budžetā netika apstiprināts. 
Domē apstiprināts nolikums sabiedrības līdzdalībai kultūras projektu realizācijā</t>
  </si>
  <si>
    <t>ĀKC skatuves gaismu sistēmu nomaiņa uz energoefektīvu aprīkojumu 2.kārta</t>
  </si>
  <si>
    <t>2. kārta, tāme un pamatojums pielikumā</t>
  </si>
  <si>
    <t>0841.2</t>
  </si>
  <si>
    <t>TN "Ozolaine"</t>
  </si>
  <si>
    <t>Tradicionālo gadskārtu un valsts svētku pasākumu organizēšanas izdevumi (Lieldienas, Saulgrieži, 4.maijs, 18.novembris, Ziemassvētki)</t>
  </si>
  <si>
    <t>O.Vācieša literārā prēmija dzejā: prēmiju fonds (EUR 1500) + apbalvošanas pasākums (EUR 4000)</t>
  </si>
  <si>
    <t>Līgo pasākums 23.06.</t>
  </si>
  <si>
    <t>Muzikālie vasaras pikniki</t>
  </si>
  <si>
    <t>Zvejnieksvētku zaļumballe</t>
  </si>
  <si>
    <t>Carnikavas Nēģu svētki</t>
  </si>
  <si>
    <t>Amatierteātra Nagla pirmizrāde</t>
  </si>
  <si>
    <t>VPDK Arnika -Tautas deju festivāls "Jādejo, lai būtu prieks"</t>
  </si>
  <si>
    <t>JDK Abi divi -Ādažu novada bērnu deju kolektīvu skate</t>
  </si>
  <si>
    <t>Kora Undīne - 45 gadu Jubileja</t>
  </si>
  <si>
    <t xml:space="preserve"> 45 gadu jubileja pasākuma vadīšana, cienasti viesiem, ziedi, mākslinieka uzstāšanās</t>
  </si>
  <si>
    <t>Kora Undīne - Koru kari</t>
  </si>
  <si>
    <t>Jauktā kora "Vēja balss" 15 gadu Jubilejas koncerts</t>
  </si>
  <si>
    <t>Senioru balle</t>
  </si>
  <si>
    <t>Tēlotājmākslas studijas SIDRABOTA  - meistarklase</t>
  </si>
  <si>
    <t>TLMS Auseklītis  60 gadu Jubilejas izstāde</t>
  </si>
  <si>
    <t>60 gadu jubileja!!Rāmji 60*120 mazo darbu izstādīšanai 6 gb., pasākuma vadīšana, cienasti viesiem, ziedi, mākslinieka uzstāšanās</t>
  </si>
  <si>
    <t>Vokāli instrumentālā ansambļa "Piloti" 15 gadu jubilejas koncerts</t>
  </si>
  <si>
    <t>SDK Tacis tautas deju  lielkoncerts ar viesu kolektīviem</t>
  </si>
  <si>
    <t>08412</t>
  </si>
  <si>
    <t>Dziesmu svētki 2025</t>
  </si>
  <si>
    <t>0930</t>
  </si>
  <si>
    <t>Skolēnu apbalvošana par augstiem mācību sasniegumiem (balvu fonds), tāme Nr. 19</t>
  </si>
  <si>
    <t xml:space="preserve">Skolēnu apbalvošana par augstiem mācību sasniegumiem (apbalvošanas pasākums), Tāme Nr.19 </t>
  </si>
  <si>
    <t>Bērnu un jauniešu nometnes, Tāme Nr. 21</t>
  </si>
  <si>
    <t>Rezerve skolēnu līdzfinansējumam dalībai konkursos, balstoties uz kritērijiem</t>
  </si>
  <si>
    <t>Projekta “Digitālā darba ar jaunatni sistēmas attīstība pašvaldībā" priekšfinansējums</t>
  </si>
  <si>
    <t>ĀNP 28.03.2024. domes lēmums Nr. 115 (2026. gadā tiks saņemta atmaksa)</t>
  </si>
  <si>
    <t>0930.2</t>
  </si>
  <si>
    <t>Jaunatnes nodaļa</t>
  </si>
  <si>
    <t xml:space="preserve">Skolēnu vasaras nodarbinātība - darba samaksa, tāme Nr.1 </t>
  </si>
  <si>
    <t>Jauniešu iniciatīvu projekti, tāme Nr. 7 (8x500EUR=4000EUR)</t>
  </si>
  <si>
    <t>Sociālais dienests</t>
  </si>
  <si>
    <t>Ādažu novada domes 2023. gada 24. maija ,,Iniciatīvas projektu finansēšanas kārtība Ādažu novada pašvaldībā'' EUR 15'000.Viena biedība klāt Ādažu Dižgimenes</t>
  </si>
  <si>
    <t xml:space="preserve">SN Zupas virtuve </t>
  </si>
  <si>
    <t>Precizēta summa pēc iepirkuma</t>
  </si>
  <si>
    <t xml:space="preserve">Pabalsts EUR 50,00 mēnesī ēdināšanai par trešo* bērnu (1,5-7 gadiem). </t>
  </si>
  <si>
    <t xml:space="preserve">Daudzbērnu ģimenes pabalsts EUR 50,00 apmērā bērniem no 7-24 g.v.  </t>
  </si>
  <si>
    <t>Ziemassvētku pabalsts natūrā 25 EUR ,400 personas *25=10000 (Soc. neaizsargātās grupas)</t>
  </si>
  <si>
    <t>Ziemassvētku paciņa bērniem natūrā 6 EUR ,200 personas  (Bērni - soc. neaizsargātās grupas)</t>
  </si>
  <si>
    <t>Pabalsts par ēdināšanu 5.-9. klase 1697 bērni 9 mēneši gadā</t>
  </si>
  <si>
    <t>0510</t>
  </si>
  <si>
    <t>DRN</t>
  </si>
  <si>
    <t>Obligātās/gadskārtējās investīcijas kopā:</t>
  </si>
  <si>
    <t>3. VĒRTĒJAMĀS investīcijas</t>
  </si>
  <si>
    <t>Izvērtējamā projekta nosaukums</t>
  </si>
  <si>
    <t xml:space="preserve">0110 </t>
  </si>
  <si>
    <t>Pārvalde</t>
  </si>
  <si>
    <t>DVS Namejs Arhīva modulis (EUR 8'168) + apmācības</t>
  </si>
  <si>
    <t>0110</t>
  </si>
  <si>
    <t>Kiberdrošības iepirkums iekšējo normatīvo aktu izstrādei (EIS iepirkums). Indikatīvi EUR 10'000</t>
  </si>
  <si>
    <t>API universālā licence (EUR 6'050) (visām pašvaldības iestādēm) un konsultācija.  (API (integrācijas saskarne) universālo licenci ir jāpērk no AS "RIX Technologies" - DVS "Namejs City" izstrādātāja, lai saintegrētu DVS ar SIA "ZZ Dats" programmām)</t>
  </si>
  <si>
    <t xml:space="preserve">0170 </t>
  </si>
  <si>
    <t>Informācijas tehnoloģiju nodaļa</t>
  </si>
  <si>
    <r>
      <t xml:space="preserve">ZZ Dats VPS Integrācijas risinājums ar DVS Namejs </t>
    </r>
    <r>
      <rPr>
        <sz val="9"/>
        <color theme="3"/>
        <rFont val="Arial"/>
        <family val="2"/>
        <charset val="186"/>
      </rPr>
      <t>10'744</t>
    </r>
    <r>
      <rPr>
        <sz val="9"/>
        <rFont val="Arial"/>
        <family val="2"/>
        <charset val="186"/>
      </rPr>
      <t xml:space="preserve"> eur bez PVN</t>
    </r>
  </si>
  <si>
    <t>ZZ Dats VPS Integrācijas uzturēšanas maksa gadā 4'200 eur bez PVN</t>
  </si>
  <si>
    <t>DELL PowerEdge 760 ar 12.gab.cietajiem diskiem -30'000 eur ar PVN (Jāmaina vecie serveri: 2x DELL PowerVault MD3400; 2x DELL PowerEdge 520 (13.09.2012 un 04.04.2013); IBM System x3400 M3 (29.08.2012); Serveris Lenovo System x3550 M5, Windows Svr 2016 (26.05.2017))</t>
  </si>
  <si>
    <t>Deputātu sēžu zāles tehniskais nodrošinājums (video, apskaņošana, serveris)</t>
  </si>
  <si>
    <t>0340</t>
  </si>
  <si>
    <t>Pašvaldības policija</t>
  </si>
  <si>
    <t xml:space="preserve">Zivju fonds  „Zivju resursu aizsardzības pasākumi Ādažu novada ūdenstipnēs”  </t>
  </si>
  <si>
    <t xml:space="preserve">Speciāli aprīkotas policijas automašīnu iegāde (atbilstoši opertīvā transporta statusam) pilna servisa nomā 81838 EUR (piecu gadu periods) , pirmā iemaksa 8183,- ikmēneša maksājums  1263 EUR </t>
  </si>
  <si>
    <t xml:space="preserve">Esošajam t/l SUBARU 2025 gadā vairāk kā 10 gadi tiek izmantots operatīvajā darbā un tā tehniskais stāvoklis ir kritisks un prasa lielus finanšu ierguldījumus. A/m Nissan  tiek izmantots 24/7 jau 7 gadus, tā dzinēja teniskais stāvoklis ir ļoti kritisks. Minētās a/m ilgstoši atrodas remontā. </t>
  </si>
  <si>
    <t>2 jaunu veloapkopes stendu izveide Kadagā un Kalngalē</t>
  </si>
  <si>
    <t>Mikromobilitātes infrastruktūras attīstībai ārpus Ādažu pilsētas.</t>
  </si>
  <si>
    <t>Sportisko aktivitāšu laukums Ādažos Pirmā iela 25. Trūkstošo āra sporta laukuma aprīkojums - vingrošanas iekārta, āra trenažieris, vingrošanas iekārtas pārbaude</t>
  </si>
  <si>
    <t>Priekšlikums publiskās ārtelas uzlabošanai, sporta aktivitāšu dažādošanai</t>
  </si>
  <si>
    <t xml:space="preserve">MS Project programmas vai analoga iegādei 5 darbiniekiem (5 darbinieki x EUR 1'659,00 = EUR 8'295). AP pasākums Ā16.1.1.3. </t>
  </si>
  <si>
    <t>ĻOTI VAJAG!!! https://www.microsoft.com/lv-lv/microsoft-365/planner/microsoft-planner-plans-and-pricing#x39052b5369da4228bea864978913a5c7</t>
  </si>
  <si>
    <t>Jauns Case (universālais iekrāvējs). (Kopsumma ~ 125'000).</t>
  </si>
  <si>
    <t>Jauns līgums par busa Operatīvo līzingu, 10 000 EUR+ikmēnēsa maksa =1000*12 mēn (Kopsumma 50'000)</t>
  </si>
  <si>
    <t>Jauns līgums par a/m ar kravas kasti 3.5t, Operatīvo līzingu, 8000 eur+ikmēnēsa maka =800*12 mēn  (Kopsumma ~ 42'000)</t>
  </si>
  <si>
    <t>0670</t>
  </si>
  <si>
    <t>Nekustamā īpašuma nodaļa</t>
  </si>
  <si>
    <t>Nekustamā īpašuma iegāde - zeme zem garāžas Alderu ielā 33, Baltezerā</t>
  </si>
  <si>
    <t>ĀŪ nododamo zemes gabalu atdalīšana</t>
  </si>
  <si>
    <t>Āra trenažieru uzstādīšana pie Ādažu stadiona (jau 2023.gadā tika koncptuāli atbalstīta trenažieru iegāde)</t>
  </si>
  <si>
    <t>Nepieciešams vingrošanas kompleksa laukums (līdzīgi kā CA stadionā), lai gan skolas, gan ĀBJSS, gan iedzīvotāji varētu pilnvērtīgi veikt spēka vingrinājumus. Piemērots dažāda vecuma iedzīvotājiem. Jau 2023.gadā tika koncptuāli atbalstīta trenažieru iegāde (2023.gada 6.septembra lēmums Nr.340)</t>
  </si>
  <si>
    <t>Carnikavas skeitparka projektēšana</t>
  </si>
  <si>
    <t>Jau 2023.gadā 23.septembrī ar lēmumu Nr.385 tika konceptuāli atbalstīta skeitparka ierīkošana CA stadionā. Šobrīd situācija ir pamainījusies un ņemot vērā, ka tur ir izveidots florbola laukums ar "Sabiedrība ar dvēseli" tas laukums ir aizņemts un oktobra komitejās tiek skatīts jautājums par jaunu lokāciju. Finansējuma apmēru papidināsim, atbilstoši lēmumam. Ģeodēzija uztaisīta, būtu lietderīgi izstrādāt projektu 500m3 lielam betona skeitparkam.Būvniecības izmaksas ap 180 000 - 200 000 EUR.</t>
  </si>
  <si>
    <t>Pārvietojamie hokeja borti</t>
  </si>
  <si>
    <t>0812 (CKS)</t>
  </si>
  <si>
    <t>Grīdas mazgājamā mašīna sporta zālei, platība 1500 m2</t>
  </si>
  <si>
    <t xml:space="preserve">Tērpi amatiermākslas kolektīviem </t>
  </si>
  <si>
    <t>SDK SPRIGULIS  (12 sieviešu vestes)</t>
  </si>
  <si>
    <t>VPDK SPRIGULIS Dagdas tautas tērpu komplekta papildināšana (16 meitu ņieburi)</t>
  </si>
  <si>
    <t>TDA SPRIGULĪTIS Vidzemes novada meiteņu un puišu tērpi - pabeigt komplektu (4 puišu vestes, 4 puišu bikses, 4 meitu ņieburi, 6 meitu brunči, 8 meitu vainagi)</t>
  </si>
  <si>
    <t>Kora MUNDUS tērpu komplektu papildināšana</t>
  </si>
  <si>
    <t>SDK DĒKA tautas tērpu šūšana (8 vīru jakas, 8 sieviešu brunči, 1 mētelis), tika šūšana, jo aufums ir iegādāts</t>
  </si>
  <si>
    <t>VDK SĀNSOLĪTIS tautas tērpu izgatavošana Latgales (12 vīru vestes)</t>
  </si>
  <si>
    <t>VPDK Arnika - vīru Vidzemes tautas tērpu komplekts</t>
  </si>
  <si>
    <t>Vidzemes pusmēteļi  12 gab (245 EUR x 12 gab)</t>
  </si>
  <si>
    <t>Vīriešu bikses  12 gab (75 EUR x 12 gab)</t>
  </si>
  <si>
    <t xml:space="preserve">Sieviešu kora Undīne koncerttērpu papildināšana jaunajiem dalībniekiem </t>
  </si>
  <si>
    <t>Gatavošanās 45 gadu jubilejai!!!</t>
  </si>
  <si>
    <t>JDK "Abi divi" Tautas tērpu papildināšana</t>
  </si>
  <si>
    <t>XIII Latvijas skolu jaunatnes Dziesmu un deju svētki. Tērpi šūti jau uz 2023.gada svētkiem</t>
  </si>
  <si>
    <t>JDK "Abi divi"  mēģinājuma tērpi</t>
  </si>
  <si>
    <t xml:space="preserve">XIII Latvijas skolu jaunatnes Dziesmu un deju svētki. Mēģinājuma tērpi ir pašu finansējums </t>
  </si>
  <si>
    <t>SDK Tacis sievu cepures 12 gab</t>
  </si>
  <si>
    <t>SDK Tacis vīru lakati 12 gab</t>
  </si>
  <si>
    <t>0841.3</t>
  </si>
  <si>
    <t>Muzejs - Carnikavas novadpētniecības centrs</t>
  </si>
  <si>
    <t>Nēģu Svētku pasākumu nodrošināšana CNC teritorijā</t>
  </si>
  <si>
    <t>Zvejnieksētku pasākuma nodrošināšana CNC</t>
  </si>
  <si>
    <t xml:space="preserve">Iepriekšēju pasākumu atdzimšana - Ugunskuru nakts piekrastē - 1000 EUR, Kopienas plostnieku pasākums Ādažos - 500 EUR, Vasarsvētku danču vakars NC - 1500 EUR, amatnieku pasākums CN pagalmā vasarā vai rudenī - 1000 EUR </t>
  </si>
  <si>
    <t xml:space="preserve"> Jaunā plānošanas perioda projektu konkursa 2. kārtu Saulkrastu pilsētai un pagastam un Carnikavas pagastam. Jaunas saimes telpas un virtuves ekspozīcijas izveide. Projekta kopsuma sastāda 60000.00 EUR, ES fonda atbalsts sastāda 90 %. Mākslinieciskā koncepcija pielikumā.</t>
  </si>
  <si>
    <t xml:space="preserve">VKKF reti atbalsta pašvaldību ieceres. Vai arī atbalsta procents ir mazāks par LEADER projektu līdzfinansējumu. Konsultējāmies ar attīstības nodaļu, kolēģi atbalsta ieceri. </t>
  </si>
  <si>
    <t xml:space="preserve">Koka konteinera uzstādīšna (āra glābāšanas sistēmas) apšūšana, materiāli (koks) </t>
  </si>
  <si>
    <t xml:space="preserve">Ar eksponātu skaita pieaugumu katastrofāla situācija saistībā ar inventāra glabāšanu.  Krājumu aizņem kolekciju priekšmeti, inventāram vietas nav. </t>
  </si>
  <si>
    <t xml:space="preserve">Zvejas kutera nojumes būve </t>
  </si>
  <si>
    <t xml:space="preserve">Unikālais koka kuteris, par spīti tam, ka to darvo un atjauno komunālserviss un vietējie zvejnieki, aiziet bojā. </t>
  </si>
  <si>
    <t>0841.4</t>
  </si>
  <si>
    <t xml:space="preserve">Esošās tūrisma tīmekļavietnes piekļūstamības uzlabošana turisms.adazi.lv (WCAG 2.1) </t>
  </si>
  <si>
    <t xml:space="preserve">Balstoties uz https://www.varam.gov.lv/lv/timeklvietnu-pieklustamibas-vadlinijas </t>
  </si>
  <si>
    <t xml:space="preserve">1)	Pārvietojamu apmeklētāju plūsmas skaitītāju iegāde ( 4300 EUR) / komentārā Ā4.3.2.8. un ĀNTRAP 1.6./ tādi, kas izšķir velobraucējus no gājējiem ) </t>
  </si>
  <si>
    <t>Plānots iegādāties tādus, ko var pārvietot, lai periodiski mainītu lokācijas, piemēram,
1)	Garciema koka pastaigu taka
2)	Garezeru dabas takas, lai atrastu piemērotu risinājumu plūsmas vadībai. Šo iniciatīvu atbalsta arī Dabas aizsardzības pārvalde. Svarīgi saprast, kur un cik daudz cilvēku  dodas, lai veidotu marķētas takas atbilstoši plūsmai
3)	Dambis pie Ādažu kultūras centra 
4)	Dambis pie Zvaniņu ceļa
Galvenie ieguvumi: Plūsmas kopējie dati, kas var palīdzēt turpmākai infrastruktūras plānošanai un datu analīzei.
Tos pēc tam var izvietot dažādās vietās pēc nepieciešamības, lai monitorētu galvenās cilvēku plūsmas.</t>
  </si>
  <si>
    <t>0880</t>
  </si>
  <si>
    <t>Evaņģēliski luteriskās draudzes</t>
  </si>
  <si>
    <t>Atbalsts Garkalnes un Baltezera baznīcām</t>
  </si>
  <si>
    <t>0901</t>
  </si>
  <si>
    <t>PII Riekstiņš</t>
  </si>
  <si>
    <t>Rotaļiekārtu  un seguma maiņa (Ozola pusē) Taurenīšu, Lapsēnu, Skudriņu, Vāverēnu grupu laukumiņa</t>
  </si>
  <si>
    <t>Nepieciešama laukumiņa seguma maiņa (no smilts uz lietu gumiju), un rotaļiekārtu maiņa, jo iepriekšējās ir kalpojušas no 2010.gada un ir nolietojušās)</t>
  </si>
  <si>
    <t>Rotaļiekārtu  un seguma maiņa Ežu, Zaķēnu, Pelēnu un Gliemežu grupu laikumā</t>
  </si>
  <si>
    <t>0901 (CKS)</t>
  </si>
  <si>
    <t>Saules kolektori - karstā ūdens sagatavošanai no aprīļa līdz septembrim</t>
  </si>
  <si>
    <t>0910</t>
  </si>
  <si>
    <t>PII Strautiņš</t>
  </si>
  <si>
    <t>Interneta tīkla sakārtošana (līgums noslēgts 2024.gadā un līdzekļi pārceļas no 2024.gada)</t>
  </si>
  <si>
    <t>0910 (CKS)</t>
  </si>
  <si>
    <t>Fasādes remonts (neizpildītais)</t>
  </si>
  <si>
    <t>TA</t>
  </si>
  <si>
    <t>Jumta seguma remonts/maiņa 13 grupu nojumēs</t>
  </si>
  <si>
    <t>Jumta remonts virs 5 grupiņām un ziemas dārza</t>
  </si>
  <si>
    <t>Atbalsta sienas demontāža un montāža pie iestādes galvenās ieejas</t>
  </si>
  <si>
    <t>Garāžu demontāža un utilizācija (ārpakapojums)</t>
  </si>
  <si>
    <t>Nožogojuma pārvietošana pie garāžām, atbilstoši plānam</t>
  </si>
  <si>
    <t>Esošā žoga demontāža, jauna izbūve</t>
  </si>
  <si>
    <t>Tauku uztvērējs virtuves kanalizācijai</t>
  </si>
  <si>
    <t>Mazā (1500 eur) un lielā baseina membrāna (2500 eur)</t>
  </si>
  <si>
    <t>Baseina pretaļģu dozācijas sistēma</t>
  </si>
  <si>
    <t xml:space="preserve">0920 </t>
  </si>
  <si>
    <t>Kadagas PII "Mežavēji"</t>
  </si>
  <si>
    <t>Virvju trase (burtu taka). Turpina, papildina jau uzsākto.</t>
  </si>
  <si>
    <t>Smilšu, sensorā, relaksācijas telpas izveide Kadagas PII “Mežavēji”.</t>
  </si>
  <si>
    <t>Tā kā iekļaujošā izglītība ir viena no valsts izglītības stratēģijas prioritātēm un pašvaldības izglītības iestādēs arvien vairāk lincencē speciālās izglītības programmas, sensorā telpa nepieciešama individuālam atbalstam bērniem ar īpašām vajadzībām. Neizmantota mazā baseina telpas pārbūve (t.sk. ventilācijas un apkures sistēmas rekonstrukcija) un telpu iekārtošana ar atbilstošiem materiāliem (silto graudu kaste, sensorie materiāli, gaismas, skaņas aparatūra). Rīcibas plānā Ā5.1.3.16.</t>
  </si>
  <si>
    <t>0920 (CKS)</t>
  </si>
  <si>
    <t>Āra nojumju pie smilšu kastēm esošo grīdas dēļu demontāža un nomaiņa uz gumijas flīzēm 8x30m2 =240m2 x115,00</t>
  </si>
  <si>
    <t>Smilšu kastu maiņa 8 grupiņām 8x790,00 +PVN</t>
  </si>
  <si>
    <t>Nodrošinājums MJK aktivitātēm Tāme Nr.20</t>
  </si>
  <si>
    <t>Mūžizglītības rīcības plāna aktivitāšu nodrošinājums, Tāme Nr. 23</t>
  </si>
  <si>
    <t>ZZDats izglītības pakalpojumu papildus funkcionalitāšu nodrošinājums, Tāme Nr.22</t>
  </si>
  <si>
    <t>tāme Nr.8.  ZZ dati - pieteikšanās skolēnu vasaras nodarbinātībai cau e-pakalpojumiem</t>
  </si>
  <si>
    <t>Darba stacija (dators+monitors+programmatūra) (komplekts 1000 EUR)</t>
  </si>
  <si>
    <t>16 datori skolotāju datoru daļējai nomaiņai, jo skolotāju datori ir 10 gadus veci, uzlabot nav ekonomiski izdevīgi</t>
  </si>
  <si>
    <t>Interaktīvais displejs 75 collas matemātikas, angļu val. un ķīmijas kabinetos 5 gab.</t>
  </si>
  <si>
    <t>Nepieciešams mainīt veco projektoru (2015. gada) pret jaunajām tehnoloģijām, lai skolotāja darbu padarītu interaktīvu, kvalitatīvāku, vizuāli uztveramāku, skolēniem izskaidrojošāku!</t>
  </si>
  <si>
    <t>Skolēnu galdi un krēsli (divvietīgs galds un divi krēsli 420,00) vienam stāvam (2025.)</t>
  </si>
  <si>
    <t>Morāli un friziski novecojušo mēbeļu aizvietošanai</t>
  </si>
  <si>
    <t>Žalūzijas + plēves. 47 klases</t>
  </si>
  <si>
    <t>Pārlikti uz investīcijām. A korpuss, A-B, B korpuss, B-C, D korpuss</t>
  </si>
  <si>
    <t>Tautas tērpi utml. Deju svētkiem</t>
  </si>
  <si>
    <t>0950 (CKS)</t>
  </si>
  <si>
    <t>Āra lifta izbūve pie A korpusa</t>
  </si>
  <si>
    <t>44000,-eur lifts+uzstādīšana (KONE piedāvājums) un 56000,- šahtas būvniecībai</t>
  </si>
  <si>
    <t>Ādažu vidusskolas D korpusa siltināšana</t>
  </si>
  <si>
    <t xml:space="preserve">386000,- B korpusa siltināšana PVN t.s. </t>
  </si>
  <si>
    <t>Flīžu demontāža/sienu remonts - Centrālā kāpņutelpa 0 - 3stāvs</t>
  </si>
  <si>
    <t>240 kv.m x 104eur/kv.m= 24960,- EUR</t>
  </si>
  <si>
    <t>Flīžu demontāža/sienu remonts - kāpņutelpa pie D korp. 0 - 3st.</t>
  </si>
  <si>
    <t>0960</t>
  </si>
  <si>
    <t>Ādažu novada mākslu skola</t>
  </si>
  <si>
    <t>Tērpu iegāde bērnu Dziesmusvētkiem 2025.gadā (Deju nodaļas tērpi)</t>
  </si>
  <si>
    <t>Flīģelis</t>
  </si>
  <si>
    <t>Flīģelis. Carnikavas punktā flīģelis ir norakstāms.</t>
  </si>
  <si>
    <t>Konteineris vides objektu, inventāra, u.c. glabāšanai</t>
  </si>
  <si>
    <t>Konteineris vides objektu, inventāra, u.c. glabāšanai. Katostrofāli trūkst vietas. Ādažu punktā nav nevienas noliktavas vai saimnieciskās telpas.</t>
  </si>
  <si>
    <t>Līdz šim pārbūves, kosmētiskās u.c. remonta izmaksas nebija ĀNMS budžetā. Tādēļ šis tiek izdalīts atsevišķi, kas iepriekš atradās Carnikavas komunālservisa budžetā. Pārbūves procesam 2024. gadā (Garā iela 20) tika piešķirti 15'000 Eur.</t>
  </si>
  <si>
    <t>2025. gadā plānojas no 7-10 mācību klašu kosmētiskie remonti, atkarībā no 2025. gada izmaksām. Šī pozīcija agrāk bija KS budžetā. Ja vajag, šo var pārsviest uz investīcijām un tad skatīties pēc iespējām cik daudz varam kabinetus savest kārtībā. Gribētos, lai katru gadu kaut mazliet ietu uz priekšu.</t>
  </si>
  <si>
    <t>0981</t>
  </si>
  <si>
    <t xml:space="preserve">ĀVS sākumskola                                                                                                                                                      </t>
  </si>
  <si>
    <t>Taburetes ēdamzālei 55eur+pvn x 190.gab.</t>
  </si>
  <si>
    <t>Interaktīvais displejs 75 collas  mūzikas kabinetos 3 gab.</t>
  </si>
  <si>
    <t>Mūzika kabinetos izmanto projektorus. Projektoru varētu izmantot  bojāto nomaiņai. Mācību procesa interaktivitātes nodrošināšanai, skolēnu  mācību materiāla uztveres uzlabošanai - interaktīvie ekrādi</t>
  </si>
  <si>
    <t>0981 (CKS)</t>
  </si>
  <si>
    <t>Gumijas seguma nomaiņa rotaļu laukumā skolas iekšpagalmā</t>
  </si>
  <si>
    <t>Esošās gumijas flīzes ir stipri deformējušās, un remonts nav iespējams. Tiek piedāvāts veikt monolītā seguma izveidošanu. Cenā ietilpst arī esošā seguma demontāža un utilizācija. Kopējā platība 309m2.</t>
  </si>
  <si>
    <t>0982</t>
  </si>
  <si>
    <t>Carnikavas vidusskola</t>
  </si>
  <si>
    <t>Mēģinājumu tērpi meitenēm (1.-2.kl. 16 kompl.; 3.-7.kl. 16 kompl.; ~35 eiro/gab)</t>
  </si>
  <si>
    <t>Mēģinājumu tērpi zēniem (1.-2.kl. 16 kompl.; 3.-7.kl. 16 kompl.; ~35 eiro/gab)</t>
  </si>
  <si>
    <t>Meiteņu tautas tērpu ņieburi (1-7.klase, 24 kompl., ~75 eiro/gab)</t>
  </si>
  <si>
    <t>Vestes puišiem (1-6.klase, 24 kompl.; ~80 eiro/gab)</t>
  </si>
  <si>
    <t>Kakla lakatiņi puišiem (24 gab.; ~5 eiro/gab)</t>
  </si>
  <si>
    <t>Nolietoto datorklases datoru nomaiņa (25 gab)</t>
  </si>
  <si>
    <t>Būs no ministrijas, vai ar to nepietiks??</t>
  </si>
  <si>
    <t>CKS Pārvalde</t>
  </si>
  <si>
    <t>CKS</t>
  </si>
  <si>
    <t>CKS Labiekārtošana_Ādaži</t>
  </si>
  <si>
    <t>Raiders+Pļaušanas panna+ sniega šķūre</t>
  </si>
  <si>
    <t>CKS Energosaimniecība</t>
  </si>
  <si>
    <t>Siltumtīkla pieslēguma būvprojekts un būvniecība, Gaujas iela 16, Ādaži</t>
  </si>
  <si>
    <t>Ielas apgaismojuma izbūve un projektēšana Attekas Ādažos</t>
  </si>
  <si>
    <t>Ielu apgaismojuma projekta izstrāde un būvniecība posmā no dzelzceļa stacijas Gauja līdz ciemam Kāpas (saņemts iesniegums no 120 iedzīvotājiem)</t>
  </si>
  <si>
    <t>Ielu apgaismojuma projekta izstrāde un būvniecība Rūpnieku iela, Carnikavā (350m)</t>
  </si>
  <si>
    <t>Inču ielas apgaismojuma izbūve, gaisvada izbūve 300m</t>
  </si>
  <si>
    <t>Ielu apgaismojuma pārbūves projekts Liepu un Tulpju iela Carnikava (no Tulpju 5 pa Liepu līdz Ziedlejām)</t>
  </si>
  <si>
    <t>CKS Tehniskais nodrošinājums</t>
  </si>
  <si>
    <t>Grāvju tīrītājs-zāles smalcinātājs 10 m garums) Pirmā iemaksa- esošā agregāta nodošana kā pirmā iemaksa (vērtība 11 000 eur) Uz šo brīdi ir informācija, ka līzingu par agregāta iegādi nevar noslēgt.</t>
  </si>
  <si>
    <t>Pie CKS teritorijas uzturēšanas investīcijām</t>
  </si>
  <si>
    <t xml:space="preserve">Kaisītājs SAMAZ 400  </t>
  </si>
  <si>
    <t>CKS Īpašumu apsaimniekošana</t>
  </si>
  <si>
    <t>Jūras iela 4 ēkas demontāžas projekts</t>
  </si>
  <si>
    <t xml:space="preserve">Jūras iela 4 ēkas demontāža </t>
  </si>
  <si>
    <t>Jūras iela 4 stāvlaukuma izbūve, transporta plūsmas sakārtošana (materiāli)</t>
  </si>
  <si>
    <t>Smilšu ielas pārbūve projekts, Carnikava EUR 70'000 (pie ceļiem)</t>
  </si>
  <si>
    <t>Gaujas iela 33a, jumta horizotālas virsmas remonts (1100m2) , parapetu un virsgaismas hermitizēšana</t>
  </si>
  <si>
    <t>Tāme</t>
  </si>
  <si>
    <t>TN Ozolaine Fasādes remonts</t>
  </si>
  <si>
    <t xml:space="preserve"> Tāme</t>
  </si>
  <si>
    <t>Rotaļu laukuma atrakcija Gaujā (balansa šūpoles un namiņš ar slidkalniņu 3-5gadi)</t>
  </si>
  <si>
    <t>Vecā vietā</t>
  </si>
  <si>
    <t>Rotaļu laukuma atrakcija Jaunā ielā, Garciemā ( namiņš ar slidkalniņu 5-8gadi)</t>
  </si>
  <si>
    <t>Demontētā vietā</t>
  </si>
  <si>
    <t>Rotaļu laukuma atrakcija Līgo laukumā, Ādažos ( namiņš ar slidkalniņu 5-8gadi)</t>
  </si>
  <si>
    <t>Nolietotā vietā, esošais elements sliktā stāvoklī</t>
  </si>
  <si>
    <t>Telpu kombinētā uzkopšanas iekārta Garā iela 20</t>
  </si>
  <si>
    <t>2 guļbaļķu galdi/soli ar jumtu Jomas 7</t>
  </si>
  <si>
    <t>Dzīvokļa remonts Rīgas iela 2-12, Carnikava (28.11.2024 īpašums saņemts dāvinājumā)</t>
  </si>
  <si>
    <t>CKS Vides pārvaldība</t>
  </si>
  <si>
    <t>Būvprojekta izstrāde un ieguvumu analīze - Atkritumu dalītās vākšanas laukums, Carnikavā</t>
  </si>
  <si>
    <t>domes lēmums nr.475, 28.11.2024. Ielieku pie Investīcijām. 2026.gadā izdevumi no 2025. un 2026.gadā sakrātā DRN.</t>
  </si>
  <si>
    <t>Laveru sūkņu stacijas pārbūve</t>
  </si>
  <si>
    <t>Domes lēmums nr.354, 11.09.2024, t.sk. 270 000 eur ELFLA līdzfinansējums (2024./2025. gadā plānota būvprojekta izstrāde 60 500 eur), (304 750 eur pašvaldības finansējums no dabas resursu nodokļa atlikuma un 2025. un 2026. gada ieņēmumiem), kopējās plānotās izmaksas 635 250 eur. 2025. gada izmaksas 175 500 eur, 2026. gada izmaksas 459 750 eur, tsk. LAD finansējums. Izmaksas precizēsies pēc iepirkumu rezultātiem.</t>
  </si>
  <si>
    <t>Ietekmes uz vidi ziņojuma izstrāde smilts atradnei "ASNI"</t>
  </si>
  <si>
    <t>Domes lēmums nr.394, 26.09.2024</t>
  </si>
  <si>
    <t xml:space="preserve">Baltezera kapu atmežotajā daļā ceļu un celiņu izveidošana </t>
  </si>
  <si>
    <t>EUR 78'842 no Baltezera kapu atmežotās daļas ceļu un celiņu izveidošanai plānotajiem līdzekļiem novirzīt Ķiršu ielas pārbūves 4.kārtai</t>
  </si>
  <si>
    <t>Baltezera kapos ceļu ierīkošana jaunajos (apkalpojošais transports un atkritumu izvešana)</t>
  </si>
  <si>
    <t>Nevaram izveidot jaunus laukumus atkritumu konteineriem, apsaimniekotājs atsakās iebraukt pa bezceļu jaunajos sektoros.</t>
  </si>
  <si>
    <t>Carnikavas kapu paplašināšanas projekts</t>
  </si>
  <si>
    <t>Carnikavas kapsētas paplašināšanai nepieciešamie ekspertu atzinumi pēc VVD pieprasījuma</t>
  </si>
  <si>
    <t>Atzinumi nepieciešami sakarā ar Valsts vides dienesta Atļauju pārvaldes pieprasījumu</t>
  </si>
  <si>
    <t>Cemety programmas iegāde un uzstādīšana Baltezera  kapiem</t>
  </si>
  <si>
    <t>Baltezera Komunistiskā masu terora upuru piemiņas vietas pieminekļa remonts</t>
  </si>
  <si>
    <r>
      <t xml:space="preserve">Pēc konsultācijas ar Nacionālā kultūras mantojuma pārvaldes valsts inspektori un eksperti, tika noteiktas nepieciešamās darbības ar pieminekli "Baltezera Komunistiskā masu terora upuru piemiņas vieta un kapi"  un kādus dokumentus vajadzēs iesniegt pirms un pēc dabu veikšanas. Dokumentu noformēšanas un būvdarbu izmaksas. </t>
    </r>
    <r>
      <rPr>
        <sz val="8"/>
        <color rgb="FFED0000"/>
        <rFont val="Arial"/>
        <family val="2"/>
        <charset val="186"/>
      </rPr>
      <t>summa samazināta par 4900 eur</t>
    </r>
  </si>
  <si>
    <t>Caurteku pārbūve Ādažu novadā</t>
  </si>
  <si>
    <t>Kalngalē (2 gab.)uz Ērgļu ielas, Āpšu un Mežciema ielas krustojumā, Garciems (1.gab.). Šajā gadā bija nepieciešams pārbūvēt jau divas caurtekas.</t>
  </si>
  <si>
    <t xml:space="preserve">Attālinātas monitoringa sistēma sūkņu stacijām un slūžām, Attālinātas monitoringa sistēma SCADA abonēšana uz gadu </t>
  </si>
  <si>
    <t>Attālinātas monitoringa sistēma ieviešana visām sūkņu stacijām un slūžām Ādažu novadā, uz doto brīdi nevienā no šīm stacijām nav iespējams sekot līdzi faktiskajai situācijai attālināti. 8000 abonēšana</t>
  </si>
  <si>
    <t>Mangaļu SS pārbūves projektēšana</t>
  </si>
  <si>
    <t>Summā ir iekļauta  projektēšana, būvniecība, būvuzraudzība un autoruzraudzība. Esošā Mangaļu SS atrodas tehniski sliktā stāvoklī.  Ilgi šī SS neidzīvos. Ja nevarēs ar ES fondiem pārbūvēt.</t>
  </si>
  <si>
    <t>Ceļu ielu infrastruktūras attīstības programma</t>
  </si>
  <si>
    <t xml:space="preserve">Dubultā virsma </t>
  </si>
  <si>
    <t>Skolas iela 0.77km, Ādaži Ķiršu iela līdz Ziedu iela dubultā virsmas apstrāde, Ziedu iela līdz - PII Gājēju ietve, bruģis, satiksmes organizācija</t>
  </si>
  <si>
    <t>Depo iela 0,185km, Ādaži</t>
  </si>
  <si>
    <t>Bērzu iela 0.29km, Ādaži</t>
  </si>
  <si>
    <t>Pļavu iela 0.46km, Ādaži</t>
  </si>
  <si>
    <t>Āpšu ielas 0.4km divkāršā virsmas apstrāde, Garciems</t>
  </si>
  <si>
    <t>Jūras ielā 1,2 km vienkārtas virsmas apstrāde, Carnikava</t>
  </si>
  <si>
    <t>Lai paildzinātu asfatbetona ekspluatācijas laiku nepieciešams veikt vienkārtas virsmas apstrādi posmā no Laivu ielas līdz stāvlaukumam</t>
  </si>
  <si>
    <t>Ceriņu iela 0.3km, Garkalne</t>
  </si>
  <si>
    <t>Lilastes ielas virsmas apstrāde posmā no dz. stacijas līdz Ziemeļu ielas</t>
  </si>
  <si>
    <t xml:space="preserve">Lai paildzinātu asfatbetona ekspluatācijas laiku nepieciešams veikt vienkārtas virsmas apstrādi </t>
  </si>
  <si>
    <t>Rožu ielas divkārtas virsmas apstrāde posmā no Zušu ielas līdz Zušu ielai 0.35km</t>
  </si>
  <si>
    <t>Seguma atjaunošana - asfaltbetons</t>
  </si>
  <si>
    <r>
      <t xml:space="preserve">Ķiršu ielas pārbūve 0.17km </t>
    </r>
    <r>
      <rPr>
        <b/>
        <i/>
        <sz val="8"/>
        <rFont val="Arial"/>
        <family val="2"/>
        <charset val="186"/>
      </rPr>
      <t>(ir būvprojekts)</t>
    </r>
  </si>
  <si>
    <t>Dzirnupes ielas tilta pārbūve I kārta (būs būvprojekts)</t>
  </si>
  <si>
    <r>
      <t xml:space="preserve">L. Azarovas tilta pārbūve uz caurteku </t>
    </r>
    <r>
      <rPr>
        <b/>
        <i/>
        <sz val="8"/>
        <rFont val="Arial"/>
        <family val="2"/>
        <charset val="186"/>
      </rPr>
      <t>jāprojektē (20 000 eur)+būvē (40 000eur)</t>
    </r>
    <r>
      <rPr>
        <i/>
        <sz val="8"/>
        <rFont val="Arial"/>
        <family val="2"/>
        <charset val="186"/>
      </rPr>
      <t>. Kpējā summa 2025. - 2026.gadā EUR 210'000</t>
    </r>
  </si>
  <si>
    <t>2025. gadā 60 000 eur, 2026. gadā 150 000eur. 2024. gadā tika saņemta vēstulu no SM par tilta tehnisko stāvokli. Vērtējums ir sliktā tehniskā stāvolki.  Tiltam uzstādītas masas ierobežojuma ceļa zīmes 20 T.</t>
  </si>
  <si>
    <t>Torņu iela afaltbetona seguma atjaunošana 0.35 km</t>
  </si>
  <si>
    <t>Elīzes ielas posma pārbūve ar asfalta segumu posmā no Kadagas ceļa līdz plānotajai Lindas ielai (būprojekts + izbūve)</t>
  </si>
  <si>
    <t>Domes lēmums nr. 380, 26.09.2024</t>
  </si>
  <si>
    <t>Gaujas iela 1,3km posmā no Kadagas tilta līdz Dadzīšu ielai</t>
  </si>
  <si>
    <t>Pirmā iela 0,55km posmā no Draudzības ielas līdz Ziedu ielai</t>
  </si>
  <si>
    <r>
      <t xml:space="preserve">Pirmās ielas  II kārta ietve (0,2km) + stāvvietas +brauktuve 0,05km </t>
    </r>
    <r>
      <rPr>
        <b/>
        <i/>
        <sz val="8"/>
        <rFont val="Arial"/>
        <family val="2"/>
        <charset val="186"/>
      </rPr>
      <t>(ir būvprojekts)</t>
    </r>
  </si>
  <si>
    <r>
      <t xml:space="preserve">Pirmās ielas III kārta ietve 0.12km + brauktuve 0.13km (līdz Ziedu ielai) </t>
    </r>
    <r>
      <rPr>
        <b/>
        <i/>
        <sz val="8"/>
        <rFont val="Arial"/>
        <family val="2"/>
        <charset val="186"/>
      </rPr>
      <t>(ir būvprojekts)</t>
    </r>
  </si>
  <si>
    <t>Pašvaldības ceļu un ielu infrastruktūras uzturēšana un attīstība (Zibeņu – Briljantu ceļš)</t>
  </si>
  <si>
    <t>Reciklēta divkārt virsma</t>
  </si>
  <si>
    <t xml:space="preserve">Gaujas dambja virskārtas uzlabošana </t>
  </si>
  <si>
    <t>Satiksmes organizācija</t>
  </si>
  <si>
    <t>Satiksmes organizācijas uzlabošana (paskaidrojuma raksti, gājēju pārejas un to apgaismojums (Austrumu iela, Kadaga)</t>
  </si>
  <si>
    <t>Gājēju drošības barjeru izbūvē uz Kadagas ceļa 1,5 km</t>
  </si>
  <si>
    <t>Gājēju pāreja pie Podnieku ielas, Dailas ciemats</t>
  </si>
  <si>
    <t>Mežaparka ceļs I kārta no A1 līdz Mežaparka ceļam 1,1km (ir būvprojekts)</t>
  </si>
  <si>
    <t>iespējams AM finansējums</t>
  </si>
  <si>
    <t>Mežaparka ceļs II kārta no A1 līdz Mežaparka ceļam 2,1km (ir būvprojekts)</t>
  </si>
  <si>
    <t>Vēju iela 0,55km, Ādaži (ar iedzīvotāju līdzfinansējumu)</t>
  </si>
  <si>
    <t>Projektēšana</t>
  </si>
  <si>
    <t>Dzirnupes ielas tilta projekts, Carnikava</t>
  </si>
  <si>
    <t>Domes lēmums 30.05.2024, noslēgts līgums nr. 02-20.1/24/88, SIA "BT projekts"</t>
  </si>
  <si>
    <t>Smilšu ielas pārbūve projekts, Carnikava</t>
  </si>
  <si>
    <t>Lēmums sagatavot tehnisko specifikāciju iepirkumam</t>
  </si>
  <si>
    <t>Attekas ielas turpinājums 0,5km</t>
  </si>
  <si>
    <t>Sienāžu ielas projekts</t>
  </si>
  <si>
    <t>Dadzīšu ielas projekts</t>
  </si>
  <si>
    <t>Pavisam kopā:</t>
  </si>
  <si>
    <t>Prioritāte:</t>
  </si>
  <si>
    <t>4. Zemsvītras ATBALSTĪTĀS investīcijas prioritārā secībā</t>
  </si>
  <si>
    <t>4. Zemsvītras ATBALSTĪTĀS investīcijas prioritārā secībā 2024.gadā</t>
  </si>
  <si>
    <t>Iekš. groz.: EUR 13'541 no Z-svētku rotājumu finansējuma CoHabit finansējuma atmaksai no EKK 2239 uz EKK 7246 - Atgriezt budžetā sākotnējam mērķim.</t>
  </si>
  <si>
    <r>
      <t xml:space="preserve">Liepu aleja </t>
    </r>
    <r>
      <rPr>
        <b/>
        <i/>
        <sz val="9"/>
        <rFont val="Arial"/>
        <family val="2"/>
        <charset val="186"/>
      </rPr>
      <t>(ir būvprojekts)</t>
    </r>
    <r>
      <rPr>
        <i/>
        <sz val="9"/>
        <rFont val="Arial"/>
        <family val="2"/>
        <charset val="186"/>
      </rPr>
      <t xml:space="preserve">. </t>
    </r>
    <r>
      <rPr>
        <i/>
        <sz val="9"/>
        <color rgb="FFFF0000"/>
        <rFont val="Arial"/>
        <family val="2"/>
        <charset val="186"/>
      </rPr>
      <t>Ielikts budžetā 28.03.2024.</t>
    </r>
  </si>
  <si>
    <r>
      <t xml:space="preserve">Kļavu ielā divkārtas virsmas apstrāde 0.35km, Carnikava </t>
    </r>
    <r>
      <rPr>
        <b/>
        <i/>
        <sz val="9"/>
        <rFont val="Arial"/>
        <family val="2"/>
        <charset val="186"/>
      </rPr>
      <t>(ir būvprojekts)</t>
    </r>
    <r>
      <rPr>
        <i/>
        <sz val="9"/>
        <rFont val="Arial"/>
        <family val="2"/>
        <charset val="186"/>
      </rPr>
      <t>.</t>
    </r>
    <r>
      <rPr>
        <i/>
        <sz val="9"/>
        <color rgb="FFFF0000"/>
        <rFont val="Arial"/>
        <family val="2"/>
        <charset val="186"/>
      </rPr>
      <t xml:space="preserve"> Ielikts budžetā 25.04.2024.</t>
    </r>
  </si>
  <si>
    <r>
      <t xml:space="preserve">VW LT 46 hidromanipulatora kapitālais remonts. </t>
    </r>
    <r>
      <rPr>
        <i/>
        <sz val="9"/>
        <color rgb="FFFF0000"/>
        <rFont val="Arial"/>
        <family val="2"/>
        <charset val="186"/>
      </rPr>
      <t>Ielikts budžetā 25.04.2024.</t>
    </r>
  </si>
  <si>
    <r>
      <t xml:space="preserve">Tautas nama Lielās zāles grīdas seguma remonts. </t>
    </r>
    <r>
      <rPr>
        <sz val="9"/>
        <color rgb="FFFF0000"/>
        <rFont val="Arial"/>
        <family val="2"/>
        <charset val="186"/>
      </rPr>
      <t>Ielikts budžetā 25.04.2024.</t>
    </r>
  </si>
  <si>
    <r>
      <t xml:space="preserve">Četru reģipša sienu un durvju aiļu izbūve ar durvju uzst.MMSK kab. Garā 20. </t>
    </r>
    <r>
      <rPr>
        <sz val="9"/>
        <color rgb="FFFF0000"/>
        <rFont val="Arial"/>
        <family val="2"/>
        <charset val="186"/>
      </rPr>
      <t>Ielikts budžetā 25.04.2024.</t>
    </r>
  </si>
  <si>
    <r>
      <t xml:space="preserve">Mēbeļu un aprīkojuma iegāde. </t>
    </r>
    <r>
      <rPr>
        <sz val="9"/>
        <color rgb="FFFF0000"/>
        <rFont val="Arial"/>
        <family val="2"/>
        <charset val="186"/>
      </rPr>
      <t>Ielikts budžetā 25.04.2024.</t>
    </r>
  </si>
  <si>
    <r>
      <t xml:space="preserve">Mežmalas iela 0.22km, Alderi. </t>
    </r>
    <r>
      <rPr>
        <i/>
        <sz val="8"/>
        <color rgb="FFFF0000"/>
        <rFont val="Arial"/>
        <family val="2"/>
        <charset val="186"/>
      </rPr>
      <t>Ielikts budžetā 25.04.2024.</t>
    </r>
  </si>
  <si>
    <t>ĀVS</t>
  </si>
  <si>
    <r>
      <t>5'000 euro 3 uzlādes skapju iegādei portatīvo datoru uzlādei un uzglabāšanai.</t>
    </r>
    <r>
      <rPr>
        <sz val="9"/>
        <color rgb="FFFF0000"/>
        <rFont val="Arial"/>
        <family val="2"/>
        <charset val="186"/>
      </rPr>
      <t xml:space="preserve"> Ielikts budžetā 25.04.2024.</t>
    </r>
  </si>
  <si>
    <r>
      <t xml:space="preserve">16'000 euro 16 datoru iegādei obligātā mācību procesa nodrošināšanai. </t>
    </r>
    <r>
      <rPr>
        <sz val="9"/>
        <color rgb="FFFF0000"/>
        <rFont val="Arial"/>
        <family val="2"/>
        <charset val="186"/>
      </rPr>
      <t>Ielikts budžetā 25.04.2024.</t>
    </r>
  </si>
  <si>
    <t>Gaujas aizsargdambja virskārtas uzlabošana (23.11.2023. domes lēmums)</t>
  </si>
  <si>
    <r>
      <t xml:space="preserve">Ķiršu ielas pārbūve 0.17km </t>
    </r>
    <r>
      <rPr>
        <b/>
        <i/>
        <sz val="9"/>
        <rFont val="Arial"/>
        <family val="2"/>
        <charset val="186"/>
      </rPr>
      <t>(ir būvprojekts)</t>
    </r>
  </si>
  <si>
    <t>Caurteku pārbūves Ādažu novadā</t>
  </si>
  <si>
    <t>Caurteku un drenāžu cauruļu skalošanas pakalpojumi</t>
  </si>
  <si>
    <t>Āra trenažieru uzstādīšana pie Ādažu stadiona</t>
  </si>
  <si>
    <t>Carnikavas skeitparks</t>
  </si>
  <si>
    <t>Rotaļiekārtu  un seguma maiņa Taurenīšu, Lapsēnu, Skudriņu, Vāverēnu grupu laukumiņa</t>
  </si>
  <si>
    <t>Jaunas rotaļiekārtas laikumiņos (1.,2.,9. un 12. grupām)</t>
  </si>
  <si>
    <t>MS Project programmas iegādei 7 darbiniekiem</t>
  </si>
  <si>
    <t>Arhīva bloka iegāde</t>
  </si>
  <si>
    <t>Investīciju izmaksas - 0340 Siltumnīcefekta gāzu emisiju samazināšana Ādažu novada pašvaldības policijas ēkā</t>
  </si>
  <si>
    <t>Investīciju izmaksas - 0631.6 Projekts Infrastruktūras uzlabošana uzņēmējdarbības attīstībai Ādažos 2. un 3. kārta</t>
  </si>
  <si>
    <t>20.</t>
  </si>
  <si>
    <t>21.</t>
  </si>
  <si>
    <t>Investīciju izmaksas - "Sporta laukuma ierīkošana Garciemā"</t>
  </si>
  <si>
    <t>22.</t>
  </si>
  <si>
    <t>Investīciju izmaksas - "Garezeru apkārtnes biotopu saudzēšana veicinot koncentrētu gājēju plūsmas vadīšanu ar mērķi mazināt augsnes degradāciju"</t>
  </si>
  <si>
    <t>23.</t>
  </si>
  <si>
    <t>Konta atlikums uz gada beigām pēc 1. - 23. projekta realizācijas:</t>
  </si>
  <si>
    <t>Investīciju izmaksas - "Bērnu un jauniešu centra izveide Ādažos"</t>
  </si>
  <si>
    <t>24.</t>
  </si>
  <si>
    <t>Investīciju izmaksas - "Veloapkopes stenda ierīkošana Kadagā un Garkalnē"</t>
  </si>
  <si>
    <t>25.</t>
  </si>
  <si>
    <t>Konta atlikums uz gada beigām pēc 1. - 25. projekta realizācijas:</t>
  </si>
  <si>
    <t>Investīciju izmaksas - “Multimodāls sabiedriskā transporta tīkls” stacija “Kalngale”</t>
  </si>
  <si>
    <t>2028.gads</t>
  </si>
  <si>
    <t>Investīciju izmaksas - “Multimodāls sabiedriskā transporta tīkls” stacija “Garciems”</t>
  </si>
  <si>
    <t>2029.gads</t>
  </si>
  <si>
    <t>27.</t>
  </si>
  <si>
    <t>Investīciju izmaksas - “Multimodāls sabiedriskā transporta tīkls” stacija “Garupe”</t>
  </si>
  <si>
    <t>28.</t>
  </si>
  <si>
    <t>Investīciju izmaksas - “Multimodāls sabiedriskā transporta tīkls” stacija “Carnikava”</t>
  </si>
  <si>
    <t>Investīciju izmaksas - “Multimodāls sabiedriskā transporta tīkls” stacija “Gauja”</t>
  </si>
  <si>
    <t>30.</t>
  </si>
  <si>
    <t>Investīciju izmaksas - “Multimodāls sabiedriskā transporta tīkls” stacija “Lilaste”</t>
  </si>
  <si>
    <t>31.</t>
  </si>
  <si>
    <t>32.</t>
  </si>
  <si>
    <t>Investīciju izmaksas - skeitparks stacijas ielā, Carnikavā</t>
  </si>
  <si>
    <t>33.</t>
  </si>
  <si>
    <t>Investīciju izmaksas - Dzirnupes tilta pārbūve</t>
  </si>
  <si>
    <t>34.</t>
  </si>
  <si>
    <t>35.</t>
  </si>
  <si>
    <t>36.</t>
  </si>
  <si>
    <t>37.</t>
  </si>
  <si>
    <t>Kopsummā</t>
  </si>
  <si>
    <t>Pie projekta</t>
  </si>
  <si>
    <t>Investīciju izmaksas - Mangaļu SS pārbūve</t>
  </si>
  <si>
    <t>Investīciju izmaksas - "Remigrācijas atbalsta pasākums – uzņēmējdarbības atbalsts"</t>
  </si>
  <si>
    <t>Investīciju izmaksas - 0634.1 Jaunais plūdu projekts</t>
  </si>
  <si>
    <t>Investīciju izmaksas - 0904 Jaunas skolas būvniecība</t>
  </si>
  <si>
    <t>Jāatmaksā aizņēmumā pēdējā ERAF iemaksa</t>
  </si>
  <si>
    <t>Konta atlikums uz gada beigām pēc 1. - 28. projekta realizācijas:</t>
  </si>
  <si>
    <t>Konta atlikums uz gada beigām pēc 1. - 30. projekta realizācijas:</t>
  </si>
  <si>
    <t>Konta atlikums uz gada beigām pēc 1. - 38. projekta realizācijas:</t>
  </si>
  <si>
    <t>Šie izzudīs reizē ar PFIF</t>
  </si>
  <si>
    <t>Investīciju izmaksas - 0630 Bioloģiskās daudzveidības saglabāšana un antropogēnās slodzes mazināšana Natura 2000 teritorijā"</t>
  </si>
  <si>
    <t>Investīciju izmaksas - Futbola ģērbtuvju izveidošana Ādažu stadionā (Lēmums #179 07.05.2025.)</t>
  </si>
  <si>
    <t>38.</t>
  </si>
  <si>
    <t>DRN finansējums</t>
  </si>
  <si>
    <t>DRN iespējamais finansējums:</t>
  </si>
  <si>
    <t>IIN prognozētā pārpilde, kas jānovirza pamatsummas atmaksai:</t>
  </si>
  <si>
    <t>39.</t>
  </si>
  <si>
    <t>Investīciju izmaksas - Patvertņu pielāgošana un aprīkošana civiliem aizsardzības mērķiem</t>
  </si>
  <si>
    <t>Investīciju izmaksas - 0844.3 "Carnikavas novadpētniecības centra Saimes mājas ekspozīcijas pamatnes atjaunošana"</t>
  </si>
  <si>
    <t>Skolas aizņēmuma pamatsummas atmaksa</t>
  </si>
  <si>
    <t>Skolas aizņēmuma % atmaksa</t>
  </si>
  <si>
    <t>Jaunā skola Podniekos (ēkas uzturēšana + alagojums)</t>
  </si>
  <si>
    <t>40.</t>
  </si>
  <si>
    <t>41.</t>
  </si>
  <si>
    <t>Investīciju izmaksas - Infrastruktūras uzlabošana uzņēmējdarbības attīstībai Ādažu novadā (Laveru ceļš)</t>
  </si>
  <si>
    <t>2026 / 2025, EUR</t>
  </si>
  <si>
    <t>2026 / 2025, %</t>
  </si>
  <si>
    <t>Samazinājums atceļot peldbaseinu pakalpojumu apmaksu PPII</t>
  </si>
  <si>
    <r>
      <t xml:space="preserve">1) PII Riekstiņš precizēts atalgojums logopēdam no 0,5 slodze uz 1
2) Jaunatnes nodaļa, ielikta TET apmaksa EUR 583
3) Līdzdal. budž. 2025.g. atlikums EUR 8'279 novirzīts 2026.g. rezervei
4) ĀBJSS precizēta MD +17'891 =&gt; pašvald. finans. Samazinājums
5) ĀVS sākumskolā nepieciešams veikt avārijas remontu apsardzes sistēmai - nedarbojas balss izziņošanas sistēma. EUR 5'085 - bāzes palielinājums.
6) EUR 200 jauna darba galda virsma Carnikavas bibliotēkā
</t>
    </r>
    <r>
      <rPr>
        <sz val="8"/>
        <color rgb="FFFF0000"/>
        <rFont val="Arial"/>
        <family val="2"/>
        <charset val="186"/>
      </rPr>
      <t>7) EUR 264 2025.gada PVN - Sabiedrisko attiecību nodaļa</t>
    </r>
    <r>
      <rPr>
        <sz val="8"/>
        <color theme="1"/>
        <rFont val="Arial"/>
        <family val="2"/>
        <charset val="186"/>
      </rPr>
      <t xml:space="preserve">
</t>
    </r>
    <r>
      <rPr>
        <sz val="8"/>
        <color rgb="FFFF0000"/>
        <rFont val="Arial"/>
        <family val="2"/>
        <charset val="186"/>
      </rPr>
      <t>8) EUR 8'000 Attīst. nodaļas tāmē nebija sasummēts 1 algu cipars + 798 EUR 2025.gada PVN</t>
    </r>
  </si>
  <si>
    <t>Brīvais konta atlikums uz 31.12.2025</t>
  </si>
  <si>
    <t>Piekrastes KA novirzāms uz brīvo</t>
  </si>
  <si>
    <t>+305, lai pilnībā atmaksātu 1u aizņēmumu (pieskaitīts "Bāzes" lapā)</t>
  </si>
  <si>
    <t>IIN pārpilde, kas novirzāma kredītu pamatsummas segšanai</t>
  </si>
  <si>
    <t>* vēlamais konta atlikums vismaz 0.5% no bāzes izdevumiem</t>
  </si>
  <si>
    <t>Precizēta invest. summa oficiālās peldvietas ierīkošanai no EUR 65'000 uz 10'000</t>
  </si>
  <si>
    <t>Atņemts pie bāzes soc dienestam to daļu, kas atnāks kā MD</t>
  </si>
  <si>
    <t>Projekta kopējās izmaksas</t>
  </si>
  <si>
    <t>Uzsākts 2025., maksājums būs 2026.gadā.</t>
  </si>
  <si>
    <r>
      <t xml:space="preserve">Deputātu sēžu zāles tehniskais nodrošinājums </t>
    </r>
    <r>
      <rPr>
        <b/>
        <sz val="9"/>
        <rFont val="Arial"/>
        <family val="2"/>
        <charset val="186"/>
      </rPr>
      <t>Carnikavā</t>
    </r>
  </si>
  <si>
    <t>Nepieciešams izpilddirektora komentārs!</t>
  </si>
  <si>
    <t>0340.1</t>
  </si>
  <si>
    <t>EKII projekts - Ādažu policijas ēkas atjaunošana</t>
  </si>
  <si>
    <t>2026.g. būvprojekta izstrāde</t>
  </si>
  <si>
    <t>RPR un VARAM konkurss "Remigrācijas atbalsta pasākums – uzņēmējdarbības atbalsts" -  pasākums Ā7.1.2.3. ĀNP 26.10.2023. lēmums Nr. 412.</t>
  </si>
  <si>
    <t>Braucieni uz Igauniju un Somiju, uz Interreg projekta "Upesceļi II" sanāksmēm, 2 cilvēkiem, 3 dienām, EUR 40 dienā Igaunijā, EUR 55 dienā Somijā (Igaunija: EUR 40 x 2 cilvēki x 1 brauciens x 3 dienas = EUR 240; Somija: EUR 55 x 2 cilvēki x 1 brauciens x 3 dienas = EUR 330). ĀNP 17.01.2024. lēmums Nr. 2, AP pasākums Ā14.1.9.3.</t>
  </si>
  <si>
    <t>Projektu nauda iet būvniecībai</t>
  </si>
  <si>
    <t>Braucieni uz Igauniju un Somiju, uz RPR organizēto projektu ietvaros, 1 cilvēkam, 3 dienām, EUR 40 dienā Igaunijā, EUR 55 dienā Somijā (Igaunija: EUR 40 x 1 cilvēks x 1 brauciens x 3 dienas = EUR 120; Somija: EUR 55 x 1 cilvēks x 1 brauciens x 3 dienas = EUR 165). ĀNP 26.10.2023. lēmums Nr. 412, AP pasākums Ā7.1.2.3.</t>
  </si>
  <si>
    <t>V</t>
  </si>
  <si>
    <t>Mežu dienu projekts</t>
  </si>
  <si>
    <t>IIA izstrāde jaunā uzņēmējdarbības projekta pieteikumam</t>
  </si>
  <si>
    <t>Obligāts pielikums projekta pieteikumam</t>
  </si>
  <si>
    <t>Krastupes ielas projekts - ERAF Projekts "Pielāgošanās klimata pārmaiņām Ādažu novada Podniekos "</t>
  </si>
  <si>
    <t>Netiek plānots aizņēmums šai daļai</t>
  </si>
  <si>
    <t>0631.2.1</t>
  </si>
  <si>
    <t>Krastupes ielas projekts - ārpusprojekta aktivitātes</t>
  </si>
  <si>
    <t>Plānots prioritārais aizņēmums šīm visām ārprusprojekta aktivitātēm (15% pašv.fin./85% VK aizņēmums)</t>
  </si>
  <si>
    <t>Publiskās ārtelpas izveide Gaujas ielā 31 Ādažos (ĀNP 23.11.2023. lēmums Nr. 451 un ĀNP 29.08.2024. lēmums Nr. 349. AP pasākums Ā5.1.1.5. )</t>
  </si>
  <si>
    <t>Projekts “Infrastruktūras uzlabošana uzņēmējdarbības attīstībai Ādažos 1. kārta” ĀNP 25.04.2024. lēmums Nr. 164. AP pasākums Ā7.1.1.1.2. RPR 30.05.2024. lēmums Nr.7</t>
  </si>
  <si>
    <t>0631.4.x.</t>
  </si>
  <si>
    <t xml:space="preserve">Projekts “Infrastruktūras uzlabošana uzņēmējdarbības attīstībai Ādažos 2. un 3. kārta” </t>
  </si>
  <si>
    <t>0631.5</t>
  </si>
  <si>
    <t>LEADER Projekts "Blusu" kroga atjaunošana 1.kārta</t>
  </si>
  <si>
    <t>Priekšfinansējums EUR 88 884, tiks atskaitīts 2027.g.</t>
  </si>
  <si>
    <t>0631.7</t>
  </si>
  <si>
    <t>LEADER Projekts "Sporta laukuma ierīkošana Garciemā"</t>
  </si>
  <si>
    <t>0631.8</t>
  </si>
  <si>
    <t>LEADER Projekts "Veloapkopes stenda ierīkošana Kadagā un Garkalnē"</t>
  </si>
  <si>
    <t>Būs tikai ieņēmumi EUR 3'598 no EJZAF, kas paliek pašvaldībai (priekšfinansējuma atgriezšana)</t>
  </si>
  <si>
    <t>0631.9</t>
  </si>
  <si>
    <t>LEADER Projekts "Garezeru apkārtnes biotopu saudzēšana veicinot koncentrētu gājēju plūsmas vadīšanu ar mērķi mazināt augsnes degradāciju"</t>
  </si>
  <si>
    <t>Būs tikai ieņēmumi EUR 7'200 no EJZAF, kas paliek pašvaldībai (priekšfinansējuma atgriezšana)</t>
  </si>
  <si>
    <t>0632.6.1</t>
  </si>
  <si>
    <t>LIFE BauhausingEurope pieejas piemērošana sabiedrisko ēku pārveidošanai (Valsts dotācija)</t>
  </si>
  <si>
    <t>Pašvaldības priekšfinansējums tiks atgūts  2026.g. beigās.</t>
  </si>
  <si>
    <t xml:space="preserve"> (būvniecība beidzas 2026.g. augustā).</t>
  </si>
  <si>
    <t>Vecais plūdu projekts - garantijas maksājuma atmaksa</t>
  </si>
  <si>
    <t>Projekts “Bioloģiskās daudzveidības saglabāšana un antropogēnās slodzes mazināšana Natura2000 teritorijās Ādažu novadā”</t>
  </si>
  <si>
    <t>Multimodāls sabiedriskā transporta tīkls, 2. kārta” attīstot staciju “Gauja"</t>
  </si>
  <si>
    <t>Multimodāls sabiedriskā transporta tīkls, 2. kārta” attīstot staciju “Carnikava"</t>
  </si>
  <si>
    <t>Multimodāls sabiedriskā transporta tīkls, 2. kārta” attīstot staciju “Kalngale"</t>
  </si>
  <si>
    <t>Multimodāls sabiedriskā transporta tīkls, 2. kārta” attīstot staciju “Garupe"</t>
  </si>
  <si>
    <t>Multimodāls sabiedriskā transporta tīkls, 2. kārta” attīstot staciju “Lilaste"</t>
  </si>
  <si>
    <t>Multimodāls sabiedriskā transporta tīkls, 2. kārta” attīstot staciju “Garciems"</t>
  </si>
  <si>
    <t>Patvertņu pielāgošana un aprīkošana civiliem aizsardzības mērķiem</t>
  </si>
  <si>
    <t>ĀNP 23.10.2025. lēmums Nr. 427 (2026.-2027.gads)</t>
  </si>
  <si>
    <t>Infrastruktūras uzlabošana uzņēmējdarbības attīstībai Ādažu novadā (Laveru ceļš + Smilgu iela)</t>
  </si>
  <si>
    <r>
      <rPr>
        <i/>
        <sz val="8"/>
        <color rgb="FFFF0000"/>
        <rFont val="Arial"/>
        <family val="2"/>
        <charset val="186"/>
      </rPr>
      <t xml:space="preserve">Nevar paspēt realizēt!!  </t>
    </r>
    <r>
      <rPr>
        <i/>
        <sz val="8"/>
        <rFont val="Arial"/>
        <family val="2"/>
        <charset val="186"/>
      </rPr>
      <t>Projektēšana no pašv.fin., kamēr nav līgums par projektu.</t>
    </r>
  </si>
  <si>
    <t>Tūrisms</t>
  </si>
  <si>
    <t>Pārvietojama gājēju/velobraucēju plūsmas skaitīšanas sistēmas iegāde (pārcelts no 2025.gada, līgums noslēgts)</t>
  </si>
  <si>
    <t>0844.3</t>
  </si>
  <si>
    <t>LEADER Projekts "Carnikavas novadpētniecības centra Saimes mājas ekspozīcijas pamatnes atjaunošana"</t>
  </si>
  <si>
    <t>PWC jaunās skolas FEA pētījuma maksājums</t>
  </si>
  <si>
    <t>0937</t>
  </si>
  <si>
    <t>LEADER Projekts "Bērnu un jauniešu centra izveide Ādažos"</t>
  </si>
  <si>
    <t>0905</t>
  </si>
  <si>
    <t>Izglītības iestāžu nodrošinājums pilnveidotā vispārējās izglītības satura kvalitatīvai ieviešanai Ādažu novadā</t>
  </si>
  <si>
    <t>Ādažu vidusskolas investīciju projekts. Projektēšana un autoruzradzība EUR 4'066</t>
  </si>
  <si>
    <t>Ādažu vidusskolas investīciju projekts. Būvniecība būvuzraudzība EUR 380'000</t>
  </si>
  <si>
    <t>Ādažu vidusskolas investīciju projekts. dabaszinātņu (dabaszinību (1.-6. klasei), ķīmijas, bioloģijas, fizikas, dizaina un tehnoloģiju, inženierzinību, ģeogrāfijas) un matemātikas kabinetu (tai skaitā praktisko darbu telpu) pārbūve, atjaunošana, izveide vai pilnveide EUR 119'111</t>
  </si>
  <si>
    <t>Ādažu vidusskolas investīciju projekts. Teritorijas labiekārtošana EUR 28'692 + 650</t>
  </si>
  <si>
    <t>Ādažu vidusskolas investīciju projekts (Carnikavas vidusskola). Mācību vides uzlabošana un mācību procesa nodrošināšanai paredzētā aprīkojuma iegāde EUR 90'001</t>
  </si>
  <si>
    <t xml:space="preserve">Āra lifta izbūve pie A korpusa (projektēšana) </t>
  </si>
  <si>
    <t>Āra lifta būvprojekta ekspertīze</t>
  </si>
  <si>
    <t>0965</t>
  </si>
  <si>
    <t>Ādažu Bērnu un jaunatnes sporta skola</t>
  </si>
  <si>
    <t>Projekts "FIBA EuroBasket2025 - Latvijas basketbola nākotnei"</t>
  </si>
  <si>
    <t>SAM 9.2.4.2. projekts "Pasākumi vietējās sabiedrības veselības veicināšanai Ādažu novadā"</t>
  </si>
  <si>
    <t>Projekts beidzies, EUR 40 772.02 ienāks 2026.g.(priekšfinansējuma dzēšana)</t>
  </si>
  <si>
    <t>Vecštāles ceļa asfaltēšana (AM finansējums)</t>
  </si>
  <si>
    <t>AM finansējums</t>
  </si>
  <si>
    <t>Dzirnupes ielas tilta pārbūve I kārta, MRG būve, Nr.02-20.1/25/167</t>
  </si>
  <si>
    <t>Noslēgts būvdarbu līgums (būvdarbi uzsākti) precīzs termiņš atkarīgs no laika apstākļiem, kad beigsies tehnoloģiskais pārtraukums</t>
  </si>
  <si>
    <t>Dzirnupes ielas tilta pārbūve autoruzraudzība</t>
  </si>
  <si>
    <t>CKS (5.6.7. Investīcijas ceļu, ielu infrastruktūras attīstībā un uzlabošanā)</t>
  </si>
  <si>
    <t>Smilšu ielas pārbūve projekts</t>
  </si>
  <si>
    <t xml:space="preserve">pārcelts no 2025. gada inv.plāna </t>
  </si>
  <si>
    <t>Attekas ielas turpinājums 0,5km (projekts)</t>
  </si>
  <si>
    <t>CKS (5.6.8. Investīcijas hidromeliorācijas uzturēšanā un attīstībā)</t>
  </si>
  <si>
    <t>CKS Hidromeliorācija</t>
  </si>
  <si>
    <t>Mangaļu SS pārbūve (būvprojekts) jāpārceļ no 2025. gada.</t>
  </si>
  <si>
    <t xml:space="preserve">Eksistējoš līgums ar VSIA Meliorprojekts. Būvprojekta izstrādes termiņš ir 03.03.2026. gads.  08.07.2025 gadā tika samaksāts avansa rēķins 11821.70 eur ar PVN. Atlikušo summu nepieciešams pārcelt uz 2026.gadu, kas ir 47822 eur ar PVN. 2025.gada augustā ZM apstiprināja, ka varam pieteikties Valsts kasē aizdevumam sūkņu stacijas pārbūvei. Līdz ar to jautājums vai mēs paredzam kādu naudu būvniecībai 2026.gadā?  Un protams paralēli meklējam vai ir iespēja pieteikties ES fonda atbalstam. Ja tomēr tiek plānots ņemt aizņēmumu, tad pašvaldības finansējums būtu- 155 609,10 euro ar PVN. </t>
  </si>
  <si>
    <t>05201</t>
  </si>
  <si>
    <t>CKS/ DRN</t>
  </si>
  <si>
    <t>Šķiroto atkritumu savākšanas laukums Laivu ielā 12, Carnikavā būvuzraudzība un autoruzraudzība (pašvaldības finansējums)</t>
  </si>
  <si>
    <t>DRN EUR 127'925</t>
  </si>
  <si>
    <t>Sabiedrības informēšana un izglītošana projekta "Šķiroto atkritumu savākšanas laukums Laivu ielā 12" ietvaros</t>
  </si>
  <si>
    <t>Laveru sūkņu stacijas pārbūve (dalīts finansējums 111 646 eur no DRN, 63 854 eur no dotācijas) Domes lēmums nr.354, 11.09.2024, t.sk. 270 000 eur ELFLA līdzfinansējums (2024./2025. gadā plānota būvprojekta izstrāde 60 500 eur), (304 750 eur pašvaldības finansējums no dabas resursu nodokļa atlikuma un 2025. un 2026. gada ieņēmumiem), kopējās plānotās izmaksas 635 250 eur. 2025. gada izmaksas 175 500 eur, 2026. gada izmaksas 459 750 eur, tsk. LAD finansējums. Izmaksas precizēsies pēc iepirkumu rezultātiem. Domes lēmums 30.01.2025, būvprojekta izstrāde 72 721 eur, būvniecība 292 529 eur 25. un 26. gada DRN</t>
  </si>
  <si>
    <t xml:space="preserve">Būvprojekta izstrādes termiņš ir līdz 30.10.2025 (līgums noslēgts ar SIA "Profecto"). 2025.gada novembra mēnesī tiks veikts iepirkums uz būvniecību. Būvniecība notiks sākot no 2026.gada. 2025.gadā tiks samaksāts 72721 eur ar PVN par būvprojekta izstrādi. Būvniecības un būvuzraudzības cenas konkrēti būs redzamas pēc iepirkuma rezultātiem. LAD piešķirtais finansējums ir 270 000 eur. 2025.gadā tika paredzēts 175 500 eur, bet tiks izmantoti tikai 72 721 eur par būvprojekta izstrādi. Norādīju summu kopējo 562 529 eur ar PVN t.sk. LAD finansējums 270 000 eur. Bet ja rēķinam bez LAD finansējuma, tad pašvaldības nauda sanāk 292 529 eur ar PVN. Šī summa varētu mainīties pēc būvniecības un būvuzraudzības iepirkuma veikšanas un sūkņu stacijas būvdarbi varētu turpināties arī 2027.gadā. </t>
  </si>
  <si>
    <t>Ādažu vidusskolas ēkas D korpusa fasādes atjaunošana.</t>
  </si>
  <si>
    <t>Ķiršu ielas pārbūve 0.17km (ir būvprojekts)</t>
  </si>
  <si>
    <t>garantijas maksa</t>
  </si>
  <si>
    <t>0649</t>
  </si>
  <si>
    <t>0649 Ielu un ceļu uzturēšana</t>
  </si>
  <si>
    <t>Ķiršu ielas pārbūve 0.17km (ir būvprojekts) autoruzraudzība</t>
  </si>
  <si>
    <t>autoruzraudzība līgums ar Domi</t>
  </si>
  <si>
    <t>Skolas iela 0.77km, Ādaži, Ādaži Gājēju ietve, bruģis, satiksmes organizācija</t>
  </si>
  <si>
    <t>garantija pārceļas uz 2026. gadu</t>
  </si>
  <si>
    <t>L. Azarovas tilta pārbūve uz caurteku (ir projekts)</t>
  </si>
  <si>
    <t>Noslēgts līgums par būvprojekta izstrādi. Vērtējums ir sliktā tehniskā stāvokli.  Tiltam uzstādītas masas ierobežojuma ceļa zīmes 20 T.</t>
  </si>
  <si>
    <t>0953</t>
  </si>
  <si>
    <t>STEM un pilsoniskās līdzdalības norises plašākai izglītības pieredzei un karjeras izvēlei (Ādažu vidusskola)</t>
  </si>
  <si>
    <t>09522</t>
  </si>
  <si>
    <t>ĀVS PII</t>
  </si>
  <si>
    <t>STEM un pilsoniskās līdzdalības norises plašākai izglītības pieredzei un karjeras izvēlei (Ādažu vidusskolas PII)</t>
  </si>
  <si>
    <t>09827</t>
  </si>
  <si>
    <t>STEM un pilsoniskās līdzdalības norises plašākai izglītības pieredzei un karjeras izvēlei (Carnikavas vidusskola)</t>
  </si>
  <si>
    <t>09012</t>
  </si>
  <si>
    <t>STEM un pilsoniskās līdzdalības norises plašākai izglītības pieredzei un karjeras izvēlei (PII Riekstiņš)</t>
  </si>
  <si>
    <t>0912</t>
  </si>
  <si>
    <t>STEM un pilsoniskās līdzdalības norises plašākai izglītības pieredzei un karjeras izvēlei (PII Strautiņš)</t>
  </si>
  <si>
    <t>0922</t>
  </si>
  <si>
    <t>PII Mežavēji</t>
  </si>
  <si>
    <t>STEM un pilsoniskās līdzdalības norises plašākai izglītības pieredzei un karjeras izvēlei (PII Mežavēji)</t>
  </si>
  <si>
    <t>09022</t>
  </si>
  <si>
    <t>PII Piejūra</t>
  </si>
  <si>
    <t>STEM un pilsoniskās līdzdalības norises plašākai izglītības pieredzei un karjeras izvēlei (PII Piejūra)</t>
  </si>
  <si>
    <t>TET optikas pieslēguma ierīkošanai jauniešu centrā Gaujas ielā 25B.</t>
  </si>
  <si>
    <r>
      <t xml:space="preserve">Pārceļas no 2025.gada. </t>
    </r>
    <r>
      <rPr>
        <b/>
        <sz val="8"/>
        <color rgb="FFFF0000"/>
        <rFont val="Arial"/>
        <family val="2"/>
        <charset val="186"/>
      </rPr>
      <t>Palielināta, pierēķinot PVN</t>
    </r>
  </si>
  <si>
    <t>0932</t>
  </si>
  <si>
    <t xml:space="preserve">Projekta “Digitālā darba ar jaunatni sistēmas attīstība pašvaldībā" </t>
  </si>
  <si>
    <t>Sākotnēji</t>
  </si>
  <si>
    <t>Precizēts</t>
  </si>
  <si>
    <t>0934</t>
  </si>
  <si>
    <t>Projekta “Pedagogu profesionālā atbalsta sistēmas izveide" priekšfinansējums</t>
  </si>
  <si>
    <r>
      <rPr>
        <i/>
        <sz val="8"/>
        <color rgb="FFFF0000"/>
        <rFont val="Arial"/>
        <family val="2"/>
        <charset val="186"/>
      </rPr>
      <t xml:space="preserve">Jāprecizē summa tāmē </t>
    </r>
    <r>
      <rPr>
        <i/>
        <sz val="8"/>
        <rFont val="Arial"/>
        <family val="2"/>
        <charset val="186"/>
      </rPr>
      <t>Saskaņā ar 26.09.2024 lēmumu Nr. 360</t>
    </r>
  </si>
  <si>
    <t>0936</t>
  </si>
  <si>
    <t>Projekta “Skola- kopienā" finansējums</t>
  </si>
  <si>
    <t>Viss ir ārfinansējums</t>
  </si>
  <si>
    <t>2. OBLIGĀTĀS/ GADSKĀRTĒJĀS iniciatīvas</t>
  </si>
  <si>
    <t>Jauno uzņēmēju konkurss (summa, kas piešķirta 2025.gadā, bet tiks izmaksāta 2026.gadā)</t>
  </si>
  <si>
    <t>Ādažu novada domes nolikums “Iniciatīvas projektu finansēšanas kārtība Ādažu novada pašvaldībā”. 2025.gadā piešķirtais, kas pārceļas uz 2026.gadu. AP pasākums Ā15.1.2.4.</t>
  </si>
  <si>
    <t>LR kompleksie sporta pasākumi - Florbola komandas dalība Elvi Virslīgā. Dalības maksa + spēlētāju licenzes</t>
  </si>
  <si>
    <t>Basketbola komandas dalības maksa sacensībās LBL</t>
  </si>
  <si>
    <t xml:space="preserve"> 2026 gadā no 18.06-20.06 Valmierā. Saņemts pasākuma projekts. Dalībnieku formu nodrošināšana, ēdināšana , naktsmītnes.</t>
  </si>
  <si>
    <t>Pašvaldību budžeta dotācija biedrībām un nodibinājumiem  [EKK 3263]</t>
  </si>
  <si>
    <t>Palielināts par 10'000</t>
  </si>
  <si>
    <t>Lieldienu sarīkojumi</t>
  </si>
  <si>
    <t xml:space="preserve">Latvijas Neatkarības atjaunošanas diena "Baltā galdauta svētki" </t>
  </si>
  <si>
    <t xml:space="preserve">LĪGO svētki Ādažos </t>
  </si>
  <si>
    <t>Gaujas parka koncerts - brīvdabas pasākums (jūlijā vai augustā)</t>
  </si>
  <si>
    <t xml:space="preserve">Latvijas Valsts svētku sarīkojumi (programmas, svinīgais sarīkojums Kultūras centrā ) </t>
  </si>
  <si>
    <t xml:space="preserve">Ādažu Ziemassvētku egles iedegšana </t>
  </si>
  <si>
    <t>ĀKC deju kolektīvu  un vieskolektīvu tradicionālie koncerti (2 pasākumix EUR 200)</t>
  </si>
  <si>
    <t>SDK DĒKA un vieskolektīvu deju koncerts</t>
  </si>
  <si>
    <t>ĀKC senioru vokālo ansambļu sadziedāšanās " Dziesmu putenis"</t>
  </si>
  <si>
    <t>ĀKC kora MUNDUS populārās mūzikas koncerts</t>
  </si>
  <si>
    <t>ĀKC kora SAKNES 10 gadu jubilejas koncerts. Režisors, dziesmu aranžijas, pavadošā mūziķu grupa(5), dekorācijas, tērpu noma</t>
  </si>
  <si>
    <t xml:space="preserve">ĀKC kora JUMIS 40 gadu jubilejas koncerts. Pavadošā mūziķu grupa (5) un viesmākslinieki (3) </t>
  </si>
  <si>
    <t>Tiek tirgotas ĀKC biļetes</t>
  </si>
  <si>
    <t>Amatierteātris KONTAKTS iestudējums</t>
  </si>
  <si>
    <t xml:space="preserve">Trīs 20 gadu jubilejas pasākumi </t>
  </si>
  <si>
    <t>Iedzīvotāju kultūras iniciatīvu projektu atbalstam, nolikumā paredzētā summa</t>
  </si>
  <si>
    <t xml:space="preserve">Muzikālie pikniki un maksas koncerti </t>
  </si>
  <si>
    <t>3-4 muzikālie pikniki atkarībā no mūziķu honorāra un maksas iekštelpu koncerts</t>
  </si>
  <si>
    <t xml:space="preserve"> Zaļumballe Zvejnieksvētku ieskaņā</t>
  </si>
  <si>
    <t>Saskaņā ar 2025.gada tāmi izmaksu palielinājums</t>
  </si>
  <si>
    <t>Finansējums tāpat kā Gaujas svētkiem saistībā ar cenu kāpumu</t>
  </si>
  <si>
    <t>SDK Tacis 15.gadu jubilejas koncerts</t>
  </si>
  <si>
    <t>15 gadu jubileja Pasākuma vadītājs, ziedi, piemiņas balvas, muzikālais noformējums</t>
  </si>
  <si>
    <t>Jauktā kora "Vēja balss" 15 gadu Jubilejas koncerts - finansējums jaundarbu pasūtīšanai</t>
  </si>
  <si>
    <t>15 gadu jubileja - jauni skaņdarbi korim speciāli 15 gadu jubilejai</t>
  </si>
  <si>
    <t>JDK "Abi divi"  dalība Liepājas jauniešu deju svētkos - ēdināšanas izmaksas</t>
  </si>
  <si>
    <t>JDK "Abi divi"  25 gadu Jubilejas koncerts</t>
  </si>
  <si>
    <t>25 gadu jubileja Pasākuma vadītājs, ziedi, piemiņas balvas, muzikālais noformējums</t>
  </si>
  <si>
    <t xml:space="preserve">Vokāli instrumentālā ansambļa "Piloti" koncerti </t>
  </si>
  <si>
    <t>Amatierteātra Nagla divas pirmizrādes</t>
  </si>
  <si>
    <t>Tēlotājmākslas studijas SIDRABOTA 20 gadu Jubileja</t>
  </si>
  <si>
    <t>20 gadu jubileja Pasākuma vadītājs, ziedi, piemiņas balvas, muzikālais noformējums</t>
  </si>
  <si>
    <t>Tēlotājmākslas studijas SIDRABOTA kvalifikācijas celšanas meistarklase ar gleznotāju Kasparu Zariņu</t>
  </si>
  <si>
    <t xml:space="preserve">Skolēnu vasaras nodarbinātība - darba samaksa, (15-20 gadi) Tāme 0930.2 Nr.1 </t>
  </si>
  <si>
    <t xml:space="preserve">Skolēnu vasaras nodarbinātība - darba samaksa, (13-15 gadi) Tāme 0930.2 Nr.1 </t>
  </si>
  <si>
    <t xml:space="preserve">Ādažu novada domes 2023. gada 24. maija ,,Iniciatīvas projektu finansēšanas kārtība Ādažu novada pašvaldībā'' </t>
  </si>
  <si>
    <t>Ziemassvētku pabalsts 25 EUR ,400 personas *25=10000 (Soc. neaizsargātās grupas)</t>
  </si>
  <si>
    <t>Pabalsts par ēdināšanu 5.-9. klase 1000 bērni 9 mēneši gadā</t>
  </si>
  <si>
    <t>P</t>
  </si>
  <si>
    <t>Civilās aizsardzibas plāna izstrāde</t>
  </si>
  <si>
    <t>2x serveri (IBM System x3400 M3 (29.08.2012); Serveris Lenovo System x3550 M5, Windows Svr 2016 (26.05.2017)) neatbilst Ministru kabineta 2025. gada 25. jūnija noteikumiem Nr. 397 “Minimālās kiberdrošības prasības” un tos vairs nevar izmantot Būtisko pakalpojumu sniedzēji! Nepieciešams nomainīt pret vienu jaunu DELL PowerEdge R760 ar 12.gab. cietajiem diskiem</t>
  </si>
  <si>
    <t xml:space="preserve">Kapitālsabiedrību audits </t>
  </si>
  <si>
    <t>Jauns!</t>
  </si>
  <si>
    <t>DELL PowerEdge 760 ar 12.gab.cietajiem diskiem -30000eur ar PVN (Jāmaina vecie serveri: 2x DELL PowerVault MD3400; 2x DELL PowerEdge 520 (13.09.2012 un 04.04.2013); IBM System x3400 M3 (29.08.2012); Serveris Lenovo System x3550 M5, Windows Svr 2016 (26.05.2017))</t>
  </si>
  <si>
    <t xml:space="preserve">Strāvas ģenerators </t>
  </si>
  <si>
    <t xml:space="preserve">Atbilstoši CAK lūgumam </t>
  </si>
  <si>
    <t xml:space="preserve">0490 </t>
  </si>
  <si>
    <t>Sabiedrisko attiecību nodaļa</t>
  </si>
  <si>
    <t>Mežgarciema reklāmas kampaņa ārpakalpojumā.</t>
  </si>
  <si>
    <t>Mobilā aplikācija "Mana pilsēta" ar saimniecības darbu atzīmes iespējām  un autorizēto aptauju veikšanu. Abonēšanas maksa mēnesī ir  900 eiro bez PVNx12, ieviešanas maksa 3000 eiro bez PVN, PVN =2898, kopā 16 698, neierobežotas iespējas veidot deklarēto iedzīvotāju aptaujas.</t>
  </si>
  <si>
    <t>Izņemts!</t>
  </si>
  <si>
    <t>"Novadnieka kartes" izstrāde</t>
  </si>
  <si>
    <t>"Novadnieka kartes" aplikācijas izstrāde</t>
  </si>
  <si>
    <t>Mākslīgā intelekta rīka ieviešana</t>
  </si>
  <si>
    <t>Papildus reisu risinājumi</t>
  </si>
  <si>
    <t>Svētku dekorāciju iegāde</t>
  </si>
  <si>
    <t>Uzņēmējdarbības jomas aktivitzēšanas aktivitāšu īstenošana (pasākumi)</t>
  </si>
  <si>
    <r>
      <t xml:space="preserve">Viena no APN funkcijām ir uzņēmējdarbības jomas uzraudzība / koordinēšana / aktivizēšana, tomēr iepriekšējos gados tai nav bijis paredzēts nekāds budžets. Tikšanos organizēšana ar uzņēmējiem, uzņēmējiem saistošu pasākumu dalībnieku uzaicināšana prasa finansējumu. </t>
    </r>
    <r>
      <rPr>
        <i/>
        <sz val="8"/>
        <color rgb="FFFF0000"/>
        <rFont val="Arial"/>
        <family val="2"/>
        <charset val="186"/>
      </rPr>
      <t>Izmksas notiektas, ņemot vērā iepriekšējo pieredzi, līdzīgu pasākumu organizēšanā pašvaldībā (apmaksa moderatora pakalpojumam, lektoriem, ēdināšanai). Pieredzes apmaiņas noorganizēšanai (uzņemt citus uzņēmējus Ādažos un doties ar uzņēmējiem uz citām pašvaldībām). Nominācijas "Ādažu uzņēmējs" izsrāde.</t>
    </r>
  </si>
  <si>
    <t>SEB bankas grantu konkurss "Iedvesma"</t>
  </si>
  <si>
    <r>
      <t xml:space="preserve">Jauno biznesa ideju īstenošanas iniciatīva un uzņēmējdarbības attīstībai. </t>
    </r>
    <r>
      <rPr>
        <i/>
        <sz val="8"/>
        <color rgb="FFFF0000"/>
        <rFont val="Arial"/>
        <family val="2"/>
        <charset val="186"/>
      </rPr>
      <t>Organizatori un darbības teritorijas līdz šim: Jūrmalas pilsēta, Ķekavas nov., Mārupes nov., Olaines nov., Ropažu nov., Siguldas nov., Jelgavas nov. Kopējā finansiālā atbalsta summa 2024.gadā bija 96 000 euro (vienam max 12000 euro, bet budžetā jāparedz  12000 euro + 1500 euro). Nosacījumi granta pretendentiem: 1) uzņēmums ar &lt;5 gadu vecumu, 2024. gada apgrozījumu &lt;2 milj. euro, darbinieku skaits &lt;10, nav nodokļu parādu, 2) privātpersonai - no 18 gadu vecuma. Laika grafiks: 01.09.-26.09. pieteikumu pieņemšana, 07.10.-04.11. vērtēšana, 13.11. rezultātu paziņošana. Granata izmaksas: 80% pēc līguma noslēgšanas un rēķina saņemšanas, 20% - pēc atskaišu iesniegšanas.</t>
    </r>
  </si>
  <si>
    <t>Baseina ūdens vingrošnas vajadzībām televizora un programmas noma (EUR 300/ mēn) EUR 2'700</t>
  </si>
  <si>
    <t>Iespēja uzlikt programmu un vingrot līdzi.</t>
  </si>
  <si>
    <t>Stāvlaukuma ierīkošana pie Ādažu sporta centra.</t>
  </si>
  <si>
    <t>NAV DISKUTĒTS!</t>
  </si>
  <si>
    <t>Pārvietojamo tribīņu papildināšana Carnikavas stadionam</t>
  </si>
  <si>
    <t>2 tribīnes. Nepieciešamas vismaz 4 tribīnes. Futbola, vieglatlētikas sacensību laikā, skatītājiem nav sēdvietu. Var izmantot arī citos pasākumos skatītāju vietu nodrošināšanai.</t>
  </si>
  <si>
    <t>Carnikavas skeitparka būvniecība</t>
  </si>
  <si>
    <t xml:space="preserve">Sporta zāles projektēšana “Ūdensblusās” </t>
  </si>
  <si>
    <t>“Ūdensblusas” tehniskā apsekošana</t>
  </si>
  <si>
    <t xml:space="preserve">Publiska sporta laukuma izveide Podniekos </t>
  </si>
  <si>
    <t>ĀSC sporta zāles sienu remonts (finiera paneļu uzstādīšana)</t>
  </si>
  <si>
    <t>Ādažu sporta centra ēkas energoefiktivitātes paaugstināšana būvdarbi</t>
  </si>
  <si>
    <t>Ādažu sporta centra ēkas energoefiktivitātes paaugstināšana būvuzraudzība</t>
  </si>
  <si>
    <t>Ādažu sporta centra ēkas energoefiktivitātes paaugstināšana autoruzraudzība</t>
  </si>
  <si>
    <t>Kora SAKNES koncerttērpu izgatavošana (35 sieviešu kleitas)</t>
  </si>
  <si>
    <t>Korim pastāvēšanas laikā sieviešu tērpi nav izgatavoti. Izmanto privāti šūtos tērpus.</t>
  </si>
  <si>
    <t xml:space="preserve">SDK DĒKA sievu jakas 12gab.x EUR 120, lakati 12gab.x EUR 15, vīru vestes 10gab.x EUR 140  </t>
  </si>
  <si>
    <t>Šāda jauna tērpu komplekta izgatavošana izmaksātu ap EUR 8000</t>
  </si>
  <si>
    <t>Jauktā kora "Vēja balss" 15 gadu Jubilejas koncerts -koncerttērpu izgatavošanu</t>
  </si>
  <si>
    <t>Koncerttērpi korim nekad nav izgatavoti, ir tautastērpi.
37 gab Kleitas dāmām x 208 EUR                 15 gab Uzvalks vīriem x 229 EUR             15 gab Kaklasaite/tauriņš vīriem x 9 EUR</t>
  </si>
  <si>
    <t xml:space="preserve">Iepriekšēju pasākumu atdzimšana - Ugunskuru nakts piekrastē - 1000 EUR, Kopienas plostnieku pasākums Ādažos - 500 EUR, Vasarsvētku danču vakars NC - 1500 EUR, amatnieku pasākums CN pagalmā asarā vai rudenī - 1000 EUR </t>
  </si>
  <si>
    <t>Novada reprezentācijas telts nodrošināšana un pārvietojamie baneri Gaujas, Nēģu svētku un citu novada pasākumu laikā</t>
  </si>
  <si>
    <t>Mazās infrastruktūras atjaunošana visā novadā</t>
  </si>
  <si>
    <t>+2'000</t>
  </si>
  <si>
    <t>Rotaļiekārtu  un seguma maiņa (Skolas pusē) Zaķēnu, Ezīšu, Pelēnu, Gliemežu grupu laukumiņā</t>
  </si>
  <si>
    <t>Miera telpa</t>
  </si>
  <si>
    <t>Apkures sistēmas uzlabošana</t>
  </si>
  <si>
    <t>pārcelts no 2025. gada neapgūtajām investīcijām</t>
  </si>
  <si>
    <t xml:space="preserve">0902 </t>
  </si>
  <si>
    <t>Siguļu PII "Piejūra"</t>
  </si>
  <si>
    <t>Āra sporta laukuma kāpšanas tīkli WRK69 SIA Jūrmalas "Mežaparki" EUR 1494</t>
  </si>
  <si>
    <t>Āra sporta laukuma līdzsvara baļķis SIA Jūrmalas "Mežaparki" EUR 127</t>
  </si>
  <si>
    <t>Āra sporta laukuma vingrošanas aprīkojums WRK40-1 SIA Jūrmalas "Mežaparki" EUR 897</t>
  </si>
  <si>
    <t>Āra sporta laukuma virvju siena WRK39-I SIA Jūrmalas "Mežaparki" EUR 898</t>
  </si>
  <si>
    <t>Āra sporta laukuma WRK41 Tilts ar pretslīdes plāksni SIA Jūrmalas "Mežaparki" EUR 1139</t>
  </si>
  <si>
    <t>Āra sporta laukuma Līdzsvara taka LT6-S SIA Jūrmalas "Mežaparki" EUR 1771</t>
  </si>
  <si>
    <t>0902</t>
  </si>
  <si>
    <t>Āra koka namiņi 1.6.-3 gadīgo bērnu rotaļlaukuma labiekārtošanai. 2*EUR1850=EUR 3700</t>
  </si>
  <si>
    <t>0902 (CKS)</t>
  </si>
  <si>
    <t>Ēkas "Ligzda" telpu pielāgošana grupiņām</t>
  </si>
  <si>
    <t>Rotaļu iekārtas</t>
  </si>
  <si>
    <t>Būvprojekta izstrāde inženierkomunikāciju pārbūvei PII "Strautiņš" Pirmā iela 26A, Ādaži</t>
  </si>
  <si>
    <t>Izņemts! - Ielikta daļa</t>
  </si>
  <si>
    <t>Aprikojums āra (šupoles+kalniņš) 1.grupai</t>
  </si>
  <si>
    <t>Sensoras telpas aprikojums</t>
  </si>
  <si>
    <t>Lai īstenotu šo projektu-  sensorās telpas izveide Kadagas PII “Mežavēji” mums nepieciešams saņemt saskaņošanu no Aizsardzības ministrijas, jo pagaidām ēka viņiem pieder. Jāizstrādā projekts par to arī jāmaksā.  </t>
  </si>
  <si>
    <t>Sensoras telpas celtniecības darbi</t>
  </si>
  <si>
    <t xml:space="preserve">Centrālās bērnudārza ēkas apmetuma fasādes  krāsošana. </t>
  </si>
  <si>
    <t xml:space="preserve">Āra laukumu seguma nomaiņa (pie 6 smilšu kastēm) Koka seguma demontāža, pamatnes sagatavošana, ģeotekstila ieklāšana un smilšu piebēršana. </t>
  </si>
  <si>
    <t>ZZ dats rindu uzskaite un deklarāciju pārbaude-Tāme nr 22</t>
  </si>
  <si>
    <t>Stipendijas studentiem, kas pēc augstskolas beigšanas strādās Ādažu izgl. Iestādēs.</t>
  </si>
  <si>
    <t>Skolotāju godināšanas pasākums Tāme nr.2.</t>
  </si>
  <si>
    <t>“QR koda  pay ticket” izmantošana skolēnu pārvadājumiem</t>
  </si>
  <si>
    <t>Mūžizglītības rīcības plāna aktivitātes Tāme nr.23</t>
  </si>
  <si>
    <t>0990</t>
  </si>
  <si>
    <t>Latvijas Skolu jaunatnes dziesmu un deju svētki (no 01.01.2025.)</t>
  </si>
  <si>
    <t>Transporta, ēdināšanas pakalpojumi, reprezentācijas preces kolektīvu dalībai Svētkos Mežaparkā</t>
  </si>
  <si>
    <t xml:space="preserve"> Video novērošanas kameras iekštelpās un ārā. Tāme 0930.2 Nr.10., 11.</t>
  </si>
  <si>
    <t>Transporta kompensācija pedagogiem</t>
  </si>
  <si>
    <t>TĀME NO SEPTEMBRA</t>
  </si>
  <si>
    <t>Rūtas 30 gadu jubileja</t>
  </si>
  <si>
    <t>Skolas 40 gadu salidojums</t>
  </si>
  <si>
    <t>Mīkstais inventārs Deju kolektīvam "Rūta"</t>
  </si>
  <si>
    <t>Skolēnu galdi (A-103) 19 gab</t>
  </si>
  <si>
    <t>Vecie kritiskā stāvoklī</t>
  </si>
  <si>
    <t>Skolēnu krēsli (A103) 38 gab</t>
  </si>
  <si>
    <t>Skolēnu galdi (B-106) 19 gab</t>
  </si>
  <si>
    <t>Skolēnu krēsli (B-106) 38 gab</t>
  </si>
  <si>
    <t>Krēsli skolēniem 216.kab 32 gab</t>
  </si>
  <si>
    <t>Krēsli skolēniem 223.kab 32 gab</t>
  </si>
  <si>
    <t>Krēsli skolēniem 219. kab 16 gab</t>
  </si>
  <si>
    <t>Skolēnu galdi un krēsli (divvietīgs galds un divi krēsli 420,00) vienam stāvam (2026.) (5 kabineti)</t>
  </si>
  <si>
    <t>Dokstacijas ar displaylink atbalstu mācību klasēs IZM portatīvo datoru izmantošanai 80 gab. x 200 (ĀVS abās ēkās)</t>
  </si>
  <si>
    <t>Darba stacija (dators+monitors+programmatūra) (komplekts 1200 EUR) datorklase 17</t>
  </si>
  <si>
    <t>Datoru uzlādes skapji, ja IZM nepiešķir!</t>
  </si>
  <si>
    <t>Būvprojekta izstrāde inženierkomunikāciju pārbūvei Ādažu vidusskolā Gaujas ielā 30, Ādaži</t>
  </si>
  <si>
    <t>Āra teritorija. Trotuāra seguma atjaunošana. (asfalts) Trotuārs gar Lauku ielu, un no Lauku ielas līdz Sporta centram.</t>
  </si>
  <si>
    <t>Āra teritorija. Atbalsta sienu demontāža/izbūve. (Atbalsta sienas kritiskā stāvoklī)</t>
  </si>
  <si>
    <t>Video novērošana pa skolas perimetru ar uzstādīšanu</t>
  </si>
  <si>
    <t>Iekārtas 12000,-. Projekts un uzstādīšana 18000,-. Pašlaik skolai perimetra uzraudzībai ir 1! kamera.</t>
  </si>
  <si>
    <t>Traktortehnikas iegāde (Raideris - pļaušana, sniega tīrīšana)</t>
  </si>
  <si>
    <t>Esošais Raideris stipri nolietots (Patstāvīgi tiek lietots, kopš 2017.gada - gan ziemā, gan vasarā)</t>
  </si>
  <si>
    <t>Metāla pandusa izbūve (L=12 m)</t>
  </si>
  <si>
    <t xml:space="preserve">Būvprojekts jaunas pamatskolas izveidei Ādažu pilsētā. ĀNP 23.11.2023. lēmums Nr. 425, ĀNP 29.02.2024. lēmums Nr. 68. AP pasākumi Ā3.2.2.2. un Ā5.1.2.12. </t>
  </si>
  <si>
    <t>Koncerttērpi koklētājiem (6 gb * 280 Eur)</t>
  </si>
  <si>
    <t>Koncerttērpi dejotājiem (B.Miķelsonei) (20 gb * 30 Eur)</t>
  </si>
  <si>
    <t>Koncerttērpi dejotājiem (L.Jasmane) (20*28,5Eur)</t>
  </si>
  <si>
    <t>Koncerttērpi dejotājiem (L.Jasmane) (38*56,5 Eur)</t>
  </si>
  <si>
    <t>Apple MacBook Pro 16</t>
  </si>
  <si>
    <t>ĀNMS regulāri veido digitālo saturu — foto, video un audio materiālus  gan mācību procesam, gan sabiedriskajām aktivitātēm (koncertiem, konkursiem un mārketingam). Ņemot vērā lielo failu un darba apjomu, esošais Windows OS dators vairs nespēj kvalitatīvi nodrošināt šos procesus. Tā jauda ir nepietiekama, programmas strādā lēni un apstrāde aizņem nesamērīgi daudz laika. Šī jaunā datora iegāde būtiski uzlabos darba efektivitāti, samazinās tehniskos traucējumus un nodrošinās augstas kvalitātes mācību un publicitātes materiālu sagatavošanu. Tas ir ilgtermiņa ieguldījums skolas digitālās vides un vizuālās identitātes attīstībā.</t>
  </si>
  <si>
    <t>Koncertflīģelis - Dalība projektā</t>
  </si>
  <si>
    <t>Jau 2 gadus invenstīcijās netika atbalstīts. Šobrīd tērējam skaņošanai un remontdarbiem "mirušā" instrumentā.</t>
  </si>
  <si>
    <t>Sporta skola papildus prasīs 2 vakances - metodiķis un fizioterapeits. Ja šīs vakances tiek apstiprinātas, nepieciešams:
1) EUR 250 Biroja galds;
2) EUR 3'200 datori 2gb;
3) EUR 1'500 medicīnas kušete;
4) ~ EUR 3'000 plaukti inventāram.</t>
  </si>
  <si>
    <t>Deju tērpi Rūta</t>
  </si>
  <si>
    <t xml:space="preserve">Triju sēdvietu krēsli </t>
  </si>
  <si>
    <t>Noliktavu plaukti</t>
  </si>
  <si>
    <t>Motorizētas žalūzijas aulas logiem</t>
  </si>
  <si>
    <t>Soliņu virsmu nomaiņa pie galvenās skolas ieejas</t>
  </si>
  <si>
    <t>Žoga uzstādīšana skolas priekšpusē</t>
  </si>
  <si>
    <t>0982_tames (Tāme Nr.2)</t>
  </si>
  <si>
    <t>Vienvietīgs krēsls ar polipropilēna sēdvietu un 5-staru zvaigzni ar riteņiem, 120 skolēniem</t>
  </si>
  <si>
    <t>Vienvietīgs skolas galds ar regulējamugalda augstumu, 30 skolēniem</t>
  </si>
  <si>
    <t>Nolokāms divvietīgs galds uz riteņiem, 56 skolēniem</t>
  </si>
  <si>
    <t>Interaktīvie ekrāni speciālajām klasēm</t>
  </si>
  <si>
    <t xml:space="preserve">Deju tērpi </t>
  </si>
  <si>
    <t>1.-3.klašu kolektīvā ir 68 dejotāji (18 zēni un 50 meitenes)</t>
  </si>
  <si>
    <t>Divu speciālo klašu un sensorās telpas izveide</t>
  </si>
  <si>
    <t>Laboratorijas pārveide par klasi</t>
  </si>
  <si>
    <t>Bibliotēkas pārveide par klasi</t>
  </si>
  <si>
    <t>Bibliotēkas izveide multizālē</t>
  </si>
  <si>
    <t>Papildus ventilācijas nosūces kapes kabinetos (250, 346.)</t>
  </si>
  <si>
    <t>TEP sociāli tehniski ekonomiskā pamatojuma izstrāde</t>
  </si>
  <si>
    <t xml:space="preserve">1014.3 </t>
  </si>
  <si>
    <t>Deinstitucionalizācija SAM 9.3.1.1./Dienas aprūpes un rehabilitācijas centrs "Ādažu Ūdensroze"</t>
  </si>
  <si>
    <t>Žalūzijas 2 logiem, sensorās istabas telpiskā pārplānošana</t>
  </si>
  <si>
    <t>ārējās žalūzijas 2 logiem. Saules aizsardzībai RIPO provizoriskā tāme</t>
  </si>
  <si>
    <t>CKS (5.6.4.1. Dotācija CKS teritorijas uzturēšanai)</t>
  </si>
  <si>
    <t>Ādažu tirgus laukuma nojumes 10 gb. x 5000 eur</t>
  </si>
  <si>
    <t>CKS Labiekārtošana_Carnikava</t>
  </si>
  <si>
    <t>Jauns traktors-140ZS,operatīvais līzings (pirma iemaksa 17 400 eiro +  nomas maksa 14 000 eur 10 mēnešos) uz 5 gadiem</t>
  </si>
  <si>
    <t>kopējās līzinga izmaksas 87 000 eur (līgums uz 5 gadiem)</t>
  </si>
  <si>
    <t>A/m ar kravas kasti - operatīvā noma, pirmā iemaksa 5'500 eur, noma 350 eur x 8 mēn. 5 gadi</t>
  </si>
  <si>
    <t>kopējās līzinga izmaksas 25 000 eur (līgums uz 5 gadiem)</t>
  </si>
  <si>
    <t>CKS (5.6.5. Investīcijas energosaimniecības uzlabošanā</t>
  </si>
  <si>
    <r>
      <t>Ielas apgaismojuma izbūve Tulpju, Liepu iela, Carnikava (600m)</t>
    </r>
    <r>
      <rPr>
        <b/>
        <sz val="9"/>
        <rFont val="Arial"/>
        <family val="2"/>
        <charset val="186"/>
      </rPr>
      <t xml:space="preserve"> ir būvprojekts</t>
    </r>
  </si>
  <si>
    <t>Ielas apgaismojuma izbūve un projektēšana Baltezera iela  (2.6 km)</t>
  </si>
  <si>
    <t>Projektēšana ~ EUR 19'000</t>
  </si>
  <si>
    <t>Ielas apgaismojuma izbūve un projektēšana  Pureņu iela, Garupe (1,2 km)</t>
  </si>
  <si>
    <t>Ielas apgaismojuma izbūve un projektēšana Alderu iela Baltezers (1.9 km)</t>
  </si>
  <si>
    <t>Ielas apgaismojuma izbūve un projektēšana Zušu, Baltkrastu, Kalndores un Veckūlu iela Alderi (1.6 km)</t>
  </si>
  <si>
    <t>Ielas apgaismojuma izbūve un projektēšana Kanāla iela Ādažos (no Podniekiem līdz Alderiem) (5 km)</t>
  </si>
  <si>
    <t>Ielas apgaismojuma izbūve un projektēšana Vētru iela, P1 , Garupe  (1 km)</t>
  </si>
  <si>
    <t>Ielas apgaismojuma izbūve un projektēšana Lapmežu iela, Garkalne  (0.4 km)</t>
  </si>
  <si>
    <t>Ielas apgaismojuma izbūve un projektēšana  Torņa iela, Garciems (no P1 līdz Langas ielai 0.26 km)</t>
  </si>
  <si>
    <t xml:space="preserve">Ielu apgaismojuma projekta izstrāde un būvniecība posmā no dzelzceļa stacijas Gauja līdz ciemam Kāpas (Skautu iela) </t>
  </si>
  <si>
    <t>pārceļas no 2025. gada</t>
  </si>
  <si>
    <t xml:space="preserve">pārceļas no 2025. gada </t>
  </si>
  <si>
    <t>Buss, operatīvais līzings (pirmā iemaksa 5000 eur + 6 mēn noma)</t>
  </si>
  <si>
    <t xml:space="preserve">Apgaismojuma ierīkošana Gundegu ielā (Garupe) </t>
  </si>
  <si>
    <t>Jauna siltummezgla un siltumtrases izbūve, Gaujas iela 16, Ādaži</t>
  </si>
  <si>
    <t>Izņemts</t>
  </si>
  <si>
    <t>Elektrības aizsargčaula veloceliņam</t>
  </si>
  <si>
    <t>Ēkas nojaukšana Pirmā iela 44b (garāžas nojaukšana ielu savienojuma izbūvei starp Pirmo un Attekas ielu)</t>
  </si>
  <si>
    <t xml:space="preserve">Invalīdu pacēlāju uzstādīšana Gaujas ielā 16, Ādažos </t>
  </si>
  <si>
    <t>Invalīdu pacēlāju uzstādīšana Carnikavas TN Ozolaine</t>
  </si>
  <si>
    <t>Carnikavas kapsētas paplašināšana - būvprojekta izstrāde</t>
  </si>
  <si>
    <t>Baltezera kapsētas paplašināšana - būvprojekta izstrāde</t>
  </si>
  <si>
    <t>Ģeoekoloģiskā izpēte Baltezera kapsētas paplašināšanai</t>
  </si>
  <si>
    <t>Pārbūves projekts, Mežciema ielā 26</t>
  </si>
  <si>
    <t>Ēku nojaukšana Dzirnupes ielā 3</t>
  </si>
  <si>
    <t>Sabiedriskās tualetes remonts, Jūras iela 3A, Carnikava (t.sk. santehnisko iekārtu uzstādīšana)</t>
  </si>
  <si>
    <t>Sabiedriskās tualetes remonts, Stacijas iela 2, Carnikava (t.sk. santehnisko iekārtu uzstādīšana)</t>
  </si>
  <si>
    <t>Rotaļu iekārtas uzstādīšana Kalngalē un Carnikavas parkā</t>
  </si>
  <si>
    <t>Rotaļu iekārta Līgo laukums</t>
  </si>
  <si>
    <t>Koka galdi ar soliem un jumtu 5gb., Novadpētniecības centrs</t>
  </si>
  <si>
    <t>Metāla konteiners ar dēļu apšuvumu, Novadpētniecības centrs</t>
  </si>
  <si>
    <t>Nojume - koka zvejas kutera novietošanai, Novadpētniecības centrs</t>
  </si>
  <si>
    <t xml:space="preserve">Ūdensapgādes tīklu rekonstrukcija pie “Ūdensblusām” </t>
  </si>
  <si>
    <t xml:space="preserve">Oficiālās pludmales iekārtošana Lilastē </t>
  </si>
  <si>
    <t>Jauns! Samazināts</t>
  </si>
  <si>
    <t xml:space="preserve">O.Vācieša skvēra projektēšana (papildu pilnveide) </t>
  </si>
  <si>
    <t xml:space="preserve">Latvijas karoga masta ierīkošana Ādažos (Gaujas ielas 2. lielajā aplī pie Gaujas 16) </t>
  </si>
  <si>
    <t xml:space="preserve">Suņu pastaigu laukuma ierīkošana </t>
  </si>
  <si>
    <t xml:space="preserve">Vides objekta ierīkošana Ādažos (piemineklis Cielēnam?) </t>
  </si>
  <si>
    <t>Būvprojekta izstrāde, Gaujas iela 16</t>
  </si>
  <si>
    <t>Rotaļu iekārtas uzstādīšana Upmalās (šķēršļu trase, namiņš ar slidkalniņu, šūpoles)</t>
  </si>
  <si>
    <t>Kalngalē (2 gab.) uz Ērgļu ielas, Āpšu un Mežciema ielas krustojumā, Garciems (1.gab.). Šajā gadā bija nepieciešams pārbūvēt jau trīs caurtekas.</t>
  </si>
  <si>
    <t>Stapriņu grāvja pārbūves būvprojekta izstrāde (garums 5,822km)</t>
  </si>
  <si>
    <t xml:space="preserve">Būvprojekts būs derīgs 5 gadus līdz tam pēc manam domām būtu jābūt kādai ES fonda atbalstam. Šis grāvis ar caurtekām ir sliktā stāvoklī. Grāvim ir pasvaldības nozīmes statuss.  </t>
  </si>
  <si>
    <t>Dubultā virsma - Ceriņu iela 0.3km, Garkalne</t>
  </si>
  <si>
    <t>Atbilstoši Ceļu programma 2025</t>
  </si>
  <si>
    <t>Dubultā virsma - Stūrīšu iela 0.56km, Ādaži</t>
  </si>
  <si>
    <t>Dubultā virsma - Nostūrīšu iela 0.3km, Ādaži</t>
  </si>
  <si>
    <t>Dubultā virsma - Liepavotu iela 0.285km, Ādaži</t>
  </si>
  <si>
    <t>Dubultā virsma - Rožu iela 0.35 km  posmā no Zušu ielas līdz Zušu ielai, Carnikava</t>
  </si>
  <si>
    <t>Dubultā virsma - Ežu ielas 0.15km divkāršā virsmas apstrāde, Garciems</t>
  </si>
  <si>
    <r>
      <t xml:space="preserve">Ziedu ielas pārbūve (Ķiršu ielas V kārta) (ir būvprojekts) 560m. </t>
    </r>
    <r>
      <rPr>
        <i/>
        <sz val="8"/>
        <color rgb="FFFF0000"/>
        <rFont val="Arial"/>
        <family val="2"/>
        <charset val="186"/>
      </rPr>
      <t>Nevis pēc būvprojekta, bet dubultā virsmas apstrāde</t>
    </r>
  </si>
  <si>
    <t>Būvprojekts derīgs līdz 2027. gadam</t>
  </si>
  <si>
    <t>Smilšu iela 0.45 km pārbūve (notiek projektēšana) + 650'000 2027.gadā</t>
  </si>
  <si>
    <t>Pirmās ielas  II kārta ietve (0,2km) + stāvvietas +brauktuve 0,05km (ir būvprojekts)</t>
  </si>
  <si>
    <t>Nepieciešams pabeigt Pirmās ielas labiekārtošanu pie PII Strautiņš.</t>
  </si>
  <si>
    <t>Pirmās ielas III kārta ietve 0.12km + brauktuve 0.13km, līdz Ziedu ielai (ir būvprojekts)</t>
  </si>
  <si>
    <t>Gaujas dambja virskārtas uzlabošana (turpināt no Smilgas ielas uz centra pusi)</t>
  </si>
  <si>
    <t>Domes lēmums 23.11.2023</t>
  </si>
  <si>
    <t>Kalngales ietves seguma atjaunošana ietvei pie P1</t>
  </si>
  <si>
    <t>Slikts tehniskais stāvoklis, kas apgrūtina gājēju pārvietošanos</t>
  </si>
  <si>
    <t>Elīzes ielas posma pārbūve ar asfalta segumu posmā no Kadagas ceļa līdz plānotajai Lindas ielai (būvprojekts + izbūve)</t>
  </si>
  <si>
    <t>Ja tiek realizēts zemas īres dzīvokļu projekts</t>
  </si>
  <si>
    <t xml:space="preserve">Satiksmes drošības pilnveide </t>
  </si>
  <si>
    <t xml:space="preserve">Izmaiņas veloceliņa projektā, “Dārznieku autobusa pieturas kabatas izveidei” </t>
  </si>
  <si>
    <t xml:space="preserve">Gājēju celiņa seguma atjaunošana Ādažos (no tirgus laukuma līdz Pirmā iela 31) </t>
  </si>
  <si>
    <t>Gājēju pāreja pie Podnieku ielas, Dailas ciemats (Gredzenu iela) + ietves izbūve no Jēkaba ielas Līdz Rudzupuķu ielai</t>
  </si>
  <si>
    <t>Iedzīvotāju iesniegums ar 88 parakstiem. Bīstami gājējiem šķērsot Podnieka ielu.</t>
  </si>
  <si>
    <t>Vēju iela 0,55km, Ādaži, braucamās daļas pārbūve (iedzīvotāju līdzfinansējums)</t>
  </si>
  <si>
    <t>Domē ir saņemts iesniegums par līdzfinansējuma piekrišanu no iedzīvotājiem. Sākotnēji Vēju ielai tiks izstrādāts ZIP.</t>
  </si>
  <si>
    <t>Projektēšana - Draudzības iela posmā no Podnieku ielas līdz Dzirnavu ielai</t>
  </si>
  <si>
    <t>Projektēšana - Dadzīšu ielas pārbūve (būvniecības izmaksas 600 000 eur)</t>
  </si>
  <si>
    <t>Projektēšana - Gaujas iela 2,1 km posmā no Attekas ielas līdz Dadzīšu ielai (būvniecības izmaksas 1 750 000 eur)</t>
  </si>
  <si>
    <t>Projektēšana - Ūbeļu ielas pārbūve līdz Langaskrastu ielai Kalngalē 0.95 km (būvniecības izmaksas 1 000 000 eur)</t>
  </si>
  <si>
    <t>Mežaparka ceļs II kārta no Iļķenes ceļa līdz Smilšu ielai 2,1km (ir būvprojekts)</t>
  </si>
  <si>
    <t>DEPUTĀTU IEROSINĀJUMI</t>
  </si>
  <si>
    <t>Izmaksas</t>
  </si>
  <si>
    <t>Iepriekšējā budžeta versijā</t>
  </si>
  <si>
    <t>Izmaiņa</t>
  </si>
  <si>
    <t xml:space="preserve">ITN un ADN </t>
  </si>
  <si>
    <t>Domes sēžu zāles  IT aprīkojuma uzlabošana Carnikavā</t>
  </si>
  <si>
    <t xml:space="preserve">Laveru/Smilgu uzņēmējdarbības projekts </t>
  </si>
  <si>
    <t>Piekrītam, jo līdz maijam (kad varētu noslēgties projektu pieteikumu pieņemšana augstas gatavības projektu konkursā) nepaspētu sagatavot būvprojektu ne Laveru ceļam, ne Smilgu ielai. Santa uz janvāra FK sēdi gatavo lēmumprojektu par 22.12.2025. lēmuma Nr. 552 atcelšanu. Ja būs iespēja vēlāk pieteikties citam konkursam, šīs ielas būs tās, kuras virzīsim.</t>
  </si>
  <si>
    <t>ĀNKC</t>
  </si>
  <si>
    <t>Gaujas svētkie</t>
  </si>
  <si>
    <t>KC Ozolaine</t>
  </si>
  <si>
    <t>Nēģu svētki</t>
  </si>
  <si>
    <t xml:space="preserve">SAN un CKS </t>
  </si>
  <si>
    <t xml:space="preserve">Novada mobilā aplikācija </t>
  </si>
  <si>
    <t xml:space="preserve">SAN un GRN </t>
  </si>
  <si>
    <t xml:space="preserve">“Novadnieka kartes” izstrāde </t>
  </si>
  <si>
    <t>SPII</t>
  </si>
  <si>
    <t xml:space="preserve">“Ligzdas” remonts “silītes” grupas uzņemšanai </t>
  </si>
  <si>
    <t xml:space="preserve">ĀPII inženierkomunikāciju pārbūves projektēšana </t>
  </si>
  <si>
    <t xml:space="preserve">CKS un APN </t>
  </si>
  <si>
    <t>Siltumtrases izbūve uz Gaujas 16 – mainīt uz 2. prioritāti, izskatīt fondu finansējumu</t>
  </si>
  <si>
    <t>APN nav zināma programma, kura šobrīd vai pārskatāmā nākotnē piedāvātu pašvaldībai iespēju pieteikties ES līdzfinansētu projektu īstenošanai pašvaldības ēku pieslēgšanai pie CSS. Programmā, kuras ietvaros bija plānots pieteikt un īstenot projektu ĀVS un Gaujas ielas 33A pieslēgšanai CSS (un ko deputāti noraidīja!), atbalsta saņēmējs var būt komersants, centralizētās siltumapgādes vai aukstumapgādes pakalpojuma sniedzējs, kurš sniedz siltumenerģijas vai aukstumenerģijas pārvades un sadales pakalpojumu vai ir centralizētās siltumenerģijas ražotājs, kas uz atbalsta pieteikuma iesniegšanas dienu ir reģistrēts Sabiedrisko pakalpojumu regulēšanas komisijas attiecīgās enerģijas ražotāju vai tirgotāju reģistros, vai ir licencēts siltumenerģijas vai aukstumenerģijas pārvades un sadales komersants. CKS nevar iesniegt projektu CSS izbūvei līdz Gaujas ielai 16, turklāt sistēmas ierīkošana šīs programmas ietvaros tik un tā nebūtu attiecināma.</t>
  </si>
  <si>
    <t xml:space="preserve">Ziedu ielas pārbūve – aizstāt ar dubultās virsmas apstrādi un apgaismojuma ierīkošanu </t>
  </si>
  <si>
    <t>SPN</t>
  </si>
  <si>
    <t>Subsīdijas sporta atbalstam palielināt vēl par 10 000</t>
  </si>
  <si>
    <t xml:space="preserve">Svētku dekorāciju iegādei palielināt vēl par 20 000 </t>
  </si>
  <si>
    <t>APN labprāt saņemtu papildus līdzekļus svētku dekorāciju ierīkošanai Ādažu novadā. Tikai gribētu zināt, vai idejas iesniedzējiem ir paredzētas arī kādas konkrētas vietas / adrese / svētki, kur viņi vēlas šos līdzekļus novirzīt? Tas būtu jāzina pirms iepirkuma tehniskās specifikācijas izstrādes. Šie līdzekļi tiktu paredzēti ārpakalpojumam, nodrošinot dekorus pilsētā un ciemos, kur ir pašvaldības teritorija un ir, ko dekorēt</t>
  </si>
  <si>
    <t xml:space="preserve">GRN un JIN </t>
  </si>
  <si>
    <t>Baznīcām subsīdiju palielināt vēl par 2000</t>
  </si>
  <si>
    <t xml:space="preserve">SPN un CKS </t>
  </si>
  <si>
    <t xml:space="preserve">Sporta zāles projektēšana “Ūdensblusās” 50 000 </t>
  </si>
  <si>
    <t>APN: Vēršu uzmanību, ka šāds pasākums nav iekļauts Attīstības programmā.
CKS: Būvprojekta izstrādes aplēse svārstās no 60 000 - 80 000 EUR. Mainās atkārībā no elektroapgādes projekta, stāvlaukuma projektēšanas nosacījumiem.</t>
  </si>
  <si>
    <t>CKS: Precizētā summa par ūdensapgādes un kanalizācijas tīklu izbūvi - Ūdensapgāde 90 000 EUR, Kanalizācija 100 000 EUR. Summā ietvertas izmaksas par būvprojektu, autoruzraudzību, būvuzraudzību un būvdarbiem.</t>
  </si>
  <si>
    <t xml:space="preserve">APN un CKS </t>
  </si>
  <si>
    <t xml:space="preserve">APN rīcībā nav pieejama sīkāka informācija par to, ko tieši ir iecerēts īstenot O.Vācieša skvēra teritorijā, bet, ņemot vērā pieredzi citu publisko ārtelpu teritoriju projektēšanai, iesakām projektēšanai paredzēt 70 000 euro. Vēršam uzmanību, ka šāds pasākums nav ietverts Attīstības programmā un APN ieskatā nebūtu īstenojams kā viens no prioritārākajiem projektiem. </t>
  </si>
  <si>
    <t>CKS: Izmaksas ieviešanai un 1 gada uzturēšanai veido aptuveni 75 000 EUR. Šie ir provizoriskie aprēķini. Glābēji un to aprīkojums ir viena no dārgākajām pozīcijām</t>
  </si>
  <si>
    <t>APN: Nav skaidrs, cik lielu karogu plānots ierīkot. Karoga masta ierīkošana būtu tikai kā būvniecība ar būvniecības ieceres dokumentācijas izstrādi (ja masts augstāks par 10 m, tad dokumentācija atbilstoši 2. vai 3. grupas izbūvei). Ideja par šāda karoga izveidi tika diskutēta pirms vairākiem gadiem. Ja nemaldāmies, tad Gaujas ielā 16 tā izbūvei bija ierobežojumi saistībā ar tajā teritorijā esošajām komunikācijām (tas būtu jāpārbauda). Iveta atrada iepirkumu izmaksas par karoga masta un apkārtējās teritorijas labiekārtošanas dokumentācijas izstrādi – 36 920-77 270 euro bez PVN (nevar konkretizēt – kas veido šīs izmaksas, jo detalizētāka informācija nebija pieejama). Vēršam uzmanību, ka šāds pasākums nav ietverts Attīstības programmā</t>
  </si>
  <si>
    <t xml:space="preserve">CKS un NĪN </t>
  </si>
  <si>
    <t>Attīstības programmā ir paredzēts, ka Ādažu novadā tiks izveidots suņu apmācību laukums, nekonkretizējot vietu. Vai ir zināms – kurā tieši adresē tas būtu jāierīko? Vēršam uzmanību, ka 20'000 euro varētu pietikt tikai nožogojuma ierīkošanai. Iekārtas būtu jāparedz līdzvērtīgi kā tas tiek plānots nelielam bērnu rotaļu laukumam (vismaz 2'500-30'000 euro), kas būtu jāskaita klāt 20'000 euro.</t>
  </si>
  <si>
    <t xml:space="preserve">Satiksmes drošības pilnveide (guļošie policisti) </t>
  </si>
  <si>
    <t>Publiska sporta laukuma izveide Podniekos</t>
  </si>
  <si>
    <t>APN: Šis gan uz APN neattiecas, bet mums nav skaidrs – kurā tieši vietā to plānots attīstīt?</t>
  </si>
  <si>
    <t>Gājēju celiņa seguma atjaunošana Ādažos (no tirgus laukuma līdz Pirmā iela 31)</t>
  </si>
  <si>
    <t>CKS: Gājēju ietves izbūve no tirgus laukuma līdz Pirmā iela 31, pie reizes nepieciešams no asfaltbetona izbūvēt laukumu, kur attrodas atkituma konteineri 30 000 EUR.</t>
  </si>
  <si>
    <t>CNC un AP</t>
  </si>
  <si>
    <t>APN: Ar 25 000 euro nepietiek, lai īstenotu vides objektu oriģināldarbu kāda mākslinieka izpildījumā. Būtu ieteikums piešķirt finansējumu biedrībai, kas vēlas attīstīt šī pieminekļa ideju, lai tai ir nauda, par ko veikt pārrunas ar pretendentiem un sagatavot sākotnējo dokumentāciju. Jo būs nepieciešams sākotnējais projekts. Sarunu ceļā iespējams tiktu atrasts pretendents, kas par šādu summu radītu ideju un izstrādātu dokumentāciju, ko saskaņot Būvvaldē.</t>
  </si>
  <si>
    <t>APN: Šis gan uz APN neattiecas, bet vēršu uzmanību, ka šāda iela nav paredzēta Attīstības programmā. Paskatoties kartē, kur tā ir, mums nav skaidrs – kāpēc tā tiek virzīta kā prioritāte?</t>
  </si>
  <si>
    <t>25)	IJN (ĀPII, KPII, SPII, CPII)</t>
  </si>
  <si>
    <t xml:space="preserve">Bezmaksas peldēšanas nodarbības pirmsskolās </t>
  </si>
  <si>
    <t>Ieņēmumu samazinājums</t>
  </si>
  <si>
    <t>Priekšlikums</t>
  </si>
  <si>
    <t>Komentārs</t>
  </si>
  <si>
    <t>koku stādīšanu Carnikavā, Vizbuļu ielā 20, 20A un 22 (P1 trase)</t>
  </si>
  <si>
    <t>Nav iekļauts budžetā. Ņemts vērā par koku stādīšanas vietām.</t>
  </si>
  <si>
    <t>Gājēju ceļš starp daudzīvojamām mājām Pasta ielas rajonā</t>
  </si>
  <si>
    <t>Tiks labots 2026.gadā uzturēšanas kārtībā.</t>
  </si>
  <si>
    <t xml:space="preserve">Gājēju drošības barjeru uzstādīšana no Gaujas tilta līdz Kadagai </t>
  </si>
  <si>
    <t>Netiek plānots.</t>
  </si>
  <si>
    <t>Digitālā ātruma tablo (radara) uzstādīšanu Kadagā, pie krustojuma ar Austrumu ielu</t>
  </si>
  <si>
    <t>Nav iekļauts budžetā. Ņemts vērā par iespējamo tablo vietu. Pie līdzekļu ekonomijas apsveram izvietot tablo.</t>
  </si>
  <si>
    <t>Kadagas ezera pludmales labiekārtošana un piekļuves ceļa izbūve</t>
  </si>
  <si>
    <t>Nav iekļauts budžetā. Tiks veikta biežāka apsekošana, lai uzlabotu vides sakoptību.</t>
  </si>
  <si>
    <t>Jaunas tirdzniecības vietas (paviljona) izbūve</t>
  </si>
  <si>
    <t>Iekļauts 2026.g.budžetā.</t>
  </si>
  <si>
    <t>Īstenot Carnikavas vidusskolas piebūves un jaunās Mākslu skolas/bibliotēkas ēkas projektēšanu.</t>
  </si>
  <si>
    <t>Nav attiecināms uz CKS.</t>
  </si>
  <si>
    <t>Pacelt izglītības iestāžu pedagogu algu līdz konkurētspējīgam Pierīgas līmenim, salāgojot ar pašvaldības budžetu.</t>
  </si>
  <si>
    <t>Izvērtēt apkures tarifu pamatotību Ādažu novadā, auditējot “Ādažu namsaimnieka” ieguldījumus siltumtrašu uzturēšanā.</t>
  </si>
  <si>
    <t>Izvērtēt atteikšanos no komersanta SIA “Balteneco” siltuma ražošanas pakalpojumiem, sniedzot šo pakalpojumu pašvaldības iestādei.</t>
  </si>
  <si>
    <t>Izpētīt saimnieciski izdevīgākos un tālredzīgākos variantus un ieviest “Novadnieku karti”.</t>
  </si>
  <si>
    <t>Palielināt līdzdalības budžetu par 50%.</t>
  </si>
  <si>
    <t>Palielināt novada senioru biedrībām iniciatīvu finansējumu par 5000 EUR, sadalot to proporcionāli biedrību biedru skaitam.</t>
  </si>
  <si>
    <t>Veikt polderu teritoriju visaptverošu izpēti, ietverot visas meliorācijas sistēmas izvērtējumu, kā arī risku analīzi kontekstā ar jaunas apbūves iecerēm šajās teritorijās, īpaši Garciema/Kalngales apkārtnē.</t>
  </si>
  <si>
    <t>Finansiāli motivējošas sistēmas ieviešana skolotājiem, kuri sagatavo skolēnus mācību olimpiādēm, lai atalgotu tos par sekmēm.</t>
  </si>
  <si>
    <t>Ieviest konkursus “Māmiņa - uzņēmēja”, “Gada uzņēmējs” un zīmolu “Radīts Ādažos”.</t>
  </si>
  <si>
    <t>Iekļaut budžetā finansējumu gadā divām “tīrmājas” utml. atkritumu apsaimniekošanas akcijām.</t>
  </si>
  <si>
    <t>Sakārtot Garupes taku uz jūru Garupes ielas galā. Aizstāt vecos betona plākšņu fragmentus ar koka celiņu, savienojot ar jau izbūvēto koka celiņu.</t>
  </si>
  <si>
    <t>Nav iekļauts 2026.gada budžetā</t>
  </si>
  <si>
    <t>Uzstādīt Brūkleņu ielā, Carnikavā apgaismes stabus, jo šo ielu intensīvi izmanto “Jūras krastu” un Garupes iedzīvotāji, lai nokļūtu ar velosipēdiem Carnikavā.</t>
  </si>
  <si>
    <t>Nav 2026.gada budžetā. Izvērtēsim saimnieciskā kārtā izbūvēt dažus apgaismes stabus no ietaupītajiem līdzekļiem.</t>
  </si>
  <si>
    <t>Veikt Ūbeļu ielas, Kalngalē apstrādi ar divkāršo virsmas segumu.</t>
  </si>
  <si>
    <t>Iekļauts 2026.g.budžetā būvprojekta izstrādi.</t>
  </si>
  <si>
    <t>Rekonstruēt Smilšu ielu, Carnikavā.</t>
  </si>
  <si>
    <t>Iekļauts 2026.gada budžetā.</t>
  </si>
  <si>
    <t>Izstrādāt projektu Jūras ielas, Carnikavā labiekārtošanai un pārveidošanai par gājēju ielu ar atpūtas elementiem (soliņi, utml.).</t>
  </si>
  <si>
    <t>Nodrošināt bērnu bezmaksas peldētapmācību pašvaldības pirmskolas izglītības iestādēs.</t>
  </si>
  <si>
    <t>Palielināt līdzfinansējumu daudzdzīvokļu māju siltināšanai un iekšpagalmu sakārtošanai par 50%.</t>
  </si>
  <si>
    <t>Izbūvēt skeitparku Carnikavā.</t>
  </si>
  <si>
    <t>Nodrošināt nepieciešamo finansējumu ciemu svētku norisei.</t>
  </si>
  <si>
    <t>Ieviest programmu, kas veicinātu skolēnu nodarbinātību vasarā - pašvaldība sedz algas izmaksas, uzņēmēji nodokļus.</t>
  </si>
  <si>
    <t>Panākt, sadarbībā ar “Latvijas valsts ceļi”, ātruma kontroles radara uzstādīšanu Garupē.</t>
  </si>
  <si>
    <t>Daļēji attiecināms uz CKS. Ir nosūtīts lūgums izvērtēt priekšlikumu.</t>
  </si>
  <si>
    <r>
      <t xml:space="preserve">*Dome gadskārtējā pašvaldības budžetā </t>
    </r>
    <r>
      <rPr>
        <b/>
        <i/>
        <sz val="11"/>
        <color theme="8" tint="-0.249977111117893"/>
        <rFont val="Times New Roman"/>
        <family val="1"/>
        <charset val="186"/>
      </rPr>
      <t>(sākot ar 2025. gadu - 0.1 procents)</t>
    </r>
    <r>
      <rPr>
        <sz val="11"/>
        <color theme="8" tint="-0.249977111117893"/>
        <rFont val="Calibri"/>
        <family val="2"/>
        <charset val="186"/>
      </rPr>
      <t xml:space="preserve"> </t>
    </r>
    <r>
      <rPr>
        <sz val="11"/>
        <color theme="8" tint="-0.249977111117893"/>
        <rFont val="Times New Roman"/>
        <family val="1"/>
        <charset val="186"/>
      </rPr>
      <t>paredz finansējumu līdzdalības budžetam vismaz 0,2 procentu apmērā no pašvaldības vidējiem viena gada iedzīvotāju ienākuma nodokļa un nekustamā īpašuma nodokļa faktiskajiem ieņēmumiem, kas tiek aprēķināti par pēdējiem trim gadiem;</t>
    </r>
  </si>
  <si>
    <t>1. Uzsāktie projekti (pašvldības līdzfinansējums):</t>
  </si>
  <si>
    <t>Investīciju izmaksas - 0905 Izglītības iestāžu nodrošinājums pilnveidotā vispārējās izglītības satura kvalitatīvai ieviešanai Ādažu novadā</t>
  </si>
  <si>
    <t>Atņemts finansējums, ko saņemsim pēc projekta beigām</t>
  </si>
  <si>
    <t>Investīciju izmaksas (ar citu finansējumu)</t>
  </si>
  <si>
    <t>Konta atlikums uz gada beigām pēc 1. - 39. projekta realizācijas:</t>
  </si>
  <si>
    <t>Konta atlikums uz gada beigām pēc 1. - 40. projekta realizācijas:</t>
  </si>
  <si>
    <t>Konta atlikums uz gada beigām pēc 1. - 41. projekta realizācijas:</t>
  </si>
  <si>
    <t>MAX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</si>
</sst>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_-* #,##0.00000_-;\-* #,##0.00000_-;_-* &quot;-&quot;??_-;_-@_-"/>
    <numFmt numFmtId="165" formatCode="0.0%"/>
    <numFmt numFmtId="166" formatCode="_-* #,##0_-;\-* #,##0_-;_-* &quot;-&quot;??_-;_-@_-"/>
    <numFmt numFmtId="167" formatCode="#,##0;\(#,##0\);&quot;0&quot;"/>
    <numFmt numFmtId="168" formatCode="_-* #,##0\ _€_-;\-* #,##0\ _€_-;_-* &quot;-&quot;??\ _€_-;_-@_-"/>
    <numFmt numFmtId="169" formatCode="_-* #,##0.000_-;\-* #,##0.000_-;_-* &quot;-&quot;??_-;_-@_-"/>
    <numFmt numFmtId="170" formatCode="#,##0_ ;\-#,##0\ "/>
    <numFmt numFmtId="171" formatCode="#,##0_ ;[Red]\-#,##0\ "/>
    <numFmt numFmtId="172" formatCode="&quot; &quot;#,##0.00&quot; &quot;;&quot;-&quot;#,##0.00&quot; &quot;;&quot; -&quot;00&quot; &quot;;&quot; &quot;@&quot; &quot;"/>
    <numFmt numFmtId="173" formatCode="&quot; &quot;#,##0&quot; &quot;;&quot;-&quot;#,##0&quot; &quot;;&quot; -&quot;00&quot; &quot;;&quot; &quot;@&quot; &quot;"/>
    <numFmt numFmtId="174" formatCode="_(* #,##0.00_);_(* \(#,##0.00\);_(* &quot;-&quot;??_);_(@_)"/>
  </numFmts>
  <fonts count="128" x14ac:knownFonts="1">
    <font>
      <sz val="9"/>
      <color theme="1"/>
      <name val="Arial"/>
      <family val="2"/>
      <charset val="186"/>
    </font>
    <font>
      <sz val="11"/>
      <color theme="1"/>
      <name val="Calibri"/>
      <family val="2"/>
      <charset val="186"/>
      <scheme val="minor"/>
    </font>
    <font>
      <sz val="11"/>
      <color theme="1"/>
      <name val="Calibri"/>
      <family val="2"/>
      <charset val="186"/>
      <scheme val="minor"/>
    </font>
    <font>
      <sz val="9"/>
      <color theme="1"/>
      <name val="Arial"/>
      <family val="2"/>
      <charset val="186"/>
    </font>
    <font>
      <b/>
      <sz val="10"/>
      <color rgb="FFFF0000"/>
      <name val="Times New Roman"/>
      <family val="1"/>
    </font>
    <font>
      <b/>
      <sz val="10"/>
      <name val="Times New Roman"/>
      <family val="1"/>
    </font>
    <font>
      <b/>
      <sz val="10"/>
      <color theme="2" tint="-0.499984740745262"/>
      <name val="Times New Roman"/>
      <family val="1"/>
      <charset val="186"/>
    </font>
    <font>
      <b/>
      <sz val="10"/>
      <color theme="1"/>
      <name val="Times New Roman"/>
      <family val="1"/>
    </font>
    <font>
      <b/>
      <i/>
      <sz val="10"/>
      <color theme="8" tint="-0.249977111117893"/>
      <name val="Times New Roman"/>
      <family val="1"/>
      <charset val="186"/>
    </font>
    <font>
      <b/>
      <sz val="10"/>
      <color theme="8" tint="-0.249977111117893"/>
      <name val="Times New Roman"/>
      <family val="1"/>
      <charset val="186"/>
    </font>
    <font>
      <sz val="10"/>
      <color theme="1"/>
      <name val="Times New Roman"/>
      <family val="1"/>
    </font>
    <font>
      <sz val="10"/>
      <color theme="2" tint="-0.499984740745262"/>
      <name val="Times New Roman"/>
      <family val="1"/>
      <charset val="186"/>
    </font>
    <font>
      <sz val="10"/>
      <name val="Times New Roman"/>
      <family val="1"/>
      <charset val="186"/>
    </font>
    <font>
      <sz val="10"/>
      <name val="Times New Roman"/>
      <family val="1"/>
    </font>
    <font>
      <sz val="10"/>
      <color rgb="FFFF0000"/>
      <name val="Times New Roman"/>
      <family val="1"/>
    </font>
    <font>
      <b/>
      <sz val="10"/>
      <color theme="1"/>
      <name val="Times New Roman"/>
      <family val="1"/>
      <charset val="186"/>
    </font>
    <font>
      <i/>
      <sz val="10"/>
      <color theme="3"/>
      <name val="Times New Roman"/>
      <family val="1"/>
    </font>
    <font>
      <i/>
      <sz val="10"/>
      <color theme="2" tint="-0.499984740745262"/>
      <name val="Times New Roman"/>
      <family val="1"/>
    </font>
    <font>
      <i/>
      <sz val="10"/>
      <name val="Times New Roman"/>
      <family val="1"/>
    </font>
    <font>
      <i/>
      <sz val="10"/>
      <color rgb="FFFF0000"/>
      <name val="Times New Roman"/>
      <family val="1"/>
    </font>
    <font>
      <sz val="10"/>
      <color rgb="FFFF0000"/>
      <name val="Times New Roman"/>
      <family val="1"/>
      <charset val="186"/>
    </font>
    <font>
      <sz val="10"/>
      <color theme="3"/>
      <name val="Times New Roman"/>
      <family val="1"/>
    </font>
    <font>
      <i/>
      <sz val="10"/>
      <color theme="3"/>
      <name val="Times New Roman"/>
      <family val="1"/>
      <charset val="186"/>
    </font>
    <font>
      <i/>
      <sz val="10"/>
      <color theme="2" tint="-0.499984740745262"/>
      <name val="Times New Roman"/>
      <family val="1"/>
      <charset val="186"/>
    </font>
    <font>
      <i/>
      <sz val="10"/>
      <color theme="1"/>
      <name val="Times New Roman"/>
      <family val="1"/>
      <charset val="186"/>
    </font>
    <font>
      <i/>
      <sz val="10"/>
      <color rgb="FFC00000"/>
      <name val="Times New Roman"/>
      <family val="1"/>
    </font>
    <font>
      <sz val="11"/>
      <color theme="8" tint="-0.249977111117893"/>
      <name val="Times New Roman"/>
      <family val="1"/>
      <charset val="186"/>
    </font>
    <font>
      <b/>
      <i/>
      <sz val="11"/>
      <color theme="8" tint="-0.249977111117893"/>
      <name val="Times New Roman"/>
      <family val="1"/>
      <charset val="186"/>
    </font>
    <font>
      <sz val="11"/>
      <color theme="8" tint="-0.249977111117893"/>
      <name val="Calibri"/>
      <family val="2"/>
      <charset val="186"/>
    </font>
    <font>
      <b/>
      <sz val="10"/>
      <name val="Times New Roman"/>
      <family val="1"/>
      <charset val="186"/>
    </font>
    <font>
      <sz val="10"/>
      <color theme="1"/>
      <name val="Times New Roman"/>
      <family val="1"/>
      <charset val="186"/>
    </font>
    <font>
      <sz val="10"/>
      <color theme="8" tint="-0.249977111117893"/>
      <name val="Times New Roman"/>
      <family val="1"/>
    </font>
    <font>
      <sz val="8"/>
      <name val="Times"/>
      <family val="1"/>
    </font>
    <font>
      <b/>
      <sz val="10"/>
      <color theme="3"/>
      <name val="Times New Roman"/>
      <family val="1"/>
    </font>
    <font>
      <b/>
      <i/>
      <sz val="10"/>
      <name val="Times New Roman"/>
      <family val="1"/>
    </font>
    <font>
      <b/>
      <sz val="10"/>
      <color theme="8" tint="-0.249977111117893"/>
      <name val="Times New Roman"/>
      <family val="1"/>
    </font>
    <font>
      <b/>
      <i/>
      <sz val="10"/>
      <color theme="3"/>
      <name val="Times New Roman"/>
      <family val="1"/>
    </font>
    <font>
      <b/>
      <i/>
      <sz val="10"/>
      <color theme="2" tint="-0.499984740745262"/>
      <name val="Times New Roman"/>
      <family val="1"/>
      <charset val="186"/>
    </font>
    <font>
      <b/>
      <i/>
      <sz val="10"/>
      <color rgb="FFC00000"/>
      <name val="Times New Roman"/>
      <family val="1"/>
    </font>
    <font>
      <i/>
      <sz val="10"/>
      <name val="Times New Roman"/>
      <family val="1"/>
      <charset val="186"/>
    </font>
    <font>
      <b/>
      <sz val="10"/>
      <color rgb="FFC00000"/>
      <name val="Times New Roman"/>
      <family val="1"/>
    </font>
    <font>
      <sz val="10"/>
      <name val="Arial"/>
      <family val="2"/>
      <charset val="186"/>
    </font>
    <font>
      <sz val="9"/>
      <name val="Arial"/>
      <family val="2"/>
      <charset val="186"/>
    </font>
    <font>
      <b/>
      <sz val="10"/>
      <color theme="6"/>
      <name val="Times New Roman"/>
      <family val="1"/>
    </font>
    <font>
      <sz val="10"/>
      <color theme="6"/>
      <name val="Times New Roman"/>
      <family val="1"/>
    </font>
    <font>
      <sz val="10"/>
      <color theme="6"/>
      <name val="Times New Roman"/>
      <family val="1"/>
      <charset val="186"/>
    </font>
    <font>
      <sz val="9"/>
      <color theme="6"/>
      <name val="Arial"/>
      <family val="2"/>
      <charset val="186"/>
    </font>
    <font>
      <sz val="10"/>
      <color theme="9" tint="-0.249977111117893"/>
      <name val="Times New Roman"/>
      <family val="1"/>
    </font>
    <font>
      <b/>
      <sz val="10"/>
      <color rgb="FFFF0000"/>
      <name val="Times New Roman"/>
      <family val="1"/>
      <charset val="186"/>
    </font>
    <font>
      <b/>
      <sz val="10"/>
      <color theme="2" tint="-0.499984740745262"/>
      <name val="Times New Roman"/>
      <family val="1"/>
    </font>
    <font>
      <i/>
      <sz val="10"/>
      <color theme="8" tint="-0.249977111117893"/>
      <name val="Times New Roman"/>
      <family val="1"/>
      <charset val="186"/>
    </font>
    <font>
      <sz val="10"/>
      <color theme="9" tint="-0.499984740745262"/>
      <name val="Times New Roman"/>
      <family val="1"/>
    </font>
    <font>
      <b/>
      <sz val="10"/>
      <color rgb="FFC00000"/>
      <name val="Times New Roman"/>
      <family val="1"/>
      <charset val="186"/>
    </font>
    <font>
      <sz val="10"/>
      <color rgb="FFC00000"/>
      <name val="Times New Roman"/>
      <family val="1"/>
    </font>
    <font>
      <sz val="10"/>
      <color theme="2" tint="-0.499984740745262"/>
      <name val="Times New Roman"/>
      <family val="1"/>
    </font>
    <font>
      <sz val="10"/>
      <color theme="4"/>
      <name val="Times New Roman"/>
      <family val="1"/>
    </font>
    <font>
      <b/>
      <sz val="10"/>
      <color theme="4"/>
      <name val="Times New Roman"/>
      <family val="1"/>
    </font>
    <font>
      <b/>
      <sz val="9"/>
      <color indexed="81"/>
      <name val="Tahoma"/>
      <family val="2"/>
      <charset val="186"/>
    </font>
    <font>
      <sz val="9"/>
      <color indexed="81"/>
      <name val="Tahoma"/>
      <family val="2"/>
      <charset val="186"/>
    </font>
    <font>
      <b/>
      <i/>
      <sz val="10"/>
      <name val="Times New Roman"/>
      <family val="1"/>
      <charset val="186"/>
    </font>
    <font>
      <b/>
      <i/>
      <sz val="10"/>
      <color theme="9" tint="-0.249977111117893"/>
      <name val="Times New Roman"/>
      <family val="1"/>
      <charset val="186"/>
    </font>
    <font>
      <u/>
      <sz val="9"/>
      <color theme="10"/>
      <name val="Arial"/>
      <family val="2"/>
      <charset val="186"/>
    </font>
    <font>
      <b/>
      <sz val="9"/>
      <color theme="1"/>
      <name val="Arial"/>
      <family val="2"/>
      <charset val="186"/>
    </font>
    <font>
      <sz val="8"/>
      <color theme="1"/>
      <name val="Arial"/>
      <family val="2"/>
      <charset val="186"/>
    </font>
    <font>
      <i/>
      <sz val="9"/>
      <color theme="3"/>
      <name val="Arial"/>
      <family val="2"/>
      <charset val="186"/>
    </font>
    <font>
      <b/>
      <sz val="9"/>
      <name val="Arial"/>
      <family val="2"/>
      <charset val="186"/>
    </font>
    <font>
      <b/>
      <i/>
      <sz val="9"/>
      <color theme="1"/>
      <name val="Arial"/>
      <family val="2"/>
      <charset val="186"/>
    </font>
    <font>
      <b/>
      <i/>
      <sz val="8"/>
      <color theme="1"/>
      <name val="Arial"/>
      <family val="2"/>
      <charset val="186"/>
    </font>
    <font>
      <i/>
      <sz val="9"/>
      <color theme="1"/>
      <name val="Arial"/>
      <family val="2"/>
      <charset val="186"/>
    </font>
    <font>
      <i/>
      <sz val="8"/>
      <color theme="1"/>
      <name val="Arial"/>
      <family val="2"/>
      <charset val="186"/>
    </font>
    <font>
      <sz val="9"/>
      <color theme="8"/>
      <name val="Arial"/>
      <family val="2"/>
      <charset val="186"/>
    </font>
    <font>
      <i/>
      <sz val="9"/>
      <color rgb="FFFF0000"/>
      <name val="Arial"/>
      <family val="2"/>
      <charset val="186"/>
    </font>
    <font>
      <sz val="8"/>
      <name val="Arial"/>
      <family val="2"/>
      <charset val="186"/>
    </font>
    <font>
      <sz val="9"/>
      <color rgb="FFFF0000"/>
      <name val="Arial"/>
      <family val="2"/>
      <charset val="186"/>
    </font>
    <font>
      <sz val="8"/>
      <color theme="8"/>
      <name val="Arial"/>
      <family val="2"/>
      <charset val="186"/>
    </font>
    <font>
      <b/>
      <sz val="8"/>
      <name val="Arial"/>
      <family val="2"/>
      <charset val="186"/>
    </font>
    <font>
      <i/>
      <sz val="9"/>
      <color theme="4"/>
      <name val="Arial"/>
      <family val="2"/>
      <charset val="186"/>
    </font>
    <font>
      <i/>
      <sz val="9"/>
      <color theme="8"/>
      <name val="Arial"/>
      <family val="2"/>
      <charset val="186"/>
    </font>
    <font>
      <b/>
      <sz val="9"/>
      <color rgb="FFFF0000"/>
      <name val="Arial"/>
      <family val="2"/>
      <charset val="186"/>
    </font>
    <font>
      <sz val="8"/>
      <color rgb="FFFF0000"/>
      <name val="Arial"/>
      <family val="2"/>
      <charset val="186"/>
    </font>
    <font>
      <sz val="9"/>
      <color theme="0"/>
      <name val="Arial"/>
      <family val="2"/>
      <charset val="186"/>
    </font>
    <font>
      <i/>
      <sz val="9"/>
      <name val="Arial"/>
      <family val="2"/>
      <charset val="186"/>
    </font>
    <font>
      <b/>
      <i/>
      <sz val="9"/>
      <color rgb="FFFF0000"/>
      <name val="Arial"/>
      <family val="2"/>
      <charset val="186"/>
    </font>
    <font>
      <b/>
      <sz val="9"/>
      <color theme="0"/>
      <name val="Arial"/>
      <family val="2"/>
      <charset val="186"/>
    </font>
    <font>
      <i/>
      <sz val="8"/>
      <color theme="8" tint="-0.249977111117893"/>
      <name val="Arial"/>
      <family val="2"/>
      <charset val="186"/>
    </font>
    <font>
      <i/>
      <sz val="9"/>
      <color rgb="FFC00000"/>
      <name val="Arial"/>
      <family val="2"/>
      <charset val="186"/>
    </font>
    <font>
      <sz val="9"/>
      <color rgb="FFC00000"/>
      <name val="Arial"/>
      <family val="2"/>
      <charset val="186"/>
    </font>
    <font>
      <sz val="10"/>
      <color theme="1"/>
      <name val="Arial"/>
      <family val="2"/>
      <charset val="186"/>
    </font>
    <font>
      <b/>
      <sz val="10"/>
      <name val="Arial"/>
      <family val="2"/>
      <charset val="186"/>
    </font>
    <font>
      <i/>
      <sz val="8"/>
      <name val="Arial"/>
      <family val="2"/>
      <charset val="186"/>
    </font>
    <font>
      <b/>
      <sz val="8"/>
      <color rgb="FFFF0000"/>
      <name val="Arial"/>
      <family val="2"/>
      <charset val="186"/>
    </font>
    <font>
      <sz val="9"/>
      <color rgb="FF7030A0"/>
      <name val="Arial"/>
      <family val="2"/>
      <charset val="186"/>
    </font>
    <font>
      <b/>
      <i/>
      <sz val="9"/>
      <color rgb="FF7030A0"/>
      <name val="Arial"/>
      <family val="2"/>
      <charset val="186"/>
    </font>
    <font>
      <b/>
      <i/>
      <sz val="9"/>
      <color rgb="FFC00000"/>
      <name val="Arial"/>
      <family val="2"/>
      <charset val="186"/>
    </font>
    <font>
      <sz val="9"/>
      <color theme="3"/>
      <name val="Arial"/>
      <family val="2"/>
      <charset val="186"/>
    </font>
    <font>
      <b/>
      <i/>
      <sz val="9"/>
      <name val="Arial"/>
      <family val="2"/>
      <charset val="186"/>
    </font>
    <font>
      <sz val="8"/>
      <color rgb="FFED0000"/>
      <name val="Arial"/>
      <family val="2"/>
      <charset val="186"/>
    </font>
    <font>
      <sz val="11"/>
      <color indexed="8"/>
      <name val="Calibri"/>
      <family val="2"/>
      <charset val="186"/>
    </font>
    <font>
      <b/>
      <i/>
      <sz val="8"/>
      <color rgb="FF000000"/>
      <name val="Arial"/>
      <family val="2"/>
      <charset val="186"/>
    </font>
    <font>
      <sz val="11"/>
      <color rgb="FF000000"/>
      <name val="Calibri"/>
      <family val="2"/>
      <charset val="186"/>
    </font>
    <font>
      <i/>
      <sz val="8"/>
      <color rgb="FF000000"/>
      <name val="Arial"/>
      <family val="2"/>
      <charset val="186"/>
    </font>
    <font>
      <b/>
      <i/>
      <sz val="8"/>
      <name val="Arial"/>
      <family val="2"/>
      <charset val="186"/>
    </font>
    <font>
      <i/>
      <sz val="8"/>
      <color rgb="FFFF0000"/>
      <name val="Arial"/>
      <family val="2"/>
      <charset val="186"/>
    </font>
    <font>
      <sz val="10"/>
      <color theme="0" tint="-0.499984740745262"/>
      <name val="Times New Roman"/>
      <family val="1"/>
      <charset val="186"/>
    </font>
    <font>
      <sz val="9"/>
      <color theme="0" tint="-0.499984740745262"/>
      <name val="Arial"/>
      <family val="2"/>
      <charset val="186"/>
    </font>
    <font>
      <b/>
      <i/>
      <sz val="10"/>
      <color theme="3"/>
      <name val="Times New Roman"/>
      <family val="1"/>
      <charset val="186"/>
    </font>
    <font>
      <b/>
      <i/>
      <sz val="10"/>
      <color rgb="FFFF0000"/>
      <name val="Times New Roman"/>
      <family val="1"/>
      <charset val="186"/>
    </font>
    <font>
      <sz val="9"/>
      <color theme="4"/>
      <name val="Arial"/>
      <family val="2"/>
      <charset val="186"/>
    </font>
    <font>
      <b/>
      <sz val="9"/>
      <color theme="4"/>
      <name val="Arial"/>
      <family val="2"/>
      <charset val="186"/>
    </font>
    <font>
      <i/>
      <sz val="9"/>
      <color theme="8" tint="-0.249977111117893"/>
      <name val="Arial"/>
      <family val="2"/>
      <charset val="186"/>
    </font>
    <font>
      <sz val="9"/>
      <color rgb="FF00B0F0"/>
      <name val="Arial"/>
      <family val="2"/>
      <charset val="186"/>
    </font>
    <font>
      <sz val="9"/>
      <color rgb="FF0FA8C1"/>
      <name val="Arial"/>
      <family val="2"/>
      <charset val="186"/>
    </font>
    <font>
      <sz val="9"/>
      <color rgb="FF6CA644"/>
      <name val="Arial"/>
      <family val="2"/>
      <charset val="186"/>
    </font>
    <font>
      <sz val="9"/>
      <color theme="4" tint="-0.499984740745262"/>
      <name val="Arial"/>
      <family val="2"/>
      <charset val="186"/>
    </font>
    <font>
      <b/>
      <i/>
      <sz val="8"/>
      <color rgb="FFFF0000"/>
      <name val="Arial"/>
      <family val="2"/>
      <charset val="186"/>
    </font>
    <font>
      <i/>
      <sz val="9"/>
      <color rgb="FF00B0F0"/>
      <name val="Arial"/>
      <family val="2"/>
      <charset val="186"/>
    </font>
    <font>
      <i/>
      <sz val="8"/>
      <color rgb="FF7030A0"/>
      <name val="Arial"/>
      <family val="2"/>
      <charset val="186"/>
    </font>
    <font>
      <b/>
      <i/>
      <sz val="9"/>
      <color rgb="FF00B0F0"/>
      <name val="Arial"/>
      <family val="2"/>
      <charset val="186"/>
    </font>
    <font>
      <sz val="9"/>
      <color rgb="FF0070C0"/>
      <name val="Arial"/>
      <family val="2"/>
      <charset val="186"/>
    </font>
    <font>
      <b/>
      <sz val="9"/>
      <color theme="1"/>
      <name val="Calibri"/>
      <family val="2"/>
      <charset val="186"/>
      <scheme val="minor"/>
    </font>
    <font>
      <sz val="9"/>
      <color theme="1"/>
      <name val="Calibri"/>
      <family val="2"/>
      <charset val="186"/>
      <scheme val="minor"/>
    </font>
    <font>
      <sz val="9"/>
      <color theme="5"/>
      <name val="Arial"/>
      <family val="2"/>
      <charset val="186"/>
    </font>
    <font>
      <b/>
      <strike/>
      <sz val="10"/>
      <name val="Times New Roman"/>
      <family val="1"/>
    </font>
    <font>
      <sz val="10"/>
      <color rgb="FFC00000"/>
      <name val="Times New Roman"/>
      <family val="1"/>
      <charset val="186"/>
    </font>
    <font>
      <b/>
      <sz val="10"/>
      <color theme="0"/>
      <name val="Times New Roman"/>
      <family val="1"/>
    </font>
    <font>
      <sz val="10"/>
      <color theme="0"/>
      <name val="Times New Roman"/>
      <family val="1"/>
    </font>
    <font>
      <b/>
      <i/>
      <sz val="10"/>
      <color theme="0"/>
      <name val="Times New Roman"/>
      <family val="1"/>
    </font>
    <font>
      <i/>
      <sz val="10"/>
      <color theme="0"/>
      <name val="Times New Roman"/>
      <family val="1"/>
    </font>
  </fonts>
  <fills count="45">
    <fill>
      <patternFill patternType="none"/>
    </fill>
    <fill>
      <patternFill patternType="gray125"/>
    </fill>
    <fill>
      <patternFill patternType="solid">
        <fgColor theme="2" tint="-9.9978637043366805E-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2"/>
        <bgColor indexed="64"/>
      </patternFill>
    </fill>
    <fill>
      <patternFill patternType="solid">
        <fgColor rgb="FFFFFF00"/>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indexed="9"/>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FF0000"/>
        <bgColor indexed="64"/>
      </patternFill>
    </fill>
    <fill>
      <patternFill patternType="solid">
        <fgColor theme="8" tint="0.79998168889431442"/>
        <bgColor indexed="64"/>
      </patternFill>
    </fill>
    <fill>
      <patternFill patternType="solid">
        <fgColor theme="0"/>
        <bgColor indexed="64"/>
      </patternFill>
    </fill>
    <fill>
      <patternFill patternType="solid">
        <fgColor rgb="FFFFB2B2"/>
        <bgColor indexed="64"/>
      </patternFill>
    </fill>
    <fill>
      <patternFill patternType="solid">
        <fgColor rgb="FFFFC6C6"/>
        <bgColor indexed="64"/>
      </patternFill>
    </fill>
    <fill>
      <patternFill patternType="solid">
        <fgColor theme="9" tint="0.39997558519241921"/>
        <bgColor indexed="64"/>
      </patternFill>
    </fill>
    <fill>
      <patternFill patternType="solid">
        <fgColor theme="2" tint="-0.249977111117893"/>
        <bgColor indexed="64"/>
      </patternFill>
    </fill>
    <fill>
      <patternFill patternType="solid">
        <fgColor theme="9" tint="-0.249977111117893"/>
        <bgColor indexed="64"/>
      </patternFill>
    </fill>
    <fill>
      <patternFill patternType="solid">
        <fgColor theme="0" tint="-0.249977111117893"/>
        <bgColor indexed="64"/>
      </patternFill>
    </fill>
    <fill>
      <patternFill patternType="solid">
        <fgColor rgb="FF92D050"/>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rgb="FF00B0F0"/>
        <bgColor indexed="64"/>
      </patternFill>
    </fill>
    <fill>
      <patternFill patternType="solid">
        <fgColor theme="0" tint="-0.34998626667073579"/>
        <bgColor indexed="64"/>
      </patternFill>
    </fill>
    <fill>
      <patternFill patternType="solid">
        <fgColor theme="9" tint="0.59999389629810485"/>
        <bgColor rgb="FFCCFFCC"/>
      </patternFill>
    </fill>
    <fill>
      <patternFill patternType="solid">
        <fgColor theme="5" tint="0.39997558519241921"/>
        <bgColor indexed="64"/>
      </patternFill>
    </fill>
    <fill>
      <patternFill patternType="solid">
        <fgColor rgb="FFFFFF99"/>
        <bgColor indexed="64"/>
      </patternFill>
    </fill>
    <fill>
      <patternFill patternType="solid">
        <fgColor rgb="FF00B050"/>
        <bgColor indexed="64"/>
      </patternFill>
    </fill>
    <fill>
      <patternFill patternType="solid">
        <fgColor rgb="FFFFC1C1"/>
        <bgColor indexed="64"/>
      </patternFill>
    </fill>
    <fill>
      <patternFill patternType="solid">
        <fgColor rgb="FFFF8B8B"/>
        <bgColor indexed="64"/>
      </patternFill>
    </fill>
    <fill>
      <patternFill patternType="solid">
        <fgColor rgb="FFFFCCCC"/>
        <bgColor indexed="64"/>
      </patternFill>
    </fill>
    <fill>
      <patternFill patternType="solid">
        <fgColor rgb="FFFFF7E1"/>
        <bgColor indexed="64"/>
      </patternFill>
    </fill>
    <fill>
      <patternFill patternType="solid">
        <fgColor rgb="FF00FFFF"/>
        <bgColor indexed="64"/>
      </patternFill>
    </fill>
    <fill>
      <patternFill patternType="solid">
        <fgColor rgb="FFFFC000"/>
        <bgColor indexed="64"/>
      </patternFill>
    </fill>
    <fill>
      <patternFill patternType="solid">
        <fgColor rgb="FF6CA644"/>
        <bgColor indexed="64"/>
      </patternFill>
    </fill>
    <fill>
      <patternFill patternType="solid">
        <fgColor rgb="FF99FFCC"/>
        <bgColor indexed="64"/>
      </patternFill>
    </fill>
  </fills>
  <borders count="134">
    <border>
      <left/>
      <right/>
      <top/>
      <bottom/>
      <diagonal/>
    </border>
    <border>
      <left style="thin">
        <color theme="0" tint="-0.249977111117893"/>
      </left>
      <right style="thin">
        <color theme="2"/>
      </right>
      <top style="thin">
        <color theme="0" tint="-0.249977111117893"/>
      </top>
      <bottom style="thin">
        <color theme="2"/>
      </bottom>
      <diagonal/>
    </border>
    <border>
      <left style="thin">
        <color theme="2"/>
      </left>
      <right style="thin">
        <color theme="2"/>
      </right>
      <top style="thin">
        <color theme="0" tint="-0.249977111117893"/>
      </top>
      <bottom style="thin">
        <color theme="2"/>
      </bottom>
      <diagonal/>
    </border>
    <border>
      <left style="thin">
        <color theme="2"/>
      </left>
      <right style="thin">
        <color theme="0" tint="-0.249977111117893"/>
      </right>
      <top style="thin">
        <color theme="0" tint="-0.249977111117893"/>
      </top>
      <bottom style="thin">
        <color theme="2"/>
      </bottom>
      <diagonal/>
    </border>
    <border>
      <left style="thin">
        <color theme="0" tint="-0.249977111117893"/>
      </left>
      <right style="thin">
        <color theme="2"/>
      </right>
      <top/>
      <bottom style="thin">
        <color theme="2"/>
      </bottom>
      <diagonal/>
    </border>
    <border>
      <left style="thin">
        <color theme="2"/>
      </left>
      <right style="thin">
        <color theme="2"/>
      </right>
      <top style="thin">
        <color theme="1" tint="0.499984740745262"/>
      </top>
      <bottom style="thin">
        <color theme="2"/>
      </bottom>
      <diagonal/>
    </border>
    <border>
      <left style="thin">
        <color theme="2"/>
      </left>
      <right style="thin">
        <color theme="2"/>
      </right>
      <top/>
      <bottom style="thin">
        <color theme="2"/>
      </bottom>
      <diagonal/>
    </border>
    <border>
      <left style="thin">
        <color theme="0" tint="-0.249977111117893"/>
      </left>
      <right style="thin">
        <color theme="2"/>
      </right>
      <top/>
      <bottom/>
      <diagonal/>
    </border>
    <border>
      <left style="thin">
        <color theme="2"/>
      </left>
      <right style="thin">
        <color theme="2"/>
      </right>
      <top/>
      <bottom/>
      <diagonal/>
    </border>
    <border>
      <left style="thin">
        <color theme="2"/>
      </left>
      <right style="thin">
        <color theme="0" tint="-0.249977111117893"/>
      </right>
      <top/>
      <bottom/>
      <diagonal/>
    </border>
    <border>
      <left style="thin">
        <color theme="0" tint="-0.249977111117893"/>
      </left>
      <right style="thin">
        <color theme="2"/>
      </right>
      <top style="thin">
        <color theme="2"/>
      </top>
      <bottom style="thin">
        <color theme="2"/>
      </bottom>
      <diagonal/>
    </border>
    <border>
      <left style="thin">
        <color theme="2"/>
      </left>
      <right style="thin">
        <color theme="2"/>
      </right>
      <top style="thin">
        <color theme="2"/>
      </top>
      <bottom style="thin">
        <color theme="2"/>
      </bottom>
      <diagonal/>
    </border>
    <border>
      <left style="thin">
        <color theme="2"/>
      </left>
      <right style="thin">
        <color theme="0" tint="-0.249977111117893"/>
      </right>
      <top style="thin">
        <color theme="2"/>
      </top>
      <bottom style="thin">
        <color theme="2"/>
      </bottom>
      <diagonal/>
    </border>
    <border>
      <left style="thin">
        <color theme="0" tint="-0.249977111117893"/>
      </left>
      <right style="thin">
        <color theme="2"/>
      </right>
      <top style="thin">
        <color theme="2"/>
      </top>
      <bottom style="thin">
        <color theme="0" tint="-0.249977111117893"/>
      </bottom>
      <diagonal/>
    </border>
    <border>
      <left style="thin">
        <color theme="2"/>
      </left>
      <right style="thin">
        <color theme="2"/>
      </right>
      <top style="thin">
        <color theme="2"/>
      </top>
      <bottom style="thin">
        <color theme="0" tint="-0.249977111117893"/>
      </bottom>
      <diagonal/>
    </border>
    <border>
      <left style="thin">
        <color theme="2"/>
      </left>
      <right style="thin">
        <color theme="0" tint="-0.249977111117893"/>
      </right>
      <top style="thin">
        <color theme="2"/>
      </top>
      <bottom style="thin">
        <color theme="0" tint="-0.249977111117893"/>
      </bottom>
      <diagonal/>
    </border>
    <border>
      <left style="thin">
        <color theme="1" tint="0.499984740745262"/>
      </left>
      <right style="thin">
        <color theme="2"/>
      </right>
      <top style="thin">
        <color theme="1" tint="0.499984740745262"/>
      </top>
      <bottom style="thin">
        <color theme="1" tint="0.499984740745262"/>
      </bottom>
      <diagonal/>
    </border>
    <border>
      <left style="thin">
        <color theme="2"/>
      </left>
      <right style="thin">
        <color theme="2"/>
      </right>
      <top style="thin">
        <color theme="1" tint="0.499984740745262"/>
      </top>
      <bottom style="thin">
        <color theme="1" tint="0.499984740745262"/>
      </bottom>
      <diagonal/>
    </border>
    <border>
      <left style="thin">
        <color theme="2"/>
      </left>
      <right style="thin">
        <color theme="1" tint="0.499984740745262"/>
      </right>
      <top style="thin">
        <color theme="1" tint="0.499984740745262"/>
      </top>
      <bottom style="thin">
        <color theme="1" tint="0.499984740745262"/>
      </bottom>
      <diagonal/>
    </border>
    <border>
      <left style="thin">
        <color theme="1" tint="0.499984740745262"/>
      </left>
      <right style="thin">
        <color theme="2"/>
      </right>
      <top/>
      <bottom/>
      <diagonal/>
    </border>
    <border>
      <left style="thin">
        <color theme="2"/>
      </left>
      <right style="thin">
        <color theme="1" tint="0.499984740745262"/>
      </right>
      <top/>
      <bottom/>
      <diagonal/>
    </border>
    <border>
      <left style="thin">
        <color theme="1" tint="0.499984740745262"/>
      </left>
      <right style="thin">
        <color theme="2"/>
      </right>
      <top style="thin">
        <color theme="1" tint="0.499984740745262"/>
      </top>
      <bottom style="thin">
        <color theme="2"/>
      </bottom>
      <diagonal/>
    </border>
    <border>
      <left style="thin">
        <color theme="2"/>
      </left>
      <right style="thin">
        <color theme="1" tint="0.499984740745262"/>
      </right>
      <top style="thin">
        <color theme="1" tint="0.499984740745262"/>
      </top>
      <bottom style="thin">
        <color theme="2"/>
      </bottom>
      <diagonal/>
    </border>
    <border>
      <left style="thin">
        <color theme="1" tint="0.499984740745262"/>
      </left>
      <right style="thin">
        <color theme="2"/>
      </right>
      <top style="thin">
        <color theme="2"/>
      </top>
      <bottom style="thin">
        <color theme="2"/>
      </bottom>
      <diagonal/>
    </border>
    <border>
      <left style="thin">
        <color theme="2"/>
      </left>
      <right style="thin">
        <color theme="1" tint="0.499984740745262"/>
      </right>
      <top style="thin">
        <color theme="2"/>
      </top>
      <bottom style="thin">
        <color theme="2"/>
      </bottom>
      <diagonal/>
    </border>
    <border>
      <left style="thin">
        <color theme="2"/>
      </left>
      <right style="thin">
        <color theme="2"/>
      </right>
      <top style="thin">
        <color theme="2"/>
      </top>
      <bottom/>
      <diagonal/>
    </border>
    <border>
      <left style="thin">
        <color theme="1" tint="0.499984740745262"/>
      </left>
      <right style="thin">
        <color theme="2"/>
      </right>
      <top style="thin">
        <color theme="2"/>
      </top>
      <bottom/>
      <diagonal/>
    </border>
    <border>
      <left style="thin">
        <color theme="1" tint="0.499984740745262"/>
      </left>
      <right style="thin">
        <color theme="2"/>
      </right>
      <top style="thin">
        <color theme="2"/>
      </top>
      <bottom style="thin">
        <color theme="1" tint="0.499984740745262"/>
      </bottom>
      <diagonal/>
    </border>
    <border>
      <left style="thin">
        <color theme="2"/>
      </left>
      <right style="thin">
        <color theme="2"/>
      </right>
      <top style="thin">
        <color theme="2"/>
      </top>
      <bottom style="thin">
        <color theme="1" tint="0.499984740745262"/>
      </bottom>
      <diagonal/>
    </border>
    <border>
      <left style="thin">
        <color theme="2"/>
      </left>
      <right style="thin">
        <color theme="1" tint="0.499984740745262"/>
      </right>
      <top style="thin">
        <color theme="2"/>
      </top>
      <bottom style="thin">
        <color theme="1" tint="0.499984740745262"/>
      </bottom>
      <diagonal/>
    </border>
    <border>
      <left style="thin">
        <color theme="1" tint="0.499984740745262"/>
      </left>
      <right style="thin">
        <color theme="0"/>
      </right>
      <top style="thin">
        <color theme="1" tint="0.499984740745262"/>
      </top>
      <bottom style="thin">
        <color theme="2" tint="-0.499984740745262"/>
      </bottom>
      <diagonal/>
    </border>
    <border>
      <left style="thin">
        <color theme="0"/>
      </left>
      <right style="thin">
        <color theme="0"/>
      </right>
      <top style="thin">
        <color theme="1" tint="0.499984740745262"/>
      </top>
      <bottom style="thin">
        <color theme="2" tint="-0.499984740745262"/>
      </bottom>
      <diagonal/>
    </border>
    <border>
      <left style="thin">
        <color theme="0" tint="-0.14999847407452621"/>
      </left>
      <right style="thin">
        <color theme="0" tint="-0.14999847407452621"/>
      </right>
      <top style="thin">
        <color theme="2" tint="-0.499984740745262"/>
      </top>
      <bottom style="thin">
        <color theme="0" tint="-0.14999847407452621"/>
      </bottom>
      <diagonal/>
    </border>
    <border>
      <left/>
      <right/>
      <top/>
      <bottom style="thin">
        <color theme="2"/>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style="thin">
        <color theme="1" tint="0.499984740745262"/>
      </bottom>
      <diagonal/>
    </border>
    <border>
      <left style="thin">
        <color theme="2" tint="-0.499984740745262"/>
      </left>
      <right style="thin">
        <color theme="2" tint="-0.499984740745262"/>
      </right>
      <top style="thin">
        <color theme="2" tint="-0.499984740745262"/>
      </top>
      <bottom style="thin">
        <color indexed="64"/>
      </bottom>
      <diagonal/>
    </border>
    <border>
      <left style="thin">
        <color theme="2" tint="-0.499984740745262"/>
      </left>
      <right style="thin">
        <color theme="0" tint="-0.14999847407452621"/>
      </right>
      <top style="thin">
        <color theme="2" tint="-0.499984740745262"/>
      </top>
      <bottom style="thin">
        <color theme="0" tint="-0.14999847407452621"/>
      </bottom>
      <diagonal/>
    </border>
    <border>
      <left style="thin">
        <color theme="2" tint="-0.499984740745262"/>
      </left>
      <right style="thin">
        <color theme="2" tint="-0.499984740745262"/>
      </right>
      <top/>
      <bottom style="thin">
        <color theme="0" tint="-0.14999847407452621"/>
      </bottom>
      <diagonal/>
    </border>
    <border>
      <left style="thin">
        <color theme="2" tint="-0.499984740745262"/>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2" tint="-0.499984740745262"/>
      </left>
      <right style="thin">
        <color theme="2" tint="-0.499984740745262"/>
      </right>
      <top style="thin">
        <color theme="0" tint="-0.14999847407452621"/>
      </top>
      <bottom style="thin">
        <color theme="0" tint="-0.14999847407452621"/>
      </bottom>
      <diagonal/>
    </border>
    <border>
      <left style="thin">
        <color theme="2" tint="-0.499984740745262"/>
      </left>
      <right style="thin">
        <color theme="0" tint="-0.14999847407452621"/>
      </right>
      <top style="thin">
        <color theme="0" tint="-0.14999847407452621"/>
      </top>
      <bottom style="thin">
        <color theme="2" tint="-0.499984740745262"/>
      </bottom>
      <diagonal/>
    </border>
    <border>
      <left style="thin">
        <color theme="0" tint="-0.14999847407452621"/>
      </left>
      <right style="thin">
        <color theme="0" tint="-0.14999847407452621"/>
      </right>
      <top style="thin">
        <color theme="0" tint="-0.14999847407452621"/>
      </top>
      <bottom style="thin">
        <color theme="2" tint="-0.499984740745262"/>
      </bottom>
      <diagonal/>
    </border>
    <border>
      <left style="thin">
        <color theme="2" tint="-0.499984740745262"/>
      </left>
      <right style="thin">
        <color theme="2" tint="-0.499984740745262"/>
      </right>
      <top style="thin">
        <color theme="0" tint="-0.14999847407452621"/>
      </top>
      <bottom style="thin">
        <color theme="2" tint="-0.499984740745262"/>
      </bottom>
      <diagonal/>
    </border>
    <border>
      <left style="thin">
        <color indexed="64"/>
      </left>
      <right style="thin">
        <color indexed="64"/>
      </right>
      <top style="thin">
        <color indexed="64"/>
      </top>
      <bottom style="thin">
        <color theme="0" tint="-0.14999847407452621"/>
      </bottom>
      <diagonal/>
    </border>
    <border>
      <left style="thin">
        <color indexed="64"/>
      </left>
      <right style="thin">
        <color indexed="64"/>
      </right>
      <top style="thin">
        <color theme="0" tint="-0.14999847407452621"/>
      </top>
      <bottom style="thin">
        <color theme="0" tint="-0.14999847407452621"/>
      </bottom>
      <diagonal/>
    </border>
    <border>
      <left style="thin">
        <color indexed="64"/>
      </left>
      <right style="thin">
        <color indexed="64"/>
      </right>
      <top style="thin">
        <color theme="0" tint="-0.14999847407452621"/>
      </top>
      <bottom style="thin">
        <color indexed="64"/>
      </bottom>
      <diagonal/>
    </border>
    <border>
      <left style="thin">
        <color theme="1" tint="0.499984740745262"/>
      </left>
      <right style="thin">
        <color theme="0" tint="-0.14999847407452621"/>
      </right>
      <top style="thin">
        <color theme="1" tint="0.499984740745262"/>
      </top>
      <bottom style="thin">
        <color theme="0" tint="-0.14999847407452621"/>
      </bottom>
      <diagonal/>
    </border>
    <border>
      <left style="thin">
        <color theme="0" tint="-0.14999847407452621"/>
      </left>
      <right style="thin">
        <color theme="0" tint="-0.14999847407452621"/>
      </right>
      <top style="thin">
        <color theme="1" tint="0.499984740745262"/>
      </top>
      <bottom style="thin">
        <color theme="0" tint="-0.14999847407452621"/>
      </bottom>
      <diagonal/>
    </border>
    <border>
      <left style="thin">
        <color theme="1" tint="0.499984740745262"/>
      </left>
      <right style="thin">
        <color theme="0" tint="-0.14999847407452621"/>
      </right>
      <top style="thin">
        <color theme="0" tint="-0.14999847407452621"/>
      </top>
      <bottom style="thin">
        <color theme="0" tint="-0.14999847407452621"/>
      </bottom>
      <diagonal/>
    </border>
    <border>
      <left style="thin">
        <color theme="1" tint="0.499984740745262"/>
      </left>
      <right style="thin">
        <color theme="0" tint="-0.14999847407452621"/>
      </right>
      <top style="thin">
        <color theme="0" tint="-0.14999847407452621"/>
      </top>
      <bottom style="thin">
        <color theme="1" tint="0.499984740745262"/>
      </bottom>
      <diagonal/>
    </border>
    <border>
      <left style="thin">
        <color theme="0" tint="-0.14999847407452621"/>
      </left>
      <right style="thin">
        <color theme="0" tint="-0.14999847407452621"/>
      </right>
      <top style="thin">
        <color theme="0" tint="-0.14999847407452621"/>
      </top>
      <bottom style="thin">
        <color theme="1" tint="0.49998474074526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top/>
      <bottom style="medium">
        <color indexed="64"/>
      </bottom>
      <diagonal/>
    </border>
    <border>
      <left/>
      <right/>
      <top style="medium">
        <color indexed="64"/>
      </top>
      <bottom/>
      <diagonal/>
    </border>
    <border>
      <left/>
      <right/>
      <top/>
      <bottom style="thin">
        <color auto="1"/>
      </bottom>
      <diagonal/>
    </border>
    <border>
      <left/>
      <right style="thin">
        <color theme="0" tint="-0.499984740745262"/>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style="double">
        <color indexed="64"/>
      </bottom>
      <diagonal/>
    </border>
    <border>
      <left/>
      <right/>
      <top/>
      <bottom style="double">
        <color indexed="64"/>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bottom style="double">
        <color indexed="64"/>
      </bottom>
      <diagonal/>
    </border>
    <border>
      <left style="thin">
        <color theme="0" tint="-0.499984740745262"/>
      </left>
      <right/>
      <top/>
      <bottom style="double">
        <color indexed="64"/>
      </bottom>
      <diagonal/>
    </border>
    <border>
      <left style="thin">
        <color theme="0" tint="-0.499984740745262"/>
      </left>
      <right style="thin">
        <color theme="0" tint="-0.499984740745262"/>
      </right>
      <top style="double">
        <color indexed="64"/>
      </top>
      <bottom style="double">
        <color theme="0" tint="-0.499984740745262"/>
      </bottom>
      <diagonal/>
    </border>
    <border>
      <left/>
      <right/>
      <top style="double">
        <color indexed="64"/>
      </top>
      <bottom style="double">
        <color theme="0" tint="-0.499984740745262"/>
      </bottom>
      <diagonal/>
    </border>
    <border>
      <left style="thin">
        <color theme="0" tint="-0.499984740745262"/>
      </left>
      <right style="thin">
        <color theme="0" tint="-0.499984740745262"/>
      </right>
      <top style="double">
        <color indexed="64"/>
      </top>
      <bottom style="double">
        <color indexed="64"/>
      </bottom>
      <diagonal/>
    </border>
    <border>
      <left/>
      <right/>
      <top style="double">
        <color indexed="64"/>
      </top>
      <bottom style="double">
        <color indexed="64"/>
      </bottom>
      <diagonal/>
    </border>
    <border>
      <left style="thin">
        <color theme="0" tint="-0.499984740745262"/>
      </left>
      <right style="thin">
        <color theme="0" tint="-0.499984740745262"/>
      </right>
      <top/>
      <bottom/>
      <diagonal/>
    </border>
    <border>
      <left/>
      <right/>
      <top style="thin">
        <color theme="0" tint="-0.499984740745262"/>
      </top>
      <bottom style="thin">
        <color theme="0" tint="-0.499984740745262"/>
      </bottom>
      <diagonal/>
    </border>
    <border>
      <left style="medium">
        <color indexed="64"/>
      </left>
      <right style="thin">
        <color theme="0" tint="-0.499984740745262"/>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thin">
        <color theme="0" tint="-0.499984740745262"/>
      </left>
      <right style="thin">
        <color theme="0" tint="-0.499984740745262"/>
      </right>
      <top style="thin">
        <color indexed="64"/>
      </top>
      <bottom style="double">
        <color indexed="64"/>
      </bottom>
      <diagonal/>
    </border>
    <border>
      <left/>
      <right/>
      <top style="thin">
        <color indexed="64"/>
      </top>
      <bottom style="double">
        <color indexed="64"/>
      </bottom>
      <diagonal/>
    </border>
    <border>
      <left style="thin">
        <color theme="0" tint="-0.499984740745262"/>
      </left>
      <right style="thin">
        <color theme="0" tint="-0.499984740745262"/>
      </right>
      <top style="thin">
        <color indexed="64"/>
      </top>
      <bottom/>
      <diagonal/>
    </border>
    <border>
      <left/>
      <right/>
      <top style="thin">
        <color indexed="64"/>
      </top>
      <bottom/>
      <diagonal/>
    </border>
    <border>
      <left style="thin">
        <color theme="0" tint="-0.499984740745262"/>
      </left>
      <right style="thin">
        <color theme="0" tint="-0.499984740745262"/>
      </right>
      <top style="double">
        <color indexed="64"/>
      </top>
      <bottom style="thin">
        <color theme="0" tint="-0.499984740745262"/>
      </bottom>
      <diagonal/>
    </border>
    <border>
      <left/>
      <right/>
      <top style="double">
        <color indexed="64"/>
      </top>
      <bottom style="thin">
        <color theme="0" tint="-0.499984740745262"/>
      </bottom>
      <diagonal/>
    </border>
    <border>
      <left/>
      <right/>
      <top style="thin">
        <color theme="0" tint="-0.499984740745262"/>
      </top>
      <bottom style="double">
        <color indexed="64"/>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diagonal/>
    </border>
    <border>
      <left/>
      <right style="thin">
        <color rgb="FF000000"/>
      </right>
      <top style="thin">
        <color rgb="FF000000"/>
      </top>
      <bottom/>
      <diagonal/>
    </border>
    <border>
      <left style="thin">
        <color theme="0" tint="-0.499984740745262"/>
      </left>
      <right style="thin">
        <color theme="0" tint="-0.499984740745262"/>
      </right>
      <top style="thin">
        <color theme="0" tint="-0.499984740745262"/>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theme="0" tint="-0.499984740745262"/>
      </left>
      <right style="thin">
        <color theme="0" tint="-0.499984740745262"/>
      </right>
      <top style="medium">
        <color indexed="64"/>
      </top>
      <bottom style="thin">
        <color theme="0" tint="-0.499984740745262"/>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auto="1"/>
      </left>
      <right style="thin">
        <color auto="1"/>
      </right>
      <top/>
      <bottom style="thin">
        <color auto="1"/>
      </bottom>
      <diagonal/>
    </border>
    <border>
      <left style="thin">
        <color auto="1"/>
      </left>
      <right style="thin">
        <color theme="0" tint="-0.499984740745262"/>
      </right>
      <top style="thin">
        <color auto="1"/>
      </top>
      <bottom style="thin">
        <color indexed="64"/>
      </bottom>
      <diagonal/>
    </border>
    <border>
      <left style="thin">
        <color auto="1"/>
      </left>
      <right style="thin">
        <color theme="0" tint="-0.499984740745262"/>
      </right>
      <top/>
      <bottom style="thin">
        <color indexed="64"/>
      </bottom>
      <diagonal/>
    </border>
    <border>
      <left style="medium">
        <color indexed="64"/>
      </left>
      <right style="thin">
        <color theme="0" tint="-0.499984740745262"/>
      </right>
      <top style="thin">
        <color theme="0" tint="-0.499984740745262"/>
      </top>
      <bottom style="thin">
        <color indexed="64"/>
      </bottom>
      <diagonal/>
    </border>
    <border>
      <left/>
      <right/>
      <top style="thin">
        <color theme="0" tint="-0.499984740745262"/>
      </top>
      <bottom style="thin">
        <color indexed="64"/>
      </bottom>
      <diagonal/>
    </border>
    <border>
      <left style="thin">
        <color auto="1"/>
      </left>
      <right/>
      <top style="thin">
        <color auto="1"/>
      </top>
      <bottom/>
      <diagonal/>
    </border>
    <border>
      <left style="medium">
        <color indexed="64"/>
      </left>
      <right style="thin">
        <color theme="0" tint="-0.499984740745262"/>
      </right>
      <top style="medium">
        <color indexed="64"/>
      </top>
      <bottom/>
      <diagonal/>
    </border>
    <border>
      <left style="thin">
        <color theme="0" tint="-0.499984740745262"/>
      </left>
      <right style="thin">
        <color theme="0" tint="-0.499984740745262"/>
      </right>
      <top style="medium">
        <color indexed="64"/>
      </top>
      <bottom style="thin">
        <color indexed="64"/>
      </bottom>
      <diagonal/>
    </border>
    <border>
      <left/>
      <right/>
      <top style="medium">
        <color indexed="64"/>
      </top>
      <bottom style="thin">
        <color indexed="64"/>
      </bottom>
      <diagonal/>
    </border>
    <border>
      <left style="thin">
        <color theme="0" tint="-0.499984740745262"/>
      </left>
      <right style="medium">
        <color indexed="64"/>
      </right>
      <top style="medium">
        <color indexed="64"/>
      </top>
      <bottom/>
      <diagonal/>
    </border>
    <border>
      <left style="medium">
        <color indexed="64"/>
      </left>
      <right style="thin">
        <color theme="0" tint="-0.499984740745262"/>
      </right>
      <top/>
      <bottom style="medium">
        <color indexed="64"/>
      </bottom>
      <diagonal/>
    </border>
    <border>
      <left style="thin">
        <color theme="0" tint="-0.499984740745262"/>
      </left>
      <right style="thin">
        <color theme="0" tint="-0.499984740745262"/>
      </right>
      <top/>
      <bottom style="medium">
        <color indexed="64"/>
      </bottom>
      <diagonal/>
    </border>
    <border>
      <left style="thin">
        <color theme="0" tint="-0.499984740745262"/>
      </left>
      <right style="medium">
        <color indexed="64"/>
      </right>
      <top/>
      <bottom style="medium">
        <color indexed="64"/>
      </bottom>
      <diagonal/>
    </border>
    <border>
      <left style="thin">
        <color theme="0" tint="-0.499984740745262"/>
      </left>
      <right style="thin">
        <color theme="0" tint="-0.499984740745262"/>
      </right>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top style="thin">
        <color indexed="64"/>
      </top>
      <bottom style="double">
        <color indexed="64"/>
      </bottom>
      <diagonal/>
    </border>
    <border>
      <left style="medium">
        <color indexed="64"/>
      </left>
      <right style="thin">
        <color theme="0" tint="-0.499984740745262"/>
      </right>
      <top style="thin">
        <color theme="0" tint="-0.499984740745262"/>
      </top>
      <bottom/>
      <diagonal/>
    </border>
    <border>
      <left style="medium">
        <color indexed="64"/>
      </left>
      <right style="thin">
        <color theme="0" tint="-0.499984740745262"/>
      </right>
      <top/>
      <bottom style="thin">
        <color theme="0" tint="-0.499984740745262"/>
      </bottom>
      <diagonal/>
    </border>
    <border>
      <left style="thin">
        <color theme="0" tint="-0.499984740745262"/>
      </left>
      <right style="medium">
        <color indexed="64"/>
      </right>
      <top/>
      <bottom style="thin">
        <color theme="0" tint="-0.499984740745262"/>
      </bottom>
      <diagonal/>
    </border>
    <border>
      <left/>
      <right/>
      <top style="thin">
        <color theme="0" tint="-0.499984740745262"/>
      </top>
      <bottom style="medium">
        <color indexed="64"/>
      </bottom>
      <diagonal/>
    </border>
    <border>
      <left/>
      <right style="thin">
        <color theme="0" tint="-0.499984740745262"/>
      </right>
      <top style="medium">
        <color indexed="64"/>
      </top>
      <bottom style="thin">
        <color indexed="64"/>
      </bottom>
      <diagonal/>
    </border>
    <border>
      <left style="thin">
        <color theme="0" tint="-0.499984740745262"/>
      </left>
      <right/>
      <top style="medium">
        <color indexed="64"/>
      </top>
      <bottom style="thin">
        <color indexed="64"/>
      </bottom>
      <diagonal/>
    </border>
    <border>
      <left/>
      <right/>
      <top style="medium">
        <color indexed="64"/>
      </top>
      <bottom style="thin">
        <color theme="0" tint="-0.499984740745262"/>
      </bottom>
      <diagonal/>
    </border>
    <border>
      <left style="thin">
        <color theme="0" tint="-0.499984740745262"/>
      </left>
      <right style="thin">
        <color theme="0" tint="-0.499984740745262"/>
      </right>
      <top style="double">
        <color indexed="64"/>
      </top>
      <bottom style="thin">
        <color indexed="64"/>
      </bottom>
      <diagonal/>
    </border>
    <border>
      <left/>
      <right/>
      <top style="double">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4">
    <xf numFmtId="0" fontId="0" fillId="0" borderId="0"/>
    <xf numFmtId="43" fontId="3" fillId="0" borderId="0" applyFont="0" applyFill="0" applyBorder="0" applyAlignment="0" applyProtection="0"/>
    <xf numFmtId="9" fontId="3" fillId="0" borderId="0" applyFont="0" applyFill="0" applyBorder="0" applyAlignment="0" applyProtection="0"/>
    <xf numFmtId="0" fontId="32" fillId="0" borderId="0"/>
    <xf numFmtId="0" fontId="41" fillId="0" borderId="0" applyNumberFormat="0" applyFill="0" applyBorder="0" applyAlignment="0" applyProtection="0"/>
    <xf numFmtId="0" fontId="41" fillId="0" borderId="0"/>
    <xf numFmtId="0" fontId="61" fillId="0" borderId="0" applyNumberFormat="0" applyFill="0" applyBorder="0" applyAlignment="0" applyProtection="0"/>
    <xf numFmtId="0" fontId="41" fillId="0" borderId="0"/>
    <xf numFmtId="43" fontId="97" fillId="0" borderId="0" applyFont="0" applyFill="0" applyBorder="0" applyAlignment="0" applyProtection="0"/>
    <xf numFmtId="172" fontId="99" fillId="0" borderId="0" applyFont="0" applyFill="0" applyBorder="0" applyAlignment="0" applyProtection="0"/>
    <xf numFmtId="0" fontId="2" fillId="0" borderId="0"/>
    <xf numFmtId="0" fontId="2" fillId="0" borderId="0"/>
    <xf numFmtId="0" fontId="1" fillId="0" borderId="0"/>
    <xf numFmtId="174" fontId="41" fillId="0" borderId="0" applyFont="0" applyFill="0" applyBorder="0" applyAlignment="0" applyProtection="0"/>
  </cellStyleXfs>
  <cellXfs count="1202">
    <xf numFmtId="0" fontId="0" fillId="0" borderId="0" xfId="0"/>
    <xf numFmtId="9" fontId="5" fillId="2" borderId="2" xfId="2" applyFont="1" applyFill="1" applyBorder="1"/>
    <xf numFmtId="9" fontId="4" fillId="2" borderId="2" xfId="2" applyFont="1" applyFill="1" applyBorder="1"/>
    <xf numFmtId="0" fontId="6" fillId="2" borderId="2" xfId="0" applyFont="1" applyFill="1" applyBorder="1" applyAlignment="1">
      <alignment horizontal="center" wrapText="1"/>
    </xf>
    <xf numFmtId="0" fontId="7" fillId="2" borderId="2" xfId="0" applyFont="1" applyFill="1" applyBorder="1" applyAlignment="1">
      <alignment horizontal="center"/>
    </xf>
    <xf numFmtId="0" fontId="5" fillId="2" borderId="2" xfId="0" applyFont="1" applyFill="1" applyBorder="1" applyAlignment="1">
      <alignment horizontal="center"/>
    </xf>
    <xf numFmtId="0" fontId="5" fillId="3" borderId="2" xfId="0" applyFont="1" applyFill="1" applyBorder="1" applyAlignment="1">
      <alignment horizontal="center"/>
    </xf>
    <xf numFmtId="9" fontId="4" fillId="0" borderId="0" xfId="2" applyFont="1" applyBorder="1"/>
    <xf numFmtId="0" fontId="6" fillId="4" borderId="1" xfId="0" applyFont="1" applyFill="1" applyBorder="1" applyAlignment="1">
      <alignment horizontal="center"/>
    </xf>
    <xf numFmtId="0" fontId="7" fillId="4" borderId="2" xfId="0" applyFont="1" applyFill="1" applyBorder="1" applyAlignment="1">
      <alignment horizontal="center"/>
    </xf>
    <xf numFmtId="0" fontId="7" fillId="4" borderId="3" xfId="0" applyFont="1" applyFill="1" applyBorder="1" applyAlignment="1">
      <alignment horizontal="center"/>
    </xf>
    <xf numFmtId="9" fontId="4" fillId="0" borderId="0" xfId="2" applyFont="1"/>
    <xf numFmtId="9" fontId="5" fillId="2" borderId="5" xfId="2" applyFont="1" applyFill="1" applyBorder="1"/>
    <xf numFmtId="9" fontId="4" fillId="2" borderId="6" xfId="2" applyFont="1" applyFill="1" applyBorder="1"/>
    <xf numFmtId="0" fontId="6" fillId="2" borderId="6" xfId="0" applyFont="1" applyFill="1" applyBorder="1" applyAlignment="1">
      <alignment horizontal="center"/>
    </xf>
    <xf numFmtId="0" fontId="7" fillId="2" borderId="6" xfId="0" applyFont="1" applyFill="1" applyBorder="1" applyAlignment="1">
      <alignment horizontal="center"/>
    </xf>
    <xf numFmtId="0" fontId="5" fillId="2" borderId="6" xfId="0" applyFont="1" applyFill="1" applyBorder="1" applyAlignment="1">
      <alignment horizontal="center"/>
    </xf>
    <xf numFmtId="0" fontId="5" fillId="3" borderId="6" xfId="0" applyFont="1" applyFill="1" applyBorder="1" applyAlignment="1">
      <alignment horizontal="center"/>
    </xf>
    <xf numFmtId="0" fontId="6" fillId="4" borderId="4" xfId="0" applyFont="1" applyFill="1" applyBorder="1" applyAlignment="1">
      <alignment horizontal="center"/>
    </xf>
    <xf numFmtId="0" fontId="7" fillId="4" borderId="6" xfId="0" applyFont="1" applyFill="1" applyBorder="1" applyAlignment="1">
      <alignment horizontal="center"/>
    </xf>
    <xf numFmtId="3" fontId="8" fillId="0" borderId="7" xfId="0" applyNumberFormat="1" applyFont="1" applyBorder="1"/>
    <xf numFmtId="3" fontId="8" fillId="0" borderId="8" xfId="0" applyNumberFormat="1" applyFont="1" applyBorder="1" applyAlignment="1">
      <alignment horizontal="right"/>
    </xf>
    <xf numFmtId="3" fontId="8" fillId="0" borderId="8" xfId="0" applyNumberFormat="1" applyFont="1" applyBorder="1"/>
    <xf numFmtId="4" fontId="8" fillId="0" borderId="8" xfId="2" applyNumberFormat="1" applyFont="1" applyBorder="1"/>
    <xf numFmtId="164" fontId="9" fillId="0" borderId="0" xfId="1" applyNumberFormat="1" applyFont="1"/>
    <xf numFmtId="165" fontId="8" fillId="0" borderId="8" xfId="2" applyNumberFormat="1" applyFont="1" applyBorder="1"/>
    <xf numFmtId="3" fontId="8" fillId="0" borderId="0" xfId="0" applyNumberFormat="1" applyFont="1"/>
    <xf numFmtId="43" fontId="8" fillId="0" borderId="8" xfId="1" applyFont="1" applyBorder="1"/>
    <xf numFmtId="9" fontId="9" fillId="0" borderId="0" xfId="2" applyFont="1"/>
    <xf numFmtId="0" fontId="10" fillId="0" borderId="5" xfId="0" applyFont="1" applyBorder="1"/>
    <xf numFmtId="9" fontId="10" fillId="0" borderId="5" xfId="2" applyFont="1" applyBorder="1"/>
    <xf numFmtId="166" fontId="11" fillId="0" borderId="5" xfId="1" applyNumberFormat="1" applyFont="1" applyBorder="1"/>
    <xf numFmtId="166" fontId="12" fillId="0" borderId="5" xfId="1" applyNumberFormat="1" applyFont="1" applyBorder="1"/>
    <xf numFmtId="166" fontId="13" fillId="0" borderId="5" xfId="1" applyNumberFormat="1" applyFont="1" applyBorder="1"/>
    <xf numFmtId="9" fontId="4" fillId="0" borderId="10" xfId="2" applyFont="1" applyBorder="1"/>
    <xf numFmtId="9" fontId="10" fillId="0" borderId="11" xfId="2" applyFont="1" applyBorder="1" applyAlignment="1">
      <alignment horizontal="right"/>
    </xf>
    <xf numFmtId="9" fontId="10" fillId="0" borderId="12" xfId="2" applyFont="1" applyBorder="1" applyAlignment="1">
      <alignment horizontal="right"/>
    </xf>
    <xf numFmtId="0" fontId="10" fillId="0" borderId="0" xfId="0" applyFont="1"/>
    <xf numFmtId="0" fontId="10" fillId="0" borderId="11" xfId="0" applyFont="1" applyBorder="1"/>
    <xf numFmtId="166" fontId="11" fillId="0" borderId="11" xfId="1" applyNumberFormat="1" applyFont="1" applyBorder="1"/>
    <xf numFmtId="166" fontId="10" fillId="0" borderId="11" xfId="1" applyNumberFormat="1" applyFont="1" applyBorder="1"/>
    <xf numFmtId="166" fontId="13" fillId="0" borderId="11" xfId="1" applyNumberFormat="1" applyFont="1" applyBorder="1"/>
    <xf numFmtId="0" fontId="7" fillId="5" borderId="14" xfId="0" applyFont="1" applyFill="1" applyBorder="1"/>
    <xf numFmtId="166" fontId="6" fillId="5" borderId="14" xfId="1" applyNumberFormat="1" applyFont="1" applyFill="1" applyBorder="1"/>
    <xf numFmtId="166" fontId="7" fillId="5" borderId="14" xfId="1" applyNumberFormat="1" applyFont="1" applyFill="1" applyBorder="1"/>
    <xf numFmtId="166" fontId="5" fillId="5" borderId="14" xfId="1" applyNumberFormat="1" applyFont="1" applyFill="1" applyBorder="1"/>
    <xf numFmtId="166" fontId="4" fillId="0" borderId="0" xfId="2" applyNumberFormat="1" applyFont="1"/>
    <xf numFmtId="9" fontId="4" fillId="5" borderId="13" xfId="2" applyFont="1" applyFill="1" applyBorder="1"/>
    <xf numFmtId="9" fontId="15" fillId="5" borderId="14" xfId="2" applyFont="1" applyFill="1" applyBorder="1" applyAlignment="1">
      <alignment horizontal="right"/>
    </xf>
    <xf numFmtId="9" fontId="15" fillId="5" borderId="15" xfId="2" applyFont="1" applyFill="1" applyBorder="1" applyAlignment="1">
      <alignment horizontal="right"/>
    </xf>
    <xf numFmtId="0" fontId="7" fillId="0" borderId="0" xfId="0" applyFont="1"/>
    <xf numFmtId="0" fontId="7" fillId="0" borderId="6" xfId="0" applyFont="1" applyBorder="1"/>
    <xf numFmtId="166" fontId="6" fillId="0" borderId="6" xfId="1" applyNumberFormat="1" applyFont="1" applyFill="1" applyBorder="1"/>
    <xf numFmtId="166" fontId="7" fillId="0" borderId="6" xfId="1" applyNumberFormat="1" applyFont="1" applyFill="1" applyBorder="1"/>
    <xf numFmtId="166" fontId="5" fillId="0" borderId="6" xfId="1" applyNumberFormat="1" applyFont="1" applyFill="1" applyBorder="1"/>
    <xf numFmtId="43" fontId="5" fillId="0" borderId="6" xfId="1" applyFont="1" applyFill="1" applyBorder="1"/>
    <xf numFmtId="9" fontId="4" fillId="0" borderId="0" xfId="2" applyFont="1" applyFill="1"/>
    <xf numFmtId="9" fontId="4" fillId="0" borderId="6" xfId="2" applyFont="1" applyFill="1" applyBorder="1"/>
    <xf numFmtId="9" fontId="15" fillId="0" borderId="6" xfId="2" applyFont="1" applyFill="1" applyBorder="1" applyAlignment="1">
      <alignment horizontal="right"/>
    </xf>
    <xf numFmtId="9" fontId="5" fillId="2" borderId="17" xfId="2" applyFont="1" applyFill="1" applyBorder="1"/>
    <xf numFmtId="9" fontId="4" fillId="2" borderId="17" xfId="2" applyFont="1" applyFill="1" applyBorder="1"/>
    <xf numFmtId="0" fontId="6" fillId="2" borderId="17" xfId="0" applyFont="1" applyFill="1" applyBorder="1" applyAlignment="1">
      <alignment horizontal="center" wrapText="1"/>
    </xf>
    <xf numFmtId="0" fontId="7" fillId="2" borderId="17" xfId="0" applyFont="1" applyFill="1" applyBorder="1" applyAlignment="1">
      <alignment horizontal="center"/>
    </xf>
    <xf numFmtId="0" fontId="5" fillId="2" borderId="17" xfId="0" applyFont="1" applyFill="1" applyBorder="1" applyAlignment="1">
      <alignment horizontal="center"/>
    </xf>
    <xf numFmtId="0" fontId="5" fillId="3" borderId="17" xfId="0" applyFont="1" applyFill="1" applyBorder="1" applyAlignment="1">
      <alignment horizontal="center"/>
    </xf>
    <xf numFmtId="0" fontId="6" fillId="4" borderId="16" xfId="0" applyFont="1" applyFill="1" applyBorder="1" applyAlignment="1">
      <alignment horizontal="center"/>
    </xf>
    <xf numFmtId="0" fontId="7" fillId="4" borderId="17" xfId="0" applyFont="1" applyFill="1" applyBorder="1" applyAlignment="1">
      <alignment horizontal="center"/>
    </xf>
    <xf numFmtId="0" fontId="7" fillId="4" borderId="18" xfId="0" applyFont="1" applyFill="1" applyBorder="1" applyAlignment="1">
      <alignment horizontal="center"/>
    </xf>
    <xf numFmtId="3" fontId="8" fillId="0" borderId="19" xfId="0" applyNumberFormat="1" applyFont="1" applyBorder="1"/>
    <xf numFmtId="165" fontId="8" fillId="0" borderId="20" xfId="2" applyNumberFormat="1" applyFont="1" applyBorder="1"/>
    <xf numFmtId="9" fontId="4" fillId="0" borderId="21" xfId="2" applyFont="1" applyBorder="1"/>
    <xf numFmtId="9" fontId="10" fillId="0" borderId="5" xfId="2" applyFont="1" applyBorder="1" applyAlignment="1">
      <alignment horizontal="right"/>
    </xf>
    <xf numFmtId="9" fontId="10" fillId="0" borderId="22" xfId="2" applyFont="1" applyBorder="1" applyAlignment="1">
      <alignment horizontal="right"/>
    </xf>
    <xf numFmtId="0" fontId="16" fillId="0" borderId="11" xfId="0" applyFont="1" applyBorder="1" applyAlignment="1">
      <alignment horizontal="right"/>
    </xf>
    <xf numFmtId="9" fontId="10" fillId="0" borderId="11" xfId="2" applyFont="1" applyBorder="1"/>
    <xf numFmtId="166" fontId="17" fillId="0" borderId="11" xfId="1" applyNumberFormat="1" applyFont="1" applyBorder="1"/>
    <xf numFmtId="166" fontId="18" fillId="0" borderId="11" xfId="1" applyNumberFormat="1" applyFont="1" applyBorder="1"/>
    <xf numFmtId="0" fontId="16" fillId="0" borderId="0" xfId="0" applyFont="1" applyAlignment="1">
      <alignment horizontal="right"/>
    </xf>
    <xf numFmtId="9" fontId="8" fillId="6" borderId="23" xfId="2" applyFont="1" applyFill="1" applyBorder="1"/>
    <xf numFmtId="9" fontId="8" fillId="6" borderId="11" xfId="2" applyFont="1" applyFill="1" applyBorder="1"/>
    <xf numFmtId="9" fontId="8" fillId="6" borderId="24" xfId="0" applyNumberFormat="1" applyFont="1" applyFill="1" applyBorder="1"/>
    <xf numFmtId="9" fontId="4" fillId="0" borderId="23" xfId="2" applyFont="1" applyBorder="1"/>
    <xf numFmtId="9" fontId="10" fillId="0" borderId="24" xfId="2" applyFont="1" applyBorder="1" applyAlignment="1">
      <alignment horizontal="right"/>
    </xf>
    <xf numFmtId="166" fontId="12" fillId="0" borderId="11" xfId="1" applyNumberFormat="1" applyFont="1" applyBorder="1"/>
    <xf numFmtId="166" fontId="20" fillId="0" borderId="11" xfId="1" applyNumberFormat="1" applyFont="1" applyBorder="1"/>
    <xf numFmtId="0" fontId="22" fillId="0" borderId="11" xfId="0" applyFont="1" applyBorder="1" applyAlignment="1">
      <alignment horizontal="right"/>
    </xf>
    <xf numFmtId="9" fontId="21" fillId="0" borderId="11" xfId="2" applyFont="1" applyBorder="1"/>
    <xf numFmtId="166" fontId="23" fillId="0" borderId="11" xfId="1" applyNumberFormat="1" applyFont="1" applyBorder="1"/>
    <xf numFmtId="166" fontId="24" fillId="0" borderId="11" xfId="1" applyNumberFormat="1" applyFont="1" applyBorder="1"/>
    <xf numFmtId="0" fontId="21" fillId="0" borderId="0" xfId="0" applyFont="1"/>
    <xf numFmtId="0" fontId="16" fillId="0" borderId="11" xfId="0" applyFont="1" applyBorder="1" applyAlignment="1">
      <alignment horizontal="right" wrapText="1"/>
    </xf>
    <xf numFmtId="9" fontId="16" fillId="0" borderId="11" xfId="2" applyFont="1" applyBorder="1"/>
    <xf numFmtId="0" fontId="16" fillId="0" borderId="0" xfId="0" applyFont="1"/>
    <xf numFmtId="9" fontId="25" fillId="0" borderId="11" xfId="2" applyFont="1" applyBorder="1"/>
    <xf numFmtId="0" fontId="25" fillId="0" borderId="0" xfId="0" applyFont="1"/>
    <xf numFmtId="9" fontId="16" fillId="0" borderId="25" xfId="2" applyFont="1" applyBorder="1"/>
    <xf numFmtId="166" fontId="23" fillId="0" borderId="25" xfId="1" applyNumberFormat="1" applyFont="1" applyBorder="1"/>
    <xf numFmtId="166" fontId="24" fillId="0" borderId="25" xfId="1" applyNumberFormat="1" applyFont="1" applyBorder="1"/>
    <xf numFmtId="166" fontId="18" fillId="0" borderId="25" xfId="1" applyNumberFormat="1" applyFont="1" applyBorder="1"/>
    <xf numFmtId="0" fontId="16" fillId="0" borderId="0" xfId="0" applyFont="1" applyAlignment="1">
      <alignment horizontal="left"/>
    </xf>
    <xf numFmtId="9" fontId="4" fillId="0" borderId="26" xfId="2" applyFont="1" applyBorder="1"/>
    <xf numFmtId="0" fontId="7" fillId="8" borderId="28" xfId="0" applyFont="1" applyFill="1" applyBorder="1"/>
    <xf numFmtId="166" fontId="29" fillId="8" borderId="28" xfId="1" applyNumberFormat="1" applyFont="1" applyFill="1" applyBorder="1"/>
    <xf numFmtId="9" fontId="15" fillId="8" borderId="27" xfId="2" applyFont="1" applyFill="1" applyBorder="1" applyAlignment="1">
      <alignment horizontal="right"/>
    </xf>
    <xf numFmtId="9" fontId="15" fillId="8" borderId="28" xfId="2" applyFont="1" applyFill="1" applyBorder="1" applyAlignment="1">
      <alignment horizontal="right"/>
    </xf>
    <xf numFmtId="9" fontId="15" fillId="8" borderId="29" xfId="2" applyFont="1" applyFill="1" applyBorder="1" applyAlignment="1">
      <alignment horizontal="right"/>
    </xf>
    <xf numFmtId="0" fontId="15" fillId="9" borderId="17" xfId="0" applyFont="1" applyFill="1" applyBorder="1" applyAlignment="1">
      <alignment horizontal="left" wrapText="1"/>
    </xf>
    <xf numFmtId="0" fontId="10" fillId="9" borderId="17" xfId="0" applyFont="1" applyFill="1" applyBorder="1" applyAlignment="1">
      <alignment horizontal="left" wrapText="1"/>
    </xf>
    <xf numFmtId="166" fontId="6" fillId="9" borderId="17" xfId="1" applyNumberFormat="1" applyFont="1" applyFill="1" applyBorder="1"/>
    <xf numFmtId="166" fontId="15" fillId="9" borderId="17" xfId="1" applyNumberFormat="1" applyFont="1" applyFill="1" applyBorder="1"/>
    <xf numFmtId="166" fontId="5" fillId="9" borderId="17" xfId="1" applyNumberFormat="1" applyFont="1" applyFill="1" applyBorder="1"/>
    <xf numFmtId="43" fontId="10" fillId="0" borderId="0" xfId="0" applyNumberFormat="1" applyFont="1"/>
    <xf numFmtId="0" fontId="10" fillId="10" borderId="16" xfId="0" applyFont="1" applyFill="1" applyBorder="1"/>
    <xf numFmtId="9" fontId="15" fillId="10" borderId="28" xfId="2" applyFont="1" applyFill="1" applyBorder="1" applyAlignment="1">
      <alignment horizontal="right"/>
    </xf>
    <xf numFmtId="9" fontId="15" fillId="10" borderId="29" xfId="2" applyFont="1" applyFill="1" applyBorder="1" applyAlignment="1">
      <alignment horizontal="right"/>
    </xf>
    <xf numFmtId="0" fontId="7" fillId="4" borderId="17" xfId="0" applyFont="1" applyFill="1" applyBorder="1" applyAlignment="1">
      <alignment horizontal="left" wrapText="1"/>
    </xf>
    <xf numFmtId="166" fontId="5" fillId="4" borderId="17" xfId="1" applyNumberFormat="1" applyFont="1" applyFill="1" applyBorder="1"/>
    <xf numFmtId="0" fontId="10" fillId="2" borderId="16" xfId="0" applyFont="1" applyFill="1" applyBorder="1"/>
    <xf numFmtId="9" fontId="15" fillId="2" borderId="28" xfId="2" applyFont="1" applyFill="1" applyBorder="1" applyAlignment="1">
      <alignment horizontal="right"/>
    </xf>
    <xf numFmtId="9" fontId="15" fillId="2" borderId="29" xfId="2" applyFont="1" applyFill="1" applyBorder="1" applyAlignment="1">
      <alignment horizontal="right"/>
    </xf>
    <xf numFmtId="0" fontId="30" fillId="0" borderId="8" xfId="0" applyFont="1" applyBorder="1" applyAlignment="1">
      <alignment horizontal="left" wrapText="1"/>
    </xf>
    <xf numFmtId="0" fontId="7" fillId="0" borderId="8" xfId="0" applyFont="1" applyBorder="1" applyAlignment="1">
      <alignment horizontal="left" wrapText="1"/>
    </xf>
    <xf numFmtId="166" fontId="6" fillId="0" borderId="8" xfId="1" applyNumberFormat="1" applyFont="1" applyFill="1" applyBorder="1"/>
    <xf numFmtId="166" fontId="5" fillId="0" borderId="8" xfId="1" applyNumberFormat="1" applyFont="1" applyFill="1" applyBorder="1"/>
    <xf numFmtId="0" fontId="7" fillId="4" borderId="5" xfId="0" applyFont="1" applyFill="1" applyBorder="1" applyAlignment="1">
      <alignment horizontal="left" wrapText="1"/>
    </xf>
    <xf numFmtId="166" fontId="6" fillId="4" borderId="5" xfId="1" applyNumberFormat="1" applyFont="1" applyFill="1" applyBorder="1"/>
    <xf numFmtId="166" fontId="5" fillId="4" borderId="5" xfId="1" applyNumberFormat="1" applyFont="1" applyFill="1" applyBorder="1"/>
    <xf numFmtId="0" fontId="7" fillId="4" borderId="11" xfId="0" applyFont="1" applyFill="1" applyBorder="1" applyAlignment="1">
      <alignment horizontal="left" wrapText="1"/>
    </xf>
    <xf numFmtId="166" fontId="6" fillId="4" borderId="11" xfId="1" applyNumberFormat="1" applyFont="1" applyFill="1" applyBorder="1"/>
    <xf numFmtId="166" fontId="5" fillId="4" borderId="11" xfId="1" applyNumberFormat="1" applyFont="1" applyFill="1" applyBorder="1"/>
    <xf numFmtId="0" fontId="7" fillId="4" borderId="28" xfId="0" applyFont="1" applyFill="1" applyBorder="1" applyAlignment="1">
      <alignment horizontal="left" wrapText="1"/>
    </xf>
    <xf numFmtId="166" fontId="6" fillId="4" borderId="28" xfId="1" applyNumberFormat="1" applyFont="1" applyFill="1" applyBorder="1"/>
    <xf numFmtId="166" fontId="5" fillId="4" borderId="28" xfId="1" applyNumberFormat="1" applyFont="1" applyFill="1" applyBorder="1"/>
    <xf numFmtId="0" fontId="7" fillId="0" borderId="6" xfId="0" applyFont="1" applyBorder="1" applyAlignment="1">
      <alignment horizontal="left" wrapText="1"/>
    </xf>
    <xf numFmtId="0" fontId="29" fillId="4" borderId="31" xfId="0" applyFont="1" applyFill="1" applyBorder="1" applyAlignment="1">
      <alignment horizontal="left"/>
    </xf>
    <xf numFmtId="0" fontId="6" fillId="4" borderId="31" xfId="0" applyFont="1" applyFill="1" applyBorder="1" applyAlignment="1">
      <alignment horizontal="center"/>
    </xf>
    <xf numFmtId="0" fontId="6" fillId="4" borderId="31" xfId="0" applyFont="1" applyFill="1" applyBorder="1" applyAlignment="1">
      <alignment horizontal="center" wrapText="1"/>
    </xf>
    <xf numFmtId="0" fontId="7" fillId="4" borderId="31" xfId="0" applyFont="1" applyFill="1" applyBorder="1" applyAlignment="1">
      <alignment horizontal="center"/>
    </xf>
    <xf numFmtId="0" fontId="5" fillId="4" borderId="31" xfId="0" applyFont="1" applyFill="1" applyBorder="1" applyAlignment="1">
      <alignment horizontal="center"/>
    </xf>
    <xf numFmtId="0" fontId="31" fillId="0" borderId="0" xfId="0" applyFont="1"/>
    <xf numFmtId="167" fontId="5" fillId="11" borderId="32" xfId="3" quotePrefix="1" applyNumberFormat="1" applyFont="1" applyFill="1" applyBorder="1" applyAlignment="1" applyProtection="1">
      <alignment wrapText="1"/>
      <protection locked="0"/>
    </xf>
    <xf numFmtId="0" fontId="5" fillId="11" borderId="11" xfId="3" applyFont="1" applyFill="1" applyBorder="1"/>
    <xf numFmtId="167" fontId="5" fillId="11" borderId="11" xfId="3" applyNumberFormat="1" applyFont="1" applyFill="1" applyBorder="1" applyProtection="1">
      <protection locked="0"/>
    </xf>
    <xf numFmtId="167" fontId="33" fillId="11" borderId="11" xfId="3" applyNumberFormat="1" applyFont="1" applyFill="1" applyBorder="1" applyProtection="1">
      <protection locked="0"/>
    </xf>
    <xf numFmtId="166" fontId="34" fillId="0" borderId="23" xfId="1" applyNumberFormat="1" applyFont="1" applyFill="1" applyBorder="1"/>
    <xf numFmtId="0" fontId="5" fillId="0" borderId="11" xfId="0" applyFont="1" applyBorder="1" applyAlignment="1">
      <alignment horizontal="left" wrapText="1" indent="1"/>
    </xf>
    <xf numFmtId="0" fontId="35" fillId="0" borderId="11" xfId="0" applyFont="1" applyBorder="1" applyAlignment="1">
      <alignment horizontal="left" wrapText="1"/>
    </xf>
    <xf numFmtId="166" fontId="6" fillId="0" borderId="11" xfId="1" applyNumberFormat="1" applyFont="1" applyFill="1" applyBorder="1"/>
    <xf numFmtId="167" fontId="21" fillId="0" borderId="11" xfId="3" applyNumberFormat="1" applyFont="1" applyBorder="1" applyProtection="1">
      <protection locked="0"/>
    </xf>
    <xf numFmtId="166" fontId="21" fillId="0" borderId="11" xfId="1" applyNumberFormat="1" applyFont="1" applyFill="1" applyBorder="1"/>
    <xf numFmtId="166" fontId="5" fillId="0" borderId="11" xfId="1" applyNumberFormat="1" applyFont="1" applyFill="1" applyBorder="1"/>
    <xf numFmtId="0" fontId="35" fillId="0" borderId="0" xfId="0" applyFont="1"/>
    <xf numFmtId="0" fontId="35" fillId="0" borderId="33" xfId="0" applyFont="1" applyBorder="1"/>
    <xf numFmtId="0" fontId="36" fillId="0" borderId="11" xfId="0" applyFont="1" applyBorder="1" applyAlignment="1">
      <alignment horizontal="left" wrapText="1"/>
    </xf>
    <xf numFmtId="166" fontId="37" fillId="0" borderId="11" xfId="1" applyNumberFormat="1" applyFont="1" applyFill="1" applyBorder="1"/>
    <xf numFmtId="0" fontId="36" fillId="0" borderId="0" xfId="0" applyFont="1"/>
    <xf numFmtId="0" fontId="14" fillId="0" borderId="0" xfId="0" applyFont="1"/>
    <xf numFmtId="0" fontId="38" fillId="0" borderId="11" xfId="0" applyFont="1" applyBorder="1" applyAlignment="1">
      <alignment horizontal="left" wrapText="1"/>
    </xf>
    <xf numFmtId="166" fontId="34" fillId="0" borderId="11" xfId="1" applyNumberFormat="1" applyFont="1" applyFill="1" applyBorder="1"/>
    <xf numFmtId="0" fontId="38" fillId="0" borderId="0" xfId="0" applyFont="1"/>
    <xf numFmtId="0" fontId="5" fillId="12" borderId="23" xfId="0" applyFont="1" applyFill="1" applyBorder="1"/>
    <xf numFmtId="0" fontId="5" fillId="12" borderId="11" xfId="0" applyFont="1" applyFill="1" applyBorder="1" applyAlignment="1">
      <alignment horizontal="left" wrapText="1"/>
    </xf>
    <xf numFmtId="0" fontId="7" fillId="12" borderId="11" xfId="0" applyFont="1" applyFill="1" applyBorder="1" applyAlignment="1">
      <alignment horizontal="left" wrapText="1"/>
    </xf>
    <xf numFmtId="166" fontId="5" fillId="12" borderId="34" xfId="1" applyNumberFormat="1" applyFont="1" applyFill="1" applyBorder="1"/>
    <xf numFmtId="0" fontId="4" fillId="0" borderId="0" xfId="0" applyFont="1"/>
    <xf numFmtId="0" fontId="16" fillId="12" borderId="25" xfId="0" applyFont="1" applyFill="1" applyBorder="1" applyAlignment="1">
      <alignment horizontal="right" wrapText="1" indent="1"/>
    </xf>
    <xf numFmtId="0" fontId="33" fillId="12" borderId="25" xfId="0" applyFont="1" applyFill="1" applyBorder="1" applyAlignment="1">
      <alignment horizontal="left" wrapText="1"/>
    </xf>
    <xf numFmtId="166" fontId="16" fillId="12" borderId="34" xfId="1" applyNumberFormat="1" applyFont="1" applyFill="1" applyBorder="1"/>
    <xf numFmtId="0" fontId="33" fillId="0" borderId="0" xfId="0" applyFont="1"/>
    <xf numFmtId="0" fontId="5" fillId="12" borderId="26" xfId="0" applyFont="1" applyFill="1" applyBorder="1"/>
    <xf numFmtId="0" fontId="18" fillId="12" borderId="25" xfId="0" applyFont="1" applyFill="1" applyBorder="1" applyAlignment="1">
      <alignment horizontal="right" wrapText="1" indent="1"/>
    </xf>
    <xf numFmtId="0" fontId="7" fillId="12" borderId="25" xfId="0" applyFont="1" applyFill="1" applyBorder="1" applyAlignment="1">
      <alignment horizontal="left" wrapText="1"/>
    </xf>
    <xf numFmtId="166" fontId="39" fillId="12" borderId="34" xfId="1" applyNumberFormat="1" applyFont="1" applyFill="1" applyBorder="1"/>
    <xf numFmtId="0" fontId="13" fillId="5" borderId="27" xfId="0" applyFont="1" applyFill="1" applyBorder="1"/>
    <xf numFmtId="0" fontId="5" fillId="5" borderId="28" xfId="0" applyFont="1" applyFill="1" applyBorder="1" applyAlignment="1">
      <alignment horizontal="left" wrapText="1"/>
    </xf>
    <xf numFmtId="0" fontId="35" fillId="5" borderId="28" xfId="0" applyFont="1" applyFill="1" applyBorder="1" applyAlignment="1">
      <alignment horizontal="left" wrapText="1"/>
    </xf>
    <xf numFmtId="166" fontId="5" fillId="5" borderId="35" xfId="1" applyNumberFormat="1" applyFont="1" applyFill="1" applyBorder="1"/>
    <xf numFmtId="43" fontId="5" fillId="0" borderId="8" xfId="1" applyFont="1" applyFill="1" applyBorder="1"/>
    <xf numFmtId="0" fontId="40" fillId="0" borderId="0" xfId="0" applyFont="1" applyAlignment="1">
      <alignment horizontal="left" wrapText="1"/>
    </xf>
    <xf numFmtId="0" fontId="11" fillId="0" borderId="0" xfId="0" applyFont="1"/>
    <xf numFmtId="167" fontId="14" fillId="0" borderId="0" xfId="0" applyNumberFormat="1" applyFont="1"/>
    <xf numFmtId="0" fontId="13" fillId="0" borderId="0" xfId="0" applyFont="1"/>
    <xf numFmtId="0" fontId="4" fillId="4" borderId="36" xfId="0" applyFont="1" applyFill="1" applyBorder="1" applyAlignment="1">
      <alignment horizontal="center" wrapText="1"/>
    </xf>
    <xf numFmtId="0" fontId="5" fillId="11" borderId="37" xfId="3" applyFont="1" applyFill="1" applyBorder="1" applyAlignment="1">
      <alignment horizontal="left" vertical="center"/>
    </xf>
    <xf numFmtId="0" fontId="5" fillId="11" borderId="32" xfId="3" applyFont="1" applyFill="1" applyBorder="1"/>
    <xf numFmtId="167" fontId="5" fillId="11" borderId="32" xfId="3" applyNumberFormat="1" applyFont="1" applyFill="1" applyBorder="1" applyProtection="1">
      <protection locked="0"/>
    </xf>
    <xf numFmtId="0" fontId="13" fillId="13" borderId="0" xfId="4" applyFont="1" applyFill="1"/>
    <xf numFmtId="166" fontId="4" fillId="11" borderId="38" xfId="1" applyNumberFormat="1" applyFont="1" applyFill="1" applyBorder="1" applyProtection="1">
      <protection locked="0"/>
    </xf>
    <xf numFmtId="0" fontId="13" fillId="0" borderId="0" xfId="4" applyFont="1" applyFill="1"/>
    <xf numFmtId="167" fontId="5" fillId="14" borderId="40" xfId="3" quotePrefix="1" applyNumberFormat="1" applyFont="1" applyFill="1" applyBorder="1" applyAlignment="1" applyProtection="1">
      <alignment wrapText="1"/>
      <protection locked="0"/>
    </xf>
    <xf numFmtId="0" fontId="5" fillId="14" borderId="40" xfId="3" applyFont="1" applyFill="1" applyBorder="1"/>
    <xf numFmtId="167" fontId="5" fillId="14" borderId="40" xfId="3" applyNumberFormat="1" applyFont="1" applyFill="1" applyBorder="1" applyProtection="1">
      <protection locked="0"/>
    </xf>
    <xf numFmtId="166" fontId="4" fillId="14" borderId="41" xfId="1" applyNumberFormat="1" applyFont="1" applyFill="1" applyBorder="1" applyProtection="1">
      <protection locked="0"/>
    </xf>
    <xf numFmtId="0" fontId="5" fillId="15" borderId="40" xfId="0" applyFont="1" applyFill="1" applyBorder="1"/>
    <xf numFmtId="0" fontId="13" fillId="15" borderId="40" xfId="0" applyFont="1" applyFill="1" applyBorder="1"/>
    <xf numFmtId="166" fontId="5" fillId="15" borderId="40" xfId="1" applyNumberFormat="1" applyFont="1" applyFill="1" applyBorder="1"/>
    <xf numFmtId="166" fontId="13" fillId="15" borderId="40" xfId="1" applyNumberFormat="1" applyFont="1" applyFill="1" applyBorder="1"/>
    <xf numFmtId="166" fontId="14" fillId="15" borderId="41" xfId="1" applyNumberFormat="1" applyFont="1" applyFill="1" applyBorder="1"/>
    <xf numFmtId="166" fontId="21" fillId="0" borderId="0" xfId="0" applyNumberFormat="1" applyFont="1"/>
    <xf numFmtId="0" fontId="5" fillId="16" borderId="40" xfId="0" applyFont="1" applyFill="1" applyBorder="1"/>
    <xf numFmtId="0" fontId="13" fillId="16" borderId="40" xfId="0" applyFont="1" applyFill="1" applyBorder="1"/>
    <xf numFmtId="166" fontId="5" fillId="16" borderId="40" xfId="1" applyNumberFormat="1" applyFont="1" applyFill="1" applyBorder="1"/>
    <xf numFmtId="166" fontId="13" fillId="16" borderId="40" xfId="1" applyNumberFormat="1" applyFont="1" applyFill="1" applyBorder="1"/>
    <xf numFmtId="166" fontId="14" fillId="16" borderId="41" xfId="1" applyNumberFormat="1" applyFont="1" applyFill="1" applyBorder="1"/>
    <xf numFmtId="0" fontId="43" fillId="0" borderId="40" xfId="0" applyFont="1" applyBorder="1"/>
    <xf numFmtId="0" fontId="44" fillId="0" borderId="40" xfId="0" applyFont="1" applyBorder="1"/>
    <xf numFmtId="166" fontId="43" fillId="0" borderId="40" xfId="1" applyNumberFormat="1" applyFont="1" applyFill="1" applyBorder="1"/>
    <xf numFmtId="166" fontId="14" fillId="0" borderId="41" xfId="1" applyNumberFormat="1" applyFont="1" applyFill="1" applyBorder="1"/>
    <xf numFmtId="0" fontId="5" fillId="5" borderId="43" xfId="0" applyFont="1" applyFill="1" applyBorder="1" applyAlignment="1">
      <alignment horizontal="left" wrapText="1"/>
    </xf>
    <xf numFmtId="166" fontId="5" fillId="5" borderId="43" xfId="1" applyNumberFormat="1" applyFont="1" applyFill="1" applyBorder="1"/>
    <xf numFmtId="0" fontId="31" fillId="0" borderId="44" xfId="0" applyFont="1" applyBorder="1"/>
    <xf numFmtId="166" fontId="6" fillId="0" borderId="0" xfId="1" applyNumberFormat="1" applyFont="1" applyFill="1" applyBorder="1"/>
    <xf numFmtId="166" fontId="40" fillId="0" borderId="0" xfId="1" applyNumberFormat="1" applyFont="1" applyFill="1" applyBorder="1"/>
    <xf numFmtId="166" fontId="5" fillId="0" borderId="0" xfId="1" applyNumberFormat="1" applyFont="1" applyFill="1" applyBorder="1"/>
    <xf numFmtId="166" fontId="5" fillId="11" borderId="32" xfId="1" applyNumberFormat="1" applyFont="1" applyFill="1" applyBorder="1" applyProtection="1">
      <protection locked="0"/>
    </xf>
    <xf numFmtId="0" fontId="13" fillId="13" borderId="0" xfId="4" applyFont="1" applyFill="1" applyBorder="1" applyAlignment="1">
      <alignment wrapText="1"/>
    </xf>
    <xf numFmtId="0" fontId="13" fillId="13" borderId="0" xfId="4" applyFont="1" applyFill="1" applyBorder="1"/>
    <xf numFmtId="166" fontId="5" fillId="11" borderId="45" xfId="1" applyNumberFormat="1" applyFont="1" applyFill="1" applyBorder="1" applyProtection="1">
      <protection locked="0"/>
    </xf>
    <xf numFmtId="166" fontId="5" fillId="14" borderId="46" xfId="1" applyNumberFormat="1" applyFont="1" applyFill="1" applyBorder="1" applyProtection="1">
      <protection locked="0"/>
    </xf>
    <xf numFmtId="166" fontId="13" fillId="15" borderId="46" xfId="1" applyNumberFormat="1" applyFont="1" applyFill="1" applyBorder="1"/>
    <xf numFmtId="166" fontId="13" fillId="3" borderId="46" xfId="1" applyNumberFormat="1" applyFont="1" applyFill="1" applyBorder="1"/>
    <xf numFmtId="166" fontId="13" fillId="16" borderId="46" xfId="1" applyNumberFormat="1" applyFont="1" applyFill="1" applyBorder="1"/>
    <xf numFmtId="166" fontId="5" fillId="0" borderId="40" xfId="1" applyNumberFormat="1" applyFont="1" applyFill="1" applyBorder="1"/>
    <xf numFmtId="166" fontId="12" fillId="0" borderId="46" xfId="1" applyNumberFormat="1" applyFont="1" applyFill="1" applyBorder="1"/>
    <xf numFmtId="0" fontId="31" fillId="0" borderId="47" xfId="0" applyFont="1" applyBorder="1"/>
    <xf numFmtId="167" fontId="5" fillId="13" borderId="0" xfId="4" applyNumberFormat="1" applyFont="1" applyFill="1"/>
    <xf numFmtId="166" fontId="13" fillId="0" borderId="0" xfId="1" applyNumberFormat="1" applyFont="1" applyFill="1"/>
    <xf numFmtId="0" fontId="45" fillId="0" borderId="0" xfId="0" applyFont="1"/>
    <xf numFmtId="166" fontId="46" fillId="0" borderId="0" xfId="1" applyNumberFormat="1" applyFont="1" applyFill="1" applyBorder="1"/>
    <xf numFmtId="0" fontId="47" fillId="0" borderId="0" xfId="0" applyFont="1"/>
    <xf numFmtId="166" fontId="47" fillId="0" borderId="0" xfId="0" applyNumberFormat="1" applyFont="1"/>
    <xf numFmtId="166" fontId="21" fillId="0" borderId="0" xfId="1" applyNumberFormat="1" applyFont="1" applyFill="1"/>
    <xf numFmtId="167" fontId="13" fillId="0" borderId="0" xfId="4" applyNumberFormat="1" applyFont="1" applyFill="1"/>
    <xf numFmtId="0" fontId="35" fillId="0" borderId="0" xfId="0" applyFont="1" applyAlignment="1">
      <alignment horizontal="left" wrapText="1"/>
    </xf>
    <xf numFmtId="166" fontId="35" fillId="0" borderId="0" xfId="1" applyNumberFormat="1" applyFont="1" applyFill="1" applyBorder="1"/>
    <xf numFmtId="167" fontId="5" fillId="11" borderId="49" xfId="3" quotePrefix="1" applyNumberFormat="1" applyFont="1" applyFill="1" applyBorder="1" applyAlignment="1" applyProtection="1">
      <alignment wrapText="1"/>
      <protection locked="0"/>
    </xf>
    <xf numFmtId="0" fontId="5" fillId="11" borderId="49" xfId="3" applyFont="1" applyFill="1" applyBorder="1"/>
    <xf numFmtId="167" fontId="5" fillId="11" borderId="49" xfId="3" applyNumberFormat="1" applyFont="1" applyFill="1" applyBorder="1" applyProtection="1">
      <protection locked="0"/>
    </xf>
    <xf numFmtId="0" fontId="48" fillId="0" borderId="0" xfId="4" applyFont="1" applyFill="1"/>
    <xf numFmtId="166" fontId="31" fillId="0" borderId="0" xfId="1" applyNumberFormat="1" applyFont="1" applyFill="1"/>
    <xf numFmtId="166" fontId="14" fillId="0" borderId="0" xfId="1" applyNumberFormat="1" applyFont="1" applyFill="1"/>
    <xf numFmtId="0" fontId="5" fillId="5" borderId="52" xfId="0" applyFont="1" applyFill="1" applyBorder="1" applyAlignment="1">
      <alignment horizontal="left" wrapText="1"/>
    </xf>
    <xf numFmtId="166" fontId="5" fillId="5" borderId="52" xfId="1" applyNumberFormat="1" applyFont="1" applyFill="1" applyBorder="1"/>
    <xf numFmtId="0" fontId="4" fillId="0" borderId="0" xfId="0" applyFont="1" applyAlignment="1">
      <alignment horizontal="left" wrapText="1"/>
    </xf>
    <xf numFmtId="0" fontId="5" fillId="0" borderId="0" xfId="0" applyFont="1" applyAlignment="1">
      <alignment horizontal="left" wrapText="1"/>
    </xf>
    <xf numFmtId="3" fontId="31" fillId="0" borderId="0" xfId="0" applyNumberFormat="1" applyFont="1"/>
    <xf numFmtId="0" fontId="5" fillId="5" borderId="53" xfId="0" applyFont="1" applyFill="1" applyBorder="1" applyAlignment="1">
      <alignment horizontal="left" wrapText="1"/>
    </xf>
    <xf numFmtId="166" fontId="49" fillId="5" borderId="53" xfId="1" applyNumberFormat="1" applyFont="1" applyFill="1" applyBorder="1"/>
    <xf numFmtId="166" fontId="5" fillId="5" borderId="53" xfId="1" applyNumberFormat="1" applyFont="1" applyFill="1" applyBorder="1"/>
    <xf numFmtId="166" fontId="31" fillId="0" borderId="0" xfId="0" applyNumberFormat="1" applyFont="1"/>
    <xf numFmtId="0" fontId="13" fillId="12" borderId="53" xfId="0" applyFont="1" applyFill="1" applyBorder="1"/>
    <xf numFmtId="0" fontId="5" fillId="12" borderId="53" xfId="0" applyFont="1" applyFill="1" applyBorder="1" applyAlignment="1">
      <alignment horizontal="left" wrapText="1" indent="2"/>
    </xf>
    <xf numFmtId="0" fontId="5" fillId="12" borderId="53" xfId="0" applyFont="1" applyFill="1" applyBorder="1" applyAlignment="1">
      <alignment horizontal="left" wrapText="1"/>
    </xf>
    <xf numFmtId="166" fontId="49" fillId="12" borderId="53" xfId="1" applyNumberFormat="1" applyFont="1" applyFill="1" applyBorder="1"/>
    <xf numFmtId="166" fontId="29" fillId="12" borderId="53" xfId="1" applyNumberFormat="1" applyFont="1" applyFill="1" applyBorder="1"/>
    <xf numFmtId="166" fontId="5" fillId="12" borderId="53" xfId="1" applyNumberFormat="1" applyFont="1" applyFill="1" applyBorder="1"/>
    <xf numFmtId="166" fontId="14" fillId="0" borderId="0" xfId="0" applyNumberFormat="1" applyFont="1"/>
    <xf numFmtId="0" fontId="5" fillId="12" borderId="53" xfId="0" applyFont="1" applyFill="1" applyBorder="1" applyAlignment="1">
      <alignment horizontal="left" indent="2"/>
    </xf>
    <xf numFmtId="166" fontId="13" fillId="0" borderId="0" xfId="0" applyNumberFormat="1" applyFont="1"/>
    <xf numFmtId="0" fontId="5" fillId="8" borderId="53" xfId="0" applyFont="1" applyFill="1" applyBorder="1" applyAlignment="1">
      <alignment horizontal="left" wrapText="1"/>
    </xf>
    <xf numFmtId="0" fontId="35" fillId="8" borderId="53" xfId="0" applyFont="1" applyFill="1" applyBorder="1" applyAlignment="1">
      <alignment horizontal="left" wrapText="1"/>
    </xf>
    <xf numFmtId="166" fontId="49" fillId="8" borderId="53" xfId="1" applyNumberFormat="1" applyFont="1" applyFill="1" applyBorder="1"/>
    <xf numFmtId="166" fontId="5" fillId="8" borderId="53" xfId="1" applyNumberFormat="1" applyFont="1" applyFill="1" applyBorder="1"/>
    <xf numFmtId="0" fontId="5" fillId="18" borderId="53" xfId="0" applyFont="1" applyFill="1" applyBorder="1" applyAlignment="1">
      <alignment horizontal="left" wrapText="1" indent="1"/>
    </xf>
    <xf numFmtId="0" fontId="35" fillId="18" borderId="53" xfId="0" applyFont="1" applyFill="1" applyBorder="1" applyAlignment="1">
      <alignment horizontal="left" wrapText="1"/>
    </xf>
    <xf numFmtId="166" fontId="49" fillId="18" borderId="53" xfId="1" applyNumberFormat="1" applyFont="1" applyFill="1" applyBorder="1"/>
    <xf numFmtId="166" fontId="5" fillId="18" borderId="53" xfId="1" applyNumberFormat="1" applyFont="1" applyFill="1" applyBorder="1"/>
    <xf numFmtId="0" fontId="50" fillId="18" borderId="53" xfId="0" applyFont="1" applyFill="1" applyBorder="1" applyAlignment="1">
      <alignment horizontal="left" wrapText="1"/>
    </xf>
    <xf numFmtId="43" fontId="31" fillId="0" borderId="0" xfId="0" applyNumberFormat="1" applyFont="1"/>
    <xf numFmtId="0" fontId="39" fillId="18" borderId="53" xfId="0" applyFont="1" applyFill="1" applyBorder="1" applyAlignment="1">
      <alignment horizontal="left" wrapText="1" indent="3"/>
    </xf>
    <xf numFmtId="166" fontId="23" fillId="18" borderId="53" xfId="1" applyNumberFormat="1" applyFont="1" applyFill="1" applyBorder="1"/>
    <xf numFmtId="166" fontId="39" fillId="18" borderId="53" xfId="1" applyNumberFormat="1" applyFont="1" applyFill="1" applyBorder="1"/>
    <xf numFmtId="0" fontId="51" fillId="0" borderId="0" xfId="0" applyFont="1"/>
    <xf numFmtId="166" fontId="51" fillId="0" borderId="0" xfId="0" applyNumberFormat="1" applyFont="1"/>
    <xf numFmtId="167" fontId="5" fillId="0" borderId="0" xfId="3" applyNumberFormat="1" applyFont="1" applyProtection="1">
      <protection locked="0"/>
    </xf>
    <xf numFmtId="0" fontId="5" fillId="2" borderId="53" xfId="0" applyFont="1" applyFill="1" applyBorder="1" applyAlignment="1">
      <alignment horizontal="left" wrapText="1"/>
    </xf>
    <xf numFmtId="0" fontId="35" fillId="2" borderId="53" xfId="0" applyFont="1" applyFill="1" applyBorder="1" applyAlignment="1">
      <alignment horizontal="left" wrapText="1"/>
    </xf>
    <xf numFmtId="166" fontId="6" fillId="2" borderId="53" xfId="1" applyNumberFormat="1" applyFont="1" applyFill="1" applyBorder="1"/>
    <xf numFmtId="166" fontId="29" fillId="2" borderId="53" xfId="1" applyNumberFormat="1" applyFont="1" applyFill="1" applyBorder="1"/>
    <xf numFmtId="166" fontId="5" fillId="2" borderId="53" xfId="1" applyNumberFormat="1" applyFont="1" applyFill="1" applyBorder="1"/>
    <xf numFmtId="166" fontId="10" fillId="0" borderId="0" xfId="0" applyNumberFormat="1" applyFont="1"/>
    <xf numFmtId="0" fontId="10" fillId="9" borderId="53" xfId="0" applyFont="1" applyFill="1" applyBorder="1"/>
    <xf numFmtId="0" fontId="5" fillId="9" borderId="53" xfId="5" applyFont="1" applyFill="1" applyBorder="1" applyAlignment="1">
      <alignment wrapText="1"/>
    </xf>
    <xf numFmtId="166" fontId="11" fillId="9" borderId="53" xfId="0" applyNumberFormat="1" applyFont="1" applyFill="1" applyBorder="1"/>
    <xf numFmtId="0" fontId="13" fillId="9" borderId="53" xfId="0" applyFont="1" applyFill="1" applyBorder="1"/>
    <xf numFmtId="0" fontId="5" fillId="0" borderId="0" xfId="5" applyFont="1" applyAlignment="1">
      <alignment horizontal="right"/>
    </xf>
    <xf numFmtId="166" fontId="11" fillId="0" borderId="0" xfId="1" applyNumberFormat="1" applyFont="1" applyBorder="1"/>
    <xf numFmtId="166" fontId="10" fillId="0" borderId="0" xfId="1" applyNumberFormat="1" applyFont="1" applyBorder="1"/>
    <xf numFmtId="166" fontId="13" fillId="0" borderId="0" xfId="1" applyNumberFormat="1" applyFont="1" applyBorder="1"/>
    <xf numFmtId="0" fontId="20" fillId="0" borderId="0" xfId="0" applyFont="1"/>
    <xf numFmtId="0" fontId="5" fillId="0" borderId="54" xfId="5" applyFont="1" applyBorder="1" applyAlignment="1">
      <alignment horizontal="right"/>
    </xf>
    <xf numFmtId="0" fontId="10" fillId="0" borderId="54" xfId="0" applyFont="1" applyBorder="1"/>
    <xf numFmtId="166" fontId="11" fillId="0" borderId="54" xfId="1" applyNumberFormat="1" applyFont="1" applyBorder="1"/>
    <xf numFmtId="166" fontId="10" fillId="0" borderId="54" xfId="1" applyNumberFormat="1" applyFont="1" applyBorder="1"/>
    <xf numFmtId="166" fontId="13" fillId="0" borderId="54" xfId="1" applyNumberFormat="1" applyFont="1" applyBorder="1"/>
    <xf numFmtId="166" fontId="6" fillId="0" borderId="0" xfId="0" applyNumberFormat="1" applyFont="1"/>
    <xf numFmtId="166" fontId="7" fillId="0" borderId="0" xfId="0" applyNumberFormat="1" applyFont="1"/>
    <xf numFmtId="166" fontId="5" fillId="0" borderId="0" xfId="0" applyNumberFormat="1" applyFont="1"/>
    <xf numFmtId="0" fontId="5" fillId="0" borderId="55" xfId="5" applyFont="1" applyBorder="1" applyAlignment="1">
      <alignment wrapText="1"/>
    </xf>
    <xf numFmtId="0" fontId="10" fillId="0" borderId="55" xfId="0" applyFont="1" applyBorder="1"/>
    <xf numFmtId="9" fontId="11" fillId="0" borderId="55" xfId="2" applyFont="1" applyFill="1" applyBorder="1"/>
    <xf numFmtId="165" fontId="13" fillId="0" borderId="55" xfId="2" applyNumberFormat="1" applyFont="1" applyFill="1" applyBorder="1"/>
    <xf numFmtId="165" fontId="29" fillId="0" borderId="55" xfId="2" applyNumberFormat="1" applyFont="1" applyFill="1" applyBorder="1"/>
    <xf numFmtId="0" fontId="52" fillId="0" borderId="0" xfId="0" applyFont="1"/>
    <xf numFmtId="0" fontId="40" fillId="0" borderId="0" xfId="5" applyFont="1" applyAlignment="1">
      <alignment wrapText="1"/>
    </xf>
    <xf numFmtId="0" fontId="53" fillId="0" borderId="0" xfId="0" applyFont="1"/>
    <xf numFmtId="9" fontId="53" fillId="0" borderId="0" xfId="2" applyFont="1" applyFill="1" applyBorder="1"/>
    <xf numFmtId="166" fontId="53" fillId="0" borderId="0" xfId="1" applyNumberFormat="1" applyFont="1" applyFill="1" applyBorder="1"/>
    <xf numFmtId="166" fontId="52" fillId="0" borderId="0" xfId="1" applyNumberFormat="1" applyFont="1" applyFill="1" applyBorder="1"/>
    <xf numFmtId="0" fontId="54" fillId="0" borderId="0" xfId="0" applyFont="1"/>
    <xf numFmtId="0" fontId="13" fillId="0" borderId="55" xfId="0" applyFont="1" applyBorder="1"/>
    <xf numFmtId="166" fontId="13" fillId="0" borderId="55" xfId="1" applyNumberFormat="1" applyFont="1" applyFill="1" applyBorder="1"/>
    <xf numFmtId="166" fontId="14" fillId="0" borderId="55" xfId="1" applyNumberFormat="1" applyFont="1" applyFill="1" applyBorder="1"/>
    <xf numFmtId="0" fontId="55" fillId="0" borderId="0" xfId="0" applyFont="1"/>
    <xf numFmtId="0" fontId="56" fillId="0" borderId="0" xfId="5" applyFont="1" applyAlignment="1">
      <alignment wrapText="1"/>
    </xf>
    <xf numFmtId="166" fontId="11" fillId="0" borderId="0" xfId="1" applyNumberFormat="1" applyFont="1" applyFill="1" applyBorder="1"/>
    <xf numFmtId="166" fontId="55" fillId="0" borderId="0" xfId="1" applyNumberFormat="1" applyFont="1" applyFill="1" applyBorder="1"/>
    <xf numFmtId="166" fontId="13" fillId="0" borderId="0" xfId="1" applyNumberFormat="1" applyFont="1" applyFill="1" applyBorder="1"/>
    <xf numFmtId="0" fontId="55" fillId="19" borderId="0" xfId="0" applyFont="1" applyFill="1"/>
    <xf numFmtId="0" fontId="56" fillId="0" borderId="0" xfId="5" applyFont="1" applyAlignment="1">
      <alignment horizontal="right"/>
    </xf>
    <xf numFmtId="166" fontId="19" fillId="0" borderId="11" xfId="1" applyNumberFormat="1" applyFont="1" applyBorder="1"/>
    <xf numFmtId="0" fontId="16" fillId="20" borderId="11" xfId="0" applyFont="1" applyFill="1" applyBorder="1" applyAlignment="1">
      <alignment horizontal="right" wrapText="1"/>
    </xf>
    <xf numFmtId="166" fontId="18" fillId="21" borderId="11" xfId="1" applyNumberFormat="1" applyFont="1" applyFill="1" applyBorder="1"/>
    <xf numFmtId="166" fontId="59" fillId="0" borderId="8" xfId="1" applyNumberFormat="1" applyFont="1" applyBorder="1"/>
    <xf numFmtId="169" fontId="8" fillId="0" borderId="8" xfId="1" applyNumberFormat="1" applyFont="1" applyBorder="1"/>
    <xf numFmtId="165" fontId="10" fillId="0" borderId="0" xfId="2" applyNumberFormat="1" applyFont="1"/>
    <xf numFmtId="166" fontId="60" fillId="0" borderId="8" xfId="1" applyNumberFormat="1" applyFont="1" applyBorder="1"/>
    <xf numFmtId="166" fontId="60" fillId="0" borderId="9" xfId="1" applyNumberFormat="1" applyFont="1" applyBorder="1"/>
    <xf numFmtId="166" fontId="62" fillId="0" borderId="0" xfId="1" applyNumberFormat="1" applyFont="1" applyAlignment="1">
      <alignment vertical="center" wrapText="1"/>
    </xf>
    <xf numFmtId="0" fontId="63" fillId="0" borderId="0" xfId="0" applyFont="1"/>
    <xf numFmtId="166" fontId="0" fillId="0" borderId="0" xfId="1" applyNumberFormat="1" applyFont="1" applyFill="1"/>
    <xf numFmtId="166" fontId="64" fillId="0" borderId="0" xfId="1" applyNumberFormat="1" applyFont="1"/>
    <xf numFmtId="0" fontId="64" fillId="0" borderId="0" xfId="0" applyFont="1"/>
    <xf numFmtId="166" fontId="65" fillId="0" borderId="0" xfId="1" applyNumberFormat="1" applyFont="1" applyFill="1"/>
    <xf numFmtId="0" fontId="65" fillId="0" borderId="0" xfId="0" applyFont="1"/>
    <xf numFmtId="0" fontId="62" fillId="0" borderId="0" xfId="0" applyFont="1" applyAlignment="1">
      <alignment horizontal="right"/>
    </xf>
    <xf numFmtId="166" fontId="66" fillId="0" borderId="0" xfId="1" applyNumberFormat="1" applyFont="1" applyAlignment="1">
      <alignment horizontal="right" wrapText="1"/>
    </xf>
    <xf numFmtId="166" fontId="67" fillId="0" borderId="0" xfId="1" applyNumberFormat="1" applyFont="1" applyAlignment="1">
      <alignment horizontal="left" vertical="center" wrapText="1"/>
    </xf>
    <xf numFmtId="0" fontId="63" fillId="0" borderId="0" xfId="0" applyFont="1" applyAlignment="1">
      <alignment horizontal="right"/>
    </xf>
    <xf numFmtId="170" fontId="42" fillId="4" borderId="0" xfId="1" applyNumberFormat="1" applyFont="1" applyFill="1" applyBorder="1"/>
    <xf numFmtId="3" fontId="0" fillId="0" borderId="0" xfId="0" applyNumberFormat="1"/>
    <xf numFmtId="166" fontId="0" fillId="0" borderId="0" xfId="0" applyNumberFormat="1"/>
    <xf numFmtId="166" fontId="42" fillId="0" borderId="0" xfId="1" applyNumberFormat="1" applyFont="1" applyFill="1"/>
    <xf numFmtId="0" fontId="42" fillId="0" borderId="0" xfId="0" applyFont="1"/>
    <xf numFmtId="3" fontId="42" fillId="0" borderId="0" xfId="0" applyNumberFormat="1" applyFont="1"/>
    <xf numFmtId="170" fontId="42" fillId="0" borderId="0" xfId="1" applyNumberFormat="1" applyFont="1" applyBorder="1"/>
    <xf numFmtId="166" fontId="68" fillId="0" borderId="0" xfId="1" applyNumberFormat="1" applyFont="1"/>
    <xf numFmtId="9" fontId="69" fillId="0" borderId="0" xfId="2" applyFont="1" applyAlignment="1">
      <alignment horizontal="left"/>
    </xf>
    <xf numFmtId="166" fontId="70" fillId="0" borderId="0" xfId="1" applyNumberFormat="1" applyFont="1" applyFill="1" applyAlignment="1">
      <alignment horizontal="left"/>
    </xf>
    <xf numFmtId="0" fontId="69" fillId="0" borderId="56" xfId="0" applyFont="1" applyBorder="1" applyAlignment="1">
      <alignment horizontal="right"/>
    </xf>
    <xf numFmtId="166" fontId="71" fillId="0" borderId="56" xfId="1" applyNumberFormat="1" applyFont="1" applyBorder="1"/>
    <xf numFmtId="3" fontId="42" fillId="0" borderId="0" xfId="0" applyNumberFormat="1" applyFont="1" applyAlignment="1">
      <alignment horizontal="right"/>
    </xf>
    <xf numFmtId="166" fontId="42" fillId="0" borderId="0" xfId="0" applyNumberFormat="1" applyFont="1"/>
    <xf numFmtId="166" fontId="65" fillId="0" borderId="0" xfId="0" applyNumberFormat="1" applyFont="1"/>
    <xf numFmtId="0" fontId="62" fillId="12" borderId="0" xfId="0" applyFont="1" applyFill="1" applyAlignment="1">
      <alignment horizontal="right"/>
    </xf>
    <xf numFmtId="170" fontId="65" fillId="12" borderId="0" xfId="1" applyNumberFormat="1" applyFont="1" applyFill="1" applyBorder="1"/>
    <xf numFmtId="170" fontId="68" fillId="0" borderId="0" xfId="1" applyNumberFormat="1" applyFont="1"/>
    <xf numFmtId="166" fontId="70" fillId="0" borderId="0" xfId="1" applyNumberFormat="1" applyFont="1" applyFill="1"/>
    <xf numFmtId="0" fontId="72" fillId="0" borderId="56" xfId="0" applyFont="1" applyBorder="1" applyAlignment="1">
      <alignment horizontal="right"/>
    </xf>
    <xf numFmtId="166" fontId="42" fillId="0" borderId="56" xfId="0" applyNumberFormat="1" applyFont="1" applyBorder="1"/>
    <xf numFmtId="0" fontId="42" fillId="0" borderId="0" xfId="0" applyFont="1" applyAlignment="1">
      <alignment wrapText="1"/>
    </xf>
    <xf numFmtId="0" fontId="62" fillId="0" borderId="0" xfId="0" applyFont="1"/>
    <xf numFmtId="170" fontId="73" fillId="0" borderId="0" xfId="1" applyNumberFormat="1" applyFont="1" applyBorder="1"/>
    <xf numFmtId="166" fontId="0" fillId="0" borderId="0" xfId="1" applyNumberFormat="1" applyFont="1"/>
    <xf numFmtId="0" fontId="74" fillId="0" borderId="0" xfId="0" applyFont="1"/>
    <xf numFmtId="170" fontId="75" fillId="0" borderId="56" xfId="1" applyNumberFormat="1" applyFont="1" applyFill="1" applyBorder="1" applyAlignment="1">
      <alignment horizontal="right"/>
    </xf>
    <xf numFmtId="166" fontId="65" fillId="0" borderId="56" xfId="1" applyNumberFormat="1" applyFont="1" applyFill="1" applyBorder="1"/>
    <xf numFmtId="43" fontId="62" fillId="0" borderId="0" xfId="1" applyFont="1" applyBorder="1"/>
    <xf numFmtId="0" fontId="0" fillId="0" borderId="0" xfId="0" applyAlignment="1">
      <alignment horizontal="right"/>
    </xf>
    <xf numFmtId="166" fontId="63" fillId="0" borderId="0" xfId="0" applyNumberFormat="1" applyFont="1"/>
    <xf numFmtId="166" fontId="76" fillId="0" borderId="0" xfId="1" applyNumberFormat="1" applyFont="1" applyFill="1" applyBorder="1" applyAlignment="1">
      <alignment horizontal="left"/>
    </xf>
    <xf numFmtId="43" fontId="0" fillId="0" borderId="0" xfId="1" applyFont="1" applyBorder="1"/>
    <xf numFmtId="0" fontId="62" fillId="5" borderId="0" xfId="0" applyFont="1" applyFill="1" applyAlignment="1">
      <alignment horizontal="right"/>
    </xf>
    <xf numFmtId="0" fontId="0" fillId="5" borderId="0" xfId="0" applyFill="1"/>
    <xf numFmtId="170" fontId="65" fillId="5" borderId="0" xfId="1" applyNumberFormat="1" applyFont="1" applyFill="1" applyBorder="1"/>
    <xf numFmtId="166" fontId="76" fillId="0" borderId="0" xfId="1" applyNumberFormat="1" applyFont="1" applyBorder="1"/>
    <xf numFmtId="170" fontId="0" fillId="0" borderId="0" xfId="1" applyNumberFormat="1" applyFont="1" applyBorder="1"/>
    <xf numFmtId="0" fontId="62" fillId="5" borderId="0" xfId="0" applyFont="1" applyFill="1"/>
    <xf numFmtId="170" fontId="0" fillId="5" borderId="0" xfId="1" applyNumberFormat="1" applyFont="1" applyFill="1" applyBorder="1"/>
    <xf numFmtId="170" fontId="0" fillId="0" borderId="0" xfId="0" applyNumberFormat="1"/>
    <xf numFmtId="0" fontId="0" fillId="0" borderId="0" xfId="0" applyAlignment="1">
      <alignment wrapText="1"/>
    </xf>
    <xf numFmtId="166" fontId="0" fillId="0" borderId="0" xfId="1" applyNumberFormat="1" applyFont="1" applyBorder="1"/>
    <xf numFmtId="166" fontId="77" fillId="0" borderId="0" xfId="1" applyNumberFormat="1" applyFont="1" applyFill="1"/>
    <xf numFmtId="0" fontId="62" fillId="22" borderId="0" xfId="0" applyFont="1" applyFill="1" applyAlignment="1">
      <alignment horizontal="right"/>
    </xf>
    <xf numFmtId="0" fontId="0" fillId="22" borderId="0" xfId="0" applyFill="1" applyAlignment="1">
      <alignment horizontal="right"/>
    </xf>
    <xf numFmtId="170" fontId="78" fillId="22" borderId="0" xfId="1" applyNumberFormat="1" applyFont="1" applyFill="1" applyBorder="1"/>
    <xf numFmtId="0" fontId="79" fillId="0" borderId="0" xfId="0" applyFont="1"/>
    <xf numFmtId="0" fontId="80" fillId="0" borderId="0" xfId="0" applyFont="1"/>
    <xf numFmtId="0" fontId="73" fillId="0" borderId="0" xfId="0" applyFont="1"/>
    <xf numFmtId="0" fontId="77" fillId="0" borderId="0" xfId="0" applyFont="1" applyAlignment="1">
      <alignment horizontal="right"/>
    </xf>
    <xf numFmtId="0" fontId="68" fillId="0" borderId="0" xfId="0" applyFont="1"/>
    <xf numFmtId="170" fontId="71" fillId="0" borderId="0" xfId="1" applyNumberFormat="1" applyFont="1" applyBorder="1"/>
    <xf numFmtId="166" fontId="62" fillId="0" borderId="0" xfId="1" applyNumberFormat="1" applyFont="1" applyBorder="1"/>
    <xf numFmtId="0" fontId="70" fillId="0" borderId="0" xfId="0" applyFont="1"/>
    <xf numFmtId="0" fontId="81" fillId="0" borderId="0" xfId="0" applyFont="1" applyAlignment="1">
      <alignment horizontal="right"/>
    </xf>
    <xf numFmtId="171" fontId="82" fillId="23" borderId="0" xfId="1" applyNumberFormat="1" applyFont="1" applyFill="1" applyBorder="1"/>
    <xf numFmtId="170" fontId="81" fillId="0" borderId="0" xfId="1" applyNumberFormat="1" applyFont="1" applyBorder="1"/>
    <xf numFmtId="166" fontId="73" fillId="0" borderId="0" xfId="0" applyNumberFormat="1" applyFont="1"/>
    <xf numFmtId="0" fontId="83" fillId="24" borderId="0" xfId="0" applyFont="1" applyFill="1" applyAlignment="1">
      <alignment horizontal="right"/>
    </xf>
    <xf numFmtId="0" fontId="80" fillId="24" borderId="0" xfId="0" applyFont="1" applyFill="1"/>
    <xf numFmtId="171" fontId="65" fillId="24" borderId="0" xfId="1" applyNumberFormat="1" applyFont="1" applyFill="1" applyBorder="1"/>
    <xf numFmtId="0" fontId="0" fillId="0" borderId="57" xfId="0" applyBorder="1"/>
    <xf numFmtId="0" fontId="0" fillId="19" borderId="58" xfId="0" applyFill="1" applyBorder="1"/>
    <xf numFmtId="0" fontId="0" fillId="19" borderId="59" xfId="0" applyFill="1" applyBorder="1"/>
    <xf numFmtId="0" fontId="73" fillId="0" borderId="59" xfId="0" applyFont="1" applyBorder="1"/>
    <xf numFmtId="0" fontId="73" fillId="19" borderId="60" xfId="0" applyFont="1" applyFill="1" applyBorder="1"/>
    <xf numFmtId="0" fontId="65" fillId="25" borderId="61" xfId="0" applyFont="1" applyFill="1" applyBorder="1" applyAlignment="1">
      <alignment horizontal="center" wrapText="1"/>
    </xf>
    <xf numFmtId="0" fontId="42" fillId="0" borderId="0" xfId="0" applyFont="1" applyAlignment="1">
      <alignment horizontal="center"/>
    </xf>
    <xf numFmtId="0" fontId="65" fillId="25" borderId="62" xfId="0" applyFont="1" applyFill="1" applyBorder="1" applyAlignment="1">
      <alignment horizontal="center" wrapText="1"/>
    </xf>
    <xf numFmtId="166" fontId="65" fillId="25" borderId="62" xfId="1" applyNumberFormat="1" applyFont="1" applyFill="1" applyBorder="1" applyAlignment="1">
      <alignment horizontal="center" wrapText="1"/>
    </xf>
    <xf numFmtId="0" fontId="0" fillId="19" borderId="63" xfId="0" applyFill="1" applyBorder="1"/>
    <xf numFmtId="0" fontId="0" fillId="19" borderId="0" xfId="0" applyFill="1"/>
    <xf numFmtId="0" fontId="0" fillId="19" borderId="57" xfId="0" applyFill="1" applyBorder="1" applyAlignment="1">
      <alignment horizontal="right"/>
    </xf>
    <xf numFmtId="166" fontId="42" fillId="0" borderId="61" xfId="1" applyNumberFormat="1" applyFont="1" applyBorder="1"/>
    <xf numFmtId="166" fontId="42" fillId="0" borderId="62" xfId="0" applyNumberFormat="1" applyFont="1" applyBorder="1" applyAlignment="1">
      <alignment horizontal="center" wrapText="1"/>
    </xf>
    <xf numFmtId="0" fontId="84" fillId="19" borderId="57" xfId="0" applyFont="1" applyFill="1" applyBorder="1" applyAlignment="1">
      <alignment horizontal="right"/>
    </xf>
    <xf numFmtId="166" fontId="84" fillId="0" borderId="61" xfId="1" applyNumberFormat="1" applyFont="1" applyBorder="1"/>
    <xf numFmtId="0" fontId="84" fillId="0" borderId="0" xfId="0" applyFont="1"/>
    <xf numFmtId="166" fontId="84" fillId="0" borderId="62" xfId="1" applyNumberFormat="1" applyFont="1" applyBorder="1"/>
    <xf numFmtId="166" fontId="65" fillId="6" borderId="61" xfId="1" applyNumberFormat="1" applyFont="1" applyFill="1" applyBorder="1"/>
    <xf numFmtId="166" fontId="65" fillId="6" borderId="62" xfId="0" applyNumberFormat="1" applyFont="1" applyFill="1" applyBorder="1" applyAlignment="1">
      <alignment horizontal="center" wrapText="1"/>
    </xf>
    <xf numFmtId="0" fontId="0" fillId="19" borderId="64" xfId="0" applyFill="1" applyBorder="1"/>
    <xf numFmtId="0" fontId="0" fillId="19" borderId="65" xfId="0" applyFill="1" applyBorder="1"/>
    <xf numFmtId="0" fontId="73" fillId="0" borderId="65" xfId="0" applyFont="1" applyBorder="1"/>
    <xf numFmtId="0" fontId="85" fillId="19" borderId="66" xfId="0" applyFont="1" applyFill="1" applyBorder="1" applyAlignment="1">
      <alignment horizontal="right"/>
    </xf>
    <xf numFmtId="166" fontId="86" fillId="0" borderId="61" xfId="1" applyNumberFormat="1" applyFont="1" applyBorder="1"/>
    <xf numFmtId="0" fontId="86" fillId="0" borderId="0" xfId="0" applyFont="1"/>
    <xf numFmtId="166" fontId="86" fillId="0" borderId="62" xfId="0" applyNumberFormat="1" applyFont="1" applyBorder="1" applyAlignment="1">
      <alignment horizontal="center" wrapText="1"/>
    </xf>
    <xf numFmtId="0" fontId="85" fillId="0" borderId="0" xfId="0" applyFont="1" applyAlignment="1">
      <alignment horizontal="right"/>
    </xf>
    <xf numFmtId="166" fontId="86" fillId="0" borderId="0" xfId="1" applyNumberFormat="1" applyFont="1" applyFill="1" applyBorder="1"/>
    <xf numFmtId="166" fontId="86" fillId="0" borderId="0" xfId="0" applyNumberFormat="1" applyFont="1" applyAlignment="1">
      <alignment horizontal="center" wrapText="1"/>
    </xf>
    <xf numFmtId="0" fontId="87" fillId="0" borderId="0" xfId="0" applyFont="1"/>
    <xf numFmtId="0" fontId="88" fillId="0" borderId="0" xfId="0" applyFont="1"/>
    <xf numFmtId="0" fontId="62" fillId="25" borderId="62" xfId="0" applyFont="1" applyFill="1" applyBorder="1" applyAlignment="1">
      <alignment horizontal="center" wrapText="1"/>
    </xf>
    <xf numFmtId="0" fontId="62" fillId="0" borderId="0" xfId="0" applyFont="1" applyAlignment="1">
      <alignment horizontal="center" wrapText="1"/>
    </xf>
    <xf numFmtId="166" fontId="62" fillId="25" borderId="62" xfId="1" applyNumberFormat="1" applyFont="1" applyFill="1" applyBorder="1" applyAlignment="1">
      <alignment horizontal="center" wrapText="1"/>
    </xf>
    <xf numFmtId="0" fontId="80" fillId="0" borderId="0" xfId="0" applyFont="1" applyAlignment="1">
      <alignment wrapText="1"/>
    </xf>
    <xf numFmtId="1" fontId="0" fillId="0" borderId="62" xfId="0" applyNumberFormat="1" applyBorder="1"/>
    <xf numFmtId="0" fontId="0" fillId="0" borderId="62" xfId="0" applyBorder="1" applyAlignment="1">
      <alignment horizontal="center" wrapText="1"/>
    </xf>
    <xf numFmtId="0" fontId="42" fillId="0" borderId="62" xfId="0" quotePrefix="1" applyFont="1" applyBorder="1" applyAlignment="1">
      <alignment horizontal="left"/>
    </xf>
    <xf numFmtId="0" fontId="0" fillId="0" borderId="62" xfId="0" applyBorder="1"/>
    <xf numFmtId="0" fontId="42" fillId="0" borderId="62" xfId="0" applyFont="1" applyBorder="1" applyAlignment="1">
      <alignment horizontal="left" wrapText="1"/>
    </xf>
    <xf numFmtId="166" fontId="42" fillId="0" borderId="62" xfId="1" applyNumberFormat="1" applyFont="1" applyBorder="1"/>
    <xf numFmtId="0" fontId="42" fillId="0" borderId="0" xfId="0" applyFont="1" applyAlignment="1">
      <alignment horizontal="center" wrapText="1"/>
    </xf>
    <xf numFmtId="166" fontId="42" fillId="0" borderId="62" xfId="1" applyNumberFormat="1" applyFont="1" applyBorder="1" applyAlignment="1">
      <alignment horizontal="center" wrapText="1"/>
    </xf>
    <xf numFmtId="0" fontId="89" fillId="0" borderId="0" xfId="0" applyFont="1"/>
    <xf numFmtId="166" fontId="0" fillId="0" borderId="0" xfId="1" applyNumberFormat="1" applyFont="1" applyFill="1" applyAlignment="1">
      <alignment wrapText="1"/>
    </xf>
    <xf numFmtId="166" fontId="0" fillId="0" borderId="0" xfId="0" applyNumberFormat="1" applyAlignment="1">
      <alignment wrapText="1"/>
    </xf>
    <xf numFmtId="49" fontId="42" fillId="0" borderId="62" xfId="0" applyNumberFormat="1" applyFont="1" applyBorder="1" applyAlignment="1">
      <alignment horizontal="left"/>
    </xf>
    <xf numFmtId="0" fontId="42" fillId="0" borderId="62" xfId="0" applyFont="1" applyBorder="1" applyAlignment="1">
      <alignment wrapText="1"/>
    </xf>
    <xf numFmtId="166" fontId="42" fillId="0" borderId="0" xfId="1" applyNumberFormat="1" applyFont="1" applyFill="1" applyBorder="1"/>
    <xf numFmtId="0" fontId="89" fillId="0" borderId="63" xfId="0" applyFont="1" applyBorder="1" applyAlignment="1">
      <alignment horizontal="left" vertical="top" wrapText="1"/>
    </xf>
    <xf numFmtId="0" fontId="42" fillId="0" borderId="62" xfId="0" applyFont="1" applyBorder="1"/>
    <xf numFmtId="1" fontId="42" fillId="0" borderId="62" xfId="0" applyNumberFormat="1" applyFont="1" applyBorder="1"/>
    <xf numFmtId="0" fontId="42" fillId="5" borderId="62" xfId="0" applyFont="1" applyFill="1" applyBorder="1" applyAlignment="1">
      <alignment wrapText="1"/>
    </xf>
    <xf numFmtId="166" fontId="42" fillId="0" borderId="62" xfId="1" applyNumberFormat="1" applyFont="1" applyBorder="1" applyAlignment="1">
      <alignment wrapText="1"/>
    </xf>
    <xf numFmtId="0" fontId="89" fillId="0" borderId="0" xfId="0" applyFont="1" applyAlignment="1">
      <alignment horizontal="left" vertical="top" wrapText="1"/>
    </xf>
    <xf numFmtId="0" fontId="42" fillId="26" borderId="62" xfId="0" applyFont="1" applyFill="1" applyBorder="1" applyAlignment="1">
      <alignment wrapText="1"/>
    </xf>
    <xf numFmtId="0" fontId="12" fillId="0" borderId="62" xfId="7" applyFont="1" applyBorder="1"/>
    <xf numFmtId="0" fontId="42" fillId="0" borderId="62" xfId="0" applyFont="1" applyBorder="1" applyAlignment="1">
      <alignment horizontal="left"/>
    </xf>
    <xf numFmtId="0" fontId="42" fillId="22" borderId="62" xfId="0" applyFont="1" applyFill="1" applyBorder="1" applyAlignment="1">
      <alignment wrapText="1"/>
    </xf>
    <xf numFmtId="166" fontId="42" fillId="0" borderId="62" xfId="1" applyNumberFormat="1" applyFont="1" applyFill="1" applyBorder="1"/>
    <xf numFmtId="166" fontId="42" fillId="0" borderId="0" xfId="1" applyNumberFormat="1" applyFont="1" applyFill="1" applyAlignment="1">
      <alignment wrapText="1"/>
    </xf>
    <xf numFmtId="0" fontId="72" fillId="0" borderId="0" xfId="0" applyFont="1"/>
    <xf numFmtId="0" fontId="72" fillId="0" borderId="0" xfId="0" applyFont="1" applyAlignment="1">
      <alignment wrapText="1"/>
    </xf>
    <xf numFmtId="166" fontId="42" fillId="27" borderId="62" xfId="1" applyNumberFormat="1" applyFont="1" applyFill="1" applyBorder="1"/>
    <xf numFmtId="0" fontId="0" fillId="0" borderId="0" xfId="0" applyAlignment="1">
      <alignment horizontal="left"/>
    </xf>
    <xf numFmtId="49" fontId="73" fillId="0" borderId="0" xfId="0" applyNumberFormat="1" applyFont="1" applyAlignment="1">
      <alignment horizontal="left"/>
    </xf>
    <xf numFmtId="49" fontId="0" fillId="0" borderId="0" xfId="0" applyNumberFormat="1" applyAlignment="1">
      <alignment horizontal="left"/>
    </xf>
    <xf numFmtId="0" fontId="62" fillId="0" borderId="60" xfId="0" applyFont="1" applyBorder="1" applyAlignment="1">
      <alignment horizontal="right"/>
    </xf>
    <xf numFmtId="166" fontId="65" fillId="25" borderId="62" xfId="1" applyNumberFormat="1" applyFont="1" applyFill="1" applyBorder="1"/>
    <xf numFmtId="166" fontId="65" fillId="0" borderId="0" xfId="1" applyNumberFormat="1" applyFont="1" applyFill="1" applyBorder="1"/>
    <xf numFmtId="0" fontId="83" fillId="0" borderId="0" xfId="0" applyFont="1"/>
    <xf numFmtId="166" fontId="65" fillId="25" borderId="0" xfId="1" applyNumberFormat="1" applyFont="1" applyFill="1" applyBorder="1"/>
    <xf numFmtId="166" fontId="42" fillId="0" borderId="0" xfId="1" applyNumberFormat="1" applyFont="1"/>
    <xf numFmtId="166" fontId="73" fillId="0" borderId="0" xfId="1" applyNumberFormat="1" applyFont="1" applyFill="1"/>
    <xf numFmtId="0" fontId="65" fillId="0" borderId="0" xfId="0" applyFont="1" applyAlignment="1">
      <alignment horizontal="center" wrapText="1"/>
    </xf>
    <xf numFmtId="0" fontId="0" fillId="0" borderId="67" xfId="0" applyBorder="1"/>
    <xf numFmtId="49" fontId="42" fillId="0" borderId="67" xfId="0" applyNumberFormat="1" applyFont="1" applyBorder="1" applyAlignment="1">
      <alignment horizontal="left"/>
    </xf>
    <xf numFmtId="0" fontId="91" fillId="0" borderId="67" xfId="0" applyFont="1" applyBorder="1" applyAlignment="1">
      <alignment wrapText="1"/>
    </xf>
    <xf numFmtId="166" fontId="42" fillId="0" borderId="67" xfId="1" applyNumberFormat="1" applyFont="1" applyBorder="1" applyAlignment="1">
      <alignment wrapText="1"/>
    </xf>
    <xf numFmtId="166" fontId="42" fillId="0" borderId="67" xfId="1" applyNumberFormat="1" applyFont="1" applyBorder="1"/>
    <xf numFmtId="0" fontId="91" fillId="0" borderId="62" xfId="0" applyFont="1" applyBorder="1" applyAlignment="1">
      <alignment wrapText="1"/>
    </xf>
    <xf numFmtId="0" fontId="42" fillId="0" borderId="67" xfId="0" applyFont="1" applyBorder="1"/>
    <xf numFmtId="166" fontId="42" fillId="0" borderId="62" xfId="1" applyNumberFormat="1" applyFont="1" applyFill="1" applyBorder="1" applyAlignment="1">
      <alignment wrapText="1"/>
    </xf>
    <xf numFmtId="166" fontId="42" fillId="0" borderId="67" xfId="1" applyNumberFormat="1" applyFont="1" applyFill="1" applyBorder="1"/>
    <xf numFmtId="166" fontId="69" fillId="0" borderId="0" xfId="0" applyNumberFormat="1" applyFont="1"/>
    <xf numFmtId="0" fontId="78" fillId="0" borderId="0" xfId="0" applyFont="1"/>
    <xf numFmtId="49" fontId="78" fillId="0" borderId="62" xfId="0" applyNumberFormat="1" applyFont="1" applyBorder="1" applyAlignment="1">
      <alignment horizontal="left"/>
    </xf>
    <xf numFmtId="0" fontId="91" fillId="5" borderId="62" xfId="0" applyFont="1" applyFill="1" applyBorder="1" applyAlignment="1">
      <alignment wrapText="1"/>
    </xf>
    <xf numFmtId="166" fontId="42" fillId="0" borderId="68" xfId="1" applyNumberFormat="1" applyFont="1" applyFill="1" applyBorder="1"/>
    <xf numFmtId="166" fontId="42" fillId="0" borderId="68" xfId="1" applyNumberFormat="1" applyFont="1" applyBorder="1"/>
    <xf numFmtId="166" fontId="63" fillId="0" borderId="0" xfId="0" applyNumberFormat="1" applyFont="1" applyAlignment="1">
      <alignment wrapText="1"/>
    </xf>
    <xf numFmtId="166" fontId="42" fillId="0" borderId="68" xfId="1" applyNumberFormat="1" applyFont="1" applyFill="1" applyBorder="1" applyAlignment="1"/>
    <xf numFmtId="0" fontId="0" fillId="0" borderId="68" xfId="0" applyBorder="1"/>
    <xf numFmtId="0" fontId="91" fillId="0" borderId="68" xfId="0" applyFont="1" applyBorder="1" applyAlignment="1">
      <alignment wrapText="1"/>
    </xf>
    <xf numFmtId="166" fontId="42" fillId="27" borderId="68" xfId="1" applyNumberFormat="1" applyFont="1" applyFill="1" applyBorder="1"/>
    <xf numFmtId="0" fontId="0" fillId="0" borderId="69" xfId="0" applyBorder="1"/>
    <xf numFmtId="49" fontId="42" fillId="0" borderId="69" xfId="0" applyNumberFormat="1" applyFont="1" applyBorder="1" applyAlignment="1">
      <alignment horizontal="left"/>
    </xf>
    <xf numFmtId="0" fontId="91" fillId="0" borderId="69" xfId="0" applyFont="1" applyBorder="1" applyAlignment="1">
      <alignment wrapText="1"/>
    </xf>
    <xf numFmtId="166" fontId="42" fillId="0" borderId="69" xfId="1" applyNumberFormat="1" applyFont="1" applyBorder="1"/>
    <xf numFmtId="166" fontId="42" fillId="0" borderId="70" xfId="1" applyNumberFormat="1" applyFont="1" applyFill="1" applyBorder="1"/>
    <xf numFmtId="166" fontId="42" fillId="27" borderId="69" xfId="1" applyNumberFormat="1" applyFont="1" applyFill="1" applyBorder="1"/>
    <xf numFmtId="166" fontId="42" fillId="0" borderId="69" xfId="1" applyNumberFormat="1" applyFont="1" applyBorder="1" applyAlignment="1">
      <alignment wrapText="1"/>
    </xf>
    <xf numFmtId="166" fontId="42" fillId="0" borderId="69" xfId="1" applyNumberFormat="1" applyFont="1" applyFill="1" applyBorder="1"/>
    <xf numFmtId="0" fontId="61" fillId="0" borderId="0" xfId="6" applyAlignment="1">
      <alignment wrapText="1"/>
    </xf>
    <xf numFmtId="0" fontId="0" fillId="0" borderId="64" xfId="0" applyBorder="1"/>
    <xf numFmtId="0" fontId="0" fillId="0" borderId="71" xfId="0" applyBorder="1"/>
    <xf numFmtId="0" fontId="91" fillId="0" borderId="62" xfId="0" applyFont="1" applyBorder="1"/>
    <xf numFmtId="0" fontId="0" fillId="28" borderId="62" xfId="0" applyFill="1" applyBorder="1"/>
    <xf numFmtId="0" fontId="0" fillId="28" borderId="71" xfId="0" applyFill="1" applyBorder="1"/>
    <xf numFmtId="0" fontId="92" fillId="28" borderId="62" xfId="0" applyFont="1" applyFill="1" applyBorder="1" applyAlignment="1">
      <alignment wrapText="1"/>
    </xf>
    <xf numFmtId="166" fontId="93" fillId="28" borderId="62" xfId="1" applyNumberFormat="1" applyFont="1" applyFill="1" applyBorder="1"/>
    <xf numFmtId="166" fontId="92" fillId="28" borderId="0" xfId="1" applyNumberFormat="1" applyFont="1" applyFill="1" applyBorder="1"/>
    <xf numFmtId="166" fontId="86" fillId="28" borderId="62" xfId="1" applyNumberFormat="1" applyFont="1" applyFill="1" applyBorder="1"/>
    <xf numFmtId="0" fontId="91" fillId="0" borderId="62" xfId="0" applyFont="1" applyBorder="1" applyAlignment="1">
      <alignment horizontal="left" indent="2"/>
    </xf>
    <xf numFmtId="0" fontId="91" fillId="0" borderId="62" xfId="0" applyFont="1" applyBorder="1" applyAlignment="1">
      <alignment horizontal="left" wrapText="1" indent="2"/>
    </xf>
    <xf numFmtId="166" fontId="42" fillId="0" borderId="65" xfId="1" applyNumberFormat="1" applyFont="1" applyFill="1" applyBorder="1"/>
    <xf numFmtId="166" fontId="42" fillId="27" borderId="62" xfId="1" applyNumberFormat="1" applyFont="1" applyFill="1" applyBorder="1" applyAlignment="1">
      <alignment wrapText="1"/>
    </xf>
    <xf numFmtId="0" fontId="63" fillId="0" borderId="0" xfId="0" applyFont="1" applyAlignment="1">
      <alignment wrapText="1"/>
    </xf>
    <xf numFmtId="0" fontId="0" fillId="0" borderId="72" xfId="0" applyBorder="1"/>
    <xf numFmtId="0" fontId="0" fillId="0" borderId="73" xfId="0" applyBorder="1"/>
    <xf numFmtId="49" fontId="42" fillId="0" borderId="72" xfId="0" applyNumberFormat="1" applyFont="1" applyBorder="1" applyAlignment="1">
      <alignment horizontal="left"/>
    </xf>
    <xf numFmtId="0" fontId="91" fillId="0" borderId="72" xfId="0" applyFont="1" applyBorder="1" applyAlignment="1">
      <alignment horizontal="left" indent="2"/>
    </xf>
    <xf numFmtId="166" fontId="42" fillId="0" borderId="72" xfId="1" applyNumberFormat="1" applyFont="1" applyBorder="1" applyAlignment="1">
      <alignment wrapText="1"/>
    </xf>
    <xf numFmtId="166" fontId="42" fillId="27" borderId="72" xfId="1" applyNumberFormat="1" applyFont="1" applyFill="1" applyBorder="1"/>
    <xf numFmtId="166" fontId="42" fillId="0" borderId="72" xfId="1" applyNumberFormat="1" applyFont="1" applyBorder="1"/>
    <xf numFmtId="166" fontId="42" fillId="29" borderId="62" xfId="1" applyNumberFormat="1" applyFont="1" applyFill="1" applyBorder="1"/>
    <xf numFmtId="166" fontId="42" fillId="29" borderId="0" xfId="1" applyNumberFormat="1" applyFont="1" applyFill="1" applyBorder="1"/>
    <xf numFmtId="0" fontId="0" fillId="28" borderId="67" xfId="0" applyFill="1" applyBorder="1"/>
    <xf numFmtId="166" fontId="86" fillId="28" borderId="0" xfId="1" applyNumberFormat="1" applyFont="1" applyFill="1" applyBorder="1"/>
    <xf numFmtId="0" fontId="0" fillId="0" borderId="74" xfId="0" applyBorder="1"/>
    <xf numFmtId="49" fontId="42" fillId="0" borderId="74" xfId="0" applyNumberFormat="1" applyFont="1" applyBorder="1" applyAlignment="1">
      <alignment horizontal="left"/>
    </xf>
    <xf numFmtId="0" fontId="91" fillId="0" borderId="74" xfId="0" applyFont="1" applyBorder="1" applyAlignment="1">
      <alignment wrapText="1"/>
    </xf>
    <xf numFmtId="166" fontId="42" fillId="0" borderId="74" xfId="1" applyNumberFormat="1" applyFont="1" applyBorder="1"/>
    <xf numFmtId="166" fontId="42" fillId="0" borderId="75" xfId="1" applyNumberFormat="1" applyFont="1" applyFill="1" applyBorder="1"/>
    <xf numFmtId="0" fontId="42" fillId="0" borderId="67" xfId="0" applyFont="1" applyBorder="1" applyAlignment="1">
      <alignment horizontal="left" wrapText="1"/>
    </xf>
    <xf numFmtId="0" fontId="91" fillId="0" borderId="67" xfId="0" applyFont="1" applyBorder="1" applyAlignment="1">
      <alignment horizontal="left" wrapText="1"/>
    </xf>
    <xf numFmtId="0" fontId="91" fillId="0" borderId="62" xfId="0" applyFont="1" applyBorder="1" applyAlignment="1">
      <alignment horizontal="left" wrapText="1"/>
    </xf>
    <xf numFmtId="166" fontId="73" fillId="0" borderId="62" xfId="1" applyNumberFormat="1" applyFont="1" applyBorder="1"/>
    <xf numFmtId="166" fontId="69" fillId="0" borderId="0" xfId="0" applyNumberFormat="1" applyFont="1" applyAlignment="1">
      <alignment vertical="center"/>
    </xf>
    <xf numFmtId="0" fontId="91" fillId="0" borderId="69" xfId="0" applyFont="1" applyBorder="1" applyAlignment="1">
      <alignment horizontal="left" wrapText="1"/>
    </xf>
    <xf numFmtId="0" fontId="89" fillId="0" borderId="0" xfId="0" applyFont="1" applyAlignment="1">
      <alignment vertical="center"/>
    </xf>
    <xf numFmtId="166" fontId="42" fillId="30" borderId="62" xfId="1" applyNumberFormat="1" applyFont="1" applyFill="1" applyBorder="1"/>
    <xf numFmtId="0" fontId="0" fillId="0" borderId="76" xfId="0" applyBorder="1"/>
    <xf numFmtId="0" fontId="0" fillId="0" borderId="76" xfId="0" applyBorder="1" applyAlignment="1">
      <alignment wrapText="1"/>
    </xf>
    <xf numFmtId="49" fontId="42" fillId="0" borderId="76" xfId="0" applyNumberFormat="1" applyFont="1" applyBorder="1" applyAlignment="1">
      <alignment vertical="center" wrapText="1"/>
    </xf>
    <xf numFmtId="0" fontId="42" fillId="0" borderId="76" xfId="0" applyFont="1" applyBorder="1"/>
    <xf numFmtId="166" fontId="42" fillId="0" borderId="76" xfId="1" applyNumberFormat="1" applyFont="1" applyFill="1" applyBorder="1"/>
    <xf numFmtId="166" fontId="42" fillId="0" borderId="77" xfId="1" applyNumberFormat="1" applyFont="1" applyFill="1" applyBorder="1" applyAlignment="1">
      <alignment wrapText="1"/>
    </xf>
    <xf numFmtId="166" fontId="42" fillId="0" borderId="76" xfId="1" applyNumberFormat="1" applyFont="1" applyBorder="1" applyAlignment="1">
      <alignment wrapText="1"/>
    </xf>
    <xf numFmtId="166" fontId="42" fillId="0" borderId="76" xfId="1" applyNumberFormat="1" applyFont="1" applyBorder="1"/>
    <xf numFmtId="0" fontId="62" fillId="0" borderId="57" xfId="0" applyFont="1" applyBorder="1" applyAlignment="1">
      <alignment horizontal="right"/>
    </xf>
    <xf numFmtId="166" fontId="65" fillId="25" borderId="67" xfId="1" applyNumberFormat="1" applyFont="1" applyFill="1" applyBorder="1" applyAlignment="1">
      <alignment horizontal="center" wrapText="1"/>
    </xf>
    <xf numFmtId="166" fontId="42" fillId="0" borderId="0" xfId="1" applyNumberFormat="1" applyFont="1" applyFill="1" applyBorder="1" applyAlignment="1">
      <alignment horizontal="center" wrapText="1"/>
    </xf>
    <xf numFmtId="166" fontId="62" fillId="0" borderId="0" xfId="0" applyNumberFormat="1" applyFont="1" applyAlignment="1">
      <alignment horizontal="right"/>
    </xf>
    <xf numFmtId="0" fontId="65" fillId="25" borderId="68" xfId="0" applyFont="1" applyFill="1" applyBorder="1" applyAlignment="1">
      <alignment horizontal="center" wrapText="1"/>
    </xf>
    <xf numFmtId="166" fontId="65" fillId="25" borderId="68" xfId="1" applyNumberFormat="1" applyFont="1" applyFill="1" applyBorder="1" applyAlignment="1">
      <alignment horizontal="center" wrapText="1"/>
    </xf>
    <xf numFmtId="0" fontId="0" fillId="0" borderId="62" xfId="0" applyBorder="1" applyAlignment="1">
      <alignment wrapText="1"/>
    </xf>
    <xf numFmtId="49" fontId="42" fillId="0" borderId="62" xfId="0" applyNumberFormat="1" applyFont="1" applyBorder="1"/>
    <xf numFmtId="166" fontId="42" fillId="0" borderId="79" xfId="1" applyNumberFormat="1" applyFont="1" applyFill="1" applyBorder="1" applyAlignment="1">
      <alignment wrapText="1"/>
    </xf>
    <xf numFmtId="0" fontId="42" fillId="0" borderId="68" xfId="0" applyFont="1" applyBorder="1" applyAlignment="1">
      <alignment wrapText="1"/>
    </xf>
    <xf numFmtId="166" fontId="42" fillId="0" borderId="68" xfId="1" applyNumberFormat="1" applyFont="1" applyFill="1" applyBorder="1" applyAlignment="1">
      <alignment wrapText="1"/>
    </xf>
    <xf numFmtId="0" fontId="42" fillId="0" borderId="80" xfId="0" applyFont="1" applyBorder="1" applyAlignment="1">
      <alignment wrapText="1"/>
    </xf>
    <xf numFmtId="166" fontId="42" fillId="0" borderId="81" xfId="1" applyNumberFormat="1" applyFont="1" applyFill="1" applyBorder="1" applyAlignment="1">
      <alignment wrapText="1"/>
    </xf>
    <xf numFmtId="0" fontId="42" fillId="0" borderId="82" xfId="0" applyFont="1" applyBorder="1" applyAlignment="1">
      <alignment wrapText="1"/>
    </xf>
    <xf numFmtId="166" fontId="42" fillId="0" borderId="83" xfId="1" applyNumberFormat="1" applyFont="1" applyFill="1" applyBorder="1" applyAlignment="1">
      <alignment wrapText="1"/>
    </xf>
    <xf numFmtId="0" fontId="42" fillId="0" borderId="84" xfId="0" applyFont="1" applyBorder="1" applyAlignment="1">
      <alignment wrapText="1"/>
    </xf>
    <xf numFmtId="166" fontId="42" fillId="0" borderId="85" xfId="1" applyNumberFormat="1" applyFont="1" applyFill="1" applyBorder="1" applyAlignment="1">
      <alignment wrapText="1"/>
    </xf>
    <xf numFmtId="0" fontId="42" fillId="0" borderId="67" xfId="0" applyFont="1" applyBorder="1" applyAlignment="1">
      <alignment wrapText="1"/>
    </xf>
    <xf numFmtId="166" fontId="42" fillId="0" borderId="67" xfId="1" applyNumberFormat="1" applyFont="1" applyFill="1" applyBorder="1" applyAlignment="1">
      <alignment wrapText="1"/>
    </xf>
    <xf numFmtId="49" fontId="42" fillId="0" borderId="62" xfId="0" applyNumberFormat="1" applyFont="1" applyBorder="1" applyAlignment="1">
      <alignment wrapText="1"/>
    </xf>
    <xf numFmtId="0" fontId="89" fillId="0" borderId="0" xfId="0" applyFont="1" applyAlignment="1">
      <alignment wrapText="1"/>
    </xf>
    <xf numFmtId="49" fontId="42" fillId="7" borderId="67" xfId="0" applyNumberFormat="1" applyFont="1" applyFill="1" applyBorder="1" applyAlignment="1">
      <alignment horizontal="left"/>
    </xf>
    <xf numFmtId="166" fontId="94" fillId="0" borderId="62" xfId="1" applyNumberFormat="1" applyFont="1" applyFill="1" applyBorder="1" applyAlignment="1">
      <alignment wrapText="1"/>
    </xf>
    <xf numFmtId="166" fontId="94" fillId="0" borderId="0" xfId="1" applyNumberFormat="1" applyFont="1" applyFill="1" applyBorder="1"/>
    <xf numFmtId="166" fontId="94" fillId="0" borderId="67" xfId="1" applyNumberFormat="1" applyFont="1" applyBorder="1"/>
    <xf numFmtId="49" fontId="42" fillId="7" borderId="62" xfId="0" applyNumberFormat="1" applyFont="1" applyFill="1" applyBorder="1" applyAlignment="1">
      <alignment horizontal="left"/>
    </xf>
    <xf numFmtId="166" fontId="94" fillId="0" borderId="62" xfId="1" applyNumberFormat="1" applyFont="1" applyBorder="1" applyAlignment="1">
      <alignment wrapText="1"/>
    </xf>
    <xf numFmtId="166" fontId="94" fillId="0" borderId="62" xfId="1" applyNumberFormat="1" applyFont="1" applyBorder="1"/>
    <xf numFmtId="166" fontId="94" fillId="0" borderId="68" xfId="1" applyNumberFormat="1" applyFont="1" applyFill="1" applyBorder="1"/>
    <xf numFmtId="166" fontId="94" fillId="0" borderId="68" xfId="1" applyNumberFormat="1" applyFont="1" applyBorder="1"/>
    <xf numFmtId="166" fontId="42" fillId="9" borderId="62" xfId="1" applyNumberFormat="1" applyFont="1" applyFill="1" applyBorder="1"/>
    <xf numFmtId="166" fontId="73" fillId="0" borderId="67" xfId="1" applyNumberFormat="1" applyFont="1" applyBorder="1"/>
    <xf numFmtId="166" fontId="42" fillId="0" borderId="0" xfId="1" applyNumberFormat="1" applyFont="1" applyFill="1" applyBorder="1" applyAlignment="1">
      <alignment horizontal="center"/>
    </xf>
    <xf numFmtId="166" fontId="42" fillId="0" borderId="62" xfId="1" applyNumberFormat="1" applyFont="1" applyBorder="1" applyAlignment="1"/>
    <xf numFmtId="166" fontId="42" fillId="0" borderId="68" xfId="1" applyNumberFormat="1" applyFont="1" applyBorder="1" applyAlignment="1">
      <alignment horizontal="center"/>
    </xf>
    <xf numFmtId="0" fontId="42" fillId="0" borderId="68" xfId="0" applyFont="1" applyBorder="1"/>
    <xf numFmtId="49" fontId="42" fillId="7" borderId="68" xfId="0" applyNumberFormat="1" applyFont="1" applyFill="1" applyBorder="1" applyAlignment="1">
      <alignment horizontal="left"/>
    </xf>
    <xf numFmtId="166" fontId="94" fillId="0" borderId="62" xfId="1" applyNumberFormat="1" applyFont="1" applyFill="1" applyBorder="1"/>
    <xf numFmtId="49" fontId="42" fillId="0" borderId="68" xfId="0" applyNumberFormat="1" applyFont="1" applyBorder="1" applyAlignment="1">
      <alignment horizontal="left"/>
    </xf>
    <xf numFmtId="166" fontId="42" fillId="0" borderId="68" xfId="1" applyNumberFormat="1" applyFont="1" applyBorder="1" applyAlignment="1">
      <alignment wrapText="1"/>
    </xf>
    <xf numFmtId="0" fontId="95" fillId="28" borderId="62" xfId="0" applyFont="1" applyFill="1" applyBorder="1" applyAlignment="1">
      <alignment wrapText="1"/>
    </xf>
    <xf numFmtId="166" fontId="82" fillId="28" borderId="62" xfId="1" applyNumberFormat="1" applyFont="1" applyFill="1" applyBorder="1"/>
    <xf numFmtId="166" fontId="82" fillId="0" borderId="79" xfId="1" applyNumberFormat="1" applyFont="1" applyFill="1" applyBorder="1"/>
    <xf numFmtId="166" fontId="73" fillId="28" borderId="62" xfId="1" applyNumberFormat="1" applyFont="1" applyFill="1" applyBorder="1"/>
    <xf numFmtId="0" fontId="42" fillId="0" borderId="62" xfId="0" applyFont="1" applyBorder="1" applyAlignment="1">
      <alignment horizontal="left" wrapText="1" indent="2"/>
    </xf>
    <xf numFmtId="166" fontId="86" fillId="0" borderId="62" xfId="1" applyNumberFormat="1" applyFont="1" applyBorder="1"/>
    <xf numFmtId="166" fontId="86" fillId="0" borderId="79" xfId="1" applyNumberFormat="1" applyFont="1" applyFill="1" applyBorder="1"/>
    <xf numFmtId="166" fontId="86" fillId="0" borderId="62" xfId="1" applyNumberFormat="1" applyFont="1" applyFill="1" applyBorder="1"/>
    <xf numFmtId="166" fontId="42" fillId="0" borderId="79" xfId="1" applyNumberFormat="1" applyFont="1" applyFill="1" applyBorder="1"/>
    <xf numFmtId="166" fontId="94" fillId="0" borderId="79" xfId="1" applyNumberFormat="1" applyFont="1" applyFill="1" applyBorder="1"/>
    <xf numFmtId="0" fontId="69" fillId="0" borderId="0" xfId="0" applyFont="1"/>
    <xf numFmtId="0" fontId="73" fillId="28" borderId="62" xfId="0" applyFont="1" applyFill="1" applyBorder="1"/>
    <xf numFmtId="0" fontId="42" fillId="0" borderId="86" xfId="0" applyFont="1" applyBorder="1"/>
    <xf numFmtId="0" fontId="42" fillId="0" borderId="86" xfId="0" applyFont="1" applyBorder="1" applyAlignment="1">
      <alignment wrapText="1"/>
    </xf>
    <xf numFmtId="166" fontId="91" fillId="0" borderId="86" xfId="1" applyNumberFormat="1" applyFont="1" applyBorder="1"/>
    <xf numFmtId="166" fontId="91" fillId="0" borderId="87" xfId="1" applyNumberFormat="1" applyFont="1" applyFill="1" applyBorder="1"/>
    <xf numFmtId="166" fontId="86" fillId="0" borderId="67" xfId="1" applyNumberFormat="1" applyFont="1" applyFill="1" applyBorder="1"/>
    <xf numFmtId="166" fontId="86" fillId="0" borderId="65" xfId="1" applyNumberFormat="1" applyFont="1" applyFill="1" applyBorder="1"/>
    <xf numFmtId="166" fontId="86" fillId="0" borderId="67" xfId="1" applyNumberFormat="1" applyFont="1" applyBorder="1"/>
    <xf numFmtId="0" fontId="42" fillId="0" borderId="88" xfId="0" applyFont="1" applyBorder="1"/>
    <xf numFmtId="0" fontId="42" fillId="0" borderId="88" xfId="0" applyFont="1" applyBorder="1" applyAlignment="1">
      <alignment wrapText="1"/>
    </xf>
    <xf numFmtId="166" fontId="86" fillId="0" borderId="88" xfId="1" applyNumberFormat="1" applyFont="1" applyFill="1" applyBorder="1"/>
    <xf numFmtId="166" fontId="86" fillId="0" borderId="89" xfId="1" applyNumberFormat="1" applyFont="1" applyFill="1" applyBorder="1"/>
    <xf numFmtId="166" fontId="86" fillId="0" borderId="88" xfId="1" applyNumberFormat="1" applyFont="1" applyBorder="1"/>
    <xf numFmtId="166" fontId="86" fillId="0" borderId="86" xfId="1" applyNumberFormat="1" applyFont="1" applyFill="1" applyBorder="1"/>
    <xf numFmtId="166" fontId="86" fillId="0" borderId="87" xfId="1" applyNumberFormat="1" applyFont="1" applyFill="1" applyBorder="1"/>
    <xf numFmtId="166" fontId="86" fillId="0" borderId="86" xfId="1" applyNumberFormat="1" applyFont="1" applyBorder="1"/>
    <xf numFmtId="0" fontId="42" fillId="0" borderId="90" xfId="0" applyFont="1" applyBorder="1"/>
    <xf numFmtId="0" fontId="42" fillId="0" borderId="90" xfId="0" applyFont="1" applyBorder="1" applyAlignment="1">
      <alignment wrapText="1"/>
    </xf>
    <xf numFmtId="166" fontId="91" fillId="0" borderId="90" xfId="1" applyNumberFormat="1" applyFont="1" applyBorder="1"/>
    <xf numFmtId="166" fontId="91" fillId="0" borderId="91" xfId="1" applyNumberFormat="1" applyFont="1" applyFill="1" applyBorder="1"/>
    <xf numFmtId="0" fontId="42" fillId="0" borderId="72" xfId="0" applyFont="1" applyBorder="1"/>
    <xf numFmtId="0" fontId="42" fillId="0" borderId="72" xfId="0" applyFont="1" applyBorder="1" applyAlignment="1">
      <alignment wrapText="1"/>
    </xf>
    <xf numFmtId="166" fontId="91" fillId="0" borderId="72" xfId="1" applyNumberFormat="1" applyFont="1" applyBorder="1"/>
    <xf numFmtId="166" fontId="91" fillId="0" borderId="70" xfId="1" applyNumberFormat="1" applyFont="1" applyFill="1" applyBorder="1"/>
    <xf numFmtId="166" fontId="91" fillId="0" borderId="67" xfId="1" applyNumberFormat="1" applyFont="1" applyBorder="1"/>
    <xf numFmtId="166" fontId="91" fillId="0" borderId="65" xfId="1" applyNumberFormat="1" applyFont="1" applyFill="1" applyBorder="1"/>
    <xf numFmtId="166" fontId="91" fillId="0" borderId="62" xfId="1" applyNumberFormat="1" applyFont="1" applyBorder="1"/>
    <xf numFmtId="166" fontId="91" fillId="0" borderId="79" xfId="1" applyNumberFormat="1" applyFont="1" applyFill="1" applyBorder="1"/>
    <xf numFmtId="166" fontId="91" fillId="0" borderId="68" xfId="1" applyNumberFormat="1" applyFont="1" applyBorder="1"/>
    <xf numFmtId="166" fontId="91" fillId="0" borderId="59" xfId="1" applyNumberFormat="1" applyFont="1" applyFill="1" applyBorder="1"/>
    <xf numFmtId="0" fontId="42" fillId="0" borderId="69" xfId="0" applyFont="1" applyBorder="1"/>
    <xf numFmtId="0" fontId="42" fillId="0" borderId="69" xfId="0" applyFont="1" applyBorder="1" applyAlignment="1">
      <alignment wrapText="1"/>
    </xf>
    <xf numFmtId="166" fontId="91" fillId="0" borderId="69" xfId="1" applyNumberFormat="1" applyFont="1" applyFill="1" applyBorder="1"/>
    <xf numFmtId="166" fontId="91" fillId="0" borderId="92" xfId="1" applyNumberFormat="1" applyFont="1" applyFill="1" applyBorder="1"/>
    <xf numFmtId="0" fontId="42" fillId="22" borderId="67" xfId="0" applyFont="1" applyFill="1" applyBorder="1" applyAlignment="1">
      <alignment wrapText="1"/>
    </xf>
    <xf numFmtId="0" fontId="42" fillId="10" borderId="62" xfId="0" applyFont="1" applyFill="1" applyBorder="1" applyAlignment="1">
      <alignment wrapText="1"/>
    </xf>
    <xf numFmtId="166" fontId="86" fillId="31" borderId="62" xfId="1" applyNumberFormat="1" applyFont="1" applyFill="1" applyBorder="1"/>
    <xf numFmtId="166" fontId="86" fillId="0" borderId="68" xfId="1" applyNumberFormat="1" applyFont="1" applyBorder="1"/>
    <xf numFmtId="166" fontId="86" fillId="0" borderId="59" xfId="1" applyNumberFormat="1" applyFont="1" applyFill="1" applyBorder="1"/>
    <xf numFmtId="0" fontId="63" fillId="0" borderId="93" xfId="0" applyFont="1" applyBorder="1" applyAlignment="1">
      <alignment wrapText="1"/>
    </xf>
    <xf numFmtId="0" fontId="42" fillId="0" borderId="71" xfId="0" applyFont="1" applyBorder="1"/>
    <xf numFmtId="0" fontId="42" fillId="0" borderId="93" xfId="0" applyFont="1" applyBorder="1"/>
    <xf numFmtId="0" fontId="42" fillId="0" borderId="93" xfId="0" applyFont="1" applyBorder="1" applyAlignment="1">
      <alignment wrapText="1"/>
    </xf>
    <xf numFmtId="166" fontId="86" fillId="0" borderId="93" xfId="1" applyNumberFormat="1" applyFont="1" applyBorder="1"/>
    <xf numFmtId="166" fontId="86" fillId="0" borderId="93" xfId="1" applyNumberFormat="1" applyFont="1" applyFill="1" applyBorder="1"/>
    <xf numFmtId="0" fontId="73" fillId="0" borderId="62" xfId="0" applyFont="1" applyBorder="1"/>
    <xf numFmtId="166" fontId="82" fillId="0" borderId="0" xfId="1" applyNumberFormat="1" applyFont="1" applyFill="1" applyBorder="1"/>
    <xf numFmtId="0" fontId="98" fillId="32" borderId="94" xfId="8" applyNumberFormat="1" applyFont="1" applyFill="1" applyBorder="1" applyAlignment="1">
      <alignment wrapText="1"/>
    </xf>
    <xf numFmtId="166" fontId="73" fillId="32" borderId="62" xfId="1" applyNumberFormat="1" applyFont="1" applyFill="1" applyBorder="1"/>
    <xf numFmtId="166" fontId="73" fillId="32" borderId="0" xfId="1" applyNumberFormat="1" applyFont="1" applyFill="1" applyBorder="1"/>
    <xf numFmtId="0" fontId="89" fillId="33" borderId="94" xfId="9" applyNumberFormat="1" applyFont="1" applyFill="1" applyBorder="1" applyAlignment="1">
      <alignment wrapText="1"/>
    </xf>
    <xf numFmtId="0" fontId="100" fillId="33" borderId="95" xfId="9" applyNumberFormat="1" applyFont="1" applyFill="1" applyBorder="1" applyAlignment="1">
      <alignment wrapText="1"/>
    </xf>
    <xf numFmtId="0" fontId="100" fillId="33" borderId="94" xfId="9" applyNumberFormat="1" applyFont="1" applyFill="1" applyBorder="1" applyAlignment="1">
      <alignment wrapText="1"/>
    </xf>
    <xf numFmtId="0" fontId="89" fillId="5" borderId="93" xfId="9" applyNumberFormat="1" applyFont="1" applyFill="1" applyBorder="1" applyAlignment="1">
      <alignment wrapText="1"/>
    </xf>
    <xf numFmtId="0" fontId="100" fillId="33" borderId="93" xfId="9" applyNumberFormat="1" applyFont="1" applyFill="1" applyBorder="1" applyAlignment="1">
      <alignment vertical="center" wrapText="1"/>
    </xf>
    <xf numFmtId="0" fontId="100" fillId="0" borderId="94" xfId="9" applyNumberFormat="1" applyFont="1" applyFill="1" applyBorder="1" applyAlignment="1">
      <alignment wrapText="1"/>
    </xf>
    <xf numFmtId="0" fontId="89" fillId="0" borderId="93" xfId="9" applyNumberFormat="1" applyFont="1" applyFill="1" applyBorder="1" applyAlignment="1">
      <alignment vertical="center" wrapText="1"/>
    </xf>
    <xf numFmtId="166" fontId="86" fillId="32" borderId="62" xfId="1" applyNumberFormat="1" applyFont="1" applyFill="1" applyBorder="1"/>
    <xf numFmtId="166" fontId="86" fillId="32" borderId="0" xfId="1" applyNumberFormat="1" applyFont="1" applyFill="1" applyBorder="1"/>
    <xf numFmtId="0" fontId="89" fillId="33" borderId="93" xfId="9" applyNumberFormat="1" applyFont="1" applyFill="1" applyBorder="1" applyAlignment="1">
      <alignment wrapText="1"/>
    </xf>
    <xf numFmtId="0" fontId="89" fillId="33" borderId="95" xfId="9" applyNumberFormat="1" applyFont="1" applyFill="1" applyBorder="1" applyAlignment="1">
      <alignment wrapText="1"/>
    </xf>
    <xf numFmtId="0" fontId="89" fillId="33" borderId="93" xfId="9" applyNumberFormat="1" applyFont="1" applyFill="1" applyBorder="1" applyAlignment="1">
      <alignment vertical="center" wrapText="1"/>
    </xf>
    <xf numFmtId="0" fontId="89" fillId="0" borderId="93" xfId="9" applyNumberFormat="1" applyFont="1" applyFill="1" applyBorder="1" applyAlignment="1">
      <alignment wrapText="1"/>
    </xf>
    <xf numFmtId="166" fontId="91" fillId="0" borderId="0" xfId="1" applyNumberFormat="1" applyFont="1" applyFill="1" applyBorder="1"/>
    <xf numFmtId="166" fontId="91" fillId="0" borderId="62" xfId="1" applyNumberFormat="1" applyFont="1" applyFill="1" applyBorder="1"/>
    <xf numFmtId="0" fontId="100" fillId="0" borderId="93" xfId="9" applyNumberFormat="1" applyFont="1" applyFill="1" applyBorder="1" applyAlignment="1">
      <alignment wrapText="1"/>
    </xf>
    <xf numFmtId="0" fontId="89" fillId="0" borderId="96" xfId="9" applyNumberFormat="1" applyFont="1" applyFill="1" applyBorder="1" applyAlignment="1">
      <alignment wrapText="1"/>
    </xf>
    <xf numFmtId="0" fontId="89" fillId="33" borderId="97" xfId="10" applyFont="1" applyFill="1" applyBorder="1" applyAlignment="1">
      <alignment horizontal="left" vertical="center" wrapText="1"/>
    </xf>
    <xf numFmtId="0" fontId="89" fillId="0" borderId="93" xfId="10" applyFont="1" applyBorder="1" applyAlignment="1">
      <alignment horizontal="left" vertical="center" wrapText="1"/>
    </xf>
    <xf numFmtId="0" fontId="89" fillId="0" borderId="0" xfId="10" applyFont="1" applyAlignment="1">
      <alignment horizontal="left" vertical="center" wrapText="1"/>
    </xf>
    <xf numFmtId="0" fontId="100" fillId="0" borderId="94" xfId="10" applyFont="1" applyBorder="1" applyAlignment="1">
      <alignment horizontal="left" vertical="center" wrapText="1"/>
    </xf>
    <xf numFmtId="173" fontId="100" fillId="33" borderId="93" xfId="8" applyNumberFormat="1" applyFont="1" applyFill="1" applyBorder="1"/>
    <xf numFmtId="0" fontId="73" fillId="0" borderId="62" xfId="0" applyFont="1" applyBorder="1" applyAlignment="1">
      <alignment wrapText="1"/>
    </xf>
    <xf numFmtId="166" fontId="73" fillId="0" borderId="0" xfId="1" applyNumberFormat="1" applyFont="1" applyFill="1" applyBorder="1"/>
    <xf numFmtId="0" fontId="62" fillId="0" borderId="78" xfId="0" applyFont="1" applyBorder="1" applyAlignment="1">
      <alignment horizontal="right" wrapText="1"/>
    </xf>
    <xf numFmtId="166" fontId="65" fillId="25" borderId="62" xfId="0" applyNumberFormat="1" applyFont="1" applyFill="1" applyBorder="1"/>
    <xf numFmtId="0" fontId="62" fillId="0" borderId="0" xfId="0" applyFont="1" applyAlignment="1">
      <alignment horizontal="right" wrapText="1"/>
    </xf>
    <xf numFmtId="166" fontId="65" fillId="22" borderId="0" xfId="0" applyNumberFormat="1" applyFont="1" applyFill="1"/>
    <xf numFmtId="166" fontId="65" fillId="7" borderId="0" xfId="0" applyNumberFormat="1" applyFont="1" applyFill="1"/>
    <xf numFmtId="166" fontId="102" fillId="0" borderId="0" xfId="0" applyNumberFormat="1" applyFont="1"/>
    <xf numFmtId="0" fontId="0" fillId="17" borderId="0" xfId="0" applyFill="1"/>
    <xf numFmtId="0" fontId="80" fillId="17" borderId="0" xfId="0" applyFont="1" applyFill="1"/>
    <xf numFmtId="166" fontId="0" fillId="17" borderId="0" xfId="1" applyNumberFormat="1" applyFont="1" applyFill="1"/>
    <xf numFmtId="0" fontId="65" fillId="34" borderId="62" xfId="0" applyFont="1" applyFill="1" applyBorder="1" applyAlignment="1">
      <alignment horizontal="center" wrapText="1"/>
    </xf>
    <xf numFmtId="166" fontId="65" fillId="34" borderId="62" xfId="1" applyNumberFormat="1" applyFont="1" applyFill="1" applyBorder="1" applyAlignment="1">
      <alignment horizontal="center" wrapText="1"/>
    </xf>
    <xf numFmtId="0" fontId="62" fillId="0" borderId="62" xfId="0" applyFont="1" applyBorder="1" applyAlignment="1">
      <alignment horizontal="center" wrapText="1"/>
    </xf>
    <xf numFmtId="0" fontId="73" fillId="0" borderId="62" xfId="0" quotePrefix="1" applyFont="1" applyBorder="1"/>
    <xf numFmtId="166" fontId="65" fillId="0" borderId="62" xfId="1" applyNumberFormat="1" applyFont="1" applyFill="1" applyBorder="1" applyAlignment="1">
      <alignment horizontal="center" wrapText="1"/>
    </xf>
    <xf numFmtId="0" fontId="42" fillId="0" borderId="62" xfId="0" quotePrefix="1" applyFont="1" applyBorder="1"/>
    <xf numFmtId="0" fontId="81" fillId="35" borderId="93" xfId="8" applyNumberFormat="1" applyFont="1" applyFill="1" applyBorder="1" applyAlignment="1">
      <alignment wrapText="1"/>
    </xf>
    <xf numFmtId="166" fontId="42" fillId="35" borderId="62" xfId="1" applyNumberFormat="1" applyFont="1" applyFill="1" applyBorder="1"/>
    <xf numFmtId="0" fontId="81" fillId="35" borderId="95" xfId="8" applyNumberFormat="1" applyFont="1" applyFill="1" applyBorder="1" applyAlignment="1">
      <alignment wrapText="1"/>
    </xf>
    <xf numFmtId="166" fontId="73" fillId="0" borderId="62" xfId="1" applyNumberFormat="1" applyFont="1" applyFill="1" applyBorder="1"/>
    <xf numFmtId="0" fontId="42" fillId="35" borderId="67" xfId="0" applyFont="1" applyFill="1" applyBorder="1" applyAlignment="1">
      <alignment wrapText="1"/>
    </xf>
    <xf numFmtId="166" fontId="42" fillId="35" borderId="67" xfId="1" applyNumberFormat="1" applyFont="1" applyFill="1" applyBorder="1"/>
    <xf numFmtId="0" fontId="42" fillId="35" borderId="62" xfId="0" applyFont="1" applyFill="1" applyBorder="1" applyAlignment="1">
      <alignment wrapText="1"/>
    </xf>
    <xf numFmtId="0" fontId="89" fillId="35" borderId="94" xfId="11" applyFont="1" applyFill="1" applyBorder="1" applyAlignment="1">
      <alignment horizontal="left" vertical="center" wrapText="1"/>
    </xf>
    <xf numFmtId="49" fontId="42" fillId="0" borderId="62" xfId="0" quotePrefix="1" applyNumberFormat="1" applyFont="1" applyBorder="1" applyAlignment="1">
      <alignment horizontal="left"/>
    </xf>
    <xf numFmtId="0" fontId="81" fillId="0" borderId="93" xfId="8" applyNumberFormat="1" applyFont="1" applyFill="1" applyBorder="1" applyAlignment="1">
      <alignment wrapText="1"/>
    </xf>
    <xf numFmtId="0" fontId="81" fillId="0" borderId="94" xfId="8" applyNumberFormat="1" applyFont="1" applyFill="1" applyBorder="1" applyAlignment="1">
      <alignment wrapText="1"/>
    </xf>
    <xf numFmtId="0" fontId="0" fillId="0" borderId="98" xfId="0" applyBorder="1"/>
    <xf numFmtId="49" fontId="42" fillId="0" borderId="98" xfId="0" applyNumberFormat="1" applyFont="1" applyBorder="1" applyAlignment="1">
      <alignment horizontal="left"/>
    </xf>
    <xf numFmtId="0" fontId="42" fillId="0" borderId="98" xfId="0" applyFont="1" applyBorder="1" applyAlignment="1">
      <alignment wrapText="1"/>
    </xf>
    <xf numFmtId="166" fontId="42" fillId="0" borderId="98" xfId="1" applyNumberFormat="1" applyFont="1" applyFill="1" applyBorder="1" applyAlignment="1">
      <alignment wrapText="1"/>
    </xf>
    <xf numFmtId="166" fontId="42" fillId="0" borderId="56" xfId="1" applyNumberFormat="1" applyFont="1" applyFill="1" applyBorder="1"/>
    <xf numFmtId="166" fontId="42" fillId="0" borderId="98" xfId="1" applyNumberFormat="1" applyFont="1" applyFill="1" applyBorder="1"/>
    <xf numFmtId="166" fontId="42" fillId="0" borderId="98" xfId="1" applyNumberFormat="1" applyFont="1" applyBorder="1"/>
    <xf numFmtId="166" fontId="73" fillId="0" borderId="98" xfId="1" applyNumberFormat="1" applyFont="1" applyBorder="1"/>
    <xf numFmtId="166" fontId="73" fillId="0" borderId="68" xfId="1" applyNumberFormat="1" applyFont="1" applyBorder="1"/>
    <xf numFmtId="0" fontId="73" fillId="0" borderId="67" xfId="0" applyFont="1" applyBorder="1"/>
    <xf numFmtId="0" fontId="42" fillId="0" borderId="67" xfId="0" quotePrefix="1" applyFont="1" applyBorder="1"/>
    <xf numFmtId="0" fontId="103" fillId="0" borderId="0" xfId="0" applyFont="1"/>
    <xf numFmtId="166" fontId="103" fillId="3" borderId="46" xfId="1" applyNumberFormat="1" applyFont="1" applyFill="1" applyBorder="1"/>
    <xf numFmtId="166" fontId="103" fillId="0" borderId="0" xfId="1" applyNumberFormat="1" applyFont="1" applyFill="1"/>
    <xf numFmtId="166" fontId="104" fillId="0" borderId="0" xfId="1" applyNumberFormat="1" applyFont="1" applyFill="1" applyBorder="1"/>
    <xf numFmtId="166" fontId="103" fillId="3" borderId="41" xfId="1" applyNumberFormat="1" applyFont="1" applyFill="1" applyBorder="1"/>
    <xf numFmtId="166" fontId="104" fillId="0" borderId="0" xfId="1" applyNumberFormat="1" applyFont="1" applyBorder="1"/>
    <xf numFmtId="0" fontId="103" fillId="36" borderId="0" xfId="0" applyFont="1" applyFill="1"/>
    <xf numFmtId="0" fontId="45" fillId="36" borderId="0" xfId="0" applyFont="1" applyFill="1"/>
    <xf numFmtId="0" fontId="103" fillId="24" borderId="0" xfId="0" applyFont="1" applyFill="1"/>
    <xf numFmtId="0" fontId="5" fillId="0" borderId="39" xfId="3" applyFont="1" applyBorder="1" applyAlignment="1">
      <alignment horizontal="left" vertical="center"/>
    </xf>
    <xf numFmtId="0" fontId="13" fillId="0" borderId="39" xfId="0" applyFont="1" applyBorder="1"/>
    <xf numFmtId="0" fontId="13" fillId="5" borderId="42" xfId="0" applyFont="1" applyFill="1" applyBorder="1"/>
    <xf numFmtId="49" fontId="5" fillId="11" borderId="48" xfId="3" applyNumberFormat="1" applyFont="1" applyFill="1" applyBorder="1" applyAlignment="1">
      <alignment horizontal="left" vertical="center"/>
    </xf>
    <xf numFmtId="0" fontId="5" fillId="0" borderId="50" xfId="3" applyFont="1" applyBorder="1" applyAlignment="1">
      <alignment horizontal="left" vertical="center"/>
    </xf>
    <xf numFmtId="0" fontId="13" fillId="0" borderId="50" xfId="0" applyFont="1" applyBorder="1"/>
    <xf numFmtId="0" fontId="13" fillId="5" borderId="51" xfId="0" applyFont="1" applyFill="1" applyBorder="1"/>
    <xf numFmtId="9" fontId="5" fillId="2" borderId="1" xfId="2" applyFont="1" applyFill="1" applyBorder="1"/>
    <xf numFmtId="9" fontId="5" fillId="2" borderId="4" xfId="2" applyFont="1" applyFill="1" applyBorder="1"/>
    <xf numFmtId="3" fontId="34" fillId="0" borderId="7" xfId="0" applyNumberFormat="1" applyFont="1" applyBorder="1"/>
    <xf numFmtId="49" fontId="13" fillId="0" borderId="10" xfId="0" applyNumberFormat="1" applyFont="1" applyBorder="1" applyAlignment="1">
      <alignment horizontal="left"/>
    </xf>
    <xf numFmtId="49" fontId="13" fillId="0" borderId="10" xfId="0" applyNumberFormat="1" applyFont="1" applyBorder="1"/>
    <xf numFmtId="0" fontId="13" fillId="0" borderId="10" xfId="0" applyFont="1" applyBorder="1"/>
    <xf numFmtId="0" fontId="5" fillId="5" borderId="13" xfId="0" applyFont="1" applyFill="1" applyBorder="1"/>
    <xf numFmtId="0" fontId="5" fillId="0" borderId="6" xfId="0" applyFont="1" applyBorder="1"/>
    <xf numFmtId="9" fontId="5" fillId="2" borderId="16" xfId="2" applyFont="1" applyFill="1" applyBorder="1"/>
    <xf numFmtId="3" fontId="34" fillId="0" borderId="19" xfId="0" applyNumberFormat="1" applyFont="1" applyBorder="1"/>
    <xf numFmtId="0" fontId="13" fillId="0" borderId="21" xfId="0" applyFont="1" applyBorder="1"/>
    <xf numFmtId="0" fontId="13" fillId="0" borderId="23" xfId="0" applyFont="1" applyBorder="1"/>
    <xf numFmtId="49" fontId="13" fillId="0" borderId="23" xfId="0" applyNumberFormat="1" applyFont="1" applyBorder="1"/>
    <xf numFmtId="0" fontId="18" fillId="0" borderId="23" xfId="0" applyFont="1" applyBorder="1"/>
    <xf numFmtId="0" fontId="5" fillId="8" borderId="27" xfId="0" applyFont="1" applyFill="1" applyBorder="1"/>
    <xf numFmtId="49" fontId="13" fillId="9" borderId="16" xfId="0" applyNumberFormat="1" applyFont="1" applyFill="1" applyBorder="1"/>
    <xf numFmtId="0" fontId="5" fillId="4" borderId="16" xfId="0" applyFont="1" applyFill="1" applyBorder="1"/>
    <xf numFmtId="0" fontId="5" fillId="0" borderId="19" xfId="0" applyFont="1" applyBorder="1"/>
    <xf numFmtId="0" fontId="5" fillId="4" borderId="21" xfId="0" applyFont="1" applyFill="1" applyBorder="1"/>
    <xf numFmtId="0" fontId="5" fillId="4" borderId="23" xfId="0" applyFont="1" applyFill="1" applyBorder="1"/>
    <xf numFmtId="0" fontId="5" fillId="4" borderId="27" xfId="0" applyFont="1" applyFill="1" applyBorder="1"/>
    <xf numFmtId="0" fontId="5" fillId="0" borderId="17" xfId="0" applyFont="1" applyBorder="1"/>
    <xf numFmtId="0" fontId="5" fillId="4" borderId="30" xfId="0" applyFont="1" applyFill="1" applyBorder="1" applyAlignment="1">
      <alignment horizontal="center"/>
    </xf>
    <xf numFmtId="0" fontId="5" fillId="11" borderId="23" xfId="3" applyFont="1" applyFill="1" applyBorder="1" applyAlignment="1">
      <alignment horizontal="left" vertical="center"/>
    </xf>
    <xf numFmtId="0" fontId="5" fillId="0" borderId="8" xfId="0" applyFont="1" applyBorder="1"/>
    <xf numFmtId="0" fontId="13" fillId="5" borderId="53" xfId="0" applyFont="1" applyFill="1" applyBorder="1"/>
    <xf numFmtId="0" fontId="13" fillId="8" borderId="53" xfId="0" applyFont="1" applyFill="1" applyBorder="1"/>
    <xf numFmtId="0" fontId="13" fillId="18" borderId="53" xfId="0" applyFont="1" applyFill="1" applyBorder="1"/>
    <xf numFmtId="0" fontId="13" fillId="2" borderId="53" xfId="0" applyFont="1" applyFill="1" applyBorder="1"/>
    <xf numFmtId="0" fontId="105" fillId="0" borderId="0" xfId="5" applyFont="1" applyAlignment="1">
      <alignment wrapText="1"/>
    </xf>
    <xf numFmtId="0" fontId="22" fillId="0" borderId="0" xfId="0" applyFont="1"/>
    <xf numFmtId="166" fontId="22" fillId="0" borderId="0" xfId="0" applyNumberFormat="1" applyFont="1"/>
    <xf numFmtId="166" fontId="21" fillId="0" borderId="55" xfId="1" applyNumberFormat="1" applyFont="1" applyFill="1" applyBorder="1"/>
    <xf numFmtId="0" fontId="33" fillId="0" borderId="55" xfId="5" applyFont="1" applyBorder="1" applyAlignment="1">
      <alignment wrapText="1"/>
    </xf>
    <xf numFmtId="165" fontId="106" fillId="0" borderId="8" xfId="2" applyNumberFormat="1" applyFont="1" applyBorder="1"/>
    <xf numFmtId="165" fontId="106" fillId="0" borderId="9" xfId="2" applyNumberFormat="1" applyFont="1" applyBorder="1"/>
    <xf numFmtId="167" fontId="4" fillId="11" borderId="49" xfId="3" applyNumberFormat="1" applyFont="1" applyFill="1" applyBorder="1" applyProtection="1">
      <protection locked="0"/>
    </xf>
    <xf numFmtId="166" fontId="14" fillId="15" borderId="40" xfId="1" applyNumberFormat="1" applyFont="1" applyFill="1" applyBorder="1"/>
    <xf numFmtId="0" fontId="14" fillId="15" borderId="40" xfId="0" applyFont="1" applyFill="1" applyBorder="1"/>
    <xf numFmtId="166" fontId="13" fillId="15" borderId="40" xfId="0" applyNumberFormat="1" applyFont="1" applyFill="1" applyBorder="1"/>
    <xf numFmtId="166" fontId="10" fillId="15" borderId="40" xfId="1" applyNumberFormat="1" applyFont="1" applyFill="1" applyBorder="1"/>
    <xf numFmtId="0" fontId="62" fillId="0" borderId="0" xfId="0" applyFont="1" applyAlignment="1">
      <alignment horizontal="center"/>
    </xf>
    <xf numFmtId="166" fontId="67" fillId="0" borderId="0" xfId="1" applyNumberFormat="1" applyFont="1" applyAlignment="1">
      <alignment horizontal="center" wrapText="1"/>
    </xf>
    <xf numFmtId="166" fontId="67" fillId="0" borderId="0" xfId="1" applyNumberFormat="1" applyFont="1" applyAlignment="1">
      <alignment horizontal="center" vertical="center" wrapText="1"/>
    </xf>
    <xf numFmtId="166" fontId="73" fillId="0" borderId="0" xfId="1" applyNumberFormat="1" applyFont="1"/>
    <xf numFmtId="166" fontId="107" fillId="0" borderId="0" xfId="1" applyNumberFormat="1" applyFont="1" applyFill="1"/>
    <xf numFmtId="170" fontId="42" fillId="37" borderId="0" xfId="1" applyNumberFormat="1" applyFont="1" applyFill="1" applyBorder="1"/>
    <xf numFmtId="0" fontId="63" fillId="37" borderId="0" xfId="0" applyFont="1" applyFill="1" applyAlignment="1">
      <alignment wrapText="1"/>
    </xf>
    <xf numFmtId="166" fontId="108" fillId="0" borderId="0" xfId="1" applyNumberFormat="1" applyFont="1"/>
    <xf numFmtId="166" fontId="108" fillId="0" borderId="0" xfId="1" applyNumberFormat="1" applyFont="1" applyBorder="1"/>
    <xf numFmtId="0" fontId="78" fillId="0" borderId="0" xfId="0" applyFont="1" applyAlignment="1">
      <alignment horizontal="right"/>
    </xf>
    <xf numFmtId="0" fontId="73" fillId="0" borderId="0" xfId="0" applyFont="1" applyAlignment="1">
      <alignment horizontal="right"/>
    </xf>
    <xf numFmtId="170" fontId="73" fillId="4" borderId="0" xfId="1" applyNumberFormat="1" applyFont="1" applyFill="1" applyBorder="1"/>
    <xf numFmtId="166" fontId="0" fillId="38" borderId="0" xfId="1" applyNumberFormat="1" applyFont="1" applyFill="1"/>
    <xf numFmtId="166" fontId="107" fillId="0" borderId="0" xfId="1" applyNumberFormat="1" applyFont="1" applyBorder="1"/>
    <xf numFmtId="166" fontId="107" fillId="0" borderId="0" xfId="1" applyNumberFormat="1" applyFont="1"/>
    <xf numFmtId="170" fontId="3" fillId="17" borderId="0" xfId="1" quotePrefix="1" applyNumberFormat="1" applyFont="1" applyFill="1" applyBorder="1"/>
    <xf numFmtId="9" fontId="0" fillId="0" borderId="0" xfId="2" applyFont="1"/>
    <xf numFmtId="166" fontId="109" fillId="0" borderId="0" xfId="1" applyNumberFormat="1" applyFont="1"/>
    <xf numFmtId="165" fontId="84" fillId="0" borderId="0" xfId="0" applyNumberFormat="1" applyFont="1" applyAlignment="1">
      <alignment horizontal="left"/>
    </xf>
    <xf numFmtId="0" fontId="0" fillId="10" borderId="0" xfId="0" applyFill="1"/>
    <xf numFmtId="166" fontId="3" fillId="39" borderId="0" xfId="1" applyNumberFormat="1" applyFont="1" applyFill="1" applyBorder="1"/>
    <xf numFmtId="0" fontId="68" fillId="39" borderId="0" xfId="0" applyFont="1" applyFill="1"/>
    <xf numFmtId="0" fontId="79" fillId="39" borderId="0" xfId="0" applyFont="1" applyFill="1"/>
    <xf numFmtId="166" fontId="73" fillId="0" borderId="0" xfId="1" applyNumberFormat="1" applyFont="1" applyBorder="1"/>
    <xf numFmtId="0" fontId="0" fillId="10" borderId="57" xfId="0" applyFill="1" applyBorder="1"/>
    <xf numFmtId="0" fontId="0" fillId="10" borderId="0" xfId="0" applyFill="1" applyAlignment="1">
      <alignment wrapText="1"/>
    </xf>
    <xf numFmtId="166" fontId="110" fillId="0" borderId="62" xfId="1" applyNumberFormat="1" applyFont="1" applyBorder="1"/>
    <xf numFmtId="166" fontId="107" fillId="12" borderId="62" xfId="0" applyNumberFormat="1" applyFont="1" applyFill="1" applyBorder="1" applyAlignment="1">
      <alignment horizontal="center" wrapText="1"/>
    </xf>
    <xf numFmtId="166" fontId="42" fillId="12" borderId="62" xfId="1" applyNumberFormat="1" applyFont="1" applyFill="1" applyBorder="1"/>
    <xf numFmtId="166" fontId="42" fillId="12" borderId="62" xfId="1" applyNumberFormat="1" applyFont="1" applyFill="1" applyBorder="1" applyAlignment="1">
      <alignment horizontal="center" wrapText="1"/>
    </xf>
    <xf numFmtId="166" fontId="42" fillId="40" borderId="62" xfId="1" applyNumberFormat="1" applyFont="1" applyFill="1" applyBorder="1" applyAlignment="1">
      <alignment horizontal="center" wrapText="1"/>
    </xf>
    <xf numFmtId="0" fontId="73" fillId="10" borderId="0" xfId="0" applyFont="1" applyFill="1"/>
    <xf numFmtId="0" fontId="42" fillId="38" borderId="67" xfId="0" applyFont="1" applyFill="1" applyBorder="1" applyAlignment="1">
      <alignment wrapText="1"/>
    </xf>
    <xf numFmtId="166" fontId="111" fillId="0" borderId="67" xfId="1" applyNumberFormat="1" applyFont="1" applyFill="1" applyBorder="1" applyAlignment="1">
      <alignment wrapText="1"/>
    </xf>
    <xf numFmtId="166" fontId="107" fillId="41" borderId="62" xfId="1" applyNumberFormat="1" applyFont="1" applyFill="1" applyBorder="1" applyAlignment="1">
      <alignment wrapText="1"/>
    </xf>
    <xf numFmtId="166" fontId="42" fillId="12" borderId="62" xfId="1" applyNumberFormat="1" applyFont="1" applyFill="1" applyBorder="1" applyAlignment="1">
      <alignment wrapText="1"/>
    </xf>
    <xf numFmtId="166" fontId="42" fillId="40" borderId="62" xfId="1" applyNumberFormat="1" applyFont="1" applyFill="1" applyBorder="1" applyAlignment="1">
      <alignment wrapText="1"/>
    </xf>
    <xf numFmtId="166" fontId="112" fillId="0" borderId="62" xfId="1" applyNumberFormat="1" applyFont="1" applyBorder="1"/>
    <xf numFmtId="166" fontId="42" fillId="12" borderId="62" xfId="0" applyNumberFormat="1" applyFont="1" applyFill="1" applyBorder="1" applyAlignment="1">
      <alignment horizontal="center" wrapText="1"/>
    </xf>
    <xf numFmtId="0" fontId="78" fillId="10" borderId="0" xfId="0" applyFont="1" applyFill="1"/>
    <xf numFmtId="49" fontId="42" fillId="0" borderId="93" xfId="0" quotePrefix="1" applyNumberFormat="1" applyFont="1" applyBorder="1" applyAlignment="1">
      <alignment horizontal="left"/>
    </xf>
    <xf numFmtId="166" fontId="110" fillId="0" borderId="62" xfId="1" applyNumberFormat="1" applyFont="1" applyBorder="1" applyAlignment="1">
      <alignment wrapText="1"/>
    </xf>
    <xf numFmtId="166" fontId="42" fillId="40" borderId="62" xfId="0" applyNumberFormat="1" applyFont="1" applyFill="1" applyBorder="1" applyAlignment="1">
      <alignment horizontal="center" wrapText="1"/>
    </xf>
    <xf numFmtId="166" fontId="42" fillId="40" borderId="62" xfId="1" applyNumberFormat="1" applyFont="1" applyFill="1" applyBorder="1"/>
    <xf numFmtId="0" fontId="89" fillId="19" borderId="0" xfId="0" applyFont="1" applyFill="1" applyAlignment="1">
      <alignment horizontal="left" vertical="top" wrapText="1"/>
    </xf>
    <xf numFmtId="0" fontId="42" fillId="10" borderId="0" xfId="0" applyFont="1" applyFill="1"/>
    <xf numFmtId="166" fontId="42" fillId="38" borderId="62" xfId="1" applyNumberFormat="1" applyFont="1" applyFill="1" applyBorder="1"/>
    <xf numFmtId="0" fontId="42" fillId="0" borderId="96" xfId="0" quotePrefix="1" applyFont="1" applyBorder="1" applyAlignment="1">
      <alignment horizontal="left"/>
    </xf>
    <xf numFmtId="0" fontId="42" fillId="0" borderId="96" xfId="0" applyFont="1" applyBorder="1"/>
    <xf numFmtId="0" fontId="42" fillId="0" borderId="96" xfId="0" applyFont="1" applyBorder="1" applyAlignment="1">
      <alignment wrapText="1"/>
    </xf>
    <xf numFmtId="166" fontId="110" fillId="0" borderId="68" xfId="1" applyNumberFormat="1" applyFont="1" applyBorder="1" applyAlignment="1">
      <alignment wrapText="1"/>
    </xf>
    <xf numFmtId="49" fontId="42" fillId="0" borderId="93" xfId="0" applyNumberFormat="1" applyFont="1" applyBorder="1" applyAlignment="1">
      <alignment horizontal="left"/>
    </xf>
    <xf numFmtId="0" fontId="42" fillId="0" borderId="93" xfId="0" quotePrefix="1" applyFont="1" applyBorder="1" applyAlignment="1">
      <alignment horizontal="left"/>
    </xf>
    <xf numFmtId="0" fontId="0" fillId="0" borderId="93" xfId="0" applyBorder="1"/>
    <xf numFmtId="166" fontId="113" fillId="40" borderId="62" xfId="1" applyNumberFormat="1" applyFont="1" applyFill="1" applyBorder="1"/>
    <xf numFmtId="0" fontId="81" fillId="7" borderId="0" xfId="0" applyFont="1" applyFill="1" applyAlignment="1">
      <alignment horizontal="left" vertical="top" wrapText="1"/>
    </xf>
    <xf numFmtId="0" fontId="42" fillId="0" borderId="71" xfId="0" applyFont="1" applyBorder="1" applyAlignment="1">
      <alignment horizontal="left"/>
    </xf>
    <xf numFmtId="0" fontId="42" fillId="0" borderId="99" xfId="0" quotePrefix="1" applyFont="1" applyBorder="1" applyAlignment="1">
      <alignment horizontal="left"/>
    </xf>
    <xf numFmtId="0" fontId="42" fillId="0" borderId="100" xfId="0" applyFont="1" applyBorder="1"/>
    <xf numFmtId="0" fontId="42" fillId="0" borderId="100" xfId="0" applyFont="1" applyBorder="1" applyAlignment="1">
      <alignment wrapText="1"/>
    </xf>
    <xf numFmtId="166" fontId="42" fillId="0" borderId="55" xfId="1" applyNumberFormat="1" applyFont="1" applyFill="1" applyBorder="1"/>
    <xf numFmtId="166" fontId="42" fillId="38" borderId="62" xfId="0" applyNumberFormat="1" applyFont="1" applyFill="1" applyBorder="1" applyAlignment="1">
      <alignment horizontal="center" wrapText="1"/>
    </xf>
    <xf numFmtId="0" fontId="42" fillId="0" borderId="102" xfId="0" quotePrefix="1" applyFont="1" applyBorder="1" applyAlignment="1">
      <alignment horizontal="left"/>
    </xf>
    <xf numFmtId="0" fontId="42" fillId="0" borderId="103" xfId="0" applyFont="1" applyBorder="1"/>
    <xf numFmtId="0" fontId="42" fillId="0" borderId="103" xfId="0" applyFont="1" applyBorder="1" applyAlignment="1">
      <alignment wrapText="1"/>
    </xf>
    <xf numFmtId="166" fontId="42" fillId="0" borderId="54" xfId="1" applyNumberFormat="1" applyFont="1" applyFill="1" applyBorder="1"/>
    <xf numFmtId="166" fontId="110" fillId="0" borderId="67" xfId="1" applyNumberFormat="1" applyFont="1" applyBorder="1" applyAlignment="1">
      <alignment wrapText="1"/>
    </xf>
    <xf numFmtId="0" fontId="42" fillId="7" borderId="0" xfId="0" applyFont="1" applyFill="1"/>
    <xf numFmtId="166" fontId="42" fillId="11" borderId="62" xfId="1" applyNumberFormat="1" applyFont="1" applyFill="1" applyBorder="1"/>
    <xf numFmtId="0" fontId="12" fillId="0" borderId="68" xfId="7" applyFont="1" applyBorder="1"/>
    <xf numFmtId="0" fontId="42" fillId="0" borderId="68" xfId="0" applyFont="1" applyBorder="1" applyAlignment="1">
      <alignment horizontal="left"/>
    </xf>
    <xf numFmtId="166" fontId="110" fillId="0" borderId="98" xfId="1" applyNumberFormat="1" applyFont="1" applyBorder="1" applyAlignment="1">
      <alignment wrapText="1"/>
    </xf>
    <xf numFmtId="0" fontId="12" fillId="0" borderId="67" xfId="7" applyFont="1" applyBorder="1"/>
    <xf numFmtId="0" fontId="42" fillId="0" borderId="67" xfId="0" applyFont="1" applyBorder="1" applyAlignment="1">
      <alignment horizontal="left"/>
    </xf>
    <xf numFmtId="49" fontId="42" fillId="0" borderId="105" xfId="0" applyNumberFormat="1" applyFont="1" applyBorder="1" applyAlignment="1">
      <alignment horizontal="left"/>
    </xf>
    <xf numFmtId="0" fontId="42" fillId="0" borderId="105" xfId="0" applyFont="1" applyBorder="1"/>
    <xf numFmtId="0" fontId="42" fillId="0" borderId="105" xfId="0" applyFont="1" applyBorder="1" applyAlignment="1">
      <alignment wrapText="1"/>
    </xf>
    <xf numFmtId="0" fontId="42" fillId="0" borderId="106" xfId="0" applyFont="1" applyBorder="1" applyAlignment="1">
      <alignment wrapText="1"/>
    </xf>
    <xf numFmtId="166" fontId="0" fillId="40" borderId="62" xfId="1" applyNumberFormat="1" applyFont="1" applyFill="1" applyBorder="1" applyAlignment="1">
      <alignment wrapText="1"/>
    </xf>
    <xf numFmtId="0" fontId="42" fillId="38" borderId="107" xfId="0" applyFont="1" applyFill="1" applyBorder="1" applyAlignment="1">
      <alignment wrapText="1"/>
    </xf>
    <xf numFmtId="166" fontId="42" fillId="37" borderId="62" xfId="0" applyNumberFormat="1" applyFont="1" applyFill="1" applyBorder="1" applyAlignment="1">
      <alignment horizontal="center" wrapText="1"/>
    </xf>
    <xf numFmtId="166" fontId="110" fillId="0" borderId="68" xfId="1" applyNumberFormat="1" applyFont="1" applyFill="1" applyBorder="1" applyAlignment="1"/>
    <xf numFmtId="166" fontId="42" fillId="12" borderId="62" xfId="1" applyNumberFormat="1" applyFont="1" applyFill="1" applyBorder="1" applyAlignment="1"/>
    <xf numFmtId="166" fontId="42" fillId="12" borderId="62" xfId="1" applyNumberFormat="1" applyFont="1" applyFill="1" applyBorder="1" applyAlignment="1">
      <alignment horizontal="center"/>
    </xf>
    <xf numFmtId="166" fontId="42" fillId="40" borderId="62" xfId="1" applyNumberFormat="1" applyFont="1" applyFill="1" applyBorder="1" applyAlignment="1">
      <alignment horizontal="center"/>
    </xf>
    <xf numFmtId="49" fontId="42" fillId="0" borderId="0" xfId="0" quotePrefix="1" applyNumberFormat="1" applyFont="1" applyAlignment="1">
      <alignment horizontal="left"/>
    </xf>
    <xf numFmtId="0" fontId="81" fillId="0" borderId="0" xfId="0" applyFont="1" applyAlignment="1">
      <alignment horizontal="left" vertical="top" wrapText="1"/>
    </xf>
    <xf numFmtId="0" fontId="114" fillId="10" borderId="0" xfId="0" applyFont="1" applyFill="1"/>
    <xf numFmtId="1" fontId="42" fillId="0" borderId="80" xfId="0" applyNumberFormat="1" applyFont="1" applyBorder="1"/>
    <xf numFmtId="0" fontId="12" fillId="0" borderId="101" xfId="7" applyFont="1" applyBorder="1"/>
    <xf numFmtId="0" fontId="42" fillId="0" borderId="101" xfId="0" applyFont="1" applyBorder="1" applyAlignment="1">
      <alignment horizontal="left"/>
    </xf>
    <xf numFmtId="49" fontId="42" fillId="0" borderId="100" xfId="0" quotePrefix="1" applyNumberFormat="1" applyFont="1" applyBorder="1" applyAlignment="1">
      <alignment horizontal="left"/>
    </xf>
    <xf numFmtId="0" fontId="114" fillId="0" borderId="0" xfId="0" applyFont="1"/>
    <xf numFmtId="1" fontId="42" fillId="0" borderId="82" xfId="0" applyNumberFormat="1" applyFont="1" applyBorder="1"/>
    <xf numFmtId="49" fontId="81" fillId="0" borderId="62" xfId="0" applyNumberFormat="1" applyFont="1" applyBorder="1" applyAlignment="1">
      <alignment horizontal="left"/>
    </xf>
    <xf numFmtId="0" fontId="81" fillId="0" borderId="62" xfId="0" applyFont="1" applyBorder="1"/>
    <xf numFmtId="0" fontId="81" fillId="11" borderId="62" xfId="0" applyFont="1" applyFill="1" applyBorder="1" applyAlignment="1">
      <alignment horizontal="right" wrapText="1"/>
    </xf>
    <xf numFmtId="166" fontId="115" fillId="0" borderId="62" xfId="1" applyNumberFormat="1" applyFont="1" applyBorder="1"/>
    <xf numFmtId="166" fontId="81" fillId="0" borderId="79" xfId="1" applyNumberFormat="1" applyFont="1" applyFill="1" applyBorder="1"/>
    <xf numFmtId="166" fontId="81" fillId="12" borderId="62" xfId="1" applyNumberFormat="1" applyFont="1" applyFill="1" applyBorder="1"/>
    <xf numFmtId="166" fontId="116" fillId="0" borderId="0" xfId="1" applyNumberFormat="1" applyFont="1"/>
    <xf numFmtId="1" fontId="42" fillId="0" borderId="108" xfId="0" applyNumberFormat="1" applyFont="1" applyBorder="1"/>
    <xf numFmtId="0" fontId="12" fillId="0" borderId="98" xfId="7" applyFont="1" applyBorder="1"/>
    <xf numFmtId="0" fontId="42" fillId="0" borderId="98" xfId="0" applyFont="1" applyBorder="1" applyAlignment="1">
      <alignment horizontal="left"/>
    </xf>
    <xf numFmtId="0" fontId="42" fillId="0" borderId="98" xfId="0" applyFont="1" applyBorder="1"/>
    <xf numFmtId="0" fontId="81" fillId="11" borderId="98" xfId="0" applyFont="1" applyFill="1" applyBorder="1" applyAlignment="1">
      <alignment horizontal="right" wrapText="1"/>
    </xf>
    <xf numFmtId="166" fontId="110" fillId="0" borderId="98" xfId="1" applyNumberFormat="1" applyFont="1" applyBorder="1"/>
    <xf numFmtId="166" fontId="42" fillId="0" borderId="109" xfId="1" applyNumberFormat="1" applyFont="1" applyFill="1" applyBorder="1"/>
    <xf numFmtId="166" fontId="42" fillId="12" borderId="98" xfId="1" applyNumberFormat="1" applyFont="1" applyFill="1" applyBorder="1"/>
    <xf numFmtId="166" fontId="42" fillId="12" borderId="98" xfId="0" applyNumberFormat="1" applyFont="1" applyFill="1" applyBorder="1" applyAlignment="1">
      <alignment horizontal="center" wrapText="1"/>
    </xf>
    <xf numFmtId="166" fontId="110" fillId="0" borderId="67" xfId="1" applyNumberFormat="1" applyFont="1" applyBorder="1"/>
    <xf numFmtId="166" fontId="42" fillId="12" borderId="67" xfId="1" applyNumberFormat="1" applyFont="1" applyFill="1" applyBorder="1"/>
    <xf numFmtId="49" fontId="0" fillId="0" borderId="67" xfId="0" applyNumberFormat="1" applyBorder="1" applyAlignment="1">
      <alignment horizontal="left"/>
    </xf>
    <xf numFmtId="0" fontId="0" fillId="0" borderId="78" xfId="0" applyBorder="1" applyAlignment="1">
      <alignment wrapText="1"/>
    </xf>
    <xf numFmtId="166" fontId="0" fillId="0" borderId="0" xfId="1" applyNumberFormat="1" applyFont="1" applyFill="1" applyBorder="1"/>
    <xf numFmtId="166" fontId="0" fillId="12" borderId="62" xfId="1" applyNumberFormat="1" applyFont="1" applyFill="1" applyBorder="1"/>
    <xf numFmtId="0" fontId="71" fillId="7" borderId="0" xfId="0" applyFont="1" applyFill="1"/>
    <xf numFmtId="0" fontId="0" fillId="0" borderId="93" xfId="0" applyBorder="1" applyAlignment="1">
      <alignment wrapText="1"/>
    </xf>
    <xf numFmtId="166" fontId="94" fillId="12" borderId="62" xfId="1" applyNumberFormat="1" applyFont="1" applyFill="1" applyBorder="1"/>
    <xf numFmtId="166" fontId="94" fillId="0" borderId="0" xfId="1" applyNumberFormat="1" applyFont="1" applyBorder="1"/>
    <xf numFmtId="49" fontId="0" fillId="0" borderId="62" xfId="0" applyNumberFormat="1" applyBorder="1" applyAlignment="1">
      <alignment horizontal="left"/>
    </xf>
    <xf numFmtId="166" fontId="42" fillId="37" borderId="62" xfId="1" applyNumberFormat="1" applyFont="1" applyFill="1" applyBorder="1"/>
    <xf numFmtId="166" fontId="0" fillId="37" borderId="62" xfId="1" applyNumberFormat="1" applyFont="1" applyFill="1" applyBorder="1"/>
    <xf numFmtId="166" fontId="86" fillId="12" borderId="62" xfId="1" applyNumberFormat="1" applyFont="1" applyFill="1" applyBorder="1"/>
    <xf numFmtId="166" fontId="86" fillId="40" borderId="62" xfId="1" applyNumberFormat="1" applyFont="1" applyFill="1" applyBorder="1"/>
    <xf numFmtId="0" fontId="90" fillId="0" borderId="0" xfId="0" applyFont="1"/>
    <xf numFmtId="166" fontId="94" fillId="40" borderId="62" xfId="1" applyNumberFormat="1" applyFont="1" applyFill="1" applyBorder="1"/>
    <xf numFmtId="0" fontId="42" fillId="0" borderId="58" xfId="0" applyFont="1" applyBorder="1"/>
    <xf numFmtId="166" fontId="42" fillId="0" borderId="110" xfId="1" applyNumberFormat="1" applyFont="1" applyFill="1" applyBorder="1"/>
    <xf numFmtId="166" fontId="86" fillId="12" borderId="68" xfId="1" applyNumberFormat="1" applyFont="1" applyFill="1" applyBorder="1"/>
    <xf numFmtId="166" fontId="86" fillId="40" borderId="68" xfId="1" applyNumberFormat="1" applyFont="1" applyFill="1" applyBorder="1"/>
    <xf numFmtId="0" fontId="0" fillId="0" borderId="112" xfId="0" applyBorder="1" applyAlignment="1">
      <alignment wrapText="1"/>
    </xf>
    <xf numFmtId="49" fontId="42" fillId="0" borderId="112" xfId="0" applyNumberFormat="1" applyFont="1" applyBorder="1" applyAlignment="1">
      <alignment vertical="center" wrapText="1"/>
    </xf>
    <xf numFmtId="0" fontId="42" fillId="0" borderId="112" xfId="0" applyFont="1" applyBorder="1"/>
    <xf numFmtId="166" fontId="42" fillId="0" borderId="113" xfId="1" applyNumberFormat="1" applyFont="1" applyFill="1" applyBorder="1" applyAlignment="1">
      <alignment wrapText="1"/>
    </xf>
    <xf numFmtId="166" fontId="42" fillId="12" borderId="101" xfId="1" applyNumberFormat="1" applyFont="1" applyFill="1" applyBorder="1" applyAlignment="1">
      <alignment wrapText="1"/>
    </xf>
    <xf numFmtId="166" fontId="42" fillId="12" borderId="101" xfId="1" applyNumberFormat="1" applyFont="1" applyFill="1" applyBorder="1"/>
    <xf numFmtId="166" fontId="73" fillId="12" borderId="101" xfId="1" applyNumberFormat="1" applyFont="1" applyFill="1" applyBorder="1" applyAlignment="1">
      <alignment wrapText="1"/>
    </xf>
    <xf numFmtId="0" fontId="0" fillId="0" borderId="116" xfId="0" applyBorder="1" applyAlignment="1">
      <alignment wrapText="1"/>
    </xf>
    <xf numFmtId="49" fontId="42" fillId="0" borderId="116" xfId="0" applyNumberFormat="1" applyFont="1" applyBorder="1" applyAlignment="1">
      <alignment vertical="center" wrapText="1"/>
    </xf>
    <xf numFmtId="0" fontId="42" fillId="0" borderId="116" xfId="0" applyFont="1" applyBorder="1"/>
    <xf numFmtId="166" fontId="42" fillId="0" borderId="54" xfId="1" applyNumberFormat="1" applyFont="1" applyFill="1" applyBorder="1" applyAlignment="1">
      <alignment wrapText="1"/>
    </xf>
    <xf numFmtId="166" fontId="42" fillId="12" borderId="104" xfId="1" applyNumberFormat="1" applyFont="1" applyFill="1" applyBorder="1" applyAlignment="1">
      <alignment wrapText="1"/>
    </xf>
    <xf numFmtId="166" fontId="42" fillId="12" borderId="104" xfId="1" applyNumberFormat="1" applyFont="1" applyFill="1" applyBorder="1"/>
    <xf numFmtId="166" fontId="73" fillId="12" borderId="104" xfId="1" applyNumberFormat="1" applyFont="1" applyFill="1" applyBorder="1" applyAlignment="1">
      <alignment wrapText="1"/>
    </xf>
    <xf numFmtId="0" fontId="0" fillId="0" borderId="118" xfId="0" applyBorder="1" applyAlignment="1">
      <alignment wrapText="1"/>
    </xf>
    <xf numFmtId="49" fontId="42" fillId="0" borderId="118" xfId="0" applyNumberFormat="1" applyFont="1" applyBorder="1" applyAlignment="1">
      <alignment vertical="center" wrapText="1"/>
    </xf>
    <xf numFmtId="0" fontId="42" fillId="0" borderId="118" xfId="0" applyFont="1" applyBorder="1"/>
    <xf numFmtId="0" fontId="42" fillId="0" borderId="118" xfId="0" applyFont="1" applyBorder="1" applyAlignment="1">
      <alignment wrapText="1"/>
    </xf>
    <xf numFmtId="166" fontId="42" fillId="0" borderId="56" xfId="1" applyNumberFormat="1" applyFont="1" applyFill="1" applyBorder="1" applyAlignment="1">
      <alignment wrapText="1"/>
    </xf>
    <xf numFmtId="166" fontId="3" fillId="12" borderId="67" xfId="1" applyNumberFormat="1" applyFont="1" applyFill="1" applyBorder="1"/>
    <xf numFmtId="166" fontId="3" fillId="12" borderId="67" xfId="1" applyNumberFormat="1" applyFont="1" applyFill="1" applyBorder="1" applyAlignment="1">
      <alignment wrapText="1"/>
    </xf>
    <xf numFmtId="166" fontId="3" fillId="0" borderId="0" xfId="1" applyNumberFormat="1" applyFont="1" applyFill="1" applyBorder="1"/>
    <xf numFmtId="166" fontId="3" fillId="40" borderId="67" xfId="1" applyNumberFormat="1" applyFont="1" applyFill="1" applyBorder="1" applyAlignment="1">
      <alignment wrapText="1"/>
    </xf>
    <xf numFmtId="166" fontId="110" fillId="0" borderId="119" xfId="1" applyNumberFormat="1" applyFont="1" applyFill="1" applyBorder="1"/>
    <xf numFmtId="166" fontId="42" fillId="42" borderId="62" xfId="1" applyNumberFormat="1" applyFont="1" applyFill="1" applyBorder="1"/>
    <xf numFmtId="0" fontId="89" fillId="0" borderId="119" xfId="9" applyNumberFormat="1" applyFont="1" applyFill="1" applyBorder="1" applyAlignment="1">
      <alignment vertical="center" wrapText="1"/>
    </xf>
    <xf numFmtId="166" fontId="110" fillId="3" borderId="62" xfId="1" applyNumberFormat="1" applyFont="1" applyFill="1" applyBorder="1"/>
    <xf numFmtId="166" fontId="86" fillId="0" borderId="0" xfId="1" applyNumberFormat="1" applyFont="1" applyBorder="1"/>
    <xf numFmtId="0" fontId="89" fillId="0" borderId="0" xfId="9" applyNumberFormat="1" applyFont="1" applyFill="1" applyBorder="1" applyAlignment="1">
      <alignment vertical="center" wrapText="1"/>
    </xf>
    <xf numFmtId="0" fontId="89" fillId="0" borderId="95" xfId="9" applyNumberFormat="1" applyFont="1" applyFill="1" applyBorder="1" applyAlignment="1">
      <alignment wrapText="1"/>
    </xf>
    <xf numFmtId="0" fontId="71" fillId="0" borderId="0" xfId="0" applyFont="1"/>
    <xf numFmtId="0" fontId="73" fillId="0" borderId="69" xfId="0" applyFont="1" applyBorder="1"/>
    <xf numFmtId="166" fontId="72" fillId="0" borderId="0" xfId="0" applyNumberFormat="1" applyFont="1"/>
    <xf numFmtId="0" fontId="42" fillId="0" borderId="98" xfId="0" applyFont="1" applyBorder="1" applyAlignment="1">
      <alignment horizontal="left" wrapText="1"/>
    </xf>
    <xf numFmtId="0" fontId="0" fillId="0" borderId="118" xfId="0" applyBorder="1"/>
    <xf numFmtId="49" fontId="42" fillId="0" borderId="118" xfId="0" applyNumberFormat="1" applyFont="1" applyBorder="1" applyAlignment="1">
      <alignment horizontal="left"/>
    </xf>
    <xf numFmtId="0" fontId="42" fillId="0" borderId="118" xfId="0" applyFont="1" applyBorder="1" applyAlignment="1">
      <alignment horizontal="left" wrapText="1"/>
    </xf>
    <xf numFmtId="166" fontId="110" fillId="0" borderId="118" xfId="1" applyNumberFormat="1" applyFont="1" applyBorder="1"/>
    <xf numFmtId="0" fontId="102" fillId="0" borderId="0" xfId="0" applyFont="1" applyAlignment="1">
      <alignment vertical="center"/>
    </xf>
    <xf numFmtId="166" fontId="110" fillId="0" borderId="62" xfId="1" applyNumberFormat="1" applyFont="1" applyFill="1" applyBorder="1"/>
    <xf numFmtId="166" fontId="62" fillId="25" borderId="62" xfId="1" applyNumberFormat="1" applyFont="1" applyFill="1" applyBorder="1"/>
    <xf numFmtId="166" fontId="65" fillId="40" borderId="62" xfId="1" applyNumberFormat="1" applyFont="1" applyFill="1" applyBorder="1"/>
    <xf numFmtId="166" fontId="42" fillId="0" borderId="0" xfId="1" applyNumberFormat="1" applyFont="1" applyBorder="1"/>
    <xf numFmtId="166" fontId="110" fillId="0" borderId="72" xfId="1" applyNumberFormat="1" applyFont="1" applyBorder="1" applyAlignment="1">
      <alignment wrapText="1"/>
    </xf>
    <xf numFmtId="166" fontId="42" fillId="37" borderId="72" xfId="1" applyNumberFormat="1" applyFont="1" applyFill="1" applyBorder="1"/>
    <xf numFmtId="166" fontId="42" fillId="0" borderId="72" xfId="1" applyNumberFormat="1" applyFont="1" applyFill="1" applyBorder="1"/>
    <xf numFmtId="166" fontId="110" fillId="0" borderId="78" xfId="1" applyNumberFormat="1" applyFont="1" applyFill="1" applyBorder="1" applyAlignment="1"/>
    <xf numFmtId="166" fontId="42" fillId="0" borderId="78" xfId="1" applyNumberFormat="1" applyFont="1" applyBorder="1"/>
    <xf numFmtId="166" fontId="110" fillId="0" borderId="69" xfId="1" applyNumberFormat="1" applyFont="1" applyBorder="1"/>
    <xf numFmtId="49" fontId="42" fillId="0" borderId="69" xfId="0" quotePrefix="1" applyNumberFormat="1" applyFont="1" applyBorder="1" applyAlignment="1">
      <alignment horizontal="left"/>
    </xf>
    <xf numFmtId="166" fontId="110" fillId="0" borderId="69" xfId="1" applyNumberFormat="1" applyFont="1" applyBorder="1" applyAlignment="1">
      <alignment wrapText="1"/>
    </xf>
    <xf numFmtId="0" fontId="42" fillId="37" borderId="69" xfId="0" applyFont="1" applyFill="1" applyBorder="1" applyAlignment="1">
      <alignment wrapText="1"/>
    </xf>
    <xf numFmtId="166" fontId="42" fillId="37" borderId="69" xfId="1" applyNumberFormat="1" applyFont="1" applyFill="1" applyBorder="1"/>
    <xf numFmtId="166" fontId="78" fillId="0" borderId="0" xfId="1" applyNumberFormat="1" applyFont="1" applyBorder="1"/>
    <xf numFmtId="0" fontId="61" fillId="0" borderId="0" xfId="6" applyBorder="1" applyAlignment="1">
      <alignment wrapText="1"/>
    </xf>
    <xf numFmtId="0" fontId="42" fillId="37" borderId="62" xfId="0" applyFont="1" applyFill="1" applyBorder="1"/>
    <xf numFmtId="166" fontId="42" fillId="43" borderId="62" xfId="1" applyNumberFormat="1" applyFont="1" applyFill="1" applyBorder="1"/>
    <xf numFmtId="0" fontId="63" fillId="10" borderId="0" xfId="0" applyFont="1" applyFill="1"/>
    <xf numFmtId="166" fontId="42" fillId="28" borderId="62" xfId="1" applyNumberFormat="1" applyFont="1" applyFill="1" applyBorder="1"/>
    <xf numFmtId="0" fontId="42" fillId="0" borderId="62" xfId="0" applyFont="1" applyBorder="1" applyAlignment="1">
      <alignment horizontal="left" indent="2"/>
    </xf>
    <xf numFmtId="166" fontId="110" fillId="0" borderId="62" xfId="1" applyNumberFormat="1" applyFont="1" applyFill="1" applyBorder="1" applyAlignment="1">
      <alignment wrapText="1"/>
    </xf>
    <xf numFmtId="166" fontId="117" fillId="28" borderId="62" xfId="1" applyNumberFormat="1" applyFont="1" applyFill="1" applyBorder="1"/>
    <xf numFmtId="0" fontId="0" fillId="0" borderId="58" xfId="0" applyBorder="1"/>
    <xf numFmtId="0" fontId="42" fillId="0" borderId="68" xfId="0" applyFont="1" applyBorder="1" applyAlignment="1">
      <alignment horizontal="left" indent="2"/>
    </xf>
    <xf numFmtId="0" fontId="0" fillId="0" borderId="86" xfId="0" applyBorder="1"/>
    <xf numFmtId="0" fontId="0" fillId="0" borderId="120" xfId="0" applyBorder="1"/>
    <xf numFmtId="49" fontId="42" fillId="0" borderId="86" xfId="0" applyNumberFormat="1" applyFont="1" applyBorder="1" applyAlignment="1">
      <alignment horizontal="left"/>
    </xf>
    <xf numFmtId="0" fontId="42" fillId="0" borderId="86" xfId="0" applyFont="1" applyBorder="1" applyAlignment="1">
      <alignment horizontal="left" indent="2"/>
    </xf>
    <xf numFmtId="166" fontId="110" fillId="0" borderId="86" xfId="1" applyNumberFormat="1" applyFont="1" applyBorder="1" applyAlignment="1">
      <alignment wrapText="1"/>
    </xf>
    <xf numFmtId="166" fontId="42" fillId="0" borderId="87" xfId="1" applyNumberFormat="1" applyFont="1" applyFill="1" applyBorder="1"/>
    <xf numFmtId="166" fontId="42" fillId="0" borderId="86" xfId="1" applyNumberFormat="1" applyFont="1" applyBorder="1"/>
    <xf numFmtId="0" fontId="42" fillId="0" borderId="72" xfId="0" applyFont="1" applyBorder="1" applyAlignment="1">
      <alignment horizontal="left" indent="2"/>
    </xf>
    <xf numFmtId="0" fontId="42" fillId="37" borderId="62" xfId="0" applyFont="1" applyFill="1" applyBorder="1" applyAlignment="1">
      <alignment wrapText="1"/>
    </xf>
    <xf numFmtId="0" fontId="66" fillId="28" borderId="62" xfId="0" applyFont="1" applyFill="1" applyBorder="1" applyAlignment="1">
      <alignment wrapText="1"/>
    </xf>
    <xf numFmtId="0" fontId="0" fillId="0" borderId="67" xfId="0" applyBorder="1" applyAlignment="1">
      <alignment horizontal="left" wrapText="1"/>
    </xf>
    <xf numFmtId="0" fontId="0" fillId="0" borderId="62" xfId="0" applyBorder="1" applyAlignment="1">
      <alignment horizontal="left" wrapText="1"/>
    </xf>
    <xf numFmtId="0" fontId="42" fillId="0" borderId="69" xfId="0" applyFont="1" applyBorder="1" applyAlignment="1">
      <alignment horizontal="left" wrapText="1"/>
    </xf>
    <xf numFmtId="166" fontId="42" fillId="44" borderId="62" xfId="1" applyNumberFormat="1" applyFont="1" applyFill="1" applyBorder="1"/>
    <xf numFmtId="166" fontId="70" fillId="0" borderId="62" xfId="1" applyNumberFormat="1" applyFont="1" applyBorder="1"/>
    <xf numFmtId="0" fontId="65" fillId="0" borderId="0" xfId="0" applyFont="1" applyAlignment="1">
      <alignment horizontal="right"/>
    </xf>
    <xf numFmtId="166" fontId="65" fillId="25" borderId="0" xfId="1" applyNumberFormat="1" applyFont="1" applyFill="1" applyBorder="1" applyAlignment="1">
      <alignment horizontal="center" wrapText="1"/>
    </xf>
    <xf numFmtId="166" fontId="110" fillId="0" borderId="67" xfId="1" applyNumberFormat="1" applyFont="1" applyFill="1" applyBorder="1" applyAlignment="1">
      <alignment wrapText="1"/>
    </xf>
    <xf numFmtId="166" fontId="107" fillId="0" borderId="62" xfId="1" applyNumberFormat="1" applyFont="1" applyBorder="1" applyAlignment="1">
      <alignment wrapText="1"/>
    </xf>
    <xf numFmtId="166" fontId="42" fillId="0" borderId="0" xfId="1" applyNumberFormat="1" applyFont="1" applyBorder="1" applyAlignment="1">
      <alignment wrapText="1"/>
    </xf>
    <xf numFmtId="166" fontId="107" fillId="37" borderId="62" xfId="1" applyNumberFormat="1" applyFont="1" applyFill="1" applyBorder="1" applyAlignment="1">
      <alignment wrapText="1"/>
    </xf>
    <xf numFmtId="0" fontId="0" fillId="0" borderId="67" xfId="0" applyBorder="1" applyAlignment="1">
      <alignment wrapText="1"/>
    </xf>
    <xf numFmtId="49" fontId="0" fillId="0" borderId="62" xfId="0" applyNumberFormat="1" applyBorder="1" applyAlignment="1">
      <alignment wrapText="1"/>
    </xf>
    <xf numFmtId="166" fontId="42" fillId="0" borderId="0" xfId="1" applyNumberFormat="1" applyFont="1" applyFill="1" applyBorder="1" applyAlignment="1">
      <alignment wrapText="1"/>
    </xf>
    <xf numFmtId="0" fontId="0" fillId="37" borderId="0" xfId="0" applyFill="1"/>
    <xf numFmtId="166" fontId="73" fillId="0" borderId="0" xfId="1" applyNumberFormat="1" applyFont="1" applyFill="1" applyBorder="1" applyAlignment="1">
      <alignment wrapText="1"/>
    </xf>
    <xf numFmtId="166" fontId="42" fillId="37" borderId="62" xfId="1" applyNumberFormat="1" applyFont="1" applyFill="1" applyBorder="1" applyAlignment="1">
      <alignment wrapText="1"/>
    </xf>
    <xf numFmtId="166" fontId="42" fillId="0" borderId="78" xfId="1" applyNumberFormat="1" applyFont="1" applyBorder="1" applyAlignment="1">
      <alignment wrapText="1"/>
    </xf>
    <xf numFmtId="0" fontId="102" fillId="0" borderId="0" xfId="0" applyFont="1" applyAlignment="1">
      <alignment wrapText="1"/>
    </xf>
    <xf numFmtId="49" fontId="42" fillId="0" borderId="67" xfId="0" applyNumberFormat="1" applyFont="1" applyBorder="1" applyAlignment="1">
      <alignment wrapText="1"/>
    </xf>
    <xf numFmtId="166" fontId="111" fillId="0" borderId="62" xfId="1" applyNumberFormat="1" applyFont="1" applyFill="1" applyBorder="1" applyAlignment="1">
      <alignment wrapText="1"/>
    </xf>
    <xf numFmtId="166" fontId="107" fillId="41" borderId="71" xfId="1" applyNumberFormat="1" applyFont="1" applyFill="1" applyBorder="1" applyAlignment="1">
      <alignment wrapText="1"/>
    </xf>
    <xf numFmtId="166" fontId="42" fillId="37" borderId="71" xfId="1" applyNumberFormat="1" applyFont="1" applyFill="1" applyBorder="1" applyAlignment="1">
      <alignment wrapText="1"/>
    </xf>
    <xf numFmtId="0" fontId="42" fillId="41" borderId="0" xfId="0" applyFont="1" applyFill="1"/>
    <xf numFmtId="166" fontId="42" fillId="41" borderId="71" xfId="1" applyNumberFormat="1" applyFont="1" applyFill="1" applyBorder="1"/>
    <xf numFmtId="166" fontId="42" fillId="0" borderId="93" xfId="1" applyNumberFormat="1" applyFont="1" applyFill="1" applyBorder="1"/>
    <xf numFmtId="166" fontId="42" fillId="0" borderId="93" xfId="1" applyNumberFormat="1" applyFont="1" applyBorder="1"/>
    <xf numFmtId="166" fontId="42" fillId="0" borderId="64" xfId="1" applyNumberFormat="1" applyFont="1" applyBorder="1"/>
    <xf numFmtId="166" fontId="42" fillId="0" borderId="0" xfId="1" applyNumberFormat="1" applyFont="1" applyBorder="1" applyAlignment="1">
      <alignment horizontal="center"/>
    </xf>
    <xf numFmtId="166" fontId="42" fillId="43" borderId="68" xfId="1" applyNumberFormat="1" applyFont="1" applyFill="1" applyBorder="1" applyAlignment="1"/>
    <xf numFmtId="166" fontId="78" fillId="0" borderId="0" xfId="1" applyNumberFormat="1" applyFont="1" applyBorder="1" applyAlignment="1">
      <alignment horizontal="center"/>
    </xf>
    <xf numFmtId="166" fontId="42" fillId="37" borderId="68" xfId="1" applyNumberFormat="1" applyFont="1" applyFill="1" applyBorder="1" applyAlignment="1"/>
    <xf numFmtId="166" fontId="42" fillId="0" borderId="68" xfId="1" applyNumberFormat="1" applyFont="1" applyBorder="1" applyAlignment="1"/>
    <xf numFmtId="49" fontId="42" fillId="0" borderId="111" xfId="0" applyNumberFormat="1" applyFont="1" applyBorder="1" applyAlignment="1">
      <alignment horizontal="left"/>
    </xf>
    <xf numFmtId="0" fontId="42" fillId="0" borderId="101" xfId="0" applyFont="1" applyBorder="1"/>
    <xf numFmtId="0" fontId="42" fillId="0" borderId="101" xfId="0" applyFont="1" applyBorder="1" applyAlignment="1">
      <alignment wrapText="1"/>
    </xf>
    <xf numFmtId="166" fontId="42" fillId="0" borderId="101" xfId="1" applyNumberFormat="1" applyFont="1" applyBorder="1" applyAlignment="1">
      <alignment wrapText="1"/>
    </xf>
    <xf numFmtId="166" fontId="42" fillId="0" borderId="81" xfId="1" applyNumberFormat="1" applyFont="1" applyFill="1" applyBorder="1"/>
    <xf numFmtId="49" fontId="42" fillId="0" borderId="121" xfId="0" applyNumberFormat="1" applyFont="1" applyBorder="1" applyAlignment="1">
      <alignment horizontal="left"/>
    </xf>
    <xf numFmtId="166" fontId="42" fillId="0" borderId="83" xfId="1" applyNumberFormat="1" applyFont="1" applyFill="1" applyBorder="1"/>
    <xf numFmtId="166" fontId="94" fillId="0" borderId="60" xfId="1" applyNumberFormat="1" applyFont="1" applyBorder="1"/>
    <xf numFmtId="49" fontId="42" fillId="0" borderId="84" xfId="0" applyNumberFormat="1" applyFont="1" applyBorder="1" applyAlignment="1">
      <alignment horizontal="left"/>
    </xf>
    <xf numFmtId="0" fontId="42" fillId="0" borderId="104" xfId="0" applyFont="1" applyBorder="1"/>
    <xf numFmtId="0" fontId="42" fillId="0" borderId="104" xfId="0" applyFont="1" applyBorder="1" applyAlignment="1">
      <alignment wrapText="1"/>
    </xf>
    <xf numFmtId="166" fontId="42" fillId="0" borderId="104" xfId="1" applyNumberFormat="1" applyFont="1" applyBorder="1" applyAlignment="1">
      <alignment wrapText="1"/>
    </xf>
    <xf numFmtId="166" fontId="42" fillId="0" borderId="85" xfId="1" applyNumberFormat="1" applyFont="1" applyFill="1" applyBorder="1"/>
    <xf numFmtId="166" fontId="42" fillId="0" borderId="60" xfId="1" applyNumberFormat="1" applyFont="1" applyBorder="1"/>
    <xf numFmtId="0" fontId="42" fillId="0" borderId="0" xfId="6" applyFont="1" applyAlignment="1">
      <alignment wrapText="1"/>
    </xf>
    <xf numFmtId="166" fontId="73" fillId="0" borderId="0" xfId="1" applyNumberFormat="1" applyFont="1" applyFill="1" applyBorder="1" applyAlignment="1">
      <alignment horizontal="center"/>
    </xf>
    <xf numFmtId="166" fontId="73" fillId="0" borderId="79" xfId="1" applyNumberFormat="1" applyFont="1" applyFill="1" applyBorder="1"/>
    <xf numFmtId="166" fontId="78" fillId="0" borderId="0" xfId="1" quotePrefix="1" applyNumberFormat="1" applyFont="1" applyBorder="1"/>
    <xf numFmtId="49" fontId="42" fillId="0" borderId="122" xfId="0" applyNumberFormat="1" applyFont="1" applyBorder="1" applyAlignment="1">
      <alignment horizontal="left"/>
    </xf>
    <xf numFmtId="166" fontId="42" fillId="0" borderId="123" xfId="1" applyNumberFormat="1" applyFont="1" applyBorder="1"/>
    <xf numFmtId="49" fontId="42" fillId="0" borderId="82" xfId="0" applyNumberFormat="1" applyFont="1" applyBorder="1" applyAlignment="1">
      <alignment horizontal="left"/>
    </xf>
    <xf numFmtId="166" fontId="42" fillId="0" borderId="83" xfId="1" applyNumberFormat="1" applyFont="1" applyBorder="1"/>
    <xf numFmtId="0" fontId="0" fillId="0" borderId="104" xfId="0" applyBorder="1"/>
    <xf numFmtId="166" fontId="110" fillId="0" borderId="104" xfId="1" applyNumberFormat="1" applyFont="1" applyBorder="1"/>
    <xf numFmtId="166" fontId="42" fillId="0" borderId="124" xfId="1" applyNumberFormat="1" applyFont="1" applyFill="1" applyBorder="1"/>
    <xf numFmtId="166" fontId="42" fillId="0" borderId="104" xfId="1" applyNumberFormat="1" applyFont="1" applyFill="1" applyBorder="1"/>
    <xf numFmtId="166" fontId="42" fillId="0" borderId="104" xfId="1" applyNumberFormat="1" applyFont="1" applyBorder="1"/>
    <xf numFmtId="166" fontId="42" fillId="0" borderId="85" xfId="1" applyNumberFormat="1" applyFont="1" applyBorder="1"/>
    <xf numFmtId="49" fontId="42" fillId="0" borderId="125" xfId="0" applyNumberFormat="1" applyFont="1" applyBorder="1" applyAlignment="1">
      <alignment horizontal="left"/>
    </xf>
    <xf numFmtId="0" fontId="0" fillId="0" borderId="112" xfId="0" applyBorder="1"/>
    <xf numFmtId="0" fontId="42" fillId="0" borderId="112" xfId="0" applyFont="1" applyBorder="1" applyAlignment="1">
      <alignment wrapText="1"/>
    </xf>
    <xf numFmtId="166" fontId="110" fillId="0" borderId="112" xfId="1" applyNumberFormat="1" applyFont="1" applyBorder="1"/>
    <xf numFmtId="166" fontId="42" fillId="0" borderId="113" xfId="1" applyNumberFormat="1" applyFont="1" applyFill="1" applyBorder="1"/>
    <xf numFmtId="166" fontId="42" fillId="0" borderId="112" xfId="1" applyNumberFormat="1" applyFont="1" applyBorder="1"/>
    <xf numFmtId="166" fontId="42" fillId="0" borderId="126" xfId="1" applyNumberFormat="1" applyFont="1" applyBorder="1"/>
    <xf numFmtId="0" fontId="42" fillId="37" borderId="0" xfId="0" applyFont="1" applyFill="1"/>
    <xf numFmtId="166" fontId="42" fillId="41" borderId="62" xfId="1" applyNumberFormat="1" applyFont="1" applyFill="1" applyBorder="1"/>
    <xf numFmtId="166" fontId="110" fillId="0" borderId="68" xfId="1" applyNumberFormat="1" applyFont="1" applyFill="1" applyBorder="1"/>
    <xf numFmtId="166" fontId="42" fillId="0" borderId="59" xfId="1" applyNumberFormat="1" applyFont="1" applyFill="1" applyBorder="1"/>
    <xf numFmtId="49" fontId="42" fillId="0" borderId="80" xfId="0" applyNumberFormat="1" applyFont="1" applyBorder="1" applyAlignment="1">
      <alignment horizontal="left"/>
    </xf>
    <xf numFmtId="166" fontId="42" fillId="0" borderId="101" xfId="1" applyNumberFormat="1" applyFont="1" applyFill="1" applyBorder="1"/>
    <xf numFmtId="166" fontId="42" fillId="0" borderId="127" xfId="1" applyNumberFormat="1" applyFont="1" applyFill="1" applyBorder="1"/>
    <xf numFmtId="166" fontId="42" fillId="0" borderId="101" xfId="1" applyNumberFormat="1" applyFont="1" applyBorder="1"/>
    <xf numFmtId="166" fontId="42" fillId="0" borderId="81" xfId="1" applyNumberFormat="1" applyFont="1" applyBorder="1"/>
    <xf numFmtId="0" fontId="0" fillId="41" borderId="0" xfId="0" applyFill="1"/>
    <xf numFmtId="166" fontId="79" fillId="0" borderId="0" xfId="0" applyNumberFormat="1" applyFont="1"/>
    <xf numFmtId="166" fontId="70" fillId="0" borderId="62" xfId="1" applyNumberFormat="1" applyFont="1" applyFill="1" applyBorder="1"/>
    <xf numFmtId="166" fontId="42" fillId="0" borderId="0" xfId="0" applyNumberFormat="1" applyFont="1" applyAlignment="1">
      <alignment horizontal="center" wrapText="1"/>
    </xf>
    <xf numFmtId="0" fontId="102" fillId="0" borderId="0" xfId="0" applyFont="1"/>
    <xf numFmtId="166" fontId="110" fillId="0" borderId="86" xfId="1" applyNumberFormat="1" applyFont="1" applyBorder="1"/>
    <xf numFmtId="166" fontId="91" fillId="0" borderId="0" xfId="1" applyNumberFormat="1" applyFont="1" applyBorder="1"/>
    <xf numFmtId="0" fontId="42" fillId="0" borderId="128" xfId="0" applyFont="1" applyBorder="1"/>
    <xf numFmtId="0" fontId="42" fillId="0" borderId="128" xfId="0" applyFont="1" applyBorder="1" applyAlignment="1">
      <alignment wrapText="1"/>
    </xf>
    <xf numFmtId="166" fontId="110" fillId="0" borderId="128" xfId="1" applyNumberFormat="1" applyFont="1" applyBorder="1"/>
    <xf numFmtId="166" fontId="42" fillId="0" borderId="129" xfId="1" applyNumberFormat="1" applyFont="1" applyFill="1" applyBorder="1"/>
    <xf numFmtId="166" fontId="42" fillId="0" borderId="128" xfId="1" applyNumberFormat="1" applyFont="1" applyBorder="1"/>
    <xf numFmtId="166" fontId="91" fillId="0" borderId="128" xfId="1" applyNumberFormat="1" applyFont="1" applyBorder="1"/>
    <xf numFmtId="166" fontId="110" fillId="0" borderId="72" xfId="1" applyNumberFormat="1" applyFont="1" applyBorder="1"/>
    <xf numFmtId="0" fontId="42" fillId="5" borderId="67" xfId="0" applyFont="1" applyFill="1" applyBorder="1" applyAlignment="1">
      <alignment wrapText="1"/>
    </xf>
    <xf numFmtId="166" fontId="110" fillId="0" borderId="67" xfId="1" applyNumberFormat="1" applyFont="1" applyFill="1" applyBorder="1"/>
    <xf numFmtId="166" fontId="42" fillId="0" borderId="88" xfId="1" applyNumberFormat="1" applyFont="1" applyFill="1" applyBorder="1"/>
    <xf numFmtId="166" fontId="42" fillId="0" borderId="89" xfId="1" applyNumberFormat="1" applyFont="1" applyFill="1" applyBorder="1"/>
    <xf numFmtId="0" fontId="42" fillId="0" borderId="119" xfId="0" applyFont="1" applyBorder="1"/>
    <xf numFmtId="0" fontId="42" fillId="0" borderId="119" xfId="0" applyFont="1" applyBorder="1" applyAlignment="1">
      <alignment wrapText="1"/>
    </xf>
    <xf numFmtId="166" fontId="42" fillId="0" borderId="119" xfId="1" applyNumberFormat="1" applyFont="1" applyFill="1" applyBorder="1"/>
    <xf numFmtId="166" fontId="42" fillId="0" borderId="130" xfId="1" applyNumberFormat="1" applyFont="1" applyFill="1" applyBorder="1"/>
    <xf numFmtId="166" fontId="86" fillId="0" borderId="119" xfId="1" applyNumberFormat="1" applyFont="1" applyBorder="1"/>
    <xf numFmtId="166" fontId="110" fillId="0" borderId="88" xfId="1" applyNumberFormat="1" applyFont="1" applyFill="1" applyBorder="1"/>
    <xf numFmtId="166" fontId="42" fillId="37" borderId="88" xfId="1" applyNumberFormat="1" applyFont="1" applyFill="1" applyBorder="1"/>
    <xf numFmtId="166" fontId="110" fillId="0" borderId="119" xfId="1" applyNumberFormat="1" applyFont="1" applyBorder="1"/>
    <xf numFmtId="166" fontId="73" fillId="0" borderId="130" xfId="1" applyNumberFormat="1" applyFont="1" applyFill="1" applyBorder="1"/>
    <xf numFmtId="166" fontId="42" fillId="37" borderId="119" xfId="1" applyNumberFormat="1" applyFont="1" applyFill="1" applyBorder="1"/>
    <xf numFmtId="166" fontId="91" fillId="0" borderId="119" xfId="1" applyNumberFormat="1" applyFont="1" applyBorder="1"/>
    <xf numFmtId="166" fontId="73" fillId="0" borderId="87" xfId="1" applyNumberFormat="1" applyFont="1" applyFill="1" applyBorder="1"/>
    <xf numFmtId="166" fontId="42" fillId="37" borderId="86" xfId="1" applyNumberFormat="1" applyFont="1" applyFill="1" applyBorder="1"/>
    <xf numFmtId="166" fontId="118" fillId="0" borderId="67" xfId="1" applyNumberFormat="1" applyFont="1" applyBorder="1"/>
    <xf numFmtId="166" fontId="118" fillId="0" borderId="62" xfId="1" applyNumberFormat="1" applyFont="1" applyBorder="1"/>
    <xf numFmtId="0" fontId="42" fillId="5" borderId="68" xfId="0" applyFont="1" applyFill="1" applyBorder="1" applyAlignment="1">
      <alignment wrapText="1"/>
    </xf>
    <xf numFmtId="166" fontId="42" fillId="37" borderId="68" xfId="1" applyNumberFormat="1" applyFont="1" applyFill="1" applyBorder="1"/>
    <xf numFmtId="166" fontId="42" fillId="17" borderId="68" xfId="1" applyNumberFormat="1" applyFont="1" applyFill="1" applyBorder="1"/>
    <xf numFmtId="0" fontId="0" fillId="41" borderId="68" xfId="0" quotePrefix="1" applyFill="1" applyBorder="1"/>
    <xf numFmtId="0" fontId="42" fillId="41" borderId="68" xfId="0" quotePrefix="1" applyFont="1" applyFill="1" applyBorder="1"/>
    <xf numFmtId="166" fontId="91" fillId="0" borderId="69" xfId="1" applyNumberFormat="1" applyFont="1" applyBorder="1"/>
    <xf numFmtId="166" fontId="110" fillId="0" borderId="93" xfId="1" applyNumberFormat="1" applyFont="1" applyBorder="1"/>
    <xf numFmtId="0" fontId="89" fillId="0" borderId="94" xfId="9" applyNumberFormat="1" applyFont="1" applyFill="1" applyBorder="1" applyAlignment="1">
      <alignment wrapText="1"/>
    </xf>
    <xf numFmtId="0" fontId="75" fillId="0" borderId="0" xfId="0" applyFont="1"/>
    <xf numFmtId="0" fontId="0" fillId="41" borderId="62" xfId="0" quotePrefix="1" applyFill="1" applyBorder="1"/>
    <xf numFmtId="0" fontId="89" fillId="0" borderId="97" xfId="12" applyFont="1" applyBorder="1" applyAlignment="1">
      <alignment horizontal="left" vertical="center" wrapText="1"/>
    </xf>
    <xf numFmtId="0" fontId="89" fillId="0" borderId="93" xfId="12" applyFont="1" applyBorder="1" applyAlignment="1">
      <alignment horizontal="left" vertical="center" wrapText="1"/>
    </xf>
    <xf numFmtId="0" fontId="89" fillId="0" borderId="119" xfId="12" applyFont="1" applyBorder="1" applyAlignment="1">
      <alignment horizontal="left" vertical="center" wrapText="1"/>
    </xf>
    <xf numFmtId="0" fontId="89" fillId="0" borderId="94" xfId="12" applyFont="1" applyBorder="1" applyAlignment="1">
      <alignment horizontal="left" vertical="center" wrapText="1"/>
    </xf>
    <xf numFmtId="173" fontId="89" fillId="0" borderId="93" xfId="8" applyNumberFormat="1" applyFont="1" applyFill="1" applyBorder="1"/>
    <xf numFmtId="0" fontId="102" fillId="0" borderId="94" xfId="9" applyNumberFormat="1" applyFont="1" applyFill="1" applyBorder="1" applyAlignment="1">
      <alignment wrapText="1"/>
    </xf>
    <xf numFmtId="0" fontId="102" fillId="0" borderId="93" xfId="9" applyNumberFormat="1" applyFont="1" applyFill="1" applyBorder="1" applyAlignment="1">
      <alignment wrapText="1"/>
    </xf>
    <xf numFmtId="166" fontId="89" fillId="0" borderId="0" xfId="0" applyNumberFormat="1" applyFont="1"/>
    <xf numFmtId="166" fontId="89" fillId="0" borderId="0" xfId="0" applyNumberFormat="1" applyFont="1" applyAlignment="1">
      <alignment wrapText="1"/>
    </xf>
    <xf numFmtId="166" fontId="89" fillId="37" borderId="0" xfId="0" applyNumberFormat="1" applyFont="1" applyFill="1"/>
    <xf numFmtId="166" fontId="101" fillId="0" borderId="0" xfId="0" applyNumberFormat="1" applyFont="1"/>
    <xf numFmtId="0" fontId="119" fillId="0" borderId="131" xfId="0" applyFont="1" applyBorder="1"/>
    <xf numFmtId="0" fontId="119" fillId="0" borderId="132" xfId="0" applyFont="1" applyBorder="1"/>
    <xf numFmtId="0" fontId="119" fillId="0" borderId="133" xfId="0" applyFont="1" applyBorder="1"/>
    <xf numFmtId="0" fontId="0" fillId="0" borderId="105" xfId="0" applyBorder="1" applyAlignment="1">
      <alignment horizontal="center" vertical="center"/>
    </xf>
    <xf numFmtId="0" fontId="120" fillId="0" borderId="105" xfId="0" applyFont="1" applyBorder="1" applyAlignment="1">
      <alignment wrapText="1"/>
    </xf>
    <xf numFmtId="0" fontId="0" fillId="42" borderId="105" xfId="0" applyFill="1" applyBorder="1" applyAlignment="1">
      <alignment wrapText="1"/>
    </xf>
    <xf numFmtId="0" fontId="0" fillId="0" borderId="93" xfId="0" applyBorder="1" applyAlignment="1">
      <alignment horizontal="center" vertical="center"/>
    </xf>
    <xf numFmtId="0" fontId="120" fillId="0" borderId="93" xfId="0" applyFont="1" applyBorder="1" applyAlignment="1">
      <alignment wrapText="1"/>
    </xf>
    <xf numFmtId="0" fontId="0" fillId="26" borderId="93" xfId="0" applyFill="1" applyBorder="1" applyAlignment="1">
      <alignment wrapText="1"/>
    </xf>
    <xf numFmtId="0" fontId="0" fillId="17" borderId="93" xfId="0" applyFill="1" applyBorder="1"/>
    <xf numFmtId="0" fontId="0" fillId="42" borderId="93" xfId="0" applyFill="1" applyBorder="1" applyAlignment="1">
      <alignment wrapText="1"/>
    </xf>
    <xf numFmtId="0" fontId="0" fillId="26" borderId="93" xfId="0" applyFill="1" applyBorder="1"/>
    <xf numFmtId="0" fontId="42" fillId="17" borderId="0" xfId="0" applyFont="1" applyFill="1"/>
    <xf numFmtId="166" fontId="121" fillId="0" borderId="69" xfId="1" applyNumberFormat="1" applyFont="1" applyFill="1" applyBorder="1"/>
    <xf numFmtId="166" fontId="4" fillId="0" borderId="6" xfId="1" applyNumberFormat="1" applyFont="1" applyFill="1" applyBorder="1"/>
    <xf numFmtId="166" fontId="4" fillId="0" borderId="8" xfId="1" applyNumberFormat="1" applyFont="1" applyFill="1" applyBorder="1"/>
    <xf numFmtId="0" fontId="14" fillId="16" borderId="40" xfId="0" applyFont="1" applyFill="1" applyBorder="1"/>
    <xf numFmtId="166" fontId="4" fillId="0" borderId="40" xfId="1" applyNumberFormat="1" applyFont="1" applyFill="1" applyBorder="1"/>
    <xf numFmtId="166" fontId="4" fillId="0" borderId="0" xfId="1" applyNumberFormat="1" applyFont="1" applyFill="1" applyBorder="1"/>
    <xf numFmtId="166" fontId="14" fillId="16" borderId="40" xfId="1" applyNumberFormat="1" applyFont="1" applyFill="1" applyBorder="1"/>
    <xf numFmtId="168" fontId="14" fillId="15" borderId="40" xfId="0" applyNumberFormat="1" applyFont="1" applyFill="1" applyBorder="1"/>
    <xf numFmtId="0" fontId="14" fillId="9" borderId="53" xfId="0" applyFont="1" applyFill="1" applyBorder="1"/>
    <xf numFmtId="166" fontId="14" fillId="0" borderId="0" xfId="1" applyNumberFormat="1" applyFont="1" applyFill="1" applyBorder="1"/>
    <xf numFmtId="166" fontId="18" fillId="12" borderId="34" xfId="1" applyNumberFormat="1" applyFont="1" applyFill="1" applyBorder="1"/>
    <xf numFmtId="2" fontId="34" fillId="0" borderId="8" xfId="2" applyNumberFormat="1" applyFont="1" applyBorder="1"/>
    <xf numFmtId="169" fontId="34" fillId="0" borderId="8" xfId="1" applyNumberFormat="1" applyFont="1" applyBorder="1"/>
    <xf numFmtId="166" fontId="5" fillId="8" borderId="28" xfId="1" applyNumberFormat="1" applyFont="1" applyFill="1" applyBorder="1"/>
    <xf numFmtId="166" fontId="13" fillId="0" borderId="11" xfId="1" applyNumberFormat="1" applyFont="1" applyFill="1" applyBorder="1"/>
    <xf numFmtId="166" fontId="42" fillId="0" borderId="98" xfId="1" applyNumberFormat="1" applyFont="1" applyBorder="1" applyAlignment="1">
      <alignment wrapText="1"/>
    </xf>
    <xf numFmtId="167" fontId="122" fillId="11" borderId="49" xfId="3" quotePrefix="1" applyNumberFormat="1" applyFont="1" applyFill="1" applyBorder="1" applyAlignment="1" applyProtection="1">
      <alignment wrapText="1"/>
      <protection locked="0"/>
    </xf>
    <xf numFmtId="166" fontId="42" fillId="0" borderId="118" xfId="1" applyNumberFormat="1" applyFont="1" applyFill="1" applyBorder="1"/>
    <xf numFmtId="166" fontId="42" fillId="0" borderId="112" xfId="1" applyNumberFormat="1" applyFont="1" applyFill="1" applyBorder="1"/>
    <xf numFmtId="166" fontId="42" fillId="0" borderId="116" xfId="1" applyNumberFormat="1" applyFont="1" applyFill="1" applyBorder="1"/>
    <xf numFmtId="166" fontId="21" fillId="0" borderId="0" xfId="1" applyNumberFormat="1" applyFont="1"/>
    <xf numFmtId="166" fontId="42" fillId="0" borderId="96" xfId="1" applyNumberFormat="1" applyFont="1" applyBorder="1"/>
    <xf numFmtId="167" fontId="5" fillId="29" borderId="49" xfId="3" quotePrefix="1" applyNumberFormat="1" applyFont="1" applyFill="1" applyBorder="1" applyAlignment="1" applyProtection="1">
      <alignment wrapText="1"/>
      <protection locked="0"/>
    </xf>
    <xf numFmtId="166" fontId="42" fillId="41" borderId="62" xfId="1" applyNumberFormat="1" applyFont="1" applyFill="1" applyBorder="1" applyAlignment="1">
      <alignment wrapText="1"/>
    </xf>
    <xf numFmtId="0" fontId="40" fillId="3" borderId="40" xfId="0" applyFont="1" applyFill="1" applyBorder="1"/>
    <xf numFmtId="0" fontId="53" fillId="3" borderId="40" xfId="0" applyFont="1" applyFill="1" applyBorder="1"/>
    <xf numFmtId="166" fontId="40" fillId="3" borderId="40" xfId="1" applyNumberFormat="1" applyFont="1" applyFill="1" applyBorder="1"/>
    <xf numFmtId="166" fontId="53" fillId="3" borderId="40" xfId="1" applyNumberFormat="1" applyFont="1" applyFill="1" applyBorder="1"/>
    <xf numFmtId="166" fontId="123" fillId="3" borderId="40" xfId="1" applyNumberFormat="1" applyFont="1" applyFill="1" applyBorder="1"/>
    <xf numFmtId="0" fontId="52" fillId="3" borderId="40" xfId="0" applyFont="1" applyFill="1" applyBorder="1"/>
    <xf numFmtId="0" fontId="123" fillId="3" borderId="40" xfId="0" applyFont="1" applyFill="1" applyBorder="1"/>
    <xf numFmtId="166" fontId="52" fillId="3" borderId="40" xfId="1" applyNumberFormat="1" applyFont="1" applyFill="1" applyBorder="1"/>
    <xf numFmtId="166" fontId="86" fillId="12" borderId="62" xfId="0" applyNumberFormat="1" applyFont="1" applyFill="1" applyBorder="1" applyAlignment="1">
      <alignment horizontal="center" wrapText="1"/>
    </xf>
    <xf numFmtId="166" fontId="86" fillId="38" borderId="62" xfId="0" applyNumberFormat="1" applyFont="1" applyFill="1" applyBorder="1" applyAlignment="1">
      <alignment horizontal="center" wrapText="1"/>
    </xf>
    <xf numFmtId="166" fontId="86" fillId="12" borderId="67" xfId="1" applyNumberFormat="1" applyFont="1" applyFill="1" applyBorder="1" applyAlignment="1">
      <alignment wrapText="1"/>
    </xf>
    <xf numFmtId="166" fontId="86" fillId="38" borderId="62" xfId="1" applyNumberFormat="1" applyFont="1" applyFill="1" applyBorder="1"/>
    <xf numFmtId="166" fontId="86" fillId="12" borderId="62" xfId="1" applyNumberFormat="1" applyFont="1" applyFill="1" applyBorder="1" applyAlignment="1"/>
    <xf numFmtId="166" fontId="86" fillId="37" borderId="62" xfId="1" applyNumberFormat="1" applyFont="1" applyFill="1" applyBorder="1"/>
    <xf numFmtId="166" fontId="18" fillId="18" borderId="53" xfId="1" applyNumberFormat="1" applyFont="1" applyFill="1" applyBorder="1"/>
    <xf numFmtId="0" fontId="39" fillId="0" borderId="0" xfId="0" applyFont="1" applyAlignment="1">
      <alignment horizontal="right" wrapText="1" indent="3"/>
    </xf>
    <xf numFmtId="0" fontId="13" fillId="0" borderId="11" xfId="0" applyFont="1" applyBorder="1"/>
    <xf numFmtId="9" fontId="124" fillId="0" borderId="0" xfId="2" applyFont="1"/>
    <xf numFmtId="166" fontId="124" fillId="0" borderId="0" xfId="2" applyNumberFormat="1" applyFont="1"/>
    <xf numFmtId="0" fontId="125" fillId="0" borderId="0" xfId="0" applyFont="1"/>
    <xf numFmtId="166" fontId="125" fillId="0" borderId="0" xfId="1" applyNumberFormat="1" applyFont="1" applyFill="1"/>
    <xf numFmtId="166" fontId="125" fillId="0" borderId="0" xfId="0" applyNumberFormat="1" applyFont="1"/>
    <xf numFmtId="166" fontId="125" fillId="0" borderId="0" xfId="1" applyNumberFormat="1" applyFont="1"/>
    <xf numFmtId="3" fontId="125" fillId="0" borderId="0" xfId="0" applyNumberFormat="1" applyFont="1"/>
    <xf numFmtId="166" fontId="56" fillId="12" borderId="53" xfId="1" applyNumberFormat="1" applyFont="1" applyFill="1" applyBorder="1"/>
    <xf numFmtId="166" fontId="56" fillId="18" borderId="53" xfId="1" applyNumberFormat="1" applyFont="1" applyFill="1" applyBorder="1"/>
    <xf numFmtId="167" fontId="39" fillId="0" borderId="0" xfId="3" applyNumberFormat="1" applyFont="1" applyProtection="1">
      <protection locked="0"/>
    </xf>
    <xf numFmtId="0" fontId="126" fillId="0" borderId="0" xfId="5" applyFont="1" applyAlignment="1">
      <alignment wrapText="1"/>
    </xf>
    <xf numFmtId="0" fontId="127" fillId="0" borderId="0" xfId="0" applyFont="1"/>
    <xf numFmtId="166" fontId="127" fillId="0" borderId="0" xfId="0" applyNumberFormat="1" applyFont="1"/>
    <xf numFmtId="0" fontId="26" fillId="0" borderId="0" xfId="0" applyFont="1" applyAlignment="1">
      <alignment horizontal="left" vertical="top" wrapText="1"/>
    </xf>
    <xf numFmtId="0" fontId="65" fillId="34" borderId="62" xfId="0" applyFont="1" applyFill="1" applyBorder="1" applyAlignment="1">
      <alignment horizontal="center" wrapText="1"/>
    </xf>
    <xf numFmtId="0" fontId="65" fillId="34" borderId="62" xfId="0" applyFont="1" applyFill="1" applyBorder="1" applyAlignment="1">
      <alignment horizontal="center"/>
    </xf>
    <xf numFmtId="0" fontId="62" fillId="34" borderId="62" xfId="0" applyFont="1" applyFill="1" applyBorder="1" applyAlignment="1">
      <alignment horizontal="center" wrapText="1"/>
    </xf>
    <xf numFmtId="0" fontId="65" fillId="0" borderId="62" xfId="0" applyFont="1" applyBorder="1" applyAlignment="1">
      <alignment horizontal="center" wrapText="1"/>
    </xf>
    <xf numFmtId="0" fontId="62" fillId="34" borderId="68" xfId="0" applyFont="1" applyFill="1" applyBorder="1" applyAlignment="1">
      <alignment horizontal="center" wrapText="1"/>
    </xf>
    <xf numFmtId="0" fontId="62" fillId="34" borderId="67" xfId="0" applyFont="1" applyFill="1" applyBorder="1" applyAlignment="1">
      <alignment horizontal="center" wrapText="1"/>
    </xf>
    <xf numFmtId="0" fontId="89" fillId="0" borderId="63" xfId="0" applyFont="1" applyBorder="1" applyAlignment="1">
      <alignment horizontal="left" vertical="top" wrapText="1"/>
    </xf>
    <xf numFmtId="166" fontId="89" fillId="5" borderId="0" xfId="1" applyNumberFormat="1" applyFont="1" applyFill="1" applyAlignment="1">
      <alignment horizontal="left" vertical="top" wrapText="1"/>
    </xf>
    <xf numFmtId="0" fontId="89" fillId="0" borderId="0" xfId="0" applyFont="1" applyAlignment="1">
      <alignment horizontal="left" vertical="top" wrapText="1"/>
    </xf>
    <xf numFmtId="0" fontId="65" fillId="25" borderId="62" xfId="0" applyFont="1" applyFill="1" applyBorder="1" applyAlignment="1">
      <alignment horizontal="center" wrapText="1"/>
    </xf>
    <xf numFmtId="0" fontId="65" fillId="25" borderId="62" xfId="0" applyFont="1" applyFill="1" applyBorder="1" applyAlignment="1">
      <alignment horizontal="center"/>
    </xf>
    <xf numFmtId="0" fontId="62" fillId="25" borderId="62" xfId="0" applyFont="1" applyFill="1" applyBorder="1" applyAlignment="1">
      <alignment horizontal="center" wrapText="1"/>
    </xf>
    <xf numFmtId="0" fontId="62" fillId="25" borderId="68" xfId="0" applyFont="1" applyFill="1" applyBorder="1" applyAlignment="1">
      <alignment horizontal="center" wrapText="1"/>
    </xf>
    <xf numFmtId="0" fontId="65" fillId="0" borderId="68" xfId="0" applyFont="1" applyBorder="1" applyAlignment="1">
      <alignment horizontal="center" wrapText="1"/>
    </xf>
    <xf numFmtId="0" fontId="62" fillId="25" borderId="78" xfId="0" applyFont="1" applyFill="1" applyBorder="1" applyAlignment="1">
      <alignment horizontal="center" wrapText="1"/>
    </xf>
    <xf numFmtId="0" fontId="65" fillId="25" borderId="68" xfId="0" applyFont="1" applyFill="1" applyBorder="1" applyAlignment="1">
      <alignment horizontal="center" wrapText="1"/>
    </xf>
    <xf numFmtId="0" fontId="62" fillId="25" borderId="62" xfId="0" applyFont="1" applyFill="1" applyBorder="1" applyAlignment="1">
      <alignment horizontal="center"/>
    </xf>
    <xf numFmtId="0" fontId="80" fillId="0" borderId="57" xfId="0" applyFont="1" applyBorder="1" applyAlignment="1">
      <alignment horizontal="center"/>
    </xf>
    <xf numFmtId="0" fontId="83" fillId="0" borderId="62" xfId="0" applyFont="1" applyBorder="1" applyAlignment="1">
      <alignment horizontal="center" wrapText="1"/>
    </xf>
    <xf numFmtId="166" fontId="42" fillId="40" borderId="62" xfId="1" applyNumberFormat="1" applyFont="1" applyFill="1" applyBorder="1" applyAlignment="1">
      <alignment horizontal="center" vertical="center"/>
    </xf>
    <xf numFmtId="0" fontId="0" fillId="0" borderId="111" xfId="0" applyBorder="1" applyAlignment="1">
      <alignment horizontal="center"/>
    </xf>
    <xf numFmtId="0" fontId="0" fillId="0" borderId="115" xfId="0" applyBorder="1" applyAlignment="1">
      <alignment horizontal="center"/>
    </xf>
    <xf numFmtId="166" fontId="113" fillId="40" borderId="114" xfId="1" applyNumberFormat="1" applyFont="1" applyFill="1" applyBorder="1" applyAlignment="1">
      <alignment horizontal="center"/>
    </xf>
    <xf numFmtId="166" fontId="113" fillId="40" borderId="117" xfId="1" applyNumberFormat="1" applyFont="1" applyFill="1" applyBorder="1" applyAlignment="1">
      <alignment horizontal="center"/>
    </xf>
    <xf numFmtId="166" fontId="62" fillId="11" borderId="68" xfId="1" applyNumberFormat="1" applyFont="1" applyFill="1" applyBorder="1" applyAlignment="1">
      <alignment horizontal="center" wrapText="1"/>
    </xf>
    <xf numFmtId="166" fontId="62" fillId="11" borderId="67" xfId="1" applyNumberFormat="1" applyFont="1" applyFill="1" applyBorder="1" applyAlignment="1">
      <alignment horizontal="center" wrapText="1"/>
    </xf>
    <xf numFmtId="166" fontId="113" fillId="40" borderId="62" xfId="1" applyNumberFormat="1" applyFont="1" applyFill="1" applyBorder="1" applyAlignment="1">
      <alignment horizontal="center" vertical="center"/>
    </xf>
  </cellXfs>
  <cellStyles count="14">
    <cellStyle name="Hipersaite" xfId="6" builtinId="8"/>
    <cellStyle name="Komats" xfId="1" builtinId="3"/>
    <cellStyle name="Komats 5" xfId="13" xr:uid="{85B255BC-31B7-4EBC-8139-BC78885A1093}"/>
    <cellStyle name="Komats 6" xfId="8" xr:uid="{02A69E13-CFB3-46BE-8F3C-39CED63947D0}"/>
    <cellStyle name="Komats 6 8" xfId="9" xr:uid="{4A3C5FF1-8370-45E5-9276-C804138750CD}"/>
    <cellStyle name="Normal 12" xfId="11" xr:uid="{B6477C32-79C2-43EB-BC07-814D41683796}"/>
    <cellStyle name="Normal 2" xfId="4" xr:uid="{11900747-4CF4-43E8-8EFC-C9C6781FCD47}"/>
    <cellStyle name="Normal 21" xfId="10" xr:uid="{E42AF8BE-C835-4A63-ADB6-E4FFBF02E12C}"/>
    <cellStyle name="Normal 21 2" xfId="12" xr:uid="{3A84CA4B-B324-4387-B024-67DB59D4879E}"/>
    <cellStyle name="Normal 4" xfId="5" xr:uid="{469BFD55-5EF7-4505-976E-4058D6E14C37}"/>
    <cellStyle name="Normal_pielikums veidlapai-2_v2_12082008" xfId="3" xr:uid="{F1B50CB1-EF23-4F93-B116-9716321B71B8}"/>
    <cellStyle name="Parasts" xfId="0" builtinId="0"/>
    <cellStyle name="Parasts 2" xfId="7" xr:uid="{AD9D7EC1-BF83-4E8C-B284-68C791C0C6BF}"/>
    <cellStyle name="Procenti" xfId="2" builtinId="5"/>
  </cellStyles>
  <dxfs count="9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precessportam.lv/products/skatitaju-tribines-parvietojamas-1"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93456-784E-4DCB-B5B9-B4CA0D68A50B}">
  <sheetPr filterMode="1">
    <tabColor rgb="FF8E267F"/>
  </sheetPr>
  <dimension ref="A1:W373"/>
  <sheetViews>
    <sheetView topLeftCell="A45" zoomScale="115" zoomScaleNormal="115" zoomScaleSheetLayoutView="150" workbookViewId="0">
      <selection activeCell="H313" sqref="H313"/>
    </sheetView>
  </sheetViews>
  <sheetFormatPr defaultRowHeight="12" outlineLevelRow="1" outlineLevelCol="1" x14ac:dyDescent="0.2"/>
  <cols>
    <col min="1" max="1" width="8" customWidth="1"/>
    <col min="2" max="2" width="3.42578125" style="387" customWidth="1" outlineLevel="1"/>
    <col min="3" max="3" width="3.7109375" customWidth="1"/>
    <col min="4" max="5" width="1.7109375" customWidth="1"/>
    <col min="6" max="6" width="8.7109375" style="388" customWidth="1" outlineLevel="1"/>
    <col min="7" max="7" width="5.5703125" customWidth="1" outlineLevel="1"/>
    <col min="8" max="8" width="56.85546875" customWidth="1"/>
    <col min="9" max="9" width="16.5703125" customWidth="1"/>
    <col min="10" max="10" width="0.85546875" customWidth="1"/>
    <col min="11" max="12" width="16.5703125" customWidth="1"/>
    <col min="13" max="13" width="16.5703125" style="363" customWidth="1"/>
    <col min="14" max="14" width="72.5703125" style="329" hidden="1" customWidth="1" outlineLevel="1"/>
    <col min="15" max="15" width="13.42578125" style="330" customWidth="1" collapsed="1"/>
    <col min="16" max="16" width="15.42578125" customWidth="1"/>
    <col min="17" max="17" width="21.42578125" customWidth="1"/>
    <col min="18" max="18" width="13.42578125" customWidth="1"/>
    <col min="19" max="19" width="11" customWidth="1"/>
  </cols>
  <sheetData>
    <row r="1" spans="7:19" ht="14.45" customHeight="1" x14ac:dyDescent="0.2">
      <c r="M1" s="328"/>
      <c r="P1" s="331"/>
      <c r="Q1" s="332"/>
    </row>
    <row r="2" spans="7:19" ht="14.45" customHeight="1" x14ac:dyDescent="0.2">
      <c r="G2" s="333"/>
      <c r="H2" s="334"/>
      <c r="K2" s="335">
        <v>2024</v>
      </c>
      <c r="L2" s="335">
        <v>2025</v>
      </c>
      <c r="M2" s="336" t="s">
        <v>161</v>
      </c>
      <c r="N2" s="337" t="s">
        <v>162</v>
      </c>
      <c r="P2" s="338" t="s">
        <v>163</v>
      </c>
      <c r="Q2" s="339">
        <v>4928374.21</v>
      </c>
      <c r="R2" s="340">
        <v>4771895.0599999996</v>
      </c>
      <c r="S2" s="341"/>
    </row>
    <row r="3" spans="7:19" ht="14.45" customHeight="1" x14ac:dyDescent="0.2">
      <c r="G3" s="342"/>
      <c r="H3" s="343"/>
      <c r="I3" s="335" t="s">
        <v>164</v>
      </c>
      <c r="K3" s="344">
        <v>40171843.719999999</v>
      </c>
      <c r="L3" s="345">
        <v>44045764.908235289</v>
      </c>
      <c r="M3" s="346">
        <f>L3-K3</f>
        <v>3873921.1882352903</v>
      </c>
      <c r="N3" s="347">
        <f>L3/K3-1</f>
        <v>9.6433741384556182E-2</v>
      </c>
      <c r="O3" s="348"/>
      <c r="P3" s="349" t="s">
        <v>165</v>
      </c>
      <c r="Q3" s="350"/>
      <c r="R3" s="340" t="s">
        <v>166</v>
      </c>
      <c r="S3" s="341"/>
    </row>
    <row r="4" spans="7:19" ht="14.45" customHeight="1" x14ac:dyDescent="0.2">
      <c r="G4" s="342"/>
      <c r="H4" s="343"/>
      <c r="I4" s="335" t="s">
        <v>167</v>
      </c>
      <c r="K4" s="351">
        <v>37957640.368864998</v>
      </c>
      <c r="L4" s="345">
        <v>40672350.108982734</v>
      </c>
      <c r="M4" s="346">
        <f>L4-K4</f>
        <v>2714709.7401177362</v>
      </c>
      <c r="N4" s="347">
        <f>L4/K4-1</f>
        <v>7.1519454679919825E-2</v>
      </c>
      <c r="O4" s="348"/>
      <c r="P4" s="338" t="s">
        <v>168</v>
      </c>
      <c r="Q4" s="352">
        <f>Q2-Q3</f>
        <v>4928374.21</v>
      </c>
      <c r="R4" s="340"/>
      <c r="S4" s="341"/>
    </row>
    <row r="5" spans="7:19" ht="14.45" customHeight="1" x14ac:dyDescent="0.2">
      <c r="G5" s="353"/>
      <c r="H5" s="354"/>
      <c r="I5" s="354"/>
      <c r="K5" s="355">
        <f>K3-K4</f>
        <v>2214203.3511350006</v>
      </c>
      <c r="L5" s="355">
        <f>L3-L4</f>
        <v>3373414.7992525548</v>
      </c>
      <c r="M5" s="356">
        <f>M3-M4</f>
        <v>1159211.4481175542</v>
      </c>
      <c r="N5" s="347">
        <f>L5/K5-1</f>
        <v>0.52353432105652908</v>
      </c>
      <c r="O5" s="357"/>
      <c r="P5" s="358" t="s">
        <v>169</v>
      </c>
      <c r="Q5" s="359">
        <f>768411.64-38951-4549</f>
        <v>724911.64</v>
      </c>
      <c r="R5" s="340"/>
      <c r="S5" s="341"/>
    </row>
    <row r="6" spans="7:19" ht="14.45" customHeight="1" x14ac:dyDescent="0.2">
      <c r="G6" s="342"/>
      <c r="H6" s="360"/>
      <c r="I6" s="361"/>
      <c r="L6" s="362"/>
      <c r="N6" s="364"/>
      <c r="O6" s="357"/>
      <c r="P6" s="365" t="s">
        <v>170</v>
      </c>
      <c r="Q6" s="366">
        <f>SUM(Q4:Q5)</f>
        <v>5653285.8499999996</v>
      </c>
      <c r="R6" s="340"/>
      <c r="S6" s="341"/>
    </row>
    <row r="7" spans="7:19" ht="14.45" customHeight="1" x14ac:dyDescent="0.2">
      <c r="G7" s="367"/>
      <c r="H7" s="361"/>
      <c r="I7" s="335" t="s">
        <v>171</v>
      </c>
      <c r="K7" s="368"/>
      <c r="L7" s="339">
        <f>Q6</f>
        <v>5653285.8499999996</v>
      </c>
      <c r="N7" s="369"/>
      <c r="Q7" s="370"/>
      <c r="S7" s="341"/>
    </row>
    <row r="8" spans="7:19" ht="14.45" customHeight="1" x14ac:dyDescent="0.2">
      <c r="G8" s="371"/>
      <c r="H8" s="372"/>
      <c r="I8" s="372" t="s">
        <v>172</v>
      </c>
      <c r="K8" s="373"/>
      <c r="L8" s="374">
        <f>L5+L7</f>
        <v>9026700.6492525544</v>
      </c>
      <c r="R8" s="340"/>
      <c r="S8" s="341"/>
    </row>
    <row r="9" spans="7:19" ht="14.45" customHeight="1" x14ac:dyDescent="0.2">
      <c r="I9" s="361"/>
      <c r="L9" s="362"/>
      <c r="P9" s="375"/>
      <c r="Q9" s="370">
        <v>528541.26</v>
      </c>
      <c r="R9" s="340" t="s">
        <v>173</v>
      </c>
      <c r="S9" s="341"/>
    </row>
    <row r="10" spans="7:19" ht="14.45" customHeight="1" x14ac:dyDescent="0.2">
      <c r="I10" s="335" t="s">
        <v>174</v>
      </c>
      <c r="K10" s="376"/>
      <c r="L10" s="345">
        <v>3467034</v>
      </c>
      <c r="Q10" s="370"/>
      <c r="R10" s="340"/>
      <c r="S10" s="341"/>
    </row>
    <row r="11" spans="7:19" ht="14.45" customHeight="1" x14ac:dyDescent="0.2">
      <c r="H11" s="377"/>
      <c r="I11" s="377"/>
      <c r="J11" s="340"/>
      <c r="K11" s="378"/>
      <c r="L11" s="374">
        <f>L8-L10</f>
        <v>5559666.6492525544</v>
      </c>
      <c r="Q11" s="370"/>
      <c r="R11" s="340"/>
      <c r="S11" s="341"/>
    </row>
    <row r="12" spans="7:19" ht="14.45" customHeight="1" x14ac:dyDescent="0.2">
      <c r="I12" s="361"/>
      <c r="K12" s="379"/>
      <c r="L12" s="362"/>
      <c r="Q12" s="370"/>
      <c r="S12" s="341"/>
    </row>
    <row r="13" spans="7:19" ht="14.45" customHeight="1" x14ac:dyDescent="0.2">
      <c r="G13" s="371"/>
      <c r="H13" s="380"/>
      <c r="I13" s="368" t="s">
        <v>175</v>
      </c>
      <c r="L13" s="345">
        <f>K29</f>
        <v>532474.71773925109</v>
      </c>
      <c r="Q13" s="330"/>
      <c r="R13" s="340"/>
      <c r="S13" s="341"/>
    </row>
    <row r="14" spans="7:19" ht="14.45" customHeight="1" x14ac:dyDescent="0.2">
      <c r="G14" s="371"/>
      <c r="I14" s="368" t="s">
        <v>176</v>
      </c>
      <c r="L14" s="345">
        <f>K30</f>
        <v>1766972.4</v>
      </c>
      <c r="M14" s="381"/>
      <c r="Q14" s="382"/>
      <c r="S14" s="341"/>
    </row>
    <row r="15" spans="7:19" ht="14.45" customHeight="1" x14ac:dyDescent="0.2">
      <c r="G15" s="367"/>
      <c r="H15" s="383"/>
      <c r="I15" s="383" t="s">
        <v>177</v>
      </c>
      <c r="K15" s="384"/>
      <c r="L15" s="385">
        <f>L11-L13-L14</f>
        <v>3260219.5315133031</v>
      </c>
      <c r="Q15" s="330"/>
      <c r="R15" s="340"/>
      <c r="S15" s="341"/>
    </row>
    <row r="16" spans="7:19" ht="14.45" customHeight="1" x14ac:dyDescent="0.2">
      <c r="L16" s="362"/>
      <c r="N16" s="386"/>
      <c r="Q16" s="330"/>
      <c r="S16" s="341"/>
    </row>
    <row r="17" spans="1:19" ht="14.45" customHeight="1" x14ac:dyDescent="0.2">
      <c r="I17" s="368" t="s">
        <v>178</v>
      </c>
      <c r="L17" s="362"/>
      <c r="N17" s="386"/>
      <c r="Q17" s="330"/>
      <c r="S17" s="341"/>
    </row>
    <row r="18" spans="1:19" ht="14.45" customHeight="1" x14ac:dyDescent="0.2">
      <c r="G18" s="341"/>
      <c r="I18" s="389" t="s">
        <v>179</v>
      </c>
      <c r="J18" s="390"/>
      <c r="K18" s="390"/>
      <c r="L18" s="391">
        <f>K32</f>
        <v>3195314.7</v>
      </c>
      <c r="M18" s="392"/>
      <c r="N18" s="386"/>
      <c r="Q18" s="363"/>
      <c r="S18" s="341"/>
    </row>
    <row r="19" spans="1:19" ht="14.45" customHeight="1" x14ac:dyDescent="0.2">
      <c r="G19" s="341"/>
      <c r="H19" s="393"/>
      <c r="I19" s="394" t="s">
        <v>180</v>
      </c>
      <c r="J19" s="390"/>
      <c r="K19" s="390"/>
      <c r="L19" s="395">
        <f>L15-L18</f>
        <v>64904.831513302866</v>
      </c>
      <c r="M19" s="392"/>
      <c r="N19" s="386"/>
      <c r="Q19" s="363"/>
      <c r="S19" s="341"/>
    </row>
    <row r="20" spans="1:19" ht="14.45" customHeight="1" x14ac:dyDescent="0.2">
      <c r="G20" s="341"/>
      <c r="H20" s="393"/>
      <c r="I20" s="389"/>
      <c r="J20" s="390"/>
      <c r="K20" s="390"/>
      <c r="L20" s="396"/>
      <c r="M20" s="381"/>
      <c r="N20" s="386"/>
      <c r="Q20" s="363"/>
      <c r="S20" s="341"/>
    </row>
    <row r="21" spans="1:19" ht="14.45" customHeight="1" x14ac:dyDescent="0.2">
      <c r="G21" s="341"/>
      <c r="H21" s="393"/>
      <c r="I21" s="389"/>
      <c r="J21" s="390"/>
      <c r="K21" s="390"/>
      <c r="L21" s="396"/>
      <c r="M21" s="381"/>
      <c r="N21" s="386"/>
      <c r="Q21" s="363"/>
      <c r="S21" s="341"/>
    </row>
    <row r="22" spans="1:19" ht="12" customHeight="1" x14ac:dyDescent="0.2">
      <c r="G22" s="341"/>
      <c r="I22" s="368"/>
      <c r="L22" s="345"/>
      <c r="M22" s="381"/>
      <c r="N22" s="386"/>
      <c r="Q22" s="363"/>
      <c r="S22" s="341"/>
    </row>
    <row r="23" spans="1:19" hidden="1" x14ac:dyDescent="0.2">
      <c r="F23" s="397"/>
      <c r="I23" s="368" t="s">
        <v>181</v>
      </c>
      <c r="L23" s="345">
        <f>K31-K32</f>
        <v>3634632</v>
      </c>
      <c r="M23" s="386"/>
      <c r="N23"/>
      <c r="O23"/>
      <c r="P23" s="363"/>
      <c r="R23" s="341"/>
    </row>
    <row r="24" spans="1:19" hidden="1" x14ac:dyDescent="0.2">
      <c r="G24" s="341"/>
      <c r="I24" s="368"/>
      <c r="L24" s="345"/>
      <c r="M24" s="381"/>
      <c r="N24" s="386"/>
      <c r="O24"/>
      <c r="Q24" s="363"/>
      <c r="S24" s="341"/>
    </row>
    <row r="25" spans="1:19" hidden="1" x14ac:dyDescent="0.2">
      <c r="H25" s="398"/>
      <c r="I25" s="398" t="s">
        <v>182</v>
      </c>
      <c r="K25" s="399"/>
      <c r="L25" s="400">
        <f>L15-L18-L23</f>
        <v>-3569727.1684866971</v>
      </c>
      <c r="O25"/>
      <c r="Q25" s="363"/>
      <c r="R25" s="340"/>
      <c r="S25" s="341"/>
    </row>
    <row r="26" spans="1:19" hidden="1" x14ac:dyDescent="0.2">
      <c r="L26" s="363"/>
      <c r="O26"/>
    </row>
    <row r="27" spans="1:19" hidden="1" x14ac:dyDescent="0.2">
      <c r="L27" s="363"/>
      <c r="O27"/>
    </row>
    <row r="28" spans="1:19" ht="12" customHeight="1" collapsed="1" x14ac:dyDescent="0.2">
      <c r="A28" s="401"/>
      <c r="C28" s="402"/>
      <c r="D28" s="403"/>
      <c r="E28" s="403"/>
      <c r="F28" s="404"/>
      <c r="G28" s="403"/>
      <c r="H28" s="405"/>
      <c r="I28" s="406" t="s">
        <v>183</v>
      </c>
      <c r="J28" s="407"/>
      <c r="K28" s="408" t="s">
        <v>78</v>
      </c>
      <c r="L28" s="408" t="s">
        <v>184</v>
      </c>
      <c r="M28" s="409" t="s">
        <v>185</v>
      </c>
    </row>
    <row r="29" spans="1:19" ht="14.45" customHeight="1" x14ac:dyDescent="0.2">
      <c r="A29" s="401"/>
      <c r="C29" s="410"/>
      <c r="D29" s="411"/>
      <c r="E29" s="411"/>
      <c r="G29" s="411"/>
      <c r="H29" s="412" t="s">
        <v>186</v>
      </c>
      <c r="I29" s="413">
        <f>SUM(K29:M29)</f>
        <v>14516201.538261674</v>
      </c>
      <c r="K29" s="414">
        <f>K63</f>
        <v>532474.71773925109</v>
      </c>
      <c r="L29" s="414">
        <f>L63</f>
        <v>8310608.9305224232</v>
      </c>
      <c r="M29" s="414">
        <f>M63</f>
        <v>5673117.8900000006</v>
      </c>
    </row>
    <row r="30" spans="1:19" ht="14.45" customHeight="1" x14ac:dyDescent="0.2">
      <c r="A30" s="401"/>
      <c r="C30" s="410"/>
      <c r="D30" s="411"/>
      <c r="E30" s="411"/>
      <c r="G30" s="411"/>
      <c r="H30" s="412" t="s">
        <v>187</v>
      </c>
      <c r="I30" s="413">
        <f>SUM(K30:M30)</f>
        <v>2123837.4</v>
      </c>
      <c r="K30" s="414">
        <f>K147</f>
        <v>1766972.4</v>
      </c>
      <c r="L30" s="414">
        <f>L147</f>
        <v>356865</v>
      </c>
      <c r="M30" s="414">
        <f>M147</f>
        <v>0</v>
      </c>
    </row>
    <row r="31" spans="1:19" ht="14.45" customHeight="1" x14ac:dyDescent="0.2">
      <c r="A31" s="401"/>
      <c r="C31" s="410"/>
      <c r="D31" s="411"/>
      <c r="E31" s="411"/>
      <c r="G31" s="411"/>
      <c r="H31" s="412" t="s">
        <v>178</v>
      </c>
      <c r="I31" s="413">
        <f>SUM(K31:M31)</f>
        <v>9412884.6999999993</v>
      </c>
      <c r="K31" s="414">
        <f>K319</f>
        <v>6829946.7000000002</v>
      </c>
      <c r="L31" s="414">
        <f>L319</f>
        <v>1647938</v>
      </c>
      <c r="M31" s="414">
        <f>M319</f>
        <v>935000</v>
      </c>
    </row>
    <row r="32" spans="1:19" ht="14.45" customHeight="1" x14ac:dyDescent="0.2">
      <c r="A32" s="401"/>
      <c r="C32" s="410"/>
      <c r="D32" s="411"/>
      <c r="E32" s="411"/>
      <c r="G32" s="411"/>
      <c r="H32" s="415" t="s">
        <v>179</v>
      </c>
      <c r="I32" s="416">
        <f>I322</f>
        <v>4278252.7</v>
      </c>
      <c r="J32" s="417"/>
      <c r="K32" s="418">
        <f t="shared" ref="K32:M33" si="0">K322</f>
        <v>3195314.7</v>
      </c>
      <c r="L32" s="416">
        <f t="shared" si="0"/>
        <v>147938</v>
      </c>
      <c r="M32" s="416">
        <f t="shared" si="0"/>
        <v>935000</v>
      </c>
    </row>
    <row r="33" spans="1:21" ht="14.45" customHeight="1" x14ac:dyDescent="0.2">
      <c r="A33" s="401"/>
      <c r="C33" s="410"/>
      <c r="D33" s="411"/>
      <c r="E33" s="411"/>
      <c r="G33" s="411"/>
      <c r="H33" s="415" t="s">
        <v>188</v>
      </c>
      <c r="I33" s="416">
        <f>I323</f>
        <v>4854632</v>
      </c>
      <c r="J33" s="417"/>
      <c r="K33" s="418">
        <f t="shared" si="0"/>
        <v>3354632</v>
      </c>
      <c r="L33" s="416">
        <f t="shared" si="0"/>
        <v>1500000</v>
      </c>
      <c r="M33" s="416">
        <f t="shared" si="0"/>
        <v>0</v>
      </c>
    </row>
    <row r="34" spans="1:21" ht="14.45" customHeight="1" x14ac:dyDescent="0.2">
      <c r="A34" s="401"/>
      <c r="C34" s="410"/>
      <c r="D34" s="411"/>
      <c r="E34" s="411"/>
      <c r="G34" s="411"/>
      <c r="H34" s="412" t="s">
        <v>189</v>
      </c>
      <c r="I34" s="419">
        <f>SUM(I29:I31)</f>
        <v>26052923.638261676</v>
      </c>
      <c r="J34" s="361"/>
      <c r="K34" s="420">
        <f>SUM(K29:K31)</f>
        <v>9129393.817739252</v>
      </c>
      <c r="L34" s="420">
        <f>SUM(L29:L31)</f>
        <v>10315411.930522423</v>
      </c>
      <c r="M34" s="420">
        <f>SUM(M29:M31)</f>
        <v>6608117.8900000006</v>
      </c>
    </row>
    <row r="35" spans="1:21" ht="14.45" customHeight="1" x14ac:dyDescent="0.2">
      <c r="A35" s="401"/>
      <c r="C35" s="421"/>
      <c r="D35" s="422"/>
      <c r="E35" s="422"/>
      <c r="F35" s="423"/>
      <c r="G35" s="422"/>
      <c r="H35" s="424" t="s">
        <v>190</v>
      </c>
      <c r="I35" s="425">
        <f>SUM(K35:M35)</f>
        <v>0</v>
      </c>
      <c r="J35" s="426"/>
      <c r="K35" s="427">
        <f>K332</f>
        <v>0</v>
      </c>
      <c r="L35" s="427">
        <f>L332</f>
        <v>0</v>
      </c>
      <c r="M35" s="427">
        <f>M332</f>
        <v>0</v>
      </c>
    </row>
    <row r="36" spans="1:21" ht="14.45" customHeight="1" x14ac:dyDescent="0.2">
      <c r="H36" s="428"/>
      <c r="I36" s="429"/>
      <c r="J36" s="426"/>
      <c r="K36" s="430"/>
      <c r="L36" s="430"/>
      <c r="M36" s="430"/>
    </row>
    <row r="37" spans="1:21" ht="14.45" customHeight="1" x14ac:dyDescent="0.2">
      <c r="D37" s="431"/>
      <c r="E37" s="431"/>
      <c r="F37" s="432" t="s">
        <v>191</v>
      </c>
      <c r="G37" s="431"/>
    </row>
    <row r="38" spans="1:21" ht="14.45" customHeight="1" x14ac:dyDescent="0.2">
      <c r="B38" s="1193"/>
      <c r="C38" s="1186" t="s">
        <v>192</v>
      </c>
      <c r="D38" s="1186" t="s">
        <v>193</v>
      </c>
      <c r="E38" s="1186" t="s">
        <v>194</v>
      </c>
      <c r="F38" s="1178" t="s">
        <v>195</v>
      </c>
      <c r="G38" s="1186" t="s">
        <v>196</v>
      </c>
      <c r="H38" s="1186" t="s">
        <v>197</v>
      </c>
      <c r="I38" s="1186" t="s">
        <v>183</v>
      </c>
      <c r="J38" s="434"/>
      <c r="K38" s="1191" t="s">
        <v>198</v>
      </c>
      <c r="L38" s="1191"/>
      <c r="M38" s="1191"/>
    </row>
    <row r="39" spans="1:21" s="380" customFormat="1" ht="36" customHeight="1" x14ac:dyDescent="0.2">
      <c r="B39" s="1193"/>
      <c r="C39" s="1186"/>
      <c r="D39" s="1186"/>
      <c r="E39" s="1186"/>
      <c r="F39" s="1178"/>
      <c r="G39" s="1186"/>
      <c r="H39" s="1186"/>
      <c r="I39" s="1186"/>
      <c r="J39" s="434"/>
      <c r="K39" s="433" t="s">
        <v>78</v>
      </c>
      <c r="L39" s="408" t="s">
        <v>184</v>
      </c>
      <c r="M39" s="435" t="s">
        <v>185</v>
      </c>
      <c r="N39" s="329"/>
      <c r="O39" s="330"/>
      <c r="P39" t="s">
        <v>686</v>
      </c>
      <c r="Q39" t="s">
        <v>687</v>
      </c>
      <c r="R39"/>
      <c r="S39"/>
      <c r="T39"/>
      <c r="U39"/>
    </row>
    <row r="40" spans="1:21" s="380" customFormat="1" ht="24" x14ac:dyDescent="0.2">
      <c r="B40" s="436" t="s">
        <v>199</v>
      </c>
      <c r="C40" s="437"/>
      <c r="D40" s="438"/>
      <c r="E40" s="438"/>
      <c r="F40" s="439" t="s">
        <v>200</v>
      </c>
      <c r="G40" s="440" t="s">
        <v>201</v>
      </c>
      <c r="H40" s="441" t="s">
        <v>202</v>
      </c>
      <c r="I40" s="442">
        <f t="shared" ref="I40:I47" si="1">SUM(K40:M40)</f>
        <v>10622</v>
      </c>
      <c r="J40" s="443"/>
      <c r="K40" s="414">
        <v>0</v>
      </c>
      <c r="L40" s="442">
        <v>10622</v>
      </c>
      <c r="M40" s="444"/>
      <c r="N40" s="445" t="s">
        <v>203</v>
      </c>
      <c r="O40" s="446"/>
      <c r="Q40" s="447" t="s">
        <v>204</v>
      </c>
      <c r="R40" s="447"/>
      <c r="S40" s="341"/>
    </row>
    <row r="41" spans="1:21" ht="36" x14ac:dyDescent="0.2">
      <c r="B41" s="387" t="s">
        <v>205</v>
      </c>
      <c r="C41" s="437"/>
      <c r="D41" s="440"/>
      <c r="E41" s="440"/>
      <c r="F41" s="448" t="s">
        <v>206</v>
      </c>
      <c r="G41" s="440" t="s">
        <v>201</v>
      </c>
      <c r="H41" s="449" t="s">
        <v>207</v>
      </c>
      <c r="I41" s="442">
        <f t="shared" si="1"/>
        <v>3200</v>
      </c>
      <c r="J41" s="450"/>
      <c r="K41" s="414">
        <v>3200</v>
      </c>
      <c r="L41" s="442"/>
      <c r="M41" s="442"/>
      <c r="N41" s="451" t="s">
        <v>208</v>
      </c>
    </row>
    <row r="42" spans="1:21" ht="15.75" customHeight="1" x14ac:dyDescent="0.2">
      <c r="C42" s="437"/>
      <c r="D42" s="440"/>
      <c r="E42" s="440"/>
      <c r="F42" s="448" t="s">
        <v>206</v>
      </c>
      <c r="G42" s="452" t="s">
        <v>201</v>
      </c>
      <c r="H42" s="449" t="s">
        <v>209</v>
      </c>
      <c r="I42" s="442">
        <f t="shared" si="1"/>
        <v>1560</v>
      </c>
      <c r="J42" s="450"/>
      <c r="K42" s="414">
        <v>1560</v>
      </c>
      <c r="L42" s="442"/>
      <c r="M42" s="442"/>
      <c r="N42" s="451"/>
    </row>
    <row r="43" spans="1:21" s="343" customFormat="1" ht="24" x14ac:dyDescent="0.2">
      <c r="C43" s="453"/>
      <c r="D43" s="452"/>
      <c r="E43" s="452"/>
      <c r="F43" s="448" t="s">
        <v>210</v>
      </c>
      <c r="G43" s="452" t="s">
        <v>201</v>
      </c>
      <c r="H43" s="454" t="s">
        <v>211</v>
      </c>
      <c r="I43" s="442">
        <f t="shared" si="1"/>
        <v>34550</v>
      </c>
      <c r="J43" s="450"/>
      <c r="K43" s="414">
        <v>34550</v>
      </c>
      <c r="L43" s="442"/>
      <c r="M43" s="442"/>
      <c r="N43" s="451"/>
      <c r="O43" s="342"/>
    </row>
    <row r="44" spans="1:21" ht="48" x14ac:dyDescent="0.2">
      <c r="C44" s="437"/>
      <c r="D44" s="440"/>
      <c r="E44" s="440"/>
      <c r="F44" s="448" t="s">
        <v>206</v>
      </c>
      <c r="G44" s="440" t="s">
        <v>201</v>
      </c>
      <c r="H44" s="449" t="s">
        <v>212</v>
      </c>
      <c r="I44" s="455">
        <f t="shared" si="1"/>
        <v>27000</v>
      </c>
      <c r="J44" s="450"/>
      <c r="K44" s="414">
        <v>9000</v>
      </c>
      <c r="L44" s="442">
        <v>18000</v>
      </c>
      <c r="M44" s="442"/>
      <c r="N44" s="456" t="s">
        <v>213</v>
      </c>
    </row>
    <row r="45" spans="1:21" ht="83.45" customHeight="1" x14ac:dyDescent="0.2">
      <c r="C45" s="437"/>
      <c r="D45" s="440"/>
      <c r="E45" s="440"/>
      <c r="F45" s="439" t="s">
        <v>214</v>
      </c>
      <c r="G45" s="440" t="s">
        <v>201</v>
      </c>
      <c r="H45" s="457" t="s">
        <v>215</v>
      </c>
      <c r="I45" s="455">
        <f t="shared" si="1"/>
        <v>138477</v>
      </c>
      <c r="J45" s="450"/>
      <c r="K45" s="414">
        <v>35407.139000000003</v>
      </c>
      <c r="L45" s="442">
        <v>103069.861</v>
      </c>
      <c r="M45" s="442"/>
      <c r="N45" s="456"/>
    </row>
    <row r="46" spans="1:21" ht="48" customHeight="1" x14ac:dyDescent="0.2">
      <c r="C46" s="437"/>
      <c r="D46" s="440"/>
      <c r="E46" s="440"/>
      <c r="F46" s="448" t="s">
        <v>216</v>
      </c>
      <c r="G46" s="440" t="s">
        <v>201</v>
      </c>
      <c r="H46" s="454" t="s">
        <v>217</v>
      </c>
      <c r="I46" s="455">
        <f t="shared" si="1"/>
        <v>950824</v>
      </c>
      <c r="J46" s="450"/>
      <c r="K46" s="414">
        <f>2117+14823</f>
        <v>16940</v>
      </c>
      <c r="L46" s="442">
        <v>638646</v>
      </c>
      <c r="M46" s="442">
        <v>295238</v>
      </c>
      <c r="N46" s="456" t="s">
        <v>218</v>
      </c>
    </row>
    <row r="47" spans="1:21" s="343" customFormat="1" ht="12.75" x14ac:dyDescent="0.2">
      <c r="C47" s="437"/>
      <c r="D47" s="458"/>
      <c r="E47" s="459"/>
      <c r="F47" s="439" t="s">
        <v>219</v>
      </c>
      <c r="G47" s="452" t="s">
        <v>201</v>
      </c>
      <c r="H47" s="460" t="s">
        <v>220</v>
      </c>
      <c r="I47" s="455">
        <f t="shared" si="1"/>
        <v>387128.05826167378</v>
      </c>
      <c r="J47" s="450"/>
      <c r="K47" s="442">
        <f>78469.2087392511-M47</f>
        <v>7847.1087392510963</v>
      </c>
      <c r="L47" s="442">
        <v>308658.84952242271</v>
      </c>
      <c r="M47" s="461">
        <f>78469*0.9</f>
        <v>70622.100000000006</v>
      </c>
      <c r="N47" s="445"/>
      <c r="O47" s="462"/>
      <c r="P47" s="360"/>
      <c r="Q47" s="360"/>
      <c r="R47" s="360"/>
      <c r="S47" s="360"/>
      <c r="T47" s="360"/>
      <c r="U47" s="360"/>
    </row>
    <row r="48" spans="1:21" s="343" customFormat="1" ht="24" x14ac:dyDescent="0.2">
      <c r="C48" s="453"/>
      <c r="D48" s="458"/>
      <c r="E48" s="459"/>
      <c r="F48" s="439" t="s">
        <v>221</v>
      </c>
      <c r="G48" s="452" t="s">
        <v>201</v>
      </c>
      <c r="H48" s="454" t="s">
        <v>222</v>
      </c>
      <c r="I48" s="455">
        <f>SUM(K48:M48)</f>
        <v>434122</v>
      </c>
      <c r="J48" s="450"/>
      <c r="K48" s="414">
        <v>14114</v>
      </c>
      <c r="L48" s="442">
        <v>420008</v>
      </c>
      <c r="M48" s="442"/>
      <c r="N48" s="445" t="s">
        <v>223</v>
      </c>
      <c r="O48" s="462"/>
      <c r="P48" s="360"/>
      <c r="Q48" s="360"/>
      <c r="R48" s="360"/>
      <c r="S48" s="360"/>
      <c r="T48" s="360"/>
      <c r="U48" s="360"/>
    </row>
    <row r="49" spans="2:21" s="343" customFormat="1" ht="24" x14ac:dyDescent="0.2">
      <c r="C49" s="437"/>
      <c r="D49" s="459"/>
      <c r="E49" s="459"/>
      <c r="F49" s="448" t="s">
        <v>224</v>
      </c>
      <c r="G49" s="452" t="s">
        <v>201</v>
      </c>
      <c r="H49" s="454" t="s">
        <v>225</v>
      </c>
      <c r="I49" s="455">
        <f t="shared" ref="I49:I54" si="2">SUM(K49:M49)</f>
        <v>985558</v>
      </c>
      <c r="J49" s="450"/>
      <c r="K49" s="414"/>
      <c r="L49" s="442">
        <v>862022</v>
      </c>
      <c r="M49" s="442">
        <v>123536</v>
      </c>
      <c r="N49" s="463"/>
      <c r="O49" s="342"/>
    </row>
    <row r="50" spans="2:21" s="343" customFormat="1" x14ac:dyDescent="0.2">
      <c r="C50" s="437"/>
      <c r="D50" s="459"/>
      <c r="E50" s="459"/>
      <c r="F50" s="448" t="s">
        <v>226</v>
      </c>
      <c r="G50" s="452" t="s">
        <v>201</v>
      </c>
      <c r="H50" s="454" t="s">
        <v>227</v>
      </c>
      <c r="I50" s="455">
        <f t="shared" si="2"/>
        <v>4425219.79</v>
      </c>
      <c r="J50" s="450"/>
      <c r="K50" s="414"/>
      <c r="L50" s="442">
        <v>2815824</v>
      </c>
      <c r="M50" s="442">
        <v>1609395.79</v>
      </c>
      <c r="N50" s="445" t="s">
        <v>228</v>
      </c>
      <c r="O50" s="342"/>
    </row>
    <row r="51" spans="2:21" s="343" customFormat="1" ht="24" x14ac:dyDescent="0.2">
      <c r="C51" s="437"/>
      <c r="D51" s="459"/>
      <c r="E51" s="459"/>
      <c r="F51" s="448" t="s">
        <v>229</v>
      </c>
      <c r="G51" s="452" t="s">
        <v>201</v>
      </c>
      <c r="H51" s="460" t="s">
        <v>230</v>
      </c>
      <c r="I51" s="455">
        <f t="shared" si="2"/>
        <v>191145.82</v>
      </c>
      <c r="J51" s="450"/>
      <c r="K51" s="414"/>
      <c r="L51" s="442">
        <f>12589.6+178556.22</f>
        <v>191145.82</v>
      </c>
      <c r="M51" s="442"/>
      <c r="N51" s="464" t="s">
        <v>231</v>
      </c>
      <c r="O51" s="342"/>
    </row>
    <row r="52" spans="2:21" s="343" customFormat="1" ht="24.6" customHeight="1" x14ac:dyDescent="0.2">
      <c r="B52" s="387"/>
      <c r="C52" s="437"/>
      <c r="D52" s="459"/>
      <c r="E52" s="459"/>
      <c r="F52" s="448" t="s">
        <v>232</v>
      </c>
      <c r="G52" s="452" t="s">
        <v>201</v>
      </c>
      <c r="H52" s="449" t="s">
        <v>233</v>
      </c>
      <c r="I52" s="455">
        <f t="shared" si="2"/>
        <v>255684</v>
      </c>
      <c r="J52" s="450"/>
      <c r="K52" s="414">
        <v>38352.6</v>
      </c>
      <c r="L52" s="461">
        <v>217331.4</v>
      </c>
      <c r="M52" s="465"/>
      <c r="N52" s="445"/>
      <c r="O52" s="342"/>
    </row>
    <row r="53" spans="2:21" s="343" customFormat="1" ht="12.75" x14ac:dyDescent="0.2">
      <c r="C53" s="453"/>
      <c r="D53" s="458"/>
      <c r="E53" s="459"/>
      <c r="F53" s="439" t="s">
        <v>234</v>
      </c>
      <c r="G53" s="452" t="s">
        <v>201</v>
      </c>
      <c r="H53" s="449" t="s">
        <v>235</v>
      </c>
      <c r="I53" s="455">
        <f t="shared" si="2"/>
        <v>5600179</v>
      </c>
      <c r="J53" s="450"/>
      <c r="K53" s="414"/>
      <c r="L53" s="442">
        <v>2500000</v>
      </c>
      <c r="M53" s="414">
        <v>3100179</v>
      </c>
      <c r="N53" s="445" t="s">
        <v>236</v>
      </c>
      <c r="O53" s="462"/>
      <c r="P53" s="360"/>
      <c r="Q53" s="360"/>
      <c r="R53" s="360"/>
      <c r="S53" s="360"/>
      <c r="T53" s="360"/>
      <c r="U53" s="360"/>
    </row>
    <row r="54" spans="2:21" s="343" customFormat="1" ht="46.15" customHeight="1" x14ac:dyDescent="0.2">
      <c r="C54" s="453"/>
      <c r="D54" s="458"/>
      <c r="E54" s="459"/>
      <c r="F54" s="439" t="s">
        <v>237</v>
      </c>
      <c r="G54" s="452" t="s">
        <v>201</v>
      </c>
      <c r="H54" s="449" t="s">
        <v>238</v>
      </c>
      <c r="I54" s="455">
        <f t="shared" si="2"/>
        <v>267067</v>
      </c>
      <c r="J54" s="450"/>
      <c r="K54" s="414">
        <v>267067</v>
      </c>
      <c r="L54" s="442"/>
      <c r="M54" s="465"/>
      <c r="N54" s="445"/>
      <c r="O54" s="462"/>
      <c r="P54" s="360"/>
      <c r="Q54" s="360"/>
      <c r="R54" s="360"/>
      <c r="S54" s="360"/>
      <c r="T54" s="360"/>
      <c r="U54" s="360"/>
    </row>
    <row r="55" spans="2:21" s="343" customFormat="1" ht="24" x14ac:dyDescent="0.2">
      <c r="C55" s="453"/>
      <c r="D55" s="459"/>
      <c r="E55" s="459"/>
      <c r="F55" s="448" t="s">
        <v>239</v>
      </c>
      <c r="G55" s="452" t="s">
        <v>201</v>
      </c>
      <c r="H55" s="454" t="s">
        <v>240</v>
      </c>
      <c r="I55" s="455">
        <f t="shared" ref="I55:I62" si="3">SUM(K55:M55)</f>
        <v>44830</v>
      </c>
      <c r="J55" s="450"/>
      <c r="K55" s="414">
        <v>0</v>
      </c>
      <c r="L55" s="442">
        <v>44830</v>
      </c>
      <c r="M55" s="442"/>
      <c r="N55" s="445" t="s">
        <v>241</v>
      </c>
      <c r="O55" s="342"/>
    </row>
    <row r="56" spans="2:21" s="343" customFormat="1" ht="24" x14ac:dyDescent="0.2">
      <c r="C56" s="453"/>
      <c r="D56" s="459"/>
      <c r="E56" s="459"/>
      <c r="F56" s="448" t="s">
        <v>242</v>
      </c>
      <c r="G56" s="452" t="s">
        <v>201</v>
      </c>
      <c r="H56" s="454" t="s">
        <v>243</v>
      </c>
      <c r="I56" s="455">
        <f t="shared" si="3"/>
        <v>44312</v>
      </c>
      <c r="J56" s="450"/>
      <c r="K56" s="414">
        <v>22142</v>
      </c>
      <c r="L56" s="442">
        <f>22070+100</f>
        <v>22170</v>
      </c>
      <c r="M56" s="442"/>
      <c r="N56" s="445" t="s">
        <v>244</v>
      </c>
      <c r="O56" s="342"/>
    </row>
    <row r="57" spans="2:21" s="343" customFormat="1" x14ac:dyDescent="0.2">
      <c r="C57" s="453"/>
      <c r="D57" s="452"/>
      <c r="E57" s="452"/>
      <c r="F57" s="448" t="s">
        <v>245</v>
      </c>
      <c r="G57" s="452" t="s">
        <v>246</v>
      </c>
      <c r="H57" s="449" t="s">
        <v>247</v>
      </c>
      <c r="I57" s="455">
        <f t="shared" si="3"/>
        <v>542913.87</v>
      </c>
      <c r="J57" s="450"/>
      <c r="K57" s="414">
        <f>67824-12255.13+13198</f>
        <v>68766.87</v>
      </c>
      <c r="L57" s="442"/>
      <c r="M57" s="461">
        <f>584408-110261</f>
        <v>474147</v>
      </c>
      <c r="N57" s="463"/>
      <c r="O57" s="342"/>
    </row>
    <row r="58" spans="2:21" s="343" customFormat="1" x14ac:dyDescent="0.2">
      <c r="C58" s="453"/>
      <c r="D58" s="459"/>
      <c r="E58" s="459"/>
      <c r="F58" s="448" t="s">
        <v>248</v>
      </c>
      <c r="G58" s="452" t="s">
        <v>249</v>
      </c>
      <c r="H58" s="452" t="s">
        <v>250</v>
      </c>
      <c r="I58" s="442">
        <f t="shared" si="3"/>
        <v>41000</v>
      </c>
      <c r="J58" s="450"/>
      <c r="K58" s="414"/>
      <c r="L58" s="442">
        <v>41000</v>
      </c>
      <c r="M58" s="442"/>
      <c r="N58" s="463"/>
      <c r="O58" s="342"/>
    </row>
    <row r="59" spans="2:21" s="343" customFormat="1" x14ac:dyDescent="0.2">
      <c r="C59" s="453"/>
      <c r="D59" s="459"/>
      <c r="E59" s="459"/>
      <c r="F59" s="448" t="s">
        <v>251</v>
      </c>
      <c r="G59" s="452" t="s">
        <v>249</v>
      </c>
      <c r="H59" s="452" t="s">
        <v>252</v>
      </c>
      <c r="I59" s="442">
        <f t="shared" si="3"/>
        <v>51949</v>
      </c>
      <c r="J59" s="450"/>
      <c r="K59" s="414"/>
      <c r="L59" s="442">
        <v>51949</v>
      </c>
      <c r="M59" s="442"/>
      <c r="N59" s="463"/>
      <c r="O59" s="342"/>
    </row>
    <row r="60" spans="2:21" s="343" customFormat="1" x14ac:dyDescent="0.2">
      <c r="C60" s="453"/>
      <c r="D60" s="459"/>
      <c r="E60" s="459"/>
      <c r="F60" s="448" t="s">
        <v>253</v>
      </c>
      <c r="G60" s="452" t="s">
        <v>254</v>
      </c>
      <c r="H60" s="452" t="s">
        <v>255</v>
      </c>
      <c r="I60" s="442">
        <f t="shared" si="3"/>
        <v>11220</v>
      </c>
      <c r="J60" s="450"/>
      <c r="K60" s="414"/>
      <c r="L60" s="442">
        <v>11220</v>
      </c>
      <c r="M60" s="442"/>
      <c r="N60" s="463"/>
      <c r="O60" s="342"/>
    </row>
    <row r="61" spans="2:21" s="343" customFormat="1" x14ac:dyDescent="0.2">
      <c r="C61" s="453"/>
      <c r="D61" s="459"/>
      <c r="E61" s="459"/>
      <c r="F61" s="448" t="s">
        <v>256</v>
      </c>
      <c r="G61" s="452" t="s">
        <v>254</v>
      </c>
      <c r="H61" s="452" t="s">
        <v>257</v>
      </c>
      <c r="I61" s="442">
        <f t="shared" si="3"/>
        <v>21000</v>
      </c>
      <c r="J61" s="450"/>
      <c r="K61" s="414">
        <v>4200</v>
      </c>
      <c r="L61" s="442">
        <v>16800</v>
      </c>
      <c r="M61" s="442"/>
      <c r="N61" s="463"/>
      <c r="O61" s="342"/>
    </row>
    <row r="62" spans="2:21" s="343" customFormat="1" x14ac:dyDescent="0.2">
      <c r="C62" s="453"/>
      <c r="D62" s="459"/>
      <c r="E62" s="459"/>
      <c r="F62" s="448" t="s">
        <v>258</v>
      </c>
      <c r="G62" s="452" t="s">
        <v>254</v>
      </c>
      <c r="H62" s="452" t="s">
        <v>259</v>
      </c>
      <c r="I62" s="442">
        <f t="shared" si="3"/>
        <v>46640</v>
      </c>
      <c r="J62" s="450"/>
      <c r="K62" s="414">
        <v>9328</v>
      </c>
      <c r="L62" s="442">
        <v>37312</v>
      </c>
      <c r="M62" s="442"/>
      <c r="N62" s="463"/>
      <c r="O62" s="342"/>
    </row>
    <row r="63" spans="2:21" ht="14.45" customHeight="1" x14ac:dyDescent="0.2">
      <c r="D63" s="466"/>
      <c r="E63" s="466"/>
      <c r="F63" s="467"/>
      <c r="G63" s="468"/>
      <c r="H63" s="469" t="s">
        <v>260</v>
      </c>
      <c r="I63" s="470">
        <f>SUM(I40:I62)</f>
        <v>14516201.538261672</v>
      </c>
      <c r="J63" s="471"/>
      <c r="K63" s="470">
        <f>SUM(K40:K62)</f>
        <v>532474.71773925109</v>
      </c>
      <c r="L63" s="470">
        <f>SUM(L40:L62)</f>
        <v>8310608.9305224232</v>
      </c>
      <c r="M63" s="470">
        <f>SUM(M40:M62)</f>
        <v>5673117.8900000006</v>
      </c>
    </row>
    <row r="64" spans="2:21" ht="14.45" customHeight="1" x14ac:dyDescent="0.2">
      <c r="D64" s="466"/>
      <c r="E64" s="466"/>
      <c r="F64" s="467"/>
      <c r="G64" s="468"/>
      <c r="H64" s="335"/>
      <c r="I64" s="471"/>
      <c r="J64" s="471"/>
      <c r="K64" s="471"/>
      <c r="L64" s="471"/>
      <c r="M64" s="471"/>
    </row>
    <row r="65" spans="1:15" hidden="1" outlineLevel="1" x14ac:dyDescent="0.2">
      <c r="B65" s="472" t="s">
        <v>261</v>
      </c>
      <c r="D65" s="466"/>
      <c r="E65" s="466"/>
      <c r="F65" s="467"/>
      <c r="G65" s="468"/>
      <c r="H65" s="335"/>
      <c r="I65" s="473">
        <f>SUMIF($B$40:$B$62,$B65,I$40:I$62)</f>
        <v>0</v>
      </c>
      <c r="J65" s="471"/>
      <c r="K65" s="473">
        <f t="shared" ref="K65:M67" si="4">SUMIF($B$40:$B$62,$B65,K$40:K$62)</f>
        <v>0</v>
      </c>
      <c r="L65" s="473">
        <f t="shared" si="4"/>
        <v>0</v>
      </c>
      <c r="M65" s="473">
        <f t="shared" si="4"/>
        <v>0</v>
      </c>
      <c r="O65"/>
    </row>
    <row r="66" spans="1:15" hidden="1" outlineLevel="1" x14ac:dyDescent="0.2">
      <c r="B66" s="472" t="s">
        <v>199</v>
      </c>
      <c r="D66" s="466"/>
      <c r="E66" s="466"/>
      <c r="F66" s="467"/>
      <c r="G66" s="468"/>
      <c r="H66" s="335"/>
      <c r="I66" s="473">
        <f>SUMIF($B$40:$B$62,$B66,I$40:I$62)</f>
        <v>10622</v>
      </c>
      <c r="J66" s="471"/>
      <c r="K66" s="473">
        <f t="shared" si="4"/>
        <v>0</v>
      </c>
      <c r="L66" s="473">
        <f t="shared" si="4"/>
        <v>10622</v>
      </c>
      <c r="M66" s="473">
        <f t="shared" si="4"/>
        <v>0</v>
      </c>
      <c r="O66"/>
    </row>
    <row r="67" spans="1:15" hidden="1" outlineLevel="1" x14ac:dyDescent="0.2">
      <c r="B67" s="472" t="s">
        <v>205</v>
      </c>
      <c r="D67" s="466"/>
      <c r="E67" s="466"/>
      <c r="F67" s="467"/>
      <c r="G67" s="468"/>
      <c r="H67" s="335"/>
      <c r="I67" s="473">
        <f>SUMIF($B$40:$B$62,$B67,I$40:I$62)</f>
        <v>3200</v>
      </c>
      <c r="J67" s="471"/>
      <c r="K67" s="473">
        <f t="shared" si="4"/>
        <v>3200</v>
      </c>
      <c r="L67" s="473">
        <f t="shared" si="4"/>
        <v>0</v>
      </c>
      <c r="M67" s="473">
        <f t="shared" si="4"/>
        <v>0</v>
      </c>
      <c r="O67"/>
    </row>
    <row r="68" spans="1:15" collapsed="1" x14ac:dyDescent="0.2">
      <c r="D68" s="466"/>
      <c r="E68" s="466"/>
      <c r="F68" s="467"/>
      <c r="G68" s="468"/>
      <c r="H68" s="335"/>
      <c r="I68" s="471"/>
      <c r="J68" s="471"/>
      <c r="K68" s="471"/>
      <c r="L68" s="471"/>
      <c r="M68" s="471"/>
    </row>
    <row r="69" spans="1:15" ht="12.75" x14ac:dyDescent="0.2">
      <c r="F69" s="432" t="s">
        <v>262</v>
      </c>
      <c r="I69" s="474"/>
      <c r="J69" s="450"/>
      <c r="K69" s="474"/>
      <c r="L69" s="474"/>
      <c r="M69" s="474"/>
      <c r="O69" s="475"/>
    </row>
    <row r="70" spans="1:15" x14ac:dyDescent="0.2">
      <c r="B70" s="1192"/>
      <c r="C70" s="1186" t="s">
        <v>192</v>
      </c>
      <c r="D70" s="1186" t="s">
        <v>193</v>
      </c>
      <c r="E70" s="1186" t="s">
        <v>194</v>
      </c>
      <c r="F70" s="1178" t="s">
        <v>195</v>
      </c>
      <c r="G70" s="1191" t="s">
        <v>196</v>
      </c>
      <c r="H70" s="1186" t="s">
        <v>263</v>
      </c>
      <c r="I70" s="1184" t="s">
        <v>183</v>
      </c>
      <c r="J70" s="476"/>
      <c r="K70" s="1185" t="s">
        <v>198</v>
      </c>
      <c r="L70" s="1185"/>
      <c r="M70" s="1185"/>
    </row>
    <row r="71" spans="1:15" ht="24" x14ac:dyDescent="0.2">
      <c r="B71" s="1192"/>
      <c r="C71" s="1186"/>
      <c r="D71" s="1186"/>
      <c r="E71" s="1186"/>
      <c r="F71" s="1178"/>
      <c r="G71" s="1191"/>
      <c r="H71" s="1186"/>
      <c r="I71" s="1184"/>
      <c r="J71" s="476"/>
      <c r="K71" s="408" t="s">
        <v>78</v>
      </c>
      <c r="L71" s="408" t="s">
        <v>184</v>
      </c>
      <c r="M71" s="409" t="s">
        <v>185</v>
      </c>
    </row>
    <row r="72" spans="1:15" ht="36" x14ac:dyDescent="0.2">
      <c r="B72" s="387" t="s">
        <v>205</v>
      </c>
      <c r="C72" s="440"/>
      <c r="D72" s="477"/>
      <c r="E72" s="477"/>
      <c r="F72" s="478" t="s">
        <v>206</v>
      </c>
      <c r="G72" s="477" t="s">
        <v>201</v>
      </c>
      <c r="H72" s="479" t="s">
        <v>264</v>
      </c>
      <c r="I72" s="480">
        <f>SUM(K72:M72)</f>
        <v>870</v>
      </c>
      <c r="J72" s="450"/>
      <c r="K72" s="481">
        <v>870</v>
      </c>
      <c r="L72" s="481"/>
      <c r="M72" s="481"/>
    </row>
    <row r="73" spans="1:15" ht="36" x14ac:dyDescent="0.2">
      <c r="B73" s="387" t="s">
        <v>205</v>
      </c>
      <c r="C73" s="440"/>
      <c r="D73" s="440"/>
      <c r="E73" s="440"/>
      <c r="F73" s="448" t="s">
        <v>206</v>
      </c>
      <c r="G73" s="440" t="s">
        <v>201</v>
      </c>
      <c r="H73" s="482" t="s">
        <v>265</v>
      </c>
      <c r="I73" s="455">
        <f>SUM(K73:M73)</f>
        <v>540</v>
      </c>
      <c r="J73" s="450"/>
      <c r="K73" s="442">
        <v>540</v>
      </c>
      <c r="L73" s="442"/>
      <c r="M73" s="442"/>
      <c r="N73" s="369"/>
    </row>
    <row r="74" spans="1:15" ht="24" x14ac:dyDescent="0.2">
      <c r="B74" s="387" t="s">
        <v>205</v>
      </c>
      <c r="C74" s="440"/>
      <c r="D74" s="440"/>
      <c r="E74" s="440"/>
      <c r="F74" s="448" t="s">
        <v>206</v>
      </c>
      <c r="G74" s="440" t="s">
        <v>201</v>
      </c>
      <c r="H74" s="482" t="s">
        <v>266</v>
      </c>
      <c r="I74" s="455">
        <f>K74+L74</f>
        <v>150</v>
      </c>
      <c r="J74" s="450"/>
      <c r="K74" s="442">
        <v>150</v>
      </c>
      <c r="L74" s="461"/>
      <c r="M74" s="442"/>
      <c r="N74" s="369"/>
    </row>
    <row r="75" spans="1:15" x14ac:dyDescent="0.2">
      <c r="B75" s="387" t="s">
        <v>205</v>
      </c>
      <c r="C75" s="483"/>
      <c r="D75" s="483"/>
      <c r="E75" s="483"/>
      <c r="F75" s="448" t="s">
        <v>206</v>
      </c>
      <c r="G75" s="452" t="s">
        <v>201</v>
      </c>
      <c r="H75" s="482" t="s">
        <v>267</v>
      </c>
      <c r="I75" s="484">
        <f>SUM(K75:M75)</f>
        <v>4236</v>
      </c>
      <c r="J75" s="450"/>
      <c r="K75" s="485">
        <v>4236</v>
      </c>
      <c r="L75" s="481"/>
      <c r="M75" s="481"/>
      <c r="N75" s="486"/>
      <c r="O75"/>
    </row>
    <row r="76" spans="1:15" ht="23.45" customHeight="1" x14ac:dyDescent="0.2">
      <c r="A76" s="487" t="s">
        <v>268</v>
      </c>
      <c r="C76" s="452"/>
      <c r="D76" s="452"/>
      <c r="E76" s="452"/>
      <c r="F76" s="488" t="s">
        <v>269</v>
      </c>
      <c r="G76" s="452" t="s">
        <v>201</v>
      </c>
      <c r="H76" s="489" t="s">
        <v>270</v>
      </c>
      <c r="I76" s="455">
        <f>K76+L76</f>
        <v>416333</v>
      </c>
      <c r="J76" s="450"/>
      <c r="K76" s="442">
        <v>83000</v>
      </c>
      <c r="L76" s="490">
        <v>333333</v>
      </c>
      <c r="M76" s="491"/>
      <c r="N76" s="492" t="s">
        <v>271</v>
      </c>
    </row>
    <row r="77" spans="1:15" x14ac:dyDescent="0.2">
      <c r="C77" s="452"/>
      <c r="D77" s="452"/>
      <c r="E77" s="452"/>
      <c r="F77" s="448" t="s">
        <v>206</v>
      </c>
      <c r="G77" s="452" t="s">
        <v>201</v>
      </c>
      <c r="H77" s="482" t="s">
        <v>272</v>
      </c>
      <c r="I77" s="455">
        <f>K77+L77</f>
        <v>4000</v>
      </c>
      <c r="J77" s="450"/>
      <c r="K77" s="465">
        <f>2*2000</f>
        <v>4000</v>
      </c>
      <c r="L77" s="490"/>
      <c r="M77" s="491"/>
      <c r="N77" s="492"/>
    </row>
    <row r="78" spans="1:15" x14ac:dyDescent="0.2">
      <c r="B78" s="387" t="s">
        <v>205</v>
      </c>
      <c r="C78" s="440"/>
      <c r="D78" s="440" t="s">
        <v>273</v>
      </c>
      <c r="E78" s="440"/>
      <c r="F78" s="448" t="s">
        <v>274</v>
      </c>
      <c r="G78" s="440" t="s">
        <v>201</v>
      </c>
      <c r="H78" s="482" t="s">
        <v>275</v>
      </c>
      <c r="I78" s="493">
        <f t="shared" ref="I78:I86" si="5">SUM(K78:M78)</f>
        <v>40000</v>
      </c>
      <c r="J78" s="450"/>
      <c r="K78" s="465">
        <v>40000</v>
      </c>
      <c r="L78" s="491"/>
      <c r="M78" s="491"/>
      <c r="N78" s="486"/>
    </row>
    <row r="79" spans="1:15" ht="36" x14ac:dyDescent="0.2">
      <c r="C79" s="494"/>
      <c r="D79" s="494"/>
      <c r="E79" s="494"/>
      <c r="F79" s="448" t="s">
        <v>274</v>
      </c>
      <c r="G79" s="440" t="s">
        <v>201</v>
      </c>
      <c r="H79" s="495" t="s">
        <v>276</v>
      </c>
      <c r="I79" s="493">
        <f>SUM(K79:M79)</f>
        <v>1400</v>
      </c>
      <c r="J79" s="450"/>
      <c r="K79" s="496">
        <f>1000+400</f>
        <v>1400</v>
      </c>
      <c r="L79" s="491"/>
      <c r="M79" s="491"/>
      <c r="N79" s="486"/>
    </row>
    <row r="80" spans="1:15" ht="27.75" customHeight="1" thickBot="1" x14ac:dyDescent="0.25">
      <c r="B80" s="387" t="s">
        <v>205</v>
      </c>
      <c r="C80" s="497"/>
      <c r="D80" s="497" t="s">
        <v>277</v>
      </c>
      <c r="E80" s="497"/>
      <c r="F80" s="498" t="s">
        <v>274</v>
      </c>
      <c r="G80" s="497" t="s">
        <v>201</v>
      </c>
      <c r="H80" s="499" t="s">
        <v>278</v>
      </c>
      <c r="I80" s="500">
        <f t="shared" si="5"/>
        <v>10000</v>
      </c>
      <c r="J80" s="501"/>
      <c r="K80" s="502">
        <v>10000</v>
      </c>
      <c r="L80" s="500"/>
      <c r="M80" s="500"/>
      <c r="N80" s="486"/>
    </row>
    <row r="81" spans="2:23" ht="12.75" thickTop="1" x14ac:dyDescent="0.2">
      <c r="B81" s="387" t="s">
        <v>205</v>
      </c>
      <c r="C81" s="440"/>
      <c r="D81" s="440"/>
      <c r="E81" s="440"/>
      <c r="F81" s="448" t="s">
        <v>279</v>
      </c>
      <c r="G81" s="440" t="s">
        <v>280</v>
      </c>
      <c r="H81" s="482" t="s">
        <v>281</v>
      </c>
      <c r="I81" s="442">
        <f>SUM(K81:M81)</f>
        <v>15000</v>
      </c>
      <c r="J81" s="450"/>
      <c r="K81" s="442">
        <v>15000</v>
      </c>
      <c r="L81" s="491"/>
      <c r="M81" s="491"/>
      <c r="N81" s="486"/>
    </row>
    <row r="82" spans="2:23" ht="12.75" thickBot="1" x14ac:dyDescent="0.25">
      <c r="B82" s="387" t="s">
        <v>199</v>
      </c>
      <c r="C82" s="497"/>
      <c r="D82" s="497"/>
      <c r="E82" s="497"/>
      <c r="F82" s="498" t="s">
        <v>279</v>
      </c>
      <c r="G82" s="497" t="s">
        <v>280</v>
      </c>
      <c r="H82" s="499" t="s">
        <v>282</v>
      </c>
      <c r="I82" s="503">
        <f>SUM(K82:M82)</f>
        <v>8000</v>
      </c>
      <c r="J82" s="501"/>
      <c r="K82" s="504">
        <v>8000</v>
      </c>
      <c r="L82" s="500"/>
      <c r="M82" s="500"/>
      <c r="N82" s="486"/>
    </row>
    <row r="83" spans="2:23" ht="25.5" thickTop="1" thickBot="1" x14ac:dyDescent="0.25">
      <c r="B83" s="387" t="s">
        <v>199</v>
      </c>
      <c r="C83" s="497"/>
      <c r="D83" s="497"/>
      <c r="E83" s="497"/>
      <c r="F83" s="498" t="s">
        <v>283</v>
      </c>
      <c r="G83" s="497" t="s">
        <v>284</v>
      </c>
      <c r="H83" s="499" t="s">
        <v>285</v>
      </c>
      <c r="I83" s="503">
        <f>SUM(K83:M83)</f>
        <v>40600</v>
      </c>
      <c r="J83" s="501"/>
      <c r="K83" s="504">
        <v>40600</v>
      </c>
      <c r="L83" s="500"/>
      <c r="M83" s="500"/>
      <c r="N83" s="486"/>
    </row>
    <row r="84" spans="2:23" ht="12.75" thickTop="1" x14ac:dyDescent="0.2">
      <c r="B84" s="387" t="s">
        <v>205</v>
      </c>
      <c r="C84" s="477"/>
      <c r="D84" s="477"/>
      <c r="E84" s="477"/>
      <c r="F84" s="478" t="s">
        <v>286</v>
      </c>
      <c r="G84" s="477" t="s">
        <v>287</v>
      </c>
      <c r="H84" s="479" t="s">
        <v>288</v>
      </c>
      <c r="I84" s="481">
        <f t="shared" si="5"/>
        <v>43880</v>
      </c>
      <c r="J84" s="450"/>
      <c r="K84" s="481">
        <v>43880</v>
      </c>
      <c r="L84" s="481"/>
      <c r="M84" s="481"/>
      <c r="N84" s="486" t="s">
        <v>289</v>
      </c>
    </row>
    <row r="85" spans="2:23" ht="22.15" customHeight="1" x14ac:dyDescent="0.2">
      <c r="B85" s="387" t="s">
        <v>205</v>
      </c>
      <c r="C85" s="440"/>
      <c r="D85" s="440"/>
      <c r="E85" s="440"/>
      <c r="F85" s="448" t="s">
        <v>286</v>
      </c>
      <c r="G85" s="440" t="s">
        <v>287</v>
      </c>
      <c r="H85" s="482" t="s">
        <v>290</v>
      </c>
      <c r="I85" s="442">
        <f t="shared" si="5"/>
        <v>11250</v>
      </c>
      <c r="J85" s="450"/>
      <c r="K85" s="442">
        <v>11250</v>
      </c>
      <c r="L85" s="442"/>
      <c r="M85" s="442"/>
      <c r="N85" s="486" t="s">
        <v>291</v>
      </c>
    </row>
    <row r="86" spans="2:23" x14ac:dyDescent="0.2">
      <c r="B86" s="387" t="s">
        <v>205</v>
      </c>
      <c r="C86" s="440"/>
      <c r="D86" s="440"/>
      <c r="E86" s="440"/>
      <c r="F86" s="448" t="s">
        <v>286</v>
      </c>
      <c r="G86" s="440" t="s">
        <v>287</v>
      </c>
      <c r="H86" s="482" t="s">
        <v>292</v>
      </c>
      <c r="I86" s="442">
        <f t="shared" si="5"/>
        <v>10000</v>
      </c>
      <c r="J86" s="450"/>
      <c r="K86" s="442">
        <v>10000</v>
      </c>
      <c r="L86" s="491"/>
      <c r="M86" s="491"/>
      <c r="N86" s="486" t="s">
        <v>293</v>
      </c>
    </row>
    <row r="87" spans="2:23" ht="25.5" customHeight="1" thickBot="1" x14ac:dyDescent="0.25">
      <c r="B87" s="387" t="s">
        <v>205</v>
      </c>
      <c r="C87" s="497"/>
      <c r="D87" s="497"/>
      <c r="E87" s="497"/>
      <c r="F87" s="498" t="s">
        <v>286</v>
      </c>
      <c r="G87" s="497" t="s">
        <v>287</v>
      </c>
      <c r="H87" s="499" t="s">
        <v>294</v>
      </c>
      <c r="I87" s="503">
        <v>114488.4</v>
      </c>
      <c r="J87" s="501"/>
      <c r="K87" s="502">
        <v>114488.4</v>
      </c>
      <c r="L87" s="500"/>
      <c r="M87" s="500"/>
      <c r="N87" s="505" t="s">
        <v>295</v>
      </c>
    </row>
    <row r="88" spans="2:23" ht="12.75" thickTop="1" x14ac:dyDescent="0.2">
      <c r="B88" s="387" t="s">
        <v>261</v>
      </c>
      <c r="C88" s="477"/>
      <c r="D88" s="477"/>
      <c r="E88" s="506"/>
      <c r="F88" s="478" t="s">
        <v>296</v>
      </c>
      <c r="G88" s="477" t="s">
        <v>297</v>
      </c>
      <c r="H88" s="479" t="s">
        <v>298</v>
      </c>
      <c r="I88" s="481">
        <f t="shared" ref="I88:I96" si="6">SUM(K88:M88)</f>
        <v>15000</v>
      </c>
      <c r="J88" s="450"/>
      <c r="K88" s="481">
        <v>15000</v>
      </c>
      <c r="L88" s="481"/>
      <c r="M88" s="481"/>
    </row>
    <row r="89" spans="2:23" x14ac:dyDescent="0.2">
      <c r="B89" s="387" t="s">
        <v>261</v>
      </c>
      <c r="C89" s="440"/>
      <c r="D89" s="507"/>
      <c r="E89" s="507"/>
      <c r="F89" s="448" t="s">
        <v>296</v>
      </c>
      <c r="G89" s="440" t="s">
        <v>297</v>
      </c>
      <c r="H89" s="508" t="s">
        <v>299</v>
      </c>
      <c r="I89" s="461">
        <f t="shared" si="6"/>
        <v>140000</v>
      </c>
      <c r="J89" s="450"/>
      <c r="K89" s="461">
        <v>140000</v>
      </c>
      <c r="L89" s="442"/>
      <c r="M89" s="442"/>
    </row>
    <row r="90" spans="2:23" ht="48" x14ac:dyDescent="0.2">
      <c r="B90" s="387" t="s">
        <v>261</v>
      </c>
      <c r="C90" s="440"/>
      <c r="D90" s="507"/>
      <c r="E90" s="507"/>
      <c r="F90" s="448" t="s">
        <v>296</v>
      </c>
      <c r="G90" s="440" t="s">
        <v>297</v>
      </c>
      <c r="H90" s="482" t="s">
        <v>300</v>
      </c>
      <c r="I90" s="461">
        <f>SUM(K90:M90)</f>
        <v>20000</v>
      </c>
      <c r="J90" s="450"/>
      <c r="K90" s="461">
        <v>20000</v>
      </c>
      <c r="L90" s="442"/>
      <c r="M90" s="442"/>
      <c r="N90" s="329" t="s">
        <v>301</v>
      </c>
    </row>
    <row r="91" spans="2:23" s="329" customFormat="1" x14ac:dyDescent="0.2">
      <c r="B91" s="387" t="s">
        <v>261</v>
      </c>
      <c r="C91" s="509"/>
      <c r="D91" s="510"/>
      <c r="E91" s="510"/>
      <c r="F91" s="448" t="s">
        <v>296</v>
      </c>
      <c r="G91" s="509" t="s">
        <v>297</v>
      </c>
      <c r="H91" s="511" t="s">
        <v>302</v>
      </c>
      <c r="I91" s="512"/>
      <c r="J91" s="513"/>
      <c r="K91" s="514"/>
      <c r="L91" s="514"/>
      <c r="M91" s="514"/>
      <c r="O91" s="330"/>
      <c r="P91"/>
      <c r="Q91"/>
      <c r="R91"/>
      <c r="S91"/>
      <c r="T91"/>
      <c r="U91"/>
      <c r="V91"/>
      <c r="W91"/>
    </row>
    <row r="92" spans="2:23" s="329" customFormat="1" x14ac:dyDescent="0.2">
      <c r="B92" s="387" t="s">
        <v>261</v>
      </c>
      <c r="C92" s="440"/>
      <c r="D92" s="507"/>
      <c r="E92" s="507"/>
      <c r="F92" s="448" t="s">
        <v>296</v>
      </c>
      <c r="G92" s="440" t="s">
        <v>297</v>
      </c>
      <c r="H92" s="515" t="s">
        <v>303</v>
      </c>
      <c r="I92" s="461">
        <f t="shared" si="6"/>
        <v>5000</v>
      </c>
      <c r="J92" s="450"/>
      <c r="K92" s="442">
        <v>5000</v>
      </c>
      <c r="L92" s="442"/>
      <c r="M92" s="442"/>
      <c r="O92" s="330"/>
      <c r="P92"/>
      <c r="Q92"/>
      <c r="R92"/>
      <c r="S92"/>
      <c r="T92"/>
      <c r="U92"/>
      <c r="V92"/>
      <c r="W92"/>
    </row>
    <row r="93" spans="2:23" s="329" customFormat="1" ht="24" x14ac:dyDescent="0.2">
      <c r="B93" s="387" t="s">
        <v>261</v>
      </c>
      <c r="C93" s="440"/>
      <c r="D93" s="507"/>
      <c r="E93" s="507"/>
      <c r="F93" s="448" t="s">
        <v>296</v>
      </c>
      <c r="G93" s="440" t="s">
        <v>297</v>
      </c>
      <c r="H93" s="516" t="s">
        <v>304</v>
      </c>
      <c r="I93" s="461">
        <f t="shared" si="6"/>
        <v>3000</v>
      </c>
      <c r="J93" s="450"/>
      <c r="K93" s="442">
        <v>3000</v>
      </c>
      <c r="L93" s="442"/>
      <c r="M93" s="442"/>
      <c r="O93" s="330"/>
      <c r="P93"/>
      <c r="Q93"/>
      <c r="R93"/>
      <c r="S93"/>
      <c r="T93"/>
      <c r="U93"/>
      <c r="V93"/>
      <c r="W93"/>
    </row>
    <row r="94" spans="2:23" s="329" customFormat="1" x14ac:dyDescent="0.2">
      <c r="B94" s="387" t="s">
        <v>261</v>
      </c>
      <c r="C94" s="440"/>
      <c r="D94" s="507"/>
      <c r="E94" s="507"/>
      <c r="F94" s="448" t="s">
        <v>296</v>
      </c>
      <c r="G94" s="440" t="s">
        <v>297</v>
      </c>
      <c r="H94" s="516" t="s">
        <v>305</v>
      </c>
      <c r="I94" s="461">
        <f t="shared" si="6"/>
        <v>15000</v>
      </c>
      <c r="J94" s="450"/>
      <c r="K94" s="442">
        <v>15000</v>
      </c>
      <c r="L94" s="442"/>
      <c r="M94" s="442"/>
      <c r="O94" s="330"/>
      <c r="P94"/>
      <c r="Q94"/>
      <c r="R94"/>
      <c r="S94"/>
      <c r="T94"/>
      <c r="U94"/>
      <c r="V94"/>
      <c r="W94"/>
    </row>
    <row r="95" spans="2:23" s="329" customFormat="1" x14ac:dyDescent="0.2">
      <c r="B95" s="387" t="s">
        <v>261</v>
      </c>
      <c r="C95" s="440"/>
      <c r="D95" s="507"/>
      <c r="E95" s="507"/>
      <c r="F95" s="448" t="s">
        <v>296</v>
      </c>
      <c r="G95" s="440" t="s">
        <v>297</v>
      </c>
      <c r="H95" s="516" t="s">
        <v>306</v>
      </c>
      <c r="I95" s="461">
        <f t="shared" si="6"/>
        <v>13000</v>
      </c>
      <c r="J95" s="450"/>
      <c r="K95" s="442">
        <v>13000</v>
      </c>
      <c r="L95" s="442"/>
      <c r="M95" s="442"/>
      <c r="O95" s="330"/>
      <c r="P95"/>
      <c r="Q95"/>
      <c r="R95"/>
      <c r="S95"/>
      <c r="T95"/>
      <c r="U95"/>
      <c r="V95"/>
      <c r="W95"/>
    </row>
    <row r="96" spans="2:23" s="329" customFormat="1" ht="24" x14ac:dyDescent="0.2">
      <c r="B96" s="387"/>
      <c r="C96" s="440"/>
      <c r="D96" s="507"/>
      <c r="E96" s="507"/>
      <c r="F96" s="448" t="s">
        <v>296</v>
      </c>
      <c r="G96" s="440" t="s">
        <v>297</v>
      </c>
      <c r="H96" s="516" t="s">
        <v>307</v>
      </c>
      <c r="I96" s="461">
        <f t="shared" si="6"/>
        <v>13000</v>
      </c>
      <c r="J96" s="450"/>
      <c r="K96" s="442">
        <v>13000</v>
      </c>
      <c r="L96" s="442"/>
      <c r="M96" s="442"/>
      <c r="N96" s="329" t="s">
        <v>308</v>
      </c>
      <c r="O96" s="330"/>
      <c r="P96"/>
      <c r="Q96"/>
      <c r="R96"/>
      <c r="S96"/>
      <c r="T96"/>
      <c r="U96"/>
      <c r="V96"/>
      <c r="W96"/>
    </row>
    <row r="97" spans="2:23" s="329" customFormat="1" ht="24" x14ac:dyDescent="0.2">
      <c r="B97" s="387" t="s">
        <v>261</v>
      </c>
      <c r="C97" s="440"/>
      <c r="D97" s="507"/>
      <c r="E97" s="507"/>
      <c r="F97" s="448" t="s">
        <v>296</v>
      </c>
      <c r="G97" s="440" t="s">
        <v>297</v>
      </c>
      <c r="H97" s="516" t="s">
        <v>309</v>
      </c>
      <c r="I97" s="484">
        <f>SUM(K97:M97)</f>
        <v>15000</v>
      </c>
      <c r="J97" s="450"/>
      <c r="K97" s="442">
        <v>15000</v>
      </c>
      <c r="L97" s="442"/>
      <c r="M97" s="442"/>
      <c r="O97" s="330"/>
      <c r="P97"/>
      <c r="Q97"/>
      <c r="R97"/>
      <c r="S97"/>
      <c r="T97"/>
      <c r="U97"/>
      <c r="V97"/>
      <c r="W97"/>
    </row>
    <row r="98" spans="2:23" s="329" customFormat="1" x14ac:dyDescent="0.2">
      <c r="B98" s="387" t="s">
        <v>261</v>
      </c>
      <c r="C98" s="440"/>
      <c r="D98" s="507"/>
      <c r="E98" s="507"/>
      <c r="F98" s="448" t="s">
        <v>296</v>
      </c>
      <c r="G98" s="440" t="s">
        <v>297</v>
      </c>
      <c r="H98" s="516" t="s">
        <v>310</v>
      </c>
      <c r="I98" s="484">
        <f>SUM(K98:M98)</f>
        <v>6000</v>
      </c>
      <c r="J98" s="450"/>
      <c r="K98" s="442">
        <v>6000</v>
      </c>
      <c r="L98" s="442"/>
      <c r="M98" s="442"/>
      <c r="O98" s="330"/>
      <c r="P98"/>
      <c r="Q98"/>
      <c r="R98"/>
      <c r="S98"/>
      <c r="T98"/>
      <c r="U98"/>
      <c r="V98"/>
      <c r="W98"/>
    </row>
    <row r="99" spans="2:23" s="329" customFormat="1" x14ac:dyDescent="0.2">
      <c r="B99" s="387" t="s">
        <v>261</v>
      </c>
      <c r="C99" s="509"/>
      <c r="D99" s="510"/>
      <c r="E99" s="510"/>
      <c r="F99" s="448" t="s">
        <v>296</v>
      </c>
      <c r="G99" s="509" t="s">
        <v>297</v>
      </c>
      <c r="H99" s="511" t="s">
        <v>311</v>
      </c>
      <c r="I99" s="512"/>
      <c r="J99" s="513"/>
      <c r="K99" s="514"/>
      <c r="L99" s="514"/>
      <c r="M99" s="514"/>
      <c r="N99" s="329" t="s">
        <v>312</v>
      </c>
      <c r="O99" s="330"/>
      <c r="P99"/>
      <c r="Q99"/>
      <c r="R99"/>
      <c r="S99"/>
      <c r="T99"/>
      <c r="U99"/>
      <c r="V99"/>
      <c r="W99"/>
    </row>
    <row r="100" spans="2:23" s="329" customFormat="1" x14ac:dyDescent="0.2">
      <c r="B100" s="387" t="s">
        <v>261</v>
      </c>
      <c r="C100" s="440"/>
      <c r="D100" s="507"/>
      <c r="E100" s="507"/>
      <c r="F100" s="448" t="s">
        <v>296</v>
      </c>
      <c r="G100" s="440" t="s">
        <v>297</v>
      </c>
      <c r="H100" s="515" t="s">
        <v>313</v>
      </c>
      <c r="I100" s="455">
        <f t="shared" ref="I100:I145" si="7">SUM(K100:M100)</f>
        <v>3000</v>
      </c>
      <c r="J100" s="450"/>
      <c r="K100" s="461">
        <f>4000-1000</f>
        <v>3000</v>
      </c>
      <c r="L100" s="442"/>
      <c r="M100" s="442"/>
      <c r="O100" s="330"/>
      <c r="P100"/>
      <c r="Q100"/>
      <c r="R100"/>
      <c r="S100"/>
      <c r="T100"/>
      <c r="U100"/>
      <c r="V100"/>
      <c r="W100"/>
    </row>
    <row r="101" spans="2:23" s="329" customFormat="1" x14ac:dyDescent="0.2">
      <c r="B101" s="387" t="s">
        <v>261</v>
      </c>
      <c r="C101" s="440"/>
      <c r="D101" s="507"/>
      <c r="E101" s="507"/>
      <c r="F101" s="448" t="s">
        <v>296</v>
      </c>
      <c r="G101" s="440" t="s">
        <v>297</v>
      </c>
      <c r="H101" s="515" t="s">
        <v>314</v>
      </c>
      <c r="I101" s="455">
        <f t="shared" si="7"/>
        <v>1000</v>
      </c>
      <c r="J101" s="450"/>
      <c r="K101" s="442">
        <v>1000</v>
      </c>
      <c r="L101" s="442"/>
      <c r="M101" s="442"/>
      <c r="O101" s="330"/>
      <c r="P101"/>
      <c r="Q101"/>
      <c r="R101"/>
      <c r="S101"/>
      <c r="T101"/>
      <c r="U101"/>
      <c r="V101"/>
      <c r="W101"/>
    </row>
    <row r="102" spans="2:23" s="329" customFormat="1" x14ac:dyDescent="0.2">
      <c r="B102" s="387" t="s">
        <v>261</v>
      </c>
      <c r="C102" s="440"/>
      <c r="D102" s="507"/>
      <c r="E102" s="507"/>
      <c r="F102" s="448" t="s">
        <v>296</v>
      </c>
      <c r="G102" s="440" t="s">
        <v>297</v>
      </c>
      <c r="H102" s="515" t="s">
        <v>315</v>
      </c>
      <c r="I102" s="455">
        <f t="shared" si="7"/>
        <v>200</v>
      </c>
      <c r="J102" s="450"/>
      <c r="K102" s="442">
        <v>200</v>
      </c>
      <c r="L102" s="442"/>
      <c r="M102" s="442"/>
      <c r="O102" s="330"/>
      <c r="P102"/>
      <c r="Q102"/>
      <c r="R102"/>
      <c r="S102"/>
      <c r="T102"/>
      <c r="U102"/>
      <c r="V102"/>
      <c r="W102"/>
    </row>
    <row r="103" spans="2:23" s="329" customFormat="1" x14ac:dyDescent="0.2">
      <c r="B103" s="387" t="s">
        <v>261</v>
      </c>
      <c r="C103" s="440"/>
      <c r="D103" s="507"/>
      <c r="E103" s="507"/>
      <c r="F103" s="448" t="s">
        <v>296</v>
      </c>
      <c r="G103" s="440" t="s">
        <v>297</v>
      </c>
      <c r="H103" s="515" t="s">
        <v>316</v>
      </c>
      <c r="I103" s="455">
        <f t="shared" si="7"/>
        <v>300</v>
      </c>
      <c r="J103" s="450"/>
      <c r="K103" s="442">
        <v>300</v>
      </c>
      <c r="L103" s="442"/>
      <c r="M103" s="442"/>
      <c r="O103" s="330"/>
      <c r="P103"/>
      <c r="Q103"/>
      <c r="R103"/>
      <c r="S103"/>
      <c r="T103"/>
      <c r="U103"/>
      <c r="V103"/>
      <c r="W103"/>
    </row>
    <row r="104" spans="2:23" s="329" customFormat="1" x14ac:dyDescent="0.2">
      <c r="B104" s="387" t="s">
        <v>261</v>
      </c>
      <c r="C104" s="440"/>
      <c r="D104" s="507"/>
      <c r="E104" s="507"/>
      <c r="F104" s="448" t="s">
        <v>296</v>
      </c>
      <c r="G104" s="440" t="s">
        <v>297</v>
      </c>
      <c r="H104" s="515" t="s">
        <v>317</v>
      </c>
      <c r="I104" s="455">
        <f t="shared" si="7"/>
        <v>300</v>
      </c>
      <c r="J104" s="450"/>
      <c r="K104" s="442">
        <v>300</v>
      </c>
      <c r="L104" s="442"/>
      <c r="M104" s="442"/>
      <c r="O104" s="330"/>
      <c r="P104"/>
      <c r="Q104"/>
      <c r="R104"/>
      <c r="S104"/>
      <c r="T104"/>
      <c r="U104"/>
      <c r="V104"/>
      <c r="W104"/>
    </row>
    <row r="105" spans="2:23" s="329" customFormat="1" x14ac:dyDescent="0.2">
      <c r="B105" s="387" t="s">
        <v>261</v>
      </c>
      <c r="C105" s="440"/>
      <c r="D105" s="507"/>
      <c r="E105" s="507"/>
      <c r="F105" s="448" t="s">
        <v>296</v>
      </c>
      <c r="G105" s="440" t="s">
        <v>297</v>
      </c>
      <c r="H105" s="515" t="s">
        <v>318</v>
      </c>
      <c r="I105" s="455">
        <f t="shared" si="7"/>
        <v>750</v>
      </c>
      <c r="J105" s="450"/>
      <c r="K105" s="442">
        <v>750</v>
      </c>
      <c r="L105" s="442"/>
      <c r="M105" s="442"/>
      <c r="O105" s="330"/>
      <c r="P105"/>
      <c r="Q105"/>
      <c r="R105"/>
      <c r="S105"/>
      <c r="T105"/>
      <c r="U105"/>
      <c r="V105"/>
      <c r="W105"/>
    </row>
    <row r="106" spans="2:23" s="329" customFormat="1" x14ac:dyDescent="0.2">
      <c r="B106" s="387" t="s">
        <v>261</v>
      </c>
      <c r="C106" s="440"/>
      <c r="D106" s="507"/>
      <c r="E106" s="507"/>
      <c r="F106" s="448" t="s">
        <v>296</v>
      </c>
      <c r="G106" s="440" t="s">
        <v>297</v>
      </c>
      <c r="H106" s="515" t="s">
        <v>319</v>
      </c>
      <c r="I106" s="455">
        <f t="shared" si="7"/>
        <v>900</v>
      </c>
      <c r="J106" s="450"/>
      <c r="K106" s="442">
        <v>900</v>
      </c>
      <c r="L106" s="442"/>
      <c r="M106" s="442"/>
      <c r="O106" s="330"/>
      <c r="P106"/>
      <c r="Q106"/>
      <c r="R106"/>
      <c r="S106"/>
      <c r="T106"/>
      <c r="U106"/>
      <c r="V106"/>
      <c r="W106"/>
    </row>
    <row r="107" spans="2:23" s="329" customFormat="1" x14ac:dyDescent="0.2">
      <c r="B107" s="387" t="s">
        <v>261</v>
      </c>
      <c r="C107" s="440"/>
      <c r="D107" s="507"/>
      <c r="E107" s="507"/>
      <c r="F107" s="448" t="s">
        <v>296</v>
      </c>
      <c r="G107" s="440" t="s">
        <v>297</v>
      </c>
      <c r="H107" s="515" t="s">
        <v>320</v>
      </c>
      <c r="I107" s="455">
        <f>SUM(K107:M107)</f>
        <v>200</v>
      </c>
      <c r="J107" s="517"/>
      <c r="K107" s="442">
        <v>200</v>
      </c>
      <c r="L107" s="442"/>
      <c r="M107" s="442"/>
      <c r="O107" s="330"/>
      <c r="P107"/>
      <c r="Q107"/>
      <c r="R107"/>
      <c r="S107"/>
      <c r="T107"/>
      <c r="U107"/>
      <c r="V107"/>
      <c r="W107"/>
    </row>
    <row r="108" spans="2:23" s="329" customFormat="1" x14ac:dyDescent="0.2">
      <c r="B108" s="387" t="s">
        <v>261</v>
      </c>
      <c r="C108" s="440"/>
      <c r="D108" s="507"/>
      <c r="E108" s="507"/>
      <c r="F108" s="448" t="s">
        <v>296</v>
      </c>
      <c r="G108" s="440" t="s">
        <v>297</v>
      </c>
      <c r="H108" s="515" t="s">
        <v>321</v>
      </c>
      <c r="I108" s="455">
        <f>SUM(K108:M108)</f>
        <v>1800</v>
      </c>
      <c r="J108" s="517"/>
      <c r="K108" s="455">
        <v>1800</v>
      </c>
      <c r="L108" s="442"/>
      <c r="M108" s="442"/>
      <c r="O108" s="330"/>
      <c r="P108"/>
      <c r="Q108"/>
      <c r="R108"/>
      <c r="S108"/>
      <c r="T108"/>
      <c r="U108"/>
      <c r="V108"/>
      <c r="W108"/>
    </row>
    <row r="109" spans="2:23" s="329" customFormat="1" x14ac:dyDescent="0.2">
      <c r="B109" s="387"/>
      <c r="C109" s="440"/>
      <c r="D109" s="507"/>
      <c r="E109" s="507"/>
      <c r="F109" s="448" t="s">
        <v>296</v>
      </c>
      <c r="G109" s="440" t="s">
        <v>297</v>
      </c>
      <c r="H109" s="515" t="s">
        <v>322</v>
      </c>
      <c r="I109" s="455">
        <f>SUM(K109:M109)</f>
        <v>1500</v>
      </c>
      <c r="J109" s="517"/>
      <c r="K109" s="455">
        <v>1500</v>
      </c>
      <c r="L109" s="442"/>
      <c r="M109" s="442"/>
      <c r="N109" s="329" t="s">
        <v>323</v>
      </c>
      <c r="O109" s="330"/>
      <c r="P109"/>
      <c r="Q109"/>
      <c r="R109"/>
      <c r="S109"/>
      <c r="T109"/>
      <c r="U109"/>
      <c r="V109"/>
      <c r="W109"/>
    </row>
    <row r="110" spans="2:23" s="329" customFormat="1" ht="10.5" customHeight="1" x14ac:dyDescent="0.2">
      <c r="B110" s="387" t="s">
        <v>261</v>
      </c>
      <c r="C110" s="440"/>
      <c r="D110" s="507"/>
      <c r="E110" s="507"/>
      <c r="F110" s="448" t="s">
        <v>296</v>
      </c>
      <c r="G110" s="440" t="s">
        <v>297</v>
      </c>
      <c r="H110" s="515" t="s">
        <v>324</v>
      </c>
      <c r="I110" s="455">
        <f>SUM(K110:M110)</f>
        <v>5000</v>
      </c>
      <c r="J110" s="517"/>
      <c r="K110" s="518">
        <f>10000-5000</f>
        <v>5000</v>
      </c>
      <c r="L110" s="442"/>
      <c r="M110" s="442"/>
      <c r="N110" s="519" t="s">
        <v>325</v>
      </c>
      <c r="O110" s="330"/>
      <c r="P110"/>
      <c r="Q110"/>
      <c r="R110"/>
      <c r="S110"/>
      <c r="T110"/>
      <c r="U110"/>
      <c r="V110"/>
      <c r="W110"/>
    </row>
    <row r="111" spans="2:23" s="329" customFormat="1" ht="12.75" thickBot="1" x14ac:dyDescent="0.25">
      <c r="B111" s="387" t="s">
        <v>261</v>
      </c>
      <c r="C111" s="520"/>
      <c r="D111" s="521"/>
      <c r="E111" s="521"/>
      <c r="F111" s="522" t="s">
        <v>296</v>
      </c>
      <c r="G111" s="520" t="s">
        <v>297</v>
      </c>
      <c r="H111" s="523" t="s">
        <v>326</v>
      </c>
      <c r="I111" s="524">
        <f t="shared" si="7"/>
        <v>20000</v>
      </c>
      <c r="J111" s="501"/>
      <c r="K111" s="525">
        <v>20000</v>
      </c>
      <c r="L111" s="526"/>
      <c r="M111" s="526"/>
      <c r="N111" s="329" t="s">
        <v>327</v>
      </c>
      <c r="O111" s="330"/>
      <c r="P111"/>
      <c r="Q111"/>
      <c r="R111"/>
      <c r="S111"/>
      <c r="T111"/>
      <c r="U111"/>
      <c r="V111"/>
      <c r="W111"/>
    </row>
    <row r="112" spans="2:23" s="329" customFormat="1" ht="12.75" thickTop="1" x14ac:dyDescent="0.2">
      <c r="B112" s="387" t="s">
        <v>199</v>
      </c>
      <c r="C112" s="477"/>
      <c r="D112" s="477"/>
      <c r="E112" s="477"/>
      <c r="F112" s="478" t="s">
        <v>328</v>
      </c>
      <c r="G112" s="477" t="s">
        <v>329</v>
      </c>
      <c r="H112" s="479" t="s">
        <v>298</v>
      </c>
      <c r="I112" s="481">
        <f>SUM(K112:M112)</f>
        <v>12000</v>
      </c>
      <c r="J112" s="450"/>
      <c r="K112" s="481">
        <v>12000</v>
      </c>
      <c r="L112" s="481"/>
      <c r="M112" s="481"/>
      <c r="O112" s="330"/>
      <c r="P112"/>
      <c r="Q112"/>
      <c r="R112"/>
      <c r="S112"/>
      <c r="T112"/>
      <c r="U112"/>
      <c r="V112"/>
      <c r="W112"/>
    </row>
    <row r="113" spans="2:23" s="329" customFormat="1" ht="27.75" customHeight="1" x14ac:dyDescent="0.2">
      <c r="B113" s="387" t="s">
        <v>199</v>
      </c>
      <c r="C113" s="440"/>
      <c r="D113" s="440"/>
      <c r="E113" s="440"/>
      <c r="F113" s="448" t="s">
        <v>328</v>
      </c>
      <c r="G113" s="477" t="s">
        <v>329</v>
      </c>
      <c r="H113" s="482" t="s">
        <v>330</v>
      </c>
      <c r="I113" s="442">
        <f t="shared" si="7"/>
        <v>20000</v>
      </c>
      <c r="J113" s="450"/>
      <c r="K113" s="442">
        <v>20000</v>
      </c>
      <c r="L113" s="442"/>
      <c r="M113" s="442"/>
      <c r="O113" s="330"/>
      <c r="P113"/>
      <c r="Q113"/>
      <c r="R113"/>
      <c r="S113"/>
      <c r="T113"/>
      <c r="U113"/>
      <c r="V113"/>
      <c r="W113"/>
    </row>
    <row r="114" spans="2:23" s="329" customFormat="1" ht="24" x14ac:dyDescent="0.2">
      <c r="B114" s="387" t="s">
        <v>199</v>
      </c>
      <c r="C114" s="440"/>
      <c r="D114" s="440"/>
      <c r="E114" s="440"/>
      <c r="F114" s="448" t="s">
        <v>328</v>
      </c>
      <c r="G114" s="477" t="s">
        <v>329</v>
      </c>
      <c r="H114" s="482" t="s">
        <v>331</v>
      </c>
      <c r="I114" s="442">
        <f t="shared" si="7"/>
        <v>5500</v>
      </c>
      <c r="J114" s="450"/>
      <c r="K114" s="442">
        <f>1500+4000</f>
        <v>5500</v>
      </c>
      <c r="L114" s="442"/>
      <c r="M114" s="442"/>
      <c r="O114" s="330"/>
      <c r="P114"/>
      <c r="Q114"/>
      <c r="R114"/>
      <c r="S114"/>
      <c r="T114"/>
      <c r="U114"/>
      <c r="V114"/>
      <c r="W114"/>
    </row>
    <row r="115" spans="2:23" s="329" customFormat="1" x14ac:dyDescent="0.2">
      <c r="B115" s="387"/>
      <c r="C115" s="440"/>
      <c r="D115" s="440"/>
      <c r="E115" s="440"/>
      <c r="F115" s="448" t="s">
        <v>328</v>
      </c>
      <c r="G115" s="477" t="s">
        <v>329</v>
      </c>
      <c r="H115" s="482" t="s">
        <v>332</v>
      </c>
      <c r="I115" s="527">
        <f t="shared" si="7"/>
        <v>10000</v>
      </c>
      <c r="J115" s="528"/>
      <c r="K115" s="527">
        <v>10000</v>
      </c>
      <c r="L115" s="442"/>
      <c r="M115" s="442"/>
      <c r="O115" s="330"/>
      <c r="P115"/>
      <c r="Q115"/>
      <c r="R115"/>
      <c r="S115"/>
      <c r="T115"/>
      <c r="U115"/>
      <c r="V115"/>
      <c r="W115"/>
    </row>
    <row r="116" spans="2:23" s="329" customFormat="1" x14ac:dyDescent="0.2">
      <c r="B116" s="387" t="s">
        <v>199</v>
      </c>
      <c r="C116" s="440"/>
      <c r="D116" s="440"/>
      <c r="E116" s="440"/>
      <c r="F116" s="448" t="s">
        <v>328</v>
      </c>
      <c r="G116" s="477" t="s">
        <v>329</v>
      </c>
      <c r="H116" s="482" t="s">
        <v>333</v>
      </c>
      <c r="I116" s="527">
        <f t="shared" si="7"/>
        <v>15000</v>
      </c>
      <c r="J116" s="528"/>
      <c r="K116" s="527">
        <v>15000</v>
      </c>
      <c r="L116" s="442"/>
      <c r="M116" s="442"/>
      <c r="O116" s="330"/>
      <c r="P116"/>
      <c r="Q116"/>
      <c r="R116"/>
      <c r="S116"/>
      <c r="T116"/>
      <c r="U116"/>
      <c r="V116"/>
      <c r="W116"/>
    </row>
    <row r="117" spans="2:23" s="329" customFormat="1" x14ac:dyDescent="0.2">
      <c r="B117" s="387" t="s">
        <v>199</v>
      </c>
      <c r="C117" s="440"/>
      <c r="D117" s="440"/>
      <c r="E117" s="440"/>
      <c r="F117" s="448" t="s">
        <v>328</v>
      </c>
      <c r="G117" s="477" t="s">
        <v>329</v>
      </c>
      <c r="H117" s="482" t="s">
        <v>334</v>
      </c>
      <c r="I117" s="442">
        <f t="shared" si="7"/>
        <v>12000</v>
      </c>
      <c r="J117" s="450"/>
      <c r="K117" s="442">
        <v>12000</v>
      </c>
      <c r="L117" s="442"/>
      <c r="M117" s="442"/>
      <c r="O117" s="330"/>
      <c r="P117"/>
      <c r="Q117"/>
      <c r="R117"/>
      <c r="S117"/>
      <c r="T117"/>
      <c r="U117"/>
      <c r="V117"/>
      <c r="W117"/>
    </row>
    <row r="118" spans="2:23" s="329" customFormat="1" x14ac:dyDescent="0.2">
      <c r="B118" s="387" t="s">
        <v>199</v>
      </c>
      <c r="C118" s="440"/>
      <c r="D118" s="440"/>
      <c r="E118" s="440"/>
      <c r="F118" s="448" t="s">
        <v>328</v>
      </c>
      <c r="G118" s="477" t="s">
        <v>329</v>
      </c>
      <c r="H118" s="482" t="s">
        <v>335</v>
      </c>
      <c r="I118" s="442">
        <f t="shared" si="7"/>
        <v>140000</v>
      </c>
      <c r="J118" s="450"/>
      <c r="K118" s="461">
        <v>140000</v>
      </c>
      <c r="L118" s="442"/>
      <c r="M118" s="442"/>
      <c r="O118" s="330"/>
      <c r="P118"/>
      <c r="Q118"/>
      <c r="R118"/>
      <c r="S118"/>
      <c r="T118"/>
      <c r="U118"/>
      <c r="V118"/>
      <c r="W118"/>
    </row>
    <row r="119" spans="2:23" s="329" customFormat="1" x14ac:dyDescent="0.2">
      <c r="B119" s="387" t="s">
        <v>199</v>
      </c>
      <c r="C119" s="509"/>
      <c r="D119" s="509"/>
      <c r="E119" s="509"/>
      <c r="F119" s="448" t="s">
        <v>328</v>
      </c>
      <c r="G119" s="529" t="s">
        <v>329</v>
      </c>
      <c r="H119" s="511" t="s">
        <v>311</v>
      </c>
      <c r="I119" s="514"/>
      <c r="J119" s="530"/>
      <c r="K119" s="514"/>
      <c r="L119" s="514"/>
      <c r="M119" s="514"/>
      <c r="O119" s="330"/>
      <c r="P119"/>
      <c r="Q119"/>
      <c r="R119"/>
      <c r="S119"/>
      <c r="T119"/>
      <c r="U119"/>
      <c r="V119"/>
      <c r="W119"/>
    </row>
    <row r="120" spans="2:23" s="329" customFormat="1" x14ac:dyDescent="0.2">
      <c r="B120" s="387" t="s">
        <v>199</v>
      </c>
      <c r="C120" s="440"/>
      <c r="D120" s="440"/>
      <c r="E120" s="440"/>
      <c r="F120" s="448" t="s">
        <v>328</v>
      </c>
      <c r="G120" s="477" t="s">
        <v>329</v>
      </c>
      <c r="H120" s="515" t="s">
        <v>336</v>
      </c>
      <c r="I120" s="442">
        <f t="shared" si="7"/>
        <v>500</v>
      </c>
      <c r="J120" s="450"/>
      <c r="K120" s="442">
        <v>500</v>
      </c>
      <c r="L120" s="442"/>
      <c r="M120" s="442"/>
      <c r="O120" s="330"/>
      <c r="P120"/>
      <c r="Q120"/>
      <c r="R120"/>
      <c r="S120"/>
      <c r="T120"/>
      <c r="U120"/>
      <c r="V120"/>
      <c r="W120"/>
    </row>
    <row r="121" spans="2:23" s="329" customFormat="1" x14ac:dyDescent="0.2">
      <c r="B121" s="387" t="s">
        <v>199</v>
      </c>
      <c r="C121" s="440"/>
      <c r="D121" s="440"/>
      <c r="E121" s="440"/>
      <c r="F121" s="448" t="s">
        <v>328</v>
      </c>
      <c r="G121" s="477" t="s">
        <v>329</v>
      </c>
      <c r="H121" s="515" t="s">
        <v>337</v>
      </c>
      <c r="I121" s="442">
        <f t="shared" si="7"/>
        <v>800</v>
      </c>
      <c r="J121" s="450"/>
      <c r="K121" s="442">
        <v>800</v>
      </c>
      <c r="L121" s="442"/>
      <c r="M121" s="442"/>
      <c r="O121" s="330"/>
      <c r="P121"/>
      <c r="Q121"/>
      <c r="R121"/>
      <c r="S121"/>
      <c r="T121"/>
      <c r="U121"/>
      <c r="V121"/>
      <c r="W121"/>
    </row>
    <row r="122" spans="2:23" s="329" customFormat="1" x14ac:dyDescent="0.2">
      <c r="B122" s="387" t="s">
        <v>199</v>
      </c>
      <c r="C122" s="440"/>
      <c r="D122" s="440"/>
      <c r="E122" s="440"/>
      <c r="F122" s="448" t="s">
        <v>328</v>
      </c>
      <c r="G122" s="477" t="s">
        <v>329</v>
      </c>
      <c r="H122" s="515" t="s">
        <v>338</v>
      </c>
      <c r="I122" s="442">
        <f t="shared" si="7"/>
        <v>100</v>
      </c>
      <c r="J122" s="450"/>
      <c r="K122" s="442">
        <v>100</v>
      </c>
      <c r="L122" s="442"/>
      <c r="M122" s="442"/>
      <c r="O122" s="330"/>
      <c r="P122"/>
      <c r="Q122"/>
      <c r="R122"/>
      <c r="S122"/>
      <c r="T122"/>
      <c r="U122"/>
      <c r="V122"/>
      <c r="W122"/>
    </row>
    <row r="123" spans="2:23" s="329" customFormat="1" x14ac:dyDescent="0.2">
      <c r="B123" s="387" t="s">
        <v>199</v>
      </c>
      <c r="C123" s="440"/>
      <c r="D123" s="440"/>
      <c r="E123" s="440"/>
      <c r="F123" s="448" t="s">
        <v>328</v>
      </c>
      <c r="G123" s="477" t="s">
        <v>329</v>
      </c>
      <c r="H123" s="515" t="s">
        <v>339</v>
      </c>
      <c r="I123" s="442">
        <f t="shared" si="7"/>
        <v>1000</v>
      </c>
      <c r="J123" s="450"/>
      <c r="K123" s="442">
        <v>1000</v>
      </c>
      <c r="L123" s="442"/>
      <c r="M123" s="442"/>
      <c r="N123" s="329" t="s">
        <v>340</v>
      </c>
      <c r="O123" s="330"/>
      <c r="P123"/>
      <c r="Q123"/>
      <c r="R123"/>
      <c r="S123"/>
      <c r="T123"/>
      <c r="U123"/>
      <c r="V123"/>
      <c r="W123"/>
    </row>
    <row r="124" spans="2:23" s="329" customFormat="1" x14ac:dyDescent="0.2">
      <c r="B124" s="387"/>
      <c r="C124" s="440"/>
      <c r="D124" s="440"/>
      <c r="E124" s="440"/>
      <c r="F124" s="448" t="s">
        <v>328</v>
      </c>
      <c r="G124" s="477" t="s">
        <v>329</v>
      </c>
      <c r="H124" s="515" t="s">
        <v>341</v>
      </c>
      <c r="I124" s="442">
        <f t="shared" si="7"/>
        <v>800</v>
      </c>
      <c r="J124" s="450"/>
      <c r="K124" s="442">
        <v>800</v>
      </c>
      <c r="L124" s="442"/>
      <c r="M124" s="442"/>
      <c r="O124" s="330"/>
      <c r="P124"/>
      <c r="Q124"/>
      <c r="R124"/>
      <c r="S124"/>
      <c r="T124"/>
      <c r="U124"/>
      <c r="V124"/>
      <c r="W124"/>
    </row>
    <row r="125" spans="2:23" s="329" customFormat="1" x14ac:dyDescent="0.2">
      <c r="B125" s="387"/>
      <c r="C125" s="440"/>
      <c r="D125" s="440"/>
      <c r="E125" s="440"/>
      <c r="F125" s="448" t="s">
        <v>328</v>
      </c>
      <c r="G125" s="477" t="s">
        <v>329</v>
      </c>
      <c r="H125" s="515" t="s">
        <v>342</v>
      </c>
      <c r="I125" s="442">
        <f t="shared" si="7"/>
        <v>1000</v>
      </c>
      <c r="J125" s="450"/>
      <c r="K125" s="442">
        <v>1000</v>
      </c>
      <c r="L125" s="442"/>
      <c r="M125" s="442"/>
      <c r="O125" s="330"/>
      <c r="P125"/>
      <c r="Q125"/>
      <c r="R125"/>
      <c r="S125"/>
      <c r="T125"/>
      <c r="U125"/>
      <c r="V125"/>
      <c r="W125"/>
    </row>
    <row r="126" spans="2:23" s="329" customFormat="1" x14ac:dyDescent="0.2">
      <c r="B126" s="387"/>
      <c r="C126" s="440"/>
      <c r="D126" s="440"/>
      <c r="E126" s="440"/>
      <c r="F126" s="448" t="s">
        <v>328</v>
      </c>
      <c r="G126" s="477" t="s">
        <v>329</v>
      </c>
      <c r="H126" s="515" t="s">
        <v>343</v>
      </c>
      <c r="I126" s="442">
        <f t="shared" si="7"/>
        <v>1500</v>
      </c>
      <c r="J126" s="450"/>
      <c r="K126" s="442">
        <v>1500</v>
      </c>
      <c r="L126" s="442"/>
      <c r="M126" s="442"/>
      <c r="O126" s="330"/>
      <c r="P126"/>
      <c r="Q126"/>
      <c r="R126"/>
      <c r="S126"/>
      <c r="T126"/>
      <c r="U126"/>
      <c r="V126"/>
      <c r="W126"/>
    </row>
    <row r="127" spans="2:23" s="329" customFormat="1" x14ac:dyDescent="0.2">
      <c r="B127" s="387" t="s">
        <v>199</v>
      </c>
      <c r="C127" s="440"/>
      <c r="D127" s="440"/>
      <c r="E127" s="440"/>
      <c r="F127" s="448" t="s">
        <v>328</v>
      </c>
      <c r="G127" s="477" t="s">
        <v>329</v>
      </c>
      <c r="H127" s="515" t="s">
        <v>344</v>
      </c>
      <c r="I127" s="442">
        <f t="shared" si="7"/>
        <v>600</v>
      </c>
      <c r="J127" s="450"/>
      <c r="K127" s="442">
        <v>600</v>
      </c>
      <c r="L127" s="442"/>
      <c r="M127" s="442"/>
      <c r="O127" s="330"/>
      <c r="P127"/>
      <c r="Q127"/>
      <c r="R127"/>
      <c r="S127"/>
      <c r="T127"/>
      <c r="U127"/>
      <c r="V127"/>
      <c r="W127"/>
    </row>
    <row r="128" spans="2:23" s="329" customFormat="1" x14ac:dyDescent="0.2">
      <c r="B128" s="387" t="s">
        <v>199</v>
      </c>
      <c r="C128" s="440"/>
      <c r="D128" s="440"/>
      <c r="E128" s="440"/>
      <c r="F128" s="448" t="s">
        <v>328</v>
      </c>
      <c r="G128" s="477" t="s">
        <v>329</v>
      </c>
      <c r="H128" s="515" t="s">
        <v>345</v>
      </c>
      <c r="I128" s="442">
        <f t="shared" si="7"/>
        <v>1000</v>
      </c>
      <c r="J128" s="450"/>
      <c r="K128" s="442">
        <v>1000</v>
      </c>
      <c r="L128" s="442"/>
      <c r="M128" s="442"/>
      <c r="N128" s="329" t="s">
        <v>346</v>
      </c>
      <c r="O128" s="330"/>
      <c r="P128"/>
      <c r="Q128"/>
      <c r="R128"/>
      <c r="S128"/>
      <c r="T128"/>
      <c r="U128"/>
      <c r="V128"/>
      <c r="W128"/>
    </row>
    <row r="129" spans="2:23" x14ac:dyDescent="0.2">
      <c r="B129" s="387" t="s">
        <v>199</v>
      </c>
      <c r="C129" s="440"/>
      <c r="D129" s="440"/>
      <c r="E129" s="440"/>
      <c r="F129" s="448" t="s">
        <v>328</v>
      </c>
      <c r="G129" s="477" t="s">
        <v>329</v>
      </c>
      <c r="H129" s="515" t="s">
        <v>347</v>
      </c>
      <c r="I129" s="442">
        <f t="shared" si="7"/>
        <v>600</v>
      </c>
      <c r="J129" s="450"/>
      <c r="K129" s="442">
        <v>600</v>
      </c>
      <c r="L129" s="442"/>
      <c r="M129" s="442"/>
    </row>
    <row r="130" spans="2:23" ht="12.75" thickBot="1" x14ac:dyDescent="0.25">
      <c r="B130" s="387" t="s">
        <v>199</v>
      </c>
      <c r="C130" s="497"/>
      <c r="D130" s="497"/>
      <c r="E130" s="497"/>
      <c r="F130" s="498" t="s">
        <v>328</v>
      </c>
      <c r="G130" s="520" t="s">
        <v>329</v>
      </c>
      <c r="H130" s="499" t="s">
        <v>348</v>
      </c>
      <c r="I130" s="500">
        <f t="shared" si="7"/>
        <v>1500</v>
      </c>
      <c r="J130" s="501"/>
      <c r="K130" s="500">
        <v>1500</v>
      </c>
      <c r="L130" s="500"/>
      <c r="M130" s="500"/>
    </row>
    <row r="131" spans="2:23" ht="13.5" thickTop="1" thickBot="1" x14ac:dyDescent="0.25">
      <c r="C131" s="531"/>
      <c r="D131" s="531"/>
      <c r="E131" s="531"/>
      <c r="F131" s="532" t="s">
        <v>349</v>
      </c>
      <c r="G131" s="531" t="s">
        <v>350</v>
      </c>
      <c r="H131" s="533" t="s">
        <v>350</v>
      </c>
      <c r="I131" s="534">
        <f t="shared" si="7"/>
        <v>285277</v>
      </c>
      <c r="J131" s="535"/>
      <c r="K131" s="534">
        <v>285277</v>
      </c>
      <c r="L131" s="534"/>
      <c r="M131" s="534"/>
    </row>
    <row r="132" spans="2:23" ht="24.75" thickTop="1" x14ac:dyDescent="0.2">
      <c r="B132" s="387" t="s">
        <v>205</v>
      </c>
      <c r="C132" s="477"/>
      <c r="D132" s="477"/>
      <c r="E132" s="477"/>
      <c r="F132" s="478" t="s">
        <v>351</v>
      </c>
      <c r="G132" s="483" t="s">
        <v>54</v>
      </c>
      <c r="H132" s="536" t="s">
        <v>352</v>
      </c>
      <c r="I132" s="480">
        <f>K132</f>
        <v>23000</v>
      </c>
      <c r="J132" s="450"/>
      <c r="K132" s="485">
        <v>23000</v>
      </c>
      <c r="L132" s="481"/>
      <c r="M132" s="481"/>
      <c r="N132" s="486"/>
    </row>
    <row r="133" spans="2:23" ht="24" x14ac:dyDescent="0.2">
      <c r="B133" s="387" t="s">
        <v>205</v>
      </c>
      <c r="C133" s="440"/>
      <c r="D133" s="440"/>
      <c r="E133" s="440"/>
      <c r="F133" s="448" t="s">
        <v>351</v>
      </c>
      <c r="G133" s="440" t="s">
        <v>54</v>
      </c>
      <c r="H133" s="537" t="s">
        <v>353</v>
      </c>
      <c r="I133" s="442">
        <f>SUM(K133:M133)</f>
        <v>2720</v>
      </c>
      <c r="J133" s="450"/>
      <c r="K133" s="442">
        <v>2720</v>
      </c>
      <c r="L133" s="442"/>
      <c r="M133" s="442"/>
      <c r="N133" s="369"/>
    </row>
    <row r="134" spans="2:23" x14ac:dyDescent="0.2">
      <c r="B134" s="387" t="s">
        <v>205</v>
      </c>
      <c r="C134" s="440"/>
      <c r="D134" s="440"/>
      <c r="E134" s="440"/>
      <c r="F134" s="448" t="s">
        <v>351</v>
      </c>
      <c r="G134" s="440" t="s">
        <v>54</v>
      </c>
      <c r="H134" s="538" t="s">
        <v>354</v>
      </c>
      <c r="I134" s="442">
        <f>SUM(K134:M134)</f>
        <v>39400</v>
      </c>
      <c r="J134" s="450"/>
      <c r="K134" s="442">
        <v>39400</v>
      </c>
      <c r="L134" s="539"/>
      <c r="M134" s="539"/>
      <c r="N134" s="540"/>
    </row>
    <row r="135" spans="2:23" ht="24" x14ac:dyDescent="0.2">
      <c r="B135" s="387" t="s">
        <v>205</v>
      </c>
      <c r="C135" s="440"/>
      <c r="D135" s="440"/>
      <c r="E135" s="440"/>
      <c r="F135" s="448" t="s">
        <v>351</v>
      </c>
      <c r="G135" s="440" t="s">
        <v>54</v>
      </c>
      <c r="H135" s="538" t="s">
        <v>355</v>
      </c>
      <c r="I135" s="442">
        <f>K135</f>
        <v>3000</v>
      </c>
      <c r="J135" s="450"/>
      <c r="K135" s="461">
        <v>3000</v>
      </c>
      <c r="L135" s="539"/>
      <c r="M135" s="539"/>
      <c r="N135" s="540"/>
    </row>
    <row r="136" spans="2:23" ht="24.75" thickBot="1" x14ac:dyDescent="0.25">
      <c r="B136" s="387" t="s">
        <v>205</v>
      </c>
      <c r="C136" s="497"/>
      <c r="D136" s="497"/>
      <c r="E136" s="497"/>
      <c r="F136" s="498" t="s">
        <v>351</v>
      </c>
      <c r="G136" s="497" t="s">
        <v>54</v>
      </c>
      <c r="H136" s="541" t="s">
        <v>356</v>
      </c>
      <c r="I136" s="500">
        <f>SUM(K136:M136)</f>
        <v>10480</v>
      </c>
      <c r="J136" s="501"/>
      <c r="K136" s="500">
        <v>10480</v>
      </c>
      <c r="L136" s="500"/>
      <c r="M136" s="500"/>
      <c r="N136" s="542" t="s">
        <v>357</v>
      </c>
    </row>
    <row r="137" spans="2:23" ht="12.75" thickTop="1" x14ac:dyDescent="0.2">
      <c r="B137" s="387" t="s">
        <v>205</v>
      </c>
      <c r="C137" s="440"/>
      <c r="D137" s="440"/>
      <c r="E137" s="440"/>
      <c r="F137" s="448" t="s">
        <v>358</v>
      </c>
      <c r="G137" s="440" t="s">
        <v>359</v>
      </c>
      <c r="H137" s="538" t="s">
        <v>360</v>
      </c>
      <c r="I137" s="442">
        <f>SUM(K137:M137)</f>
        <v>82353</v>
      </c>
      <c r="J137" s="450"/>
      <c r="K137" s="442">
        <v>58821</v>
      </c>
      <c r="L137" s="442">
        <v>23532</v>
      </c>
      <c r="M137" s="442"/>
      <c r="N137" s="369"/>
    </row>
    <row r="138" spans="2:23" ht="12.75" thickBot="1" x14ac:dyDescent="0.25">
      <c r="B138" s="387" t="s">
        <v>205</v>
      </c>
      <c r="C138" s="497"/>
      <c r="D138" s="497"/>
      <c r="E138" s="497"/>
      <c r="F138" s="498" t="s">
        <v>358</v>
      </c>
      <c r="G138" s="497" t="s">
        <v>359</v>
      </c>
      <c r="H138" s="541" t="s">
        <v>361</v>
      </c>
      <c r="I138" s="500">
        <f>SUM(K138:M138)</f>
        <v>4000</v>
      </c>
      <c r="J138" s="501"/>
      <c r="K138" s="500">
        <v>4000</v>
      </c>
      <c r="L138" s="500"/>
      <c r="M138" s="500"/>
      <c r="N138" s="369"/>
    </row>
    <row r="139" spans="2:23" s="329" customFormat="1" ht="36.75" thickTop="1" x14ac:dyDescent="0.2">
      <c r="B139" s="387" t="s">
        <v>205</v>
      </c>
      <c r="C139" s="440"/>
      <c r="D139" s="440"/>
      <c r="E139" s="440"/>
      <c r="F139" s="448">
        <v>1010</v>
      </c>
      <c r="G139" s="477" t="s">
        <v>362</v>
      </c>
      <c r="H139" s="482" t="s">
        <v>363</v>
      </c>
      <c r="I139" s="442">
        <f t="shared" si="7"/>
        <v>15000</v>
      </c>
      <c r="J139" s="450"/>
      <c r="K139" s="442">
        <v>15000</v>
      </c>
      <c r="L139" s="442"/>
      <c r="M139" s="442"/>
      <c r="O139" s="330"/>
      <c r="P139"/>
      <c r="Q139"/>
      <c r="R139"/>
      <c r="S139"/>
      <c r="T139"/>
      <c r="U139"/>
      <c r="V139"/>
      <c r="W139"/>
    </row>
    <row r="140" spans="2:23" s="329" customFormat="1" x14ac:dyDescent="0.2">
      <c r="B140" s="387"/>
      <c r="C140" s="440"/>
      <c r="D140" s="440"/>
      <c r="E140" s="440"/>
      <c r="F140" s="448">
        <v>1010</v>
      </c>
      <c r="G140" s="477" t="s">
        <v>362</v>
      </c>
      <c r="H140" s="482" t="s">
        <v>364</v>
      </c>
      <c r="I140" s="442">
        <f t="shared" si="7"/>
        <v>25410</v>
      </c>
      <c r="J140" s="450"/>
      <c r="K140" s="543">
        <f>44100-18690</f>
        <v>25410</v>
      </c>
      <c r="L140" s="442"/>
      <c r="M140" s="442"/>
      <c r="N140" s="329" t="s">
        <v>365</v>
      </c>
      <c r="O140" s="330"/>
      <c r="P140"/>
      <c r="Q140"/>
      <c r="R140"/>
      <c r="S140"/>
      <c r="T140"/>
      <c r="U140"/>
      <c r="V140"/>
      <c r="W140"/>
    </row>
    <row r="141" spans="2:23" s="329" customFormat="1" ht="22.15" customHeight="1" x14ac:dyDescent="0.2">
      <c r="B141" s="387"/>
      <c r="C141" s="440"/>
      <c r="D141" s="440"/>
      <c r="E141" s="440"/>
      <c r="F141" s="448">
        <v>1010</v>
      </c>
      <c r="G141" s="477" t="s">
        <v>362</v>
      </c>
      <c r="H141" s="482" t="s">
        <v>366</v>
      </c>
      <c r="I141" s="442">
        <f t="shared" si="7"/>
        <v>167400</v>
      </c>
      <c r="J141" s="450"/>
      <c r="K141" s="442">
        <v>167400</v>
      </c>
      <c r="L141" s="442"/>
      <c r="M141" s="442"/>
      <c r="O141" s="330"/>
      <c r="P141"/>
      <c r="Q141"/>
      <c r="R141"/>
      <c r="S141"/>
      <c r="T141"/>
      <c r="U141"/>
      <c r="V141"/>
      <c r="W141"/>
    </row>
    <row r="142" spans="2:23" s="329" customFormat="1" ht="23.45" customHeight="1" x14ac:dyDescent="0.2">
      <c r="B142" s="387"/>
      <c r="C142" s="440"/>
      <c r="D142" s="440"/>
      <c r="E142" s="440"/>
      <c r="F142" s="448">
        <v>1010</v>
      </c>
      <c r="G142" s="477" t="s">
        <v>362</v>
      </c>
      <c r="H142" s="482" t="s">
        <v>367</v>
      </c>
      <c r="I142" s="442">
        <f t="shared" si="7"/>
        <v>50000</v>
      </c>
      <c r="J142" s="450"/>
      <c r="K142" s="442">
        <v>50000</v>
      </c>
      <c r="L142" s="442"/>
      <c r="M142" s="442"/>
      <c r="O142" s="330"/>
      <c r="P142"/>
      <c r="Q142"/>
      <c r="R142"/>
      <c r="S142"/>
      <c r="T142"/>
      <c r="U142"/>
      <c r="V142"/>
      <c r="W142"/>
    </row>
    <row r="143" spans="2:23" s="329" customFormat="1" ht="27" customHeight="1" x14ac:dyDescent="0.2">
      <c r="B143" s="387"/>
      <c r="C143" s="440"/>
      <c r="D143" s="440"/>
      <c r="E143" s="440"/>
      <c r="F143" s="448">
        <v>1010</v>
      </c>
      <c r="G143" s="477" t="s">
        <v>362</v>
      </c>
      <c r="H143" s="482" t="s">
        <v>368</v>
      </c>
      <c r="I143" s="442">
        <f t="shared" si="7"/>
        <v>10000</v>
      </c>
      <c r="J143" s="450"/>
      <c r="K143" s="442">
        <v>10000</v>
      </c>
      <c r="L143" s="442"/>
      <c r="M143" s="442"/>
      <c r="O143" s="330"/>
      <c r="P143"/>
      <c r="Q143"/>
      <c r="R143"/>
      <c r="S143"/>
      <c r="T143"/>
      <c r="U143"/>
      <c r="V143"/>
      <c r="W143"/>
    </row>
    <row r="144" spans="2:23" s="329" customFormat="1" ht="24" customHeight="1" x14ac:dyDescent="0.2">
      <c r="B144" s="387"/>
      <c r="C144" s="440"/>
      <c r="D144" s="440"/>
      <c r="E144" s="440"/>
      <c r="F144" s="448">
        <v>1010</v>
      </c>
      <c r="G144" s="477" t="s">
        <v>362</v>
      </c>
      <c r="H144" s="482" t="s">
        <v>369</v>
      </c>
      <c r="I144" s="442">
        <f t="shared" si="7"/>
        <v>1200</v>
      </c>
      <c r="J144" s="450"/>
      <c r="K144" s="442">
        <v>1200</v>
      </c>
      <c r="L144" s="442"/>
      <c r="M144" s="442"/>
      <c r="O144" s="330"/>
      <c r="P144"/>
      <c r="Q144"/>
      <c r="R144"/>
      <c r="S144"/>
      <c r="T144"/>
      <c r="U144"/>
      <c r="V144"/>
      <c r="W144"/>
    </row>
    <row r="145" spans="1:23" s="329" customFormat="1" ht="12.75" thickBot="1" x14ac:dyDescent="0.25">
      <c r="B145" s="387"/>
      <c r="C145" s="440"/>
      <c r="D145" s="440"/>
      <c r="E145" s="440"/>
      <c r="F145" s="448">
        <v>1010</v>
      </c>
      <c r="G145" s="477" t="s">
        <v>362</v>
      </c>
      <c r="H145" s="482" t="s">
        <v>370</v>
      </c>
      <c r="I145" s="442">
        <f t="shared" si="7"/>
        <v>180000</v>
      </c>
      <c r="J145" s="450"/>
      <c r="K145" s="442">
        <v>180000</v>
      </c>
      <c r="L145" s="442"/>
      <c r="M145" s="442"/>
      <c r="O145" s="330"/>
      <c r="P145"/>
      <c r="Q145"/>
      <c r="R145"/>
      <c r="S145"/>
      <c r="T145"/>
      <c r="U145"/>
      <c r="V145"/>
      <c r="W145"/>
    </row>
    <row r="146" spans="1:23" ht="13.5" thickTop="1" thickBot="1" x14ac:dyDescent="0.25">
      <c r="C146" s="544"/>
      <c r="D146" s="545"/>
      <c r="E146" s="545"/>
      <c r="F146" s="546" t="s">
        <v>371</v>
      </c>
      <c r="G146" s="547" t="s">
        <v>372</v>
      </c>
      <c r="H146" s="545"/>
      <c r="I146" s="548"/>
      <c r="J146" s="549"/>
      <c r="K146" s="550"/>
      <c r="L146" s="551"/>
      <c r="M146" s="550"/>
    </row>
    <row r="147" spans="1:23" ht="12.75" thickTop="1" x14ac:dyDescent="0.2">
      <c r="D147" s="466"/>
      <c r="E147" s="466"/>
      <c r="F147" s="467"/>
      <c r="G147" s="468"/>
      <c r="H147" s="552" t="s">
        <v>373</v>
      </c>
      <c r="I147" s="553">
        <f>SUM(I72:I146)</f>
        <v>2123837.4</v>
      </c>
      <c r="J147" s="554"/>
      <c r="K147" s="553">
        <f>SUM(K72:K146)</f>
        <v>1766972.4</v>
      </c>
      <c r="L147" s="553">
        <f>SUM(L72:L146)</f>
        <v>356865</v>
      </c>
      <c r="M147" s="553">
        <f>SUM(M72:M146)</f>
        <v>0</v>
      </c>
    </row>
    <row r="148" spans="1:23" x14ac:dyDescent="0.2">
      <c r="D148" s="466"/>
      <c r="E148" s="466"/>
      <c r="F148" s="467"/>
      <c r="G148" s="468"/>
      <c r="H148" s="335"/>
      <c r="I148" s="335"/>
      <c r="J148" s="335"/>
      <c r="K148" s="335"/>
      <c r="L148" s="335"/>
      <c r="M148" s="335"/>
    </row>
    <row r="149" spans="1:23" hidden="1" outlineLevel="1" x14ac:dyDescent="0.2">
      <c r="B149" s="472" t="s">
        <v>261</v>
      </c>
      <c r="D149" s="466"/>
      <c r="E149" s="466"/>
      <c r="F149" s="467"/>
      <c r="G149" s="468"/>
      <c r="H149" s="552"/>
      <c r="I149" s="553">
        <f>SUMIF($B$72:$B$146,$B149,I$72:I$146)</f>
        <v>265450</v>
      </c>
      <c r="J149" s="554"/>
      <c r="K149" s="553">
        <f t="shared" ref="K149:M151" si="8">SUMIF($B$72:$B$146,$B149,K$72:K$146)</f>
        <v>265450</v>
      </c>
      <c r="L149" s="553">
        <f t="shared" si="8"/>
        <v>0</v>
      </c>
      <c r="M149" s="553">
        <f t="shared" si="8"/>
        <v>0</v>
      </c>
      <c r="O149" s="341"/>
    </row>
    <row r="150" spans="1:23" hidden="1" outlineLevel="1" x14ac:dyDescent="0.2">
      <c r="B150" s="472" t="s">
        <v>199</v>
      </c>
      <c r="D150" s="466"/>
      <c r="E150" s="466"/>
      <c r="F150" s="467"/>
      <c r="G150" s="468"/>
      <c r="H150" s="552"/>
      <c r="I150" s="553">
        <f>SUMIF($B$72:$B$146,$B150,I$72:I$146)</f>
        <v>259200</v>
      </c>
      <c r="J150" s="554"/>
      <c r="K150" s="553">
        <f t="shared" si="8"/>
        <v>259200</v>
      </c>
      <c r="L150" s="553">
        <f t="shared" si="8"/>
        <v>0</v>
      </c>
      <c r="M150" s="553">
        <f t="shared" si="8"/>
        <v>0</v>
      </c>
      <c r="O150" s="341"/>
    </row>
    <row r="151" spans="1:23" hidden="1" outlineLevel="1" x14ac:dyDescent="0.2">
      <c r="B151" s="472" t="s">
        <v>205</v>
      </c>
      <c r="D151" s="466"/>
      <c r="E151" s="466"/>
      <c r="F151" s="467"/>
      <c r="G151" s="468"/>
      <c r="H151" s="552"/>
      <c r="I151" s="553">
        <f>SUMIF($B$72:$B$146,$B151,I$72:I$146)</f>
        <v>430367.4</v>
      </c>
      <c r="J151" s="554"/>
      <c r="K151" s="553">
        <f t="shared" si="8"/>
        <v>406835.4</v>
      </c>
      <c r="L151" s="553">
        <f t="shared" si="8"/>
        <v>23532</v>
      </c>
      <c r="M151" s="553">
        <f t="shared" si="8"/>
        <v>0</v>
      </c>
      <c r="O151" s="341"/>
    </row>
    <row r="152" spans="1:23" collapsed="1" x14ac:dyDescent="0.2">
      <c r="D152" s="466"/>
      <c r="E152" s="466"/>
      <c r="F152" s="467"/>
      <c r="G152" s="468"/>
      <c r="H152" s="335"/>
      <c r="I152" s="335"/>
      <c r="J152" s="335"/>
      <c r="K152" s="555"/>
      <c r="L152" s="335"/>
      <c r="M152" s="335"/>
    </row>
    <row r="153" spans="1:23" x14ac:dyDescent="0.2">
      <c r="F153" s="334" t="s">
        <v>374</v>
      </c>
      <c r="H153" s="388"/>
      <c r="I153" s="474"/>
      <c r="J153" s="450"/>
      <c r="K153" s="474"/>
      <c r="L153" s="474"/>
      <c r="M153" s="474"/>
      <c r="N153" s="369"/>
    </row>
    <row r="154" spans="1:23" x14ac:dyDescent="0.2">
      <c r="C154" s="1186" t="s">
        <v>192</v>
      </c>
      <c r="D154" s="1186" t="s">
        <v>193</v>
      </c>
      <c r="E154" s="1186" t="s">
        <v>194</v>
      </c>
      <c r="F154" s="1178" t="s">
        <v>195</v>
      </c>
      <c r="G154" s="1186" t="s">
        <v>196</v>
      </c>
      <c r="H154" s="1187" t="s">
        <v>375</v>
      </c>
      <c r="I154" s="1184" t="s">
        <v>183</v>
      </c>
      <c r="J154" s="476"/>
      <c r="K154" s="1185" t="s">
        <v>198</v>
      </c>
      <c r="L154" s="1185"/>
      <c r="M154" s="1185"/>
    </row>
    <row r="155" spans="1:23" ht="24" x14ac:dyDescent="0.2">
      <c r="C155" s="1187"/>
      <c r="D155" s="1187"/>
      <c r="E155" s="1187"/>
      <c r="F155" s="1188"/>
      <c r="G155" s="1187"/>
      <c r="H155" s="1189"/>
      <c r="I155" s="1190"/>
      <c r="J155" s="476"/>
      <c r="K155" s="556" t="s">
        <v>78</v>
      </c>
      <c r="L155" s="556" t="s">
        <v>184</v>
      </c>
      <c r="M155" s="557" t="s">
        <v>185</v>
      </c>
    </row>
    <row r="156" spans="1:23" x14ac:dyDescent="0.2">
      <c r="A156">
        <v>1</v>
      </c>
      <c r="B156" s="387" t="s">
        <v>261</v>
      </c>
      <c r="C156" s="440"/>
      <c r="D156" s="558"/>
      <c r="E156" s="558"/>
      <c r="F156" s="559" t="s">
        <v>376</v>
      </c>
      <c r="G156" s="440" t="s">
        <v>377</v>
      </c>
      <c r="H156" s="449" t="s">
        <v>378</v>
      </c>
      <c r="I156" s="484">
        <f>SUM(K156:M156)</f>
        <v>9256.5</v>
      </c>
      <c r="J156" s="560"/>
      <c r="K156" s="484">
        <v>9256.5</v>
      </c>
      <c r="L156" s="455"/>
      <c r="M156" s="455"/>
      <c r="O156"/>
    </row>
    <row r="157" spans="1:23" ht="30" customHeight="1" thickBot="1" x14ac:dyDescent="0.25">
      <c r="A157">
        <v>1</v>
      </c>
      <c r="B157" s="387" t="s">
        <v>205</v>
      </c>
      <c r="C157" s="440"/>
      <c r="D157" s="558"/>
      <c r="E157" s="558"/>
      <c r="F157" s="559" t="s">
        <v>379</v>
      </c>
      <c r="G157" s="440" t="s">
        <v>377</v>
      </c>
      <c r="H157" s="561" t="s">
        <v>380</v>
      </c>
      <c r="I157" s="562">
        <f>SUM(K157:M157)</f>
        <v>10000</v>
      </c>
      <c r="J157" s="560"/>
      <c r="K157" s="455">
        <f>35000-25000</f>
        <v>10000</v>
      </c>
      <c r="L157" s="455"/>
      <c r="M157" s="455"/>
      <c r="N157" s="445"/>
      <c r="O157"/>
    </row>
    <row r="158" spans="1:23" ht="48" x14ac:dyDescent="0.2">
      <c r="A158">
        <v>1</v>
      </c>
      <c r="B158" s="387" t="s">
        <v>205</v>
      </c>
      <c r="C158" s="440"/>
      <c r="D158" s="558"/>
      <c r="E158" s="558"/>
      <c r="F158" s="559" t="s">
        <v>379</v>
      </c>
      <c r="G158" s="507" t="s">
        <v>377</v>
      </c>
      <c r="H158" s="563" t="s">
        <v>381</v>
      </c>
      <c r="I158" s="564">
        <f>SUM(K158:M158)</f>
        <v>7139</v>
      </c>
      <c r="J158" s="560"/>
      <c r="K158" s="455">
        <v>7139</v>
      </c>
      <c r="L158" s="455"/>
      <c r="M158" s="455"/>
      <c r="N158" s="445"/>
      <c r="O158"/>
    </row>
    <row r="159" spans="1:23" ht="13.5" customHeight="1" x14ac:dyDescent="0.2">
      <c r="A159">
        <v>1</v>
      </c>
      <c r="C159" s="440"/>
      <c r="D159" s="558"/>
      <c r="E159" s="558"/>
      <c r="F159" s="559" t="s">
        <v>382</v>
      </c>
      <c r="G159" s="507" t="s">
        <v>383</v>
      </c>
      <c r="H159" s="565" t="s">
        <v>384</v>
      </c>
      <c r="I159" s="566">
        <f t="shared" ref="I159:I165" si="9">SUM(K159:M159)</f>
        <v>13000</v>
      </c>
      <c r="J159" s="560"/>
      <c r="K159" s="455">
        <f>35600-22600</f>
        <v>13000</v>
      </c>
      <c r="L159" s="455"/>
      <c r="M159" s="455"/>
      <c r="N159" s="445"/>
      <c r="O159"/>
    </row>
    <row r="160" spans="1:23" ht="14.25" customHeight="1" thickBot="1" x14ac:dyDescent="0.25">
      <c r="A160">
        <v>1</v>
      </c>
      <c r="C160" s="440"/>
      <c r="D160" s="558"/>
      <c r="E160" s="558"/>
      <c r="F160" s="559" t="s">
        <v>382</v>
      </c>
      <c r="G160" s="507" t="s">
        <v>383</v>
      </c>
      <c r="H160" s="567" t="s">
        <v>385</v>
      </c>
      <c r="I160" s="568">
        <f t="shared" si="9"/>
        <v>5100</v>
      </c>
      <c r="J160" s="560"/>
      <c r="K160" s="455">
        <v>5100</v>
      </c>
      <c r="L160" s="455"/>
      <c r="M160" s="455"/>
      <c r="N160" s="445"/>
      <c r="O160"/>
    </row>
    <row r="161" spans="1:18" ht="48" customHeight="1" x14ac:dyDescent="0.2">
      <c r="A161">
        <v>1</v>
      </c>
      <c r="C161" s="440"/>
      <c r="D161" s="558"/>
      <c r="E161" s="558"/>
      <c r="F161" s="559" t="s">
        <v>382</v>
      </c>
      <c r="G161" s="440" t="s">
        <v>383</v>
      </c>
      <c r="H161" s="569" t="s">
        <v>386</v>
      </c>
      <c r="I161" s="570">
        <f t="shared" si="9"/>
        <v>30000</v>
      </c>
      <c r="J161" s="560"/>
      <c r="K161" s="455">
        <v>30000</v>
      </c>
      <c r="L161" s="455"/>
      <c r="M161" s="455"/>
      <c r="N161" s="445"/>
      <c r="O161"/>
    </row>
    <row r="162" spans="1:18" ht="26.25" customHeight="1" x14ac:dyDescent="0.2">
      <c r="A162">
        <v>1</v>
      </c>
      <c r="C162" s="440"/>
      <c r="D162" s="558"/>
      <c r="E162" s="558"/>
      <c r="F162" s="559" t="s">
        <v>382</v>
      </c>
      <c r="G162" s="440" t="s">
        <v>383</v>
      </c>
      <c r="H162" s="569" t="s">
        <v>387</v>
      </c>
      <c r="I162" s="570">
        <f t="shared" si="9"/>
        <v>50000</v>
      </c>
      <c r="J162" s="560"/>
      <c r="K162" s="455">
        <v>50000</v>
      </c>
      <c r="L162" s="455"/>
      <c r="M162" s="455"/>
      <c r="N162" s="445"/>
      <c r="O162"/>
    </row>
    <row r="163" spans="1:18" ht="24" x14ac:dyDescent="0.2">
      <c r="A163">
        <v>1</v>
      </c>
      <c r="B163" s="387" t="s">
        <v>205</v>
      </c>
      <c r="C163" s="440"/>
      <c r="D163" s="558"/>
      <c r="E163" s="558"/>
      <c r="F163" s="571" t="s">
        <v>388</v>
      </c>
      <c r="G163" s="440" t="s">
        <v>389</v>
      </c>
      <c r="H163" s="454" t="s">
        <v>390</v>
      </c>
      <c r="I163" s="484">
        <f t="shared" si="9"/>
        <v>2000</v>
      </c>
      <c r="J163" s="560"/>
      <c r="K163" s="455">
        <v>2000</v>
      </c>
      <c r="L163" s="455"/>
      <c r="M163" s="455"/>
      <c r="N163" s="1181"/>
      <c r="O163" s="1182"/>
      <c r="P163" s="1183"/>
      <c r="Q163" s="1183"/>
      <c r="R163" s="1183"/>
    </row>
    <row r="164" spans="1:18" ht="37.5" customHeight="1" x14ac:dyDescent="0.2">
      <c r="A164">
        <v>1</v>
      </c>
      <c r="B164" s="387" t="s">
        <v>205</v>
      </c>
      <c r="C164" s="440"/>
      <c r="D164" s="558"/>
      <c r="E164" s="558"/>
      <c r="F164" s="571" t="s">
        <v>388</v>
      </c>
      <c r="G164" s="440" t="s">
        <v>389</v>
      </c>
      <c r="H164" s="449" t="s">
        <v>391</v>
      </c>
      <c r="I164" s="484">
        <f t="shared" si="9"/>
        <v>8183</v>
      </c>
      <c r="J164" s="560"/>
      <c r="K164" s="455">
        <v>8183</v>
      </c>
      <c r="L164" s="455"/>
      <c r="M164" s="455"/>
      <c r="N164" s="572" t="s">
        <v>392</v>
      </c>
      <c r="O164"/>
    </row>
    <row r="165" spans="1:18" ht="13.5" hidden="1" customHeight="1" x14ac:dyDescent="0.2">
      <c r="A165">
        <v>2</v>
      </c>
      <c r="B165" s="387" t="s">
        <v>205</v>
      </c>
      <c r="C165" s="483"/>
      <c r="D165" s="483"/>
      <c r="E165" s="483"/>
      <c r="F165" s="573" t="s">
        <v>206</v>
      </c>
      <c r="G165" s="483" t="s">
        <v>201</v>
      </c>
      <c r="H165" s="569" t="s">
        <v>393</v>
      </c>
      <c r="I165" s="574">
        <f t="shared" si="9"/>
        <v>5600</v>
      </c>
      <c r="J165" s="575"/>
      <c r="K165" s="574">
        <v>5600</v>
      </c>
      <c r="L165" s="576"/>
      <c r="M165" s="576"/>
      <c r="N165" s="486" t="s">
        <v>394</v>
      </c>
      <c r="O165"/>
    </row>
    <row r="166" spans="1:18" ht="36" hidden="1" x14ac:dyDescent="0.2">
      <c r="A166">
        <v>2</v>
      </c>
      <c r="C166" s="452"/>
      <c r="D166" s="452"/>
      <c r="E166" s="452"/>
      <c r="F166" s="577" t="s">
        <v>206</v>
      </c>
      <c r="G166" s="452" t="s">
        <v>201</v>
      </c>
      <c r="H166" s="449" t="s">
        <v>395</v>
      </c>
      <c r="I166" s="578">
        <f>K166+L166</f>
        <v>6000</v>
      </c>
      <c r="J166" s="575"/>
      <c r="K166" s="579">
        <v>6000</v>
      </c>
      <c r="L166" s="580"/>
      <c r="M166" s="581"/>
      <c r="N166" s="369" t="s">
        <v>396</v>
      </c>
    </row>
    <row r="167" spans="1:18" ht="24" x14ac:dyDescent="0.2">
      <c r="A167">
        <v>1</v>
      </c>
      <c r="C167" s="452"/>
      <c r="D167" s="452"/>
      <c r="E167" s="452"/>
      <c r="F167" s="448" t="s">
        <v>206</v>
      </c>
      <c r="G167" s="452" t="s">
        <v>201</v>
      </c>
      <c r="H167" s="449" t="s">
        <v>397</v>
      </c>
      <c r="I167" s="455">
        <f>K167+L167</f>
        <v>8295</v>
      </c>
      <c r="J167" s="450"/>
      <c r="K167" s="582">
        <f>1659*5</f>
        <v>8295</v>
      </c>
      <c r="L167" s="490"/>
      <c r="M167" s="491"/>
      <c r="N167" s="492" t="s">
        <v>398</v>
      </c>
    </row>
    <row r="168" spans="1:18" ht="15" customHeight="1" x14ac:dyDescent="0.2">
      <c r="A168" s="343">
        <v>1</v>
      </c>
      <c r="B168" s="343">
        <v>1</v>
      </c>
      <c r="C168" s="483"/>
      <c r="D168" s="483"/>
      <c r="E168" s="483"/>
      <c r="F168" s="478" t="s">
        <v>279</v>
      </c>
      <c r="G168" s="483" t="s">
        <v>280</v>
      </c>
      <c r="H168" s="569" t="s">
        <v>399</v>
      </c>
      <c r="I168" s="481">
        <f t="shared" ref="I168:I176" si="10">SUM(K168:M168)</f>
        <v>35000</v>
      </c>
      <c r="J168" s="450"/>
      <c r="K168" s="583">
        <f>21000+14000</f>
        <v>35000</v>
      </c>
      <c r="L168" s="481"/>
      <c r="M168" s="481"/>
      <c r="N168" s="486"/>
    </row>
    <row r="169" spans="1:18" ht="24" x14ac:dyDescent="0.2">
      <c r="A169" s="343">
        <v>1</v>
      </c>
      <c r="B169" s="343">
        <v>1</v>
      </c>
      <c r="C169" s="452"/>
      <c r="D169" s="452"/>
      <c r="E169" s="452"/>
      <c r="F169" s="448" t="s">
        <v>279</v>
      </c>
      <c r="G169" s="452" t="s">
        <v>280</v>
      </c>
      <c r="H169" s="449" t="s">
        <v>400</v>
      </c>
      <c r="I169" s="442">
        <f t="shared" si="10"/>
        <v>22000</v>
      </c>
      <c r="J169" s="450"/>
      <c r="K169" s="442">
        <v>22000</v>
      </c>
      <c r="L169" s="442"/>
      <c r="M169" s="442"/>
      <c r="N169" s="486"/>
    </row>
    <row r="170" spans="1:18" ht="24" x14ac:dyDescent="0.2">
      <c r="A170" s="343">
        <v>1</v>
      </c>
      <c r="B170" s="343">
        <v>1</v>
      </c>
      <c r="C170" s="452"/>
      <c r="D170" s="452"/>
      <c r="E170" s="452"/>
      <c r="F170" s="448" t="s">
        <v>279</v>
      </c>
      <c r="G170" s="452" t="s">
        <v>280</v>
      </c>
      <c r="H170" s="449" t="s">
        <v>401</v>
      </c>
      <c r="I170" s="442">
        <f t="shared" si="10"/>
        <v>17600</v>
      </c>
      <c r="J170" s="450"/>
      <c r="K170" s="442">
        <v>17600</v>
      </c>
      <c r="L170" s="442"/>
      <c r="M170" s="442"/>
      <c r="N170" s="486"/>
    </row>
    <row r="171" spans="1:18" ht="24" x14ac:dyDescent="0.2">
      <c r="A171">
        <v>1</v>
      </c>
      <c r="B171" s="387" t="s">
        <v>199</v>
      </c>
      <c r="C171" s="452"/>
      <c r="D171" s="452"/>
      <c r="E171" s="452"/>
      <c r="F171" s="448" t="s">
        <v>402</v>
      </c>
      <c r="G171" s="452" t="s">
        <v>403</v>
      </c>
      <c r="H171" s="449" t="s">
        <v>404</v>
      </c>
      <c r="I171" s="442">
        <f t="shared" si="10"/>
        <v>30000</v>
      </c>
      <c r="J171" s="450"/>
      <c r="K171" s="442">
        <v>30000</v>
      </c>
      <c r="L171" s="442"/>
      <c r="M171" s="442"/>
      <c r="N171" s="486"/>
    </row>
    <row r="172" spans="1:18" x14ac:dyDescent="0.2">
      <c r="A172" s="343">
        <v>1</v>
      </c>
      <c r="C172" s="452"/>
      <c r="D172" s="452"/>
      <c r="E172" s="452"/>
      <c r="F172" s="448" t="s">
        <v>402</v>
      </c>
      <c r="G172" s="452" t="s">
        <v>403</v>
      </c>
      <c r="H172" s="449" t="s">
        <v>405</v>
      </c>
      <c r="I172" s="491">
        <f t="shared" si="10"/>
        <v>35000</v>
      </c>
      <c r="J172" s="450"/>
      <c r="K172" s="442">
        <v>35000</v>
      </c>
      <c r="L172" s="491"/>
      <c r="M172" s="491"/>
      <c r="N172" s="486"/>
    </row>
    <row r="173" spans="1:18" s="343" customFormat="1" ht="26.25" customHeight="1" x14ac:dyDescent="0.2">
      <c r="A173" s="343">
        <v>1</v>
      </c>
      <c r="C173" s="452"/>
      <c r="D173" s="452"/>
      <c r="E173" s="452"/>
      <c r="F173" s="448" t="s">
        <v>286</v>
      </c>
      <c r="G173" s="452" t="s">
        <v>287</v>
      </c>
      <c r="H173" s="449" t="s">
        <v>406</v>
      </c>
      <c r="I173" s="493">
        <f t="shared" si="10"/>
        <v>25120</v>
      </c>
      <c r="J173" s="584"/>
      <c r="K173" s="585">
        <v>25120</v>
      </c>
      <c r="L173" s="586"/>
      <c r="M173" s="586"/>
      <c r="N173" s="572" t="s">
        <v>407</v>
      </c>
      <c r="O173" s="342"/>
      <c r="R173"/>
    </row>
    <row r="174" spans="1:18" s="343" customFormat="1" ht="18" customHeight="1" x14ac:dyDescent="0.2">
      <c r="A174" s="343">
        <v>1</v>
      </c>
      <c r="B174" s="343" t="s">
        <v>261</v>
      </c>
      <c r="C174" s="452"/>
      <c r="D174" s="452"/>
      <c r="E174" s="452"/>
      <c r="F174" s="448" t="s">
        <v>286</v>
      </c>
      <c r="G174" s="452" t="s">
        <v>287</v>
      </c>
      <c r="H174" s="449" t="s">
        <v>408</v>
      </c>
      <c r="I174" s="455">
        <f t="shared" si="10"/>
        <v>10000</v>
      </c>
      <c r="J174" s="450"/>
      <c r="K174" s="461">
        <f>60000-50000</f>
        <v>10000</v>
      </c>
      <c r="L174" s="442"/>
      <c r="M174" s="442"/>
      <c r="N174" s="572" t="s">
        <v>409</v>
      </c>
      <c r="O174" s="342"/>
      <c r="R174"/>
    </row>
    <row r="175" spans="1:18" s="343" customFormat="1" hidden="1" x14ac:dyDescent="0.2">
      <c r="A175" s="343">
        <v>2</v>
      </c>
      <c r="C175" s="587"/>
      <c r="D175" s="587"/>
      <c r="E175" s="587"/>
      <c r="F175" s="588" t="s">
        <v>286</v>
      </c>
      <c r="G175" s="587" t="s">
        <v>287</v>
      </c>
      <c r="H175" s="561" t="s">
        <v>410</v>
      </c>
      <c r="I175" s="578">
        <f t="shared" si="10"/>
        <v>12500</v>
      </c>
      <c r="J175" s="575"/>
      <c r="K175" s="589">
        <v>12500</v>
      </c>
      <c r="L175" s="581"/>
      <c r="M175" s="581"/>
      <c r="N175" s="572"/>
      <c r="O175" s="342"/>
      <c r="R175"/>
    </row>
    <row r="176" spans="1:18" s="343" customFormat="1" x14ac:dyDescent="0.2">
      <c r="A176" s="343">
        <v>1</v>
      </c>
      <c r="C176" s="587">
        <v>1</v>
      </c>
      <c r="D176" s="587"/>
      <c r="E176" s="587"/>
      <c r="F176" s="590" t="s">
        <v>411</v>
      </c>
      <c r="G176" s="587" t="s">
        <v>287</v>
      </c>
      <c r="H176" s="561" t="s">
        <v>412</v>
      </c>
      <c r="I176" s="591">
        <f t="shared" si="10"/>
        <v>12000</v>
      </c>
      <c r="J176" s="450"/>
      <c r="K176" s="490">
        <v>12000</v>
      </c>
      <c r="L176" s="491"/>
      <c r="M176" s="491"/>
      <c r="N176" s="572"/>
      <c r="O176" s="342"/>
      <c r="R176"/>
    </row>
    <row r="177" spans="1:15" ht="13.15" customHeight="1" x14ac:dyDescent="0.2">
      <c r="A177" s="343">
        <v>1</v>
      </c>
      <c r="C177" s="587"/>
      <c r="D177" s="587"/>
      <c r="E177" s="587"/>
      <c r="F177" s="590" t="s">
        <v>296</v>
      </c>
      <c r="G177" s="587" t="s">
        <v>297</v>
      </c>
      <c r="H177" s="592" t="s">
        <v>413</v>
      </c>
      <c r="I177" s="593"/>
      <c r="J177" s="594"/>
      <c r="K177" s="595"/>
      <c r="L177" s="595"/>
      <c r="M177" s="595"/>
      <c r="N177" s="505"/>
    </row>
    <row r="178" spans="1:15" ht="13.15" customHeight="1" x14ac:dyDescent="0.2">
      <c r="A178" s="343">
        <v>1</v>
      </c>
      <c r="C178" s="587"/>
      <c r="D178" s="587"/>
      <c r="E178" s="587"/>
      <c r="F178" s="590" t="s">
        <v>296</v>
      </c>
      <c r="G178" s="587" t="s">
        <v>297</v>
      </c>
      <c r="H178" s="561" t="s">
        <v>414</v>
      </c>
      <c r="I178" s="591">
        <f t="shared" ref="I178:I183" si="11">SUM(K178:M178)</f>
        <v>1089</v>
      </c>
      <c r="J178" s="450"/>
      <c r="K178" s="490">
        <v>1089</v>
      </c>
      <c r="L178" s="491"/>
      <c r="M178" s="491"/>
      <c r="N178" s="505"/>
    </row>
    <row r="179" spans="1:15" ht="25.9" customHeight="1" x14ac:dyDescent="0.2">
      <c r="A179" s="343">
        <v>1</v>
      </c>
      <c r="C179" s="587"/>
      <c r="D179" s="587"/>
      <c r="E179" s="587"/>
      <c r="F179" s="590" t="s">
        <v>296</v>
      </c>
      <c r="G179" s="587" t="s">
        <v>297</v>
      </c>
      <c r="H179" s="561" t="s">
        <v>415</v>
      </c>
      <c r="I179" s="591">
        <f t="shared" si="11"/>
        <v>870</v>
      </c>
      <c r="J179" s="450"/>
      <c r="K179" s="490">
        <v>870</v>
      </c>
      <c r="L179" s="491"/>
      <c r="M179" s="491"/>
      <c r="N179" s="505"/>
    </row>
    <row r="180" spans="1:15" ht="23.25" customHeight="1" x14ac:dyDescent="0.2">
      <c r="A180" s="343">
        <v>1</v>
      </c>
      <c r="C180" s="587"/>
      <c r="D180" s="587"/>
      <c r="E180" s="587"/>
      <c r="F180" s="590" t="s">
        <v>296</v>
      </c>
      <c r="G180" s="587" t="s">
        <v>297</v>
      </c>
      <c r="H180" s="561" t="s">
        <v>416</v>
      </c>
      <c r="I180" s="591">
        <f t="shared" si="11"/>
        <v>3073</v>
      </c>
      <c r="J180" s="450"/>
      <c r="K180" s="490">
        <v>3073</v>
      </c>
      <c r="L180" s="491"/>
      <c r="M180" s="491"/>
      <c r="N180" s="505"/>
    </row>
    <row r="181" spans="1:15" ht="13.15" customHeight="1" x14ac:dyDescent="0.2">
      <c r="A181" s="343">
        <v>1</v>
      </c>
      <c r="C181" s="587"/>
      <c r="D181" s="587"/>
      <c r="E181" s="587"/>
      <c r="F181" s="590" t="s">
        <v>296</v>
      </c>
      <c r="G181" s="587" t="s">
        <v>297</v>
      </c>
      <c r="H181" s="561" t="s">
        <v>417</v>
      </c>
      <c r="I181" s="591">
        <f t="shared" si="11"/>
        <v>2500</v>
      </c>
      <c r="J181" s="450"/>
      <c r="K181" s="490">
        <v>2500</v>
      </c>
      <c r="L181" s="491"/>
      <c r="M181" s="491"/>
      <c r="N181" s="505"/>
    </row>
    <row r="182" spans="1:15" ht="23.25" customHeight="1" x14ac:dyDescent="0.2">
      <c r="A182" s="343">
        <v>1</v>
      </c>
      <c r="C182" s="587"/>
      <c r="D182" s="587"/>
      <c r="E182" s="587"/>
      <c r="F182" s="590" t="s">
        <v>296</v>
      </c>
      <c r="G182" s="587" t="s">
        <v>297</v>
      </c>
      <c r="H182" s="561" t="s">
        <v>418</v>
      </c>
      <c r="I182" s="591">
        <f t="shared" si="11"/>
        <v>1200</v>
      </c>
      <c r="J182" s="450"/>
      <c r="K182" s="490">
        <v>1200</v>
      </c>
      <c r="L182" s="491"/>
      <c r="M182" s="491"/>
      <c r="N182" s="505"/>
    </row>
    <row r="183" spans="1:15" ht="13.15" customHeight="1" x14ac:dyDescent="0.2">
      <c r="A183" s="343">
        <v>1</v>
      </c>
      <c r="C183" s="587"/>
      <c r="D183" s="587"/>
      <c r="E183" s="587"/>
      <c r="F183" s="590" t="s">
        <v>296</v>
      </c>
      <c r="G183" s="587" t="s">
        <v>297</v>
      </c>
      <c r="H183" s="561" t="s">
        <v>419</v>
      </c>
      <c r="I183" s="591">
        <f t="shared" si="11"/>
        <v>1200</v>
      </c>
      <c r="J183" s="450"/>
      <c r="K183" s="490">
        <v>1200</v>
      </c>
      <c r="L183" s="491"/>
      <c r="M183" s="491"/>
      <c r="N183" s="505"/>
    </row>
    <row r="184" spans="1:15" x14ac:dyDescent="0.2">
      <c r="A184" s="343">
        <v>1</v>
      </c>
      <c r="B184" s="387" t="s">
        <v>199</v>
      </c>
      <c r="C184" s="440"/>
      <c r="D184" s="440"/>
      <c r="E184" s="440"/>
      <c r="F184" s="448" t="s">
        <v>328</v>
      </c>
      <c r="G184" s="440" t="s">
        <v>329</v>
      </c>
      <c r="H184" s="592" t="s">
        <v>413</v>
      </c>
      <c r="I184" s="593"/>
      <c r="J184" s="594"/>
      <c r="K184" s="595"/>
      <c r="L184" s="595"/>
      <c r="M184" s="595"/>
      <c r="N184" s="486"/>
      <c r="O184"/>
    </row>
    <row r="185" spans="1:15" x14ac:dyDescent="0.2">
      <c r="A185" s="343">
        <v>1</v>
      </c>
      <c r="B185" s="387" t="s">
        <v>199</v>
      </c>
      <c r="C185" s="440"/>
      <c r="D185" s="440"/>
      <c r="E185" s="440"/>
      <c r="F185" s="448" t="s">
        <v>328</v>
      </c>
      <c r="G185" s="440" t="s">
        <v>329</v>
      </c>
      <c r="H185" s="596" t="s">
        <v>420</v>
      </c>
      <c r="I185" s="597">
        <f t="shared" ref="I185:I200" si="12">K185</f>
        <v>0</v>
      </c>
      <c r="J185" s="598"/>
      <c r="K185" s="599"/>
      <c r="L185" s="597"/>
      <c r="M185" s="597"/>
      <c r="N185" s="486"/>
      <c r="O185"/>
    </row>
    <row r="186" spans="1:15" x14ac:dyDescent="0.2">
      <c r="A186" s="343">
        <v>1</v>
      </c>
      <c r="B186" s="387" t="s">
        <v>199</v>
      </c>
      <c r="C186" s="440"/>
      <c r="D186" s="440"/>
      <c r="E186" s="440"/>
      <c r="F186" s="448" t="s">
        <v>328</v>
      </c>
      <c r="G186" s="440" t="s">
        <v>329</v>
      </c>
      <c r="H186" s="596" t="s">
        <v>421</v>
      </c>
      <c r="I186" s="442">
        <f t="shared" si="12"/>
        <v>2940</v>
      </c>
      <c r="J186" s="600"/>
      <c r="K186" s="461">
        <v>2940</v>
      </c>
      <c r="L186" s="442"/>
      <c r="M186" s="442"/>
      <c r="N186" s="486"/>
      <c r="O186"/>
    </row>
    <row r="187" spans="1:15" x14ac:dyDescent="0.2">
      <c r="A187" s="343">
        <v>1</v>
      </c>
      <c r="B187" s="387" t="s">
        <v>199</v>
      </c>
      <c r="C187" s="440"/>
      <c r="D187" s="440"/>
      <c r="E187" s="440"/>
      <c r="F187" s="448" t="s">
        <v>328</v>
      </c>
      <c r="G187" s="440" t="s">
        <v>329</v>
      </c>
      <c r="H187" s="596" t="s">
        <v>422</v>
      </c>
      <c r="I187" s="442">
        <f t="shared" si="12"/>
        <v>900</v>
      </c>
      <c r="J187" s="600"/>
      <c r="K187" s="461">
        <v>900</v>
      </c>
      <c r="L187" s="442"/>
      <c r="M187" s="442"/>
      <c r="N187" s="486"/>
      <c r="O187"/>
    </row>
    <row r="188" spans="1:15" ht="24.75" customHeight="1" x14ac:dyDescent="0.2">
      <c r="A188" s="343">
        <v>1</v>
      </c>
      <c r="B188" s="387" t="s">
        <v>199</v>
      </c>
      <c r="C188" s="440"/>
      <c r="D188" s="440"/>
      <c r="E188" s="440"/>
      <c r="F188" s="448" t="s">
        <v>328</v>
      </c>
      <c r="G188" s="440" t="s">
        <v>329</v>
      </c>
      <c r="H188" s="596" t="s">
        <v>423</v>
      </c>
      <c r="I188" s="442">
        <f t="shared" si="12"/>
        <v>300</v>
      </c>
      <c r="J188" s="600"/>
      <c r="K188" s="461">
        <v>300</v>
      </c>
      <c r="L188" s="442"/>
      <c r="M188" s="442"/>
      <c r="N188" s="486" t="s">
        <v>424</v>
      </c>
      <c r="O188"/>
    </row>
    <row r="189" spans="1:15" x14ac:dyDescent="0.2">
      <c r="A189" s="343">
        <v>1</v>
      </c>
      <c r="B189" s="387" t="s">
        <v>199</v>
      </c>
      <c r="C189" s="440"/>
      <c r="D189" s="440"/>
      <c r="E189" s="440"/>
      <c r="F189" s="448" t="s">
        <v>328</v>
      </c>
      <c r="G189" s="440" t="s">
        <v>329</v>
      </c>
      <c r="H189" s="596" t="s">
        <v>425</v>
      </c>
      <c r="I189" s="442">
        <f t="shared" si="12"/>
        <v>4000</v>
      </c>
      <c r="J189" s="600"/>
      <c r="K189" s="461">
        <v>4000</v>
      </c>
      <c r="L189" s="442"/>
      <c r="M189" s="442"/>
      <c r="N189" s="486" t="s">
        <v>426</v>
      </c>
      <c r="O189"/>
    </row>
    <row r="190" spans="1:15" hidden="1" x14ac:dyDescent="0.2">
      <c r="A190">
        <v>2</v>
      </c>
      <c r="B190" s="387" t="s">
        <v>199</v>
      </c>
      <c r="C190" s="440"/>
      <c r="D190" s="440"/>
      <c r="E190" s="440"/>
      <c r="F190" s="577" t="s">
        <v>328</v>
      </c>
      <c r="G190" s="440" t="s">
        <v>329</v>
      </c>
      <c r="H190" s="596" t="s">
        <v>427</v>
      </c>
      <c r="I190" s="579">
        <f t="shared" si="12"/>
        <v>1000</v>
      </c>
      <c r="J190" s="601"/>
      <c r="K190" s="589">
        <v>1000</v>
      </c>
      <c r="L190" s="579"/>
      <c r="M190" s="579"/>
      <c r="N190" s="486" t="s">
        <v>428</v>
      </c>
      <c r="O190"/>
    </row>
    <row r="191" spans="1:15" x14ac:dyDescent="0.2">
      <c r="A191">
        <v>1</v>
      </c>
      <c r="C191" s="440"/>
      <c r="D191" s="440"/>
      <c r="E191" s="440"/>
      <c r="F191" s="448" t="s">
        <v>328</v>
      </c>
      <c r="G191" s="440" t="s">
        <v>329</v>
      </c>
      <c r="H191" s="596" t="s">
        <v>429</v>
      </c>
      <c r="I191" s="442">
        <f t="shared" si="12"/>
        <v>1200</v>
      </c>
      <c r="J191" s="600"/>
      <c r="K191" s="461">
        <v>1200</v>
      </c>
      <c r="L191" s="442"/>
      <c r="M191" s="442"/>
      <c r="N191" s="486"/>
      <c r="O191"/>
    </row>
    <row r="192" spans="1:15" x14ac:dyDescent="0.2">
      <c r="A192">
        <v>1</v>
      </c>
      <c r="B192" s="387" t="s">
        <v>199</v>
      </c>
      <c r="C192" s="440"/>
      <c r="D192" s="440"/>
      <c r="E192" s="440"/>
      <c r="F192" s="448" t="s">
        <v>328</v>
      </c>
      <c r="G192" s="440" t="s">
        <v>329</v>
      </c>
      <c r="H192" s="449" t="s">
        <v>430</v>
      </c>
      <c r="I192" s="442">
        <f t="shared" si="12"/>
        <v>300</v>
      </c>
      <c r="J192" s="600"/>
      <c r="K192" s="461">
        <v>300</v>
      </c>
      <c r="L192" s="442"/>
      <c r="M192" s="442"/>
      <c r="N192" s="445"/>
    </row>
    <row r="193" spans="1:21" hidden="1" x14ac:dyDescent="0.2">
      <c r="A193">
        <v>2</v>
      </c>
      <c r="B193" s="387" t="s">
        <v>199</v>
      </c>
      <c r="C193" s="440"/>
      <c r="D193" s="440"/>
      <c r="E193" s="440"/>
      <c r="F193" s="577" t="s">
        <v>431</v>
      </c>
      <c r="G193" s="440" t="s">
        <v>432</v>
      </c>
      <c r="H193" s="449" t="s">
        <v>433</v>
      </c>
      <c r="I193" s="579">
        <f t="shared" si="12"/>
        <v>4500</v>
      </c>
      <c r="J193" s="601"/>
      <c r="K193" s="589">
        <v>4500</v>
      </c>
      <c r="L193" s="579"/>
      <c r="M193" s="579"/>
      <c r="N193" s="486"/>
      <c r="O193"/>
    </row>
    <row r="194" spans="1:21" hidden="1" x14ac:dyDescent="0.2">
      <c r="A194">
        <v>2</v>
      </c>
      <c r="B194" s="387" t="s">
        <v>199</v>
      </c>
      <c r="C194" s="440"/>
      <c r="D194" s="440"/>
      <c r="E194" s="440"/>
      <c r="F194" s="577" t="s">
        <v>431</v>
      </c>
      <c r="G194" s="440" t="s">
        <v>432</v>
      </c>
      <c r="H194" s="449" t="s">
        <v>434</v>
      </c>
      <c r="I194" s="579">
        <f t="shared" si="12"/>
        <v>2000</v>
      </c>
      <c r="J194" s="601"/>
      <c r="K194" s="589">
        <v>2000</v>
      </c>
      <c r="L194" s="579"/>
      <c r="M194" s="579"/>
      <c r="N194" s="486"/>
      <c r="O194"/>
    </row>
    <row r="195" spans="1:21" ht="48" hidden="1" x14ac:dyDescent="0.2">
      <c r="A195">
        <v>2</v>
      </c>
      <c r="C195" s="440"/>
      <c r="D195" s="440"/>
      <c r="E195" s="440"/>
      <c r="F195" s="577" t="s">
        <v>431</v>
      </c>
      <c r="G195" s="440" t="s">
        <v>432</v>
      </c>
      <c r="H195" s="449" t="s">
        <v>435</v>
      </c>
      <c r="I195" s="579">
        <f t="shared" si="12"/>
        <v>4000</v>
      </c>
      <c r="J195" s="601"/>
      <c r="K195" s="589">
        <v>4000</v>
      </c>
      <c r="L195" s="579"/>
      <c r="M195" s="579"/>
      <c r="N195" s="486"/>
      <c r="O195"/>
    </row>
    <row r="196" spans="1:21" ht="59.45" customHeight="1" x14ac:dyDescent="0.2">
      <c r="A196">
        <v>1</v>
      </c>
      <c r="B196" s="387" t="s">
        <v>199</v>
      </c>
      <c r="C196" s="440"/>
      <c r="D196" s="440"/>
      <c r="E196" s="440"/>
      <c r="F196" s="448" t="s">
        <v>431</v>
      </c>
      <c r="G196" s="440" t="s">
        <v>432</v>
      </c>
      <c r="H196" s="449" t="s">
        <v>436</v>
      </c>
      <c r="I196" s="442">
        <f t="shared" si="12"/>
        <v>6000</v>
      </c>
      <c r="J196" s="600"/>
      <c r="K196" s="461">
        <v>6000</v>
      </c>
      <c r="L196" s="442"/>
      <c r="M196" s="442"/>
      <c r="N196" s="486" t="s">
        <v>437</v>
      </c>
      <c r="O196"/>
    </row>
    <row r="197" spans="1:21" ht="24" hidden="1" x14ac:dyDescent="0.2">
      <c r="A197">
        <v>2</v>
      </c>
      <c r="B197" s="387" t="s">
        <v>199</v>
      </c>
      <c r="C197" s="440"/>
      <c r="D197" s="440"/>
      <c r="E197" s="440"/>
      <c r="F197" s="577" t="s">
        <v>431</v>
      </c>
      <c r="G197" s="440" t="s">
        <v>432</v>
      </c>
      <c r="H197" s="449" t="s">
        <v>438</v>
      </c>
      <c r="I197" s="579">
        <f t="shared" si="12"/>
        <v>3000</v>
      </c>
      <c r="J197" s="601"/>
      <c r="K197" s="589">
        <v>3000</v>
      </c>
      <c r="L197" s="579"/>
      <c r="M197" s="579"/>
      <c r="N197" s="486" t="s">
        <v>439</v>
      </c>
      <c r="O197"/>
    </row>
    <row r="198" spans="1:21" hidden="1" x14ac:dyDescent="0.2">
      <c r="A198">
        <v>2</v>
      </c>
      <c r="B198" s="387" t="s">
        <v>199</v>
      </c>
      <c r="C198" s="440"/>
      <c r="D198" s="440"/>
      <c r="E198" s="440"/>
      <c r="F198" s="577" t="s">
        <v>431</v>
      </c>
      <c r="G198" s="440" t="s">
        <v>432</v>
      </c>
      <c r="H198" s="449" t="s">
        <v>440</v>
      </c>
      <c r="I198" s="579">
        <f t="shared" si="12"/>
        <v>5000</v>
      </c>
      <c r="J198" s="601"/>
      <c r="K198" s="579">
        <v>5000</v>
      </c>
      <c r="L198" s="579"/>
      <c r="M198" s="579"/>
      <c r="N198" s="486" t="s">
        <v>441</v>
      </c>
      <c r="O198"/>
    </row>
    <row r="199" spans="1:21" ht="26.25" hidden="1" customHeight="1" x14ac:dyDescent="0.2">
      <c r="A199">
        <v>2</v>
      </c>
      <c r="B199" s="387" t="s">
        <v>199</v>
      </c>
      <c r="C199" s="440"/>
      <c r="D199" s="440"/>
      <c r="E199" s="440"/>
      <c r="F199" s="577" t="s">
        <v>442</v>
      </c>
      <c r="G199" s="440" t="s">
        <v>432</v>
      </c>
      <c r="H199" s="449" t="s">
        <v>443</v>
      </c>
      <c r="I199" s="579">
        <f t="shared" si="12"/>
        <v>4000</v>
      </c>
      <c r="J199" s="601"/>
      <c r="K199" s="589">
        <v>4000</v>
      </c>
      <c r="L199" s="579"/>
      <c r="M199" s="579"/>
      <c r="N199" s="486" t="s">
        <v>444</v>
      </c>
      <c r="O199"/>
    </row>
    <row r="200" spans="1:21" ht="36" x14ac:dyDescent="0.2">
      <c r="A200">
        <v>1</v>
      </c>
      <c r="B200" s="387" t="s">
        <v>199</v>
      </c>
      <c r="C200" s="440"/>
      <c r="D200" s="440"/>
      <c r="E200" s="440"/>
      <c r="F200" s="448" t="s">
        <v>442</v>
      </c>
      <c r="G200" s="440" t="s">
        <v>432</v>
      </c>
      <c r="H200" s="449" t="s">
        <v>445</v>
      </c>
      <c r="I200" s="442">
        <f t="shared" si="12"/>
        <v>4300</v>
      </c>
      <c r="J200" s="600"/>
      <c r="K200" s="461">
        <v>4300</v>
      </c>
      <c r="L200" s="442"/>
      <c r="M200" s="442"/>
      <c r="N200" s="486" t="s">
        <v>446</v>
      </c>
      <c r="O200"/>
    </row>
    <row r="201" spans="1:21" ht="12" customHeight="1" x14ac:dyDescent="0.2">
      <c r="A201">
        <v>1</v>
      </c>
      <c r="B201" s="387" t="s">
        <v>205</v>
      </c>
      <c r="C201" s="440"/>
      <c r="D201" s="440"/>
      <c r="E201" s="440"/>
      <c r="F201" s="448" t="s">
        <v>447</v>
      </c>
      <c r="G201" s="452" t="s">
        <v>448</v>
      </c>
      <c r="H201" s="449" t="s">
        <v>449</v>
      </c>
      <c r="I201" s="442">
        <f>SUM(K201:M201)</f>
        <v>4000</v>
      </c>
      <c r="J201" s="600"/>
      <c r="K201" s="461">
        <v>4000</v>
      </c>
      <c r="L201" s="597"/>
      <c r="M201" s="597"/>
    </row>
    <row r="202" spans="1:21" ht="25.9" customHeight="1" x14ac:dyDescent="0.2">
      <c r="A202">
        <v>1</v>
      </c>
      <c r="B202" s="387" t="s">
        <v>199</v>
      </c>
      <c r="C202" s="440"/>
      <c r="D202" s="440"/>
      <c r="E202" s="440"/>
      <c r="F202" s="448" t="s">
        <v>450</v>
      </c>
      <c r="G202" s="440" t="s">
        <v>451</v>
      </c>
      <c r="H202" s="449" t="s">
        <v>452</v>
      </c>
      <c r="I202" s="442">
        <f>SUM(K202:M202)</f>
        <v>96000</v>
      </c>
      <c r="J202" s="600"/>
      <c r="K202" s="461">
        <f>(96000)</f>
        <v>96000</v>
      </c>
      <c r="L202" s="442"/>
      <c r="M202" s="442"/>
      <c r="N202" s="486" t="s">
        <v>453</v>
      </c>
      <c r="O202"/>
    </row>
    <row r="203" spans="1:21" ht="12" hidden="1" customHeight="1" x14ac:dyDescent="0.2">
      <c r="A203">
        <v>2</v>
      </c>
      <c r="B203" s="387" t="s">
        <v>199</v>
      </c>
      <c r="C203" s="440"/>
      <c r="D203" s="440"/>
      <c r="E203" s="440"/>
      <c r="F203" s="577" t="s">
        <v>450</v>
      </c>
      <c r="G203" s="440" t="s">
        <v>451</v>
      </c>
      <c r="H203" s="449" t="s">
        <v>454</v>
      </c>
      <c r="I203" s="579">
        <f>K203</f>
        <v>100000</v>
      </c>
      <c r="J203" s="601"/>
      <c r="K203" s="579">
        <f>100000</f>
        <v>100000</v>
      </c>
      <c r="L203" s="579"/>
      <c r="M203" s="579"/>
      <c r="N203" s="486" t="s">
        <v>453</v>
      </c>
      <c r="O203"/>
    </row>
    <row r="204" spans="1:21" ht="24" x14ac:dyDescent="0.2">
      <c r="A204">
        <v>1</v>
      </c>
      <c r="B204" s="387" t="s">
        <v>199</v>
      </c>
      <c r="C204" s="440">
        <v>1</v>
      </c>
      <c r="D204" s="440"/>
      <c r="E204" s="440"/>
      <c r="F204" s="448" t="s">
        <v>455</v>
      </c>
      <c r="G204" s="440" t="s">
        <v>451</v>
      </c>
      <c r="H204" s="449" t="s">
        <v>456</v>
      </c>
      <c r="I204" s="442">
        <f>SUM(K204:M204)</f>
        <v>9300</v>
      </c>
      <c r="J204" s="600"/>
      <c r="K204" s="442">
        <v>9300</v>
      </c>
      <c r="L204" s="442"/>
      <c r="M204" s="442"/>
      <c r="N204" s="486"/>
    </row>
    <row r="205" spans="1:21" ht="24" x14ac:dyDescent="0.2">
      <c r="A205" s="343">
        <v>1</v>
      </c>
      <c r="B205" s="387" t="s">
        <v>261</v>
      </c>
      <c r="C205" s="452">
        <v>1</v>
      </c>
      <c r="D205" s="440"/>
      <c r="E205" s="440"/>
      <c r="F205" s="448" t="s">
        <v>457</v>
      </c>
      <c r="G205" s="452" t="s">
        <v>458</v>
      </c>
      <c r="H205" s="449" t="s">
        <v>459</v>
      </c>
      <c r="I205" s="442">
        <f>SUM(K205:M205)</f>
        <v>57106</v>
      </c>
      <c r="J205" s="600"/>
      <c r="K205" s="442">
        <v>57106</v>
      </c>
      <c r="L205" s="442"/>
      <c r="M205" s="442"/>
      <c r="N205" s="486"/>
    </row>
    <row r="206" spans="1:21" x14ac:dyDescent="0.2">
      <c r="A206">
        <v>1</v>
      </c>
      <c r="B206" s="387" t="s">
        <v>261</v>
      </c>
      <c r="C206" s="440">
        <v>1</v>
      </c>
      <c r="D206" s="440"/>
      <c r="E206" s="440"/>
      <c r="F206" s="448" t="s">
        <v>460</v>
      </c>
      <c r="G206" s="452" t="s">
        <v>458</v>
      </c>
      <c r="H206" s="449" t="s">
        <v>461</v>
      </c>
      <c r="I206" s="442">
        <f t="shared" ref="I206:I221" si="13">SUM(K206:M206)</f>
        <v>45000</v>
      </c>
      <c r="J206" s="600"/>
      <c r="K206" s="442">
        <v>45000</v>
      </c>
      <c r="L206" s="442"/>
      <c r="M206" s="442"/>
      <c r="N206" s="329" t="s">
        <v>462</v>
      </c>
    </row>
    <row r="207" spans="1:21" x14ac:dyDescent="0.2">
      <c r="A207">
        <v>1</v>
      </c>
      <c r="B207" s="387" t="s">
        <v>261</v>
      </c>
      <c r="C207" s="440">
        <v>1</v>
      </c>
      <c r="D207" s="440"/>
      <c r="E207" s="440"/>
      <c r="F207" s="448" t="s">
        <v>460</v>
      </c>
      <c r="G207" s="452" t="s">
        <v>458</v>
      </c>
      <c r="H207" s="449" t="s">
        <v>463</v>
      </c>
      <c r="I207" s="442">
        <f t="shared" si="13"/>
        <v>26000</v>
      </c>
      <c r="J207" s="600"/>
      <c r="K207" s="442">
        <v>26000</v>
      </c>
      <c r="L207" s="442"/>
      <c r="M207" s="442"/>
      <c r="N207" s="463" t="s">
        <v>462</v>
      </c>
      <c r="O207"/>
    </row>
    <row r="208" spans="1:21" s="343" customFormat="1" x14ac:dyDescent="0.2">
      <c r="A208" s="343">
        <v>1</v>
      </c>
      <c r="B208" s="387" t="s">
        <v>261</v>
      </c>
      <c r="C208" s="452">
        <v>1</v>
      </c>
      <c r="D208" s="452"/>
      <c r="E208" s="452"/>
      <c r="F208" s="448" t="s">
        <v>460</v>
      </c>
      <c r="G208" s="452" t="s">
        <v>458</v>
      </c>
      <c r="H208" s="449" t="s">
        <v>464</v>
      </c>
      <c r="I208" s="461">
        <f t="shared" si="13"/>
        <v>18000</v>
      </c>
      <c r="J208" s="600"/>
      <c r="K208" s="442">
        <v>18000</v>
      </c>
      <c r="L208" s="442"/>
      <c r="M208" s="442"/>
      <c r="N208" s="463" t="s">
        <v>462</v>
      </c>
      <c r="O208" s="330"/>
      <c r="P208"/>
      <c r="Q208"/>
      <c r="R208"/>
      <c r="S208"/>
      <c r="T208"/>
      <c r="U208"/>
    </row>
    <row r="209" spans="1:21" s="343" customFormat="1" x14ac:dyDescent="0.2">
      <c r="A209" s="343">
        <v>1</v>
      </c>
      <c r="B209" s="387" t="s">
        <v>261</v>
      </c>
      <c r="C209" s="452">
        <v>1</v>
      </c>
      <c r="D209" s="452"/>
      <c r="E209" s="452"/>
      <c r="F209" s="448" t="s">
        <v>460</v>
      </c>
      <c r="G209" s="452" t="s">
        <v>458</v>
      </c>
      <c r="H209" s="449" t="s">
        <v>465</v>
      </c>
      <c r="I209" s="461">
        <f t="shared" si="13"/>
        <v>30000</v>
      </c>
      <c r="J209" s="600"/>
      <c r="K209" s="442">
        <v>30000</v>
      </c>
      <c r="L209" s="442"/>
      <c r="M209" s="442"/>
      <c r="N209" s="463" t="s">
        <v>462</v>
      </c>
      <c r="O209"/>
      <c r="P209"/>
      <c r="Q209"/>
      <c r="R209"/>
      <c r="S209"/>
      <c r="T209"/>
      <c r="U209"/>
    </row>
    <row r="210" spans="1:21" s="343" customFormat="1" x14ac:dyDescent="0.2">
      <c r="A210" s="343">
        <v>1</v>
      </c>
      <c r="B210" s="387" t="s">
        <v>261</v>
      </c>
      <c r="C210" s="452">
        <v>1</v>
      </c>
      <c r="D210" s="452"/>
      <c r="E210" s="452"/>
      <c r="F210" s="448" t="s">
        <v>460</v>
      </c>
      <c r="G210" s="452" t="s">
        <v>458</v>
      </c>
      <c r="H210" s="449" t="s">
        <v>466</v>
      </c>
      <c r="I210" s="461">
        <f t="shared" si="13"/>
        <v>5990</v>
      </c>
      <c r="J210" s="600"/>
      <c r="K210" s="442">
        <v>5990</v>
      </c>
      <c r="L210" s="442"/>
      <c r="M210" s="442"/>
      <c r="N210" s="463"/>
      <c r="O210"/>
      <c r="P210"/>
      <c r="Q210"/>
      <c r="R210"/>
      <c r="S210"/>
      <c r="T210"/>
      <c r="U210"/>
    </row>
    <row r="211" spans="1:21" x14ac:dyDescent="0.2">
      <c r="A211">
        <v>1</v>
      </c>
      <c r="B211" s="387" t="s">
        <v>261</v>
      </c>
      <c r="C211" s="440">
        <v>1</v>
      </c>
      <c r="D211" s="440"/>
      <c r="E211" s="440"/>
      <c r="F211" s="448" t="s">
        <v>460</v>
      </c>
      <c r="G211" s="452" t="s">
        <v>458</v>
      </c>
      <c r="H211" s="449" t="s">
        <v>467</v>
      </c>
      <c r="I211" s="442">
        <f t="shared" si="13"/>
        <v>15000</v>
      </c>
      <c r="J211" s="600"/>
      <c r="K211" s="442">
        <v>15000</v>
      </c>
      <c r="L211" s="442"/>
      <c r="M211" s="442"/>
      <c r="O211"/>
    </row>
    <row r="212" spans="1:21" x14ac:dyDescent="0.2">
      <c r="A212">
        <v>1</v>
      </c>
      <c r="C212" s="440">
        <v>1</v>
      </c>
      <c r="D212" s="440"/>
      <c r="E212" s="440"/>
      <c r="F212" s="448" t="s">
        <v>460</v>
      </c>
      <c r="G212" s="452" t="s">
        <v>458</v>
      </c>
      <c r="H212" s="449" t="s">
        <v>468</v>
      </c>
      <c r="I212" s="461">
        <f t="shared" si="13"/>
        <v>2374</v>
      </c>
      <c r="J212" s="600"/>
      <c r="K212" s="442">
        <v>2374</v>
      </c>
      <c r="L212" s="442"/>
      <c r="M212" s="442"/>
      <c r="N212" s="463"/>
      <c r="O212" s="342"/>
      <c r="P212" s="343"/>
      <c r="Q212" s="343"/>
      <c r="S212" s="343"/>
      <c r="T212" s="343"/>
      <c r="U212" s="343"/>
    </row>
    <row r="213" spans="1:21" x14ac:dyDescent="0.2">
      <c r="A213">
        <v>1</v>
      </c>
      <c r="C213" s="440">
        <v>1</v>
      </c>
      <c r="D213" s="440"/>
      <c r="E213" s="440"/>
      <c r="F213" s="448" t="s">
        <v>460</v>
      </c>
      <c r="G213" s="452" t="s">
        <v>458</v>
      </c>
      <c r="H213" s="449" t="s">
        <v>469</v>
      </c>
      <c r="I213" s="461">
        <f t="shared" si="13"/>
        <v>7000</v>
      </c>
      <c r="J213" s="600"/>
      <c r="K213" s="442">
        <v>7000</v>
      </c>
      <c r="L213" s="442"/>
      <c r="M213" s="442"/>
      <c r="N213" s="463"/>
      <c r="O213" s="342"/>
      <c r="P213" s="343"/>
      <c r="Q213" s="343"/>
      <c r="S213" s="343"/>
      <c r="T213" s="343"/>
      <c r="U213" s="343"/>
    </row>
    <row r="214" spans="1:21" x14ac:dyDescent="0.2">
      <c r="A214">
        <v>1</v>
      </c>
      <c r="C214" s="440">
        <v>1</v>
      </c>
      <c r="D214" s="440"/>
      <c r="E214" s="440"/>
      <c r="F214" s="448" t="s">
        <v>460</v>
      </c>
      <c r="G214" s="452" t="s">
        <v>458</v>
      </c>
      <c r="H214" s="449" t="s">
        <v>470</v>
      </c>
      <c r="I214" s="461">
        <f t="shared" si="13"/>
        <v>4000</v>
      </c>
      <c r="J214" s="600"/>
      <c r="K214" s="442">
        <v>4000</v>
      </c>
      <c r="L214" s="442"/>
      <c r="M214" s="442"/>
      <c r="N214" s="463"/>
      <c r="O214" s="342"/>
      <c r="P214" s="343"/>
      <c r="Q214" s="343"/>
      <c r="S214" s="343"/>
      <c r="T214" s="343"/>
      <c r="U214" s="343"/>
    </row>
    <row r="215" spans="1:21" x14ac:dyDescent="0.2">
      <c r="A215">
        <v>1</v>
      </c>
      <c r="C215" s="440">
        <v>1</v>
      </c>
      <c r="D215" s="440"/>
      <c r="E215" s="440"/>
      <c r="F215" s="448" t="s">
        <v>460</v>
      </c>
      <c r="G215" s="452" t="s">
        <v>458</v>
      </c>
      <c r="H215" s="449" t="s">
        <v>471</v>
      </c>
      <c r="I215" s="461">
        <f t="shared" si="13"/>
        <v>2600</v>
      </c>
      <c r="J215" s="600"/>
      <c r="K215" s="442">
        <v>2600</v>
      </c>
      <c r="L215" s="442"/>
      <c r="M215" s="442"/>
      <c r="N215" s="463"/>
      <c r="O215" s="342"/>
      <c r="P215" s="343"/>
      <c r="Q215" s="343"/>
      <c r="S215" s="343"/>
      <c r="T215" s="343"/>
      <c r="U215" s="343"/>
    </row>
    <row r="216" spans="1:21" x14ac:dyDescent="0.2">
      <c r="A216">
        <v>1</v>
      </c>
      <c r="C216" s="440"/>
      <c r="D216" s="440"/>
      <c r="E216" s="440"/>
      <c r="F216" s="448" t="s">
        <v>472</v>
      </c>
      <c r="G216" s="452" t="s">
        <v>473</v>
      </c>
      <c r="H216" s="449" t="s">
        <v>474</v>
      </c>
      <c r="I216" s="461">
        <f t="shared" si="13"/>
        <v>10000</v>
      </c>
      <c r="J216" s="600"/>
      <c r="K216" s="442">
        <v>10000</v>
      </c>
      <c r="L216" s="442"/>
      <c r="M216" s="442"/>
      <c r="N216" s="463"/>
      <c r="O216" s="342"/>
      <c r="P216" s="343"/>
      <c r="Q216" s="343"/>
      <c r="S216" s="343"/>
      <c r="T216" s="343"/>
      <c r="U216" s="343"/>
    </row>
    <row r="217" spans="1:21" ht="15" hidden="1" customHeight="1" x14ac:dyDescent="0.2">
      <c r="A217">
        <v>2</v>
      </c>
      <c r="C217" s="440"/>
      <c r="D217" s="440"/>
      <c r="E217" s="440"/>
      <c r="F217" s="577" t="s">
        <v>472</v>
      </c>
      <c r="G217" s="452" t="s">
        <v>473</v>
      </c>
      <c r="H217" s="449" t="s">
        <v>475</v>
      </c>
      <c r="I217" s="589">
        <f t="shared" si="13"/>
        <v>60000</v>
      </c>
      <c r="J217" s="601"/>
      <c r="K217" s="579">
        <v>60000</v>
      </c>
      <c r="L217" s="579"/>
      <c r="M217" s="579"/>
      <c r="N217" s="464" t="s">
        <v>476</v>
      </c>
      <c r="O217" s="342"/>
      <c r="P217" s="343"/>
      <c r="Q217" s="343"/>
      <c r="S217" s="343"/>
      <c r="T217" s="343"/>
      <c r="U217" s="343"/>
    </row>
    <row r="218" spans="1:21" ht="24" hidden="1" x14ac:dyDescent="0.2">
      <c r="A218">
        <v>2</v>
      </c>
      <c r="C218" s="440"/>
      <c r="D218" s="440"/>
      <c r="E218" s="440"/>
      <c r="F218" s="577" t="s">
        <v>477</v>
      </c>
      <c r="G218" s="452" t="s">
        <v>473</v>
      </c>
      <c r="H218" s="449" t="s">
        <v>478</v>
      </c>
      <c r="I218" s="589">
        <f t="shared" si="13"/>
        <v>27600</v>
      </c>
      <c r="J218" s="601"/>
      <c r="K218" s="579">
        <v>27600</v>
      </c>
      <c r="L218" s="579"/>
      <c r="M218" s="579"/>
      <c r="N218" s="464"/>
      <c r="O218" s="342"/>
      <c r="P218" s="343"/>
      <c r="Q218" s="343"/>
      <c r="S218" s="343"/>
      <c r="T218" s="343"/>
      <c r="U218" s="343"/>
    </row>
    <row r="219" spans="1:21" x14ac:dyDescent="0.2">
      <c r="A219">
        <v>1</v>
      </c>
      <c r="C219" s="440">
        <v>1</v>
      </c>
      <c r="D219" s="440"/>
      <c r="E219" s="440"/>
      <c r="F219" s="448" t="s">
        <v>477</v>
      </c>
      <c r="G219" s="452" t="s">
        <v>473</v>
      </c>
      <c r="H219" s="449" t="s">
        <v>479</v>
      </c>
      <c r="I219" s="461">
        <f t="shared" si="13"/>
        <v>7647.2</v>
      </c>
      <c r="J219" s="600"/>
      <c r="K219" s="442">
        <v>7647.2</v>
      </c>
      <c r="L219" s="442"/>
      <c r="M219" s="442"/>
      <c r="N219" s="464"/>
      <c r="O219" s="342"/>
      <c r="P219" s="343"/>
      <c r="Q219" s="343"/>
      <c r="S219" s="343"/>
      <c r="T219" s="343"/>
      <c r="U219" s="343"/>
    </row>
    <row r="220" spans="1:21" hidden="1" x14ac:dyDescent="0.2">
      <c r="A220">
        <v>2</v>
      </c>
      <c r="B220" s="387" t="s">
        <v>205</v>
      </c>
      <c r="C220" s="440"/>
      <c r="D220" s="440"/>
      <c r="E220" s="440"/>
      <c r="F220" s="577" t="s">
        <v>351</v>
      </c>
      <c r="G220" s="440" t="s">
        <v>54</v>
      </c>
      <c r="H220" s="441" t="s">
        <v>480</v>
      </c>
      <c r="I220" s="579">
        <f t="shared" si="13"/>
        <v>4000</v>
      </c>
      <c r="J220" s="601"/>
      <c r="K220" s="579">
        <v>4000</v>
      </c>
      <c r="L220" s="579"/>
      <c r="M220" s="579"/>
      <c r="N220" s="445"/>
    </row>
    <row r="221" spans="1:21" hidden="1" x14ac:dyDescent="0.2">
      <c r="A221">
        <v>2</v>
      </c>
      <c r="B221" s="387" t="s">
        <v>205</v>
      </c>
      <c r="C221" s="440"/>
      <c r="D221" s="440"/>
      <c r="E221" s="440"/>
      <c r="F221" s="577" t="s">
        <v>351</v>
      </c>
      <c r="G221" s="440" t="s">
        <v>54</v>
      </c>
      <c r="H221" s="441" t="s">
        <v>481</v>
      </c>
      <c r="I221" s="579">
        <f t="shared" si="13"/>
        <v>2400</v>
      </c>
      <c r="J221" s="601"/>
      <c r="K221" s="579">
        <v>2400</v>
      </c>
      <c r="L221" s="579"/>
      <c r="M221" s="579"/>
      <c r="O221"/>
    </row>
    <row r="222" spans="1:21" ht="24" hidden="1" x14ac:dyDescent="0.2">
      <c r="A222">
        <v>2</v>
      </c>
      <c r="B222" s="387" t="s">
        <v>205</v>
      </c>
      <c r="C222" s="440"/>
      <c r="D222" s="440"/>
      <c r="E222" s="440"/>
      <c r="F222" s="577" t="s">
        <v>351</v>
      </c>
      <c r="G222" s="440" t="s">
        <v>54</v>
      </c>
      <c r="H222" s="441" t="s">
        <v>482</v>
      </c>
      <c r="I222" s="579">
        <f>K222</f>
        <v>22782</v>
      </c>
      <c r="J222" s="601"/>
      <c r="K222" s="579">
        <v>22782</v>
      </c>
      <c r="L222" s="579"/>
      <c r="M222" s="579"/>
      <c r="N222" s="445"/>
      <c r="O222"/>
    </row>
    <row r="223" spans="1:21" ht="24.75" customHeight="1" x14ac:dyDescent="0.2">
      <c r="A223">
        <v>1</v>
      </c>
      <c r="B223" s="387" t="s">
        <v>205</v>
      </c>
      <c r="C223" s="440"/>
      <c r="D223" s="440"/>
      <c r="E223" s="440"/>
      <c r="F223" s="448" t="s">
        <v>358</v>
      </c>
      <c r="G223" s="440" t="s">
        <v>359</v>
      </c>
      <c r="H223" s="441" t="s">
        <v>483</v>
      </c>
      <c r="I223" s="442">
        <f>SUM(K223:M223)</f>
        <v>2134</v>
      </c>
      <c r="J223" s="600"/>
      <c r="K223" s="442">
        <v>2134</v>
      </c>
      <c r="L223" s="442"/>
      <c r="M223" s="442"/>
      <c r="N223" s="369"/>
    </row>
    <row r="224" spans="1:21" ht="24" hidden="1" x14ac:dyDescent="0.2">
      <c r="A224">
        <v>2</v>
      </c>
      <c r="B224" s="387" t="s">
        <v>261</v>
      </c>
      <c r="C224" s="440"/>
      <c r="D224" s="440"/>
      <c r="E224" s="440"/>
      <c r="F224" s="577" t="s">
        <v>245</v>
      </c>
      <c r="G224" s="440" t="s">
        <v>246</v>
      </c>
      <c r="H224" s="441" t="s">
        <v>484</v>
      </c>
      <c r="I224" s="579">
        <f>K224</f>
        <v>16000</v>
      </c>
      <c r="J224" s="601"/>
      <c r="K224" s="589">
        <v>16000</v>
      </c>
      <c r="L224" s="579"/>
      <c r="M224" s="579"/>
      <c r="N224" s="445" t="s">
        <v>485</v>
      </c>
      <c r="O224"/>
    </row>
    <row r="225" spans="1:15" ht="24" x14ac:dyDescent="0.2">
      <c r="A225">
        <v>1</v>
      </c>
      <c r="B225" s="387" t="s">
        <v>261</v>
      </c>
      <c r="C225" s="440"/>
      <c r="D225" s="440"/>
      <c r="E225" s="440"/>
      <c r="F225" s="448" t="s">
        <v>245</v>
      </c>
      <c r="G225" s="440" t="s">
        <v>246</v>
      </c>
      <c r="H225" s="441" t="s">
        <v>486</v>
      </c>
      <c r="I225" s="442">
        <f>K225</f>
        <v>12500</v>
      </c>
      <c r="J225" s="600"/>
      <c r="K225" s="461">
        <v>12500</v>
      </c>
      <c r="L225" s="442"/>
      <c r="M225" s="442"/>
      <c r="N225" s="445" t="s">
        <v>487</v>
      </c>
      <c r="O225"/>
    </row>
    <row r="226" spans="1:15" ht="28.5" customHeight="1" x14ac:dyDescent="0.2">
      <c r="A226">
        <v>1</v>
      </c>
      <c r="B226" s="387" t="s">
        <v>261</v>
      </c>
      <c r="C226" s="440"/>
      <c r="D226" s="440"/>
      <c r="E226" s="440"/>
      <c r="F226" s="448" t="s">
        <v>245</v>
      </c>
      <c r="G226" s="440" t="s">
        <v>246</v>
      </c>
      <c r="H226" s="449" t="s">
        <v>488</v>
      </c>
      <c r="I226" s="442">
        <f t="shared" ref="I226:I231" si="14">SUM(K226:M226)</f>
        <v>35000</v>
      </c>
      <c r="J226" s="600"/>
      <c r="K226" s="461">
        <v>35000</v>
      </c>
      <c r="L226" s="442"/>
      <c r="M226" s="442"/>
      <c r="N226" s="445" t="s">
        <v>489</v>
      </c>
    </row>
    <row r="227" spans="1:15" hidden="1" x14ac:dyDescent="0.2">
      <c r="A227">
        <v>2</v>
      </c>
      <c r="B227" s="387" t="s">
        <v>261</v>
      </c>
      <c r="C227" s="440"/>
      <c r="D227" s="440"/>
      <c r="E227" s="440"/>
      <c r="F227" s="577" t="s">
        <v>245</v>
      </c>
      <c r="G227" s="440" t="s">
        <v>246</v>
      </c>
      <c r="H227" s="449" t="s">
        <v>490</v>
      </c>
      <c r="I227" s="579">
        <f t="shared" si="14"/>
        <v>31000</v>
      </c>
      <c r="J227" s="601"/>
      <c r="K227" s="589">
        <v>31000</v>
      </c>
      <c r="L227" s="579"/>
      <c r="M227" s="579"/>
      <c r="N227" s="445" t="s">
        <v>491</v>
      </c>
    </row>
    <row r="228" spans="1:15" x14ac:dyDescent="0.2">
      <c r="A228">
        <v>1</v>
      </c>
      <c r="C228" s="440"/>
      <c r="D228" s="440"/>
      <c r="E228" s="440"/>
      <c r="F228" s="448" t="s">
        <v>245</v>
      </c>
      <c r="G228" s="440" t="s">
        <v>246</v>
      </c>
      <c r="H228" s="449" t="s">
        <v>492</v>
      </c>
      <c r="I228" s="442">
        <f t="shared" si="14"/>
        <v>35691</v>
      </c>
      <c r="J228" s="600"/>
      <c r="K228" s="461">
        <v>35691</v>
      </c>
      <c r="L228" s="442"/>
      <c r="M228" s="442"/>
      <c r="N228" s="445"/>
    </row>
    <row r="229" spans="1:15" x14ac:dyDescent="0.2">
      <c r="A229">
        <v>1</v>
      </c>
      <c r="B229" s="387" t="s">
        <v>261</v>
      </c>
      <c r="C229" s="440">
        <v>1</v>
      </c>
      <c r="D229" s="440"/>
      <c r="E229" s="440"/>
      <c r="F229" s="448" t="s">
        <v>493</v>
      </c>
      <c r="G229" s="452" t="s">
        <v>246</v>
      </c>
      <c r="H229" s="449" t="s">
        <v>494</v>
      </c>
      <c r="I229" s="442">
        <f t="shared" si="14"/>
        <v>100000</v>
      </c>
      <c r="J229" s="600"/>
      <c r="K229" s="461">
        <f>100000-M229</f>
        <v>15000</v>
      </c>
      <c r="L229" s="461"/>
      <c r="M229" s="461">
        <f>100000*0.85</f>
        <v>85000</v>
      </c>
      <c r="N229" s="445" t="s">
        <v>495</v>
      </c>
      <c r="O229"/>
    </row>
    <row r="230" spans="1:15" ht="13.9" customHeight="1" x14ac:dyDescent="0.2">
      <c r="A230">
        <v>1</v>
      </c>
      <c r="B230" s="387" t="s">
        <v>261</v>
      </c>
      <c r="C230" s="440">
        <v>1</v>
      </c>
      <c r="D230" s="440"/>
      <c r="E230" s="440"/>
      <c r="F230" s="448" t="s">
        <v>493</v>
      </c>
      <c r="G230" s="452" t="s">
        <v>246</v>
      </c>
      <c r="H230" s="449" t="s">
        <v>496</v>
      </c>
      <c r="I230" s="442">
        <f t="shared" si="14"/>
        <v>300000</v>
      </c>
      <c r="J230" s="600"/>
      <c r="K230" s="461">
        <f>300000-M230</f>
        <v>45000</v>
      </c>
      <c r="L230" s="442"/>
      <c r="M230" s="442">
        <f>300000*0.85</f>
        <v>255000</v>
      </c>
      <c r="N230" s="445" t="s">
        <v>497</v>
      </c>
      <c r="O230"/>
    </row>
    <row r="231" spans="1:15" x14ac:dyDescent="0.2">
      <c r="A231">
        <v>1</v>
      </c>
      <c r="B231" s="387" t="s">
        <v>261</v>
      </c>
      <c r="C231" s="440">
        <v>1</v>
      </c>
      <c r="D231" s="440"/>
      <c r="E231" s="440"/>
      <c r="F231" s="448" t="s">
        <v>493</v>
      </c>
      <c r="G231" s="452" t="s">
        <v>246</v>
      </c>
      <c r="H231" s="449" t="s">
        <v>498</v>
      </c>
      <c r="I231" s="442">
        <f t="shared" si="14"/>
        <v>25000</v>
      </c>
      <c r="J231" s="600"/>
      <c r="K231" s="461">
        <v>25000</v>
      </c>
      <c r="L231" s="442"/>
      <c r="M231" s="442"/>
      <c r="N231" s="445" t="s">
        <v>499</v>
      </c>
      <c r="O231"/>
    </row>
    <row r="232" spans="1:15" ht="14.25" customHeight="1" x14ac:dyDescent="0.2">
      <c r="A232">
        <v>1</v>
      </c>
      <c r="B232" s="387" t="s">
        <v>261</v>
      </c>
      <c r="C232" s="440">
        <v>1</v>
      </c>
      <c r="D232" s="440"/>
      <c r="E232" s="440"/>
      <c r="F232" s="448" t="s">
        <v>493</v>
      </c>
      <c r="G232" s="452" t="s">
        <v>246</v>
      </c>
      <c r="H232" s="449" t="s">
        <v>500</v>
      </c>
      <c r="I232" s="442">
        <f t="shared" ref="I232:I239" si="15">SUM(K232:M232)</f>
        <v>25000</v>
      </c>
      <c r="J232" s="600"/>
      <c r="K232" s="461">
        <v>25000</v>
      </c>
      <c r="L232" s="442"/>
      <c r="M232" s="442"/>
      <c r="N232" s="463" t="s">
        <v>499</v>
      </c>
    </row>
    <row r="233" spans="1:15" ht="18" customHeight="1" x14ac:dyDescent="0.2">
      <c r="A233">
        <v>1</v>
      </c>
      <c r="C233" s="440"/>
      <c r="D233" s="440"/>
      <c r="E233" s="440"/>
      <c r="F233" s="448" t="s">
        <v>501</v>
      </c>
      <c r="G233" s="440" t="s">
        <v>502</v>
      </c>
      <c r="H233" s="449" t="s">
        <v>503</v>
      </c>
      <c r="I233" s="442">
        <f t="shared" si="15"/>
        <v>11400</v>
      </c>
      <c r="J233" s="600"/>
      <c r="K233" s="461">
        <v>11400</v>
      </c>
      <c r="L233" s="442"/>
      <c r="M233" s="442"/>
      <c r="N233" s="463"/>
    </row>
    <row r="234" spans="1:15" hidden="1" x14ac:dyDescent="0.2">
      <c r="A234">
        <v>2</v>
      </c>
      <c r="B234" s="387" t="s">
        <v>205</v>
      </c>
      <c r="C234" s="440"/>
      <c r="D234" s="440"/>
      <c r="E234" s="440"/>
      <c r="F234" s="577" t="s">
        <v>501</v>
      </c>
      <c r="G234" s="440" t="s">
        <v>502</v>
      </c>
      <c r="H234" s="449" t="s">
        <v>504</v>
      </c>
      <c r="I234" s="579">
        <f t="shared" si="15"/>
        <v>70000</v>
      </c>
      <c r="J234" s="601"/>
      <c r="K234" s="589">
        <v>70000</v>
      </c>
      <c r="L234" s="579"/>
      <c r="M234" s="579"/>
      <c r="N234" s="445" t="s">
        <v>505</v>
      </c>
    </row>
    <row r="235" spans="1:15" hidden="1" x14ac:dyDescent="0.2">
      <c r="A235">
        <v>2</v>
      </c>
      <c r="B235" s="387" t="s">
        <v>205</v>
      </c>
      <c r="C235" s="440"/>
      <c r="D235" s="440"/>
      <c r="E235" s="440"/>
      <c r="F235" s="577" t="s">
        <v>501</v>
      </c>
      <c r="G235" s="440" t="s">
        <v>502</v>
      </c>
      <c r="H235" s="449" t="s">
        <v>506</v>
      </c>
      <c r="I235" s="579">
        <f t="shared" si="15"/>
        <v>8000</v>
      </c>
      <c r="J235" s="601"/>
      <c r="K235" s="589">
        <v>8000</v>
      </c>
      <c r="L235" s="579"/>
      <c r="M235" s="579"/>
      <c r="N235" s="445" t="s">
        <v>507</v>
      </c>
      <c r="O235"/>
    </row>
    <row r="236" spans="1:15" ht="48" hidden="1" x14ac:dyDescent="0.2">
      <c r="A236">
        <v>2</v>
      </c>
      <c r="B236" s="387" t="s">
        <v>205</v>
      </c>
      <c r="C236" s="440"/>
      <c r="D236" s="440"/>
      <c r="E236" s="440"/>
      <c r="F236" s="577" t="s">
        <v>501</v>
      </c>
      <c r="G236" s="440" t="s">
        <v>502</v>
      </c>
      <c r="H236" s="449" t="s">
        <v>508</v>
      </c>
      <c r="I236" s="579">
        <f t="shared" si="15"/>
        <v>15000</v>
      </c>
      <c r="J236" s="601"/>
      <c r="K236" s="589">
        <v>15000</v>
      </c>
      <c r="L236" s="579"/>
      <c r="M236" s="579"/>
      <c r="N236" s="445" t="s">
        <v>509</v>
      </c>
    </row>
    <row r="237" spans="1:15" x14ac:dyDescent="0.2">
      <c r="A237">
        <v>1</v>
      </c>
      <c r="B237" s="387" t="s">
        <v>261</v>
      </c>
      <c r="C237" s="440"/>
      <c r="D237" s="440"/>
      <c r="E237" s="440"/>
      <c r="F237" s="448" t="s">
        <v>510</v>
      </c>
      <c r="G237" s="440" t="s">
        <v>511</v>
      </c>
      <c r="H237" s="449" t="s">
        <v>512</v>
      </c>
      <c r="I237" s="442">
        <f t="shared" si="15"/>
        <v>10000</v>
      </c>
      <c r="J237" s="600"/>
      <c r="K237" s="461">
        <v>10000</v>
      </c>
      <c r="L237" s="442"/>
      <c r="M237" s="442"/>
      <c r="O237"/>
    </row>
    <row r="238" spans="1:15" ht="16.5" hidden="1" customHeight="1" x14ac:dyDescent="0.2">
      <c r="A238">
        <v>2</v>
      </c>
      <c r="B238" s="387" t="s">
        <v>261</v>
      </c>
      <c r="C238" s="440"/>
      <c r="D238" s="440"/>
      <c r="E238" s="440"/>
      <c r="F238" s="577" t="s">
        <v>510</v>
      </c>
      <c r="G238" s="440" t="s">
        <v>511</v>
      </c>
      <c r="H238" s="449" t="s">
        <v>513</v>
      </c>
      <c r="I238" s="579">
        <f t="shared" si="15"/>
        <v>7500</v>
      </c>
      <c r="J238" s="601"/>
      <c r="K238" s="589">
        <v>7500</v>
      </c>
      <c r="L238" s="579"/>
      <c r="M238" s="579"/>
      <c r="N238" s="329" t="s">
        <v>514</v>
      </c>
      <c r="O238"/>
    </row>
    <row r="239" spans="1:15" x14ac:dyDescent="0.2">
      <c r="A239">
        <v>1</v>
      </c>
      <c r="B239" s="387" t="s">
        <v>261</v>
      </c>
      <c r="C239" s="440">
        <v>1</v>
      </c>
      <c r="D239" s="440"/>
      <c r="E239" s="440"/>
      <c r="F239" s="448" t="s">
        <v>515</v>
      </c>
      <c r="G239" s="440" t="s">
        <v>511</v>
      </c>
      <c r="H239" s="449" t="s">
        <v>516</v>
      </c>
      <c r="I239" s="442">
        <f t="shared" si="15"/>
        <v>26620</v>
      </c>
      <c r="J239" s="600"/>
      <c r="K239" s="442">
        <v>26620</v>
      </c>
      <c r="L239" s="442"/>
      <c r="M239" s="442"/>
      <c r="N239" s="602" t="s">
        <v>517</v>
      </c>
      <c r="O239"/>
    </row>
    <row r="240" spans="1:15" ht="24" x14ac:dyDescent="0.2">
      <c r="A240">
        <v>1</v>
      </c>
      <c r="B240" s="387" t="s">
        <v>199</v>
      </c>
      <c r="C240" s="440"/>
      <c r="D240" s="440"/>
      <c r="E240" s="440"/>
      <c r="F240" s="448" t="s">
        <v>518</v>
      </c>
      <c r="G240" s="452" t="s">
        <v>519</v>
      </c>
      <c r="H240" s="449" t="s">
        <v>520</v>
      </c>
      <c r="I240" s="442">
        <f t="shared" ref="I240:I245" si="16">SUM(K240:M240)</f>
        <v>1120</v>
      </c>
      <c r="J240" s="600"/>
      <c r="K240" s="442">
        <v>1120</v>
      </c>
      <c r="L240" s="442"/>
      <c r="M240" s="442"/>
      <c r="O240"/>
    </row>
    <row r="241" spans="1:18" ht="24" x14ac:dyDescent="0.2">
      <c r="A241">
        <v>1</v>
      </c>
      <c r="B241" s="387" t="s">
        <v>199</v>
      </c>
      <c r="C241" s="440"/>
      <c r="D241" s="440"/>
      <c r="E241" s="440"/>
      <c r="F241" s="448" t="s">
        <v>518</v>
      </c>
      <c r="G241" s="452" t="s">
        <v>519</v>
      </c>
      <c r="H241" s="449" t="s">
        <v>521</v>
      </c>
      <c r="I241" s="442">
        <f t="shared" si="16"/>
        <v>1120</v>
      </c>
      <c r="J241" s="600"/>
      <c r="K241" s="442">
        <v>1120</v>
      </c>
      <c r="L241" s="442"/>
      <c r="M241" s="442"/>
      <c r="O241"/>
    </row>
    <row r="242" spans="1:18" x14ac:dyDescent="0.2">
      <c r="A242">
        <v>1</v>
      </c>
      <c r="C242" s="440"/>
      <c r="D242" s="440"/>
      <c r="E242" s="440"/>
      <c r="F242" s="448" t="s">
        <v>518</v>
      </c>
      <c r="G242" s="452" t="s">
        <v>519</v>
      </c>
      <c r="H242" s="449" t="s">
        <v>522</v>
      </c>
      <c r="I242" s="442">
        <f t="shared" si="16"/>
        <v>1800</v>
      </c>
      <c r="J242" s="600"/>
      <c r="K242" s="442">
        <v>1800</v>
      </c>
      <c r="L242" s="442"/>
      <c r="M242" s="442"/>
    </row>
    <row r="243" spans="1:18" x14ac:dyDescent="0.2">
      <c r="A243">
        <v>1</v>
      </c>
      <c r="B243" s="387" t="s">
        <v>199</v>
      </c>
      <c r="C243" s="440"/>
      <c r="D243" s="440"/>
      <c r="E243" s="440"/>
      <c r="F243" s="448" t="s">
        <v>518</v>
      </c>
      <c r="G243" s="452" t="s">
        <v>519</v>
      </c>
      <c r="H243" s="449" t="s">
        <v>523</v>
      </c>
      <c r="I243" s="442">
        <f t="shared" si="16"/>
        <v>1920</v>
      </c>
      <c r="J243" s="600"/>
      <c r="K243" s="442">
        <v>1920</v>
      </c>
      <c r="L243" s="442"/>
      <c r="M243" s="442"/>
    </row>
    <row r="244" spans="1:18" x14ac:dyDescent="0.2">
      <c r="A244">
        <v>1</v>
      </c>
      <c r="B244" s="387" t="s">
        <v>199</v>
      </c>
      <c r="C244" s="440"/>
      <c r="D244" s="440"/>
      <c r="E244" s="440"/>
      <c r="F244" s="448" t="s">
        <v>518</v>
      </c>
      <c r="G244" s="452" t="s">
        <v>519</v>
      </c>
      <c r="H244" s="449" t="s">
        <v>524</v>
      </c>
      <c r="I244" s="442">
        <f t="shared" si="16"/>
        <v>120</v>
      </c>
      <c r="J244" s="600"/>
      <c r="K244" s="442">
        <v>120</v>
      </c>
      <c r="L244" s="442"/>
      <c r="M244" s="442"/>
    </row>
    <row r="245" spans="1:18" ht="10.5" customHeight="1" x14ac:dyDescent="0.2">
      <c r="A245">
        <v>1</v>
      </c>
      <c r="B245" s="387" t="s">
        <v>199</v>
      </c>
      <c r="C245" s="440"/>
      <c r="D245" s="440"/>
      <c r="E245" s="440"/>
      <c r="F245" s="448" t="s">
        <v>518</v>
      </c>
      <c r="G245" s="452" t="s">
        <v>519</v>
      </c>
      <c r="H245" s="449" t="s">
        <v>525</v>
      </c>
      <c r="I245" s="442">
        <f t="shared" si="16"/>
        <v>17500</v>
      </c>
      <c r="J245" s="600"/>
      <c r="K245" s="442">
        <v>17500</v>
      </c>
      <c r="L245" s="442"/>
      <c r="M245" s="442"/>
      <c r="N245" s="386" t="s">
        <v>526</v>
      </c>
      <c r="O245"/>
    </row>
    <row r="246" spans="1:18" hidden="1" x14ac:dyDescent="0.2">
      <c r="C246" s="509"/>
      <c r="D246" s="509"/>
      <c r="E246" s="509"/>
      <c r="F246" s="603"/>
      <c r="G246" s="603"/>
      <c r="H246" s="592" t="s">
        <v>527</v>
      </c>
      <c r="I246" s="593"/>
      <c r="J246" s="594"/>
      <c r="K246" s="595"/>
      <c r="L246" s="595"/>
      <c r="M246" s="595"/>
      <c r="O246"/>
    </row>
    <row r="247" spans="1:18" s="343" customFormat="1" ht="12.75" thickBot="1" x14ac:dyDescent="0.25">
      <c r="A247" s="343">
        <v>1</v>
      </c>
      <c r="B247" s="387"/>
      <c r="C247" s="604">
        <v>1</v>
      </c>
      <c r="D247" s="604"/>
      <c r="E247" s="604"/>
      <c r="F247" s="604" t="s">
        <v>528</v>
      </c>
      <c r="G247" s="604" t="s">
        <v>529</v>
      </c>
      <c r="H247" s="605" t="s">
        <v>530</v>
      </c>
      <c r="I247" s="606">
        <f t="shared" ref="I247:I280" si="17">SUM(K247:M247)</f>
        <v>10000</v>
      </c>
      <c r="J247" s="607"/>
      <c r="K247" s="606">
        <v>10000</v>
      </c>
      <c r="L247" s="606"/>
      <c r="M247" s="606"/>
      <c r="N247" s="463"/>
      <c r="R247"/>
    </row>
    <row r="248" spans="1:18" s="343" customFormat="1" ht="24.75" thickTop="1" x14ac:dyDescent="0.2">
      <c r="A248" s="343">
        <v>1</v>
      </c>
      <c r="B248" s="387"/>
      <c r="C248" s="483">
        <v>1</v>
      </c>
      <c r="D248" s="483"/>
      <c r="E248" s="483"/>
      <c r="F248" s="483" t="s">
        <v>528</v>
      </c>
      <c r="G248" s="483" t="s">
        <v>531</v>
      </c>
      <c r="H248" s="569" t="s">
        <v>532</v>
      </c>
      <c r="I248" s="608">
        <f t="shared" si="17"/>
        <v>37043</v>
      </c>
      <c r="J248" s="609"/>
      <c r="K248" s="608">
        <v>37043</v>
      </c>
      <c r="L248" s="610"/>
      <c r="M248" s="610"/>
      <c r="N248" s="463"/>
      <c r="R248"/>
    </row>
    <row r="249" spans="1:18" s="343" customFormat="1" x14ac:dyDescent="0.2">
      <c r="A249" s="343">
        <v>1</v>
      </c>
      <c r="B249" s="387"/>
      <c r="C249" s="483">
        <v>1</v>
      </c>
      <c r="D249" s="483"/>
      <c r="E249" s="483"/>
      <c r="F249" s="483" t="s">
        <v>528</v>
      </c>
      <c r="G249" s="483" t="s">
        <v>531</v>
      </c>
      <c r="H249" s="569" t="s">
        <v>533</v>
      </c>
      <c r="I249" s="608">
        <f t="shared" si="17"/>
        <v>45000</v>
      </c>
      <c r="J249" s="609"/>
      <c r="K249" s="608">
        <v>45000</v>
      </c>
      <c r="L249" s="610"/>
      <c r="M249" s="610"/>
      <c r="N249" s="463"/>
      <c r="R249"/>
    </row>
    <row r="250" spans="1:18" s="343" customFormat="1" ht="36" x14ac:dyDescent="0.2">
      <c r="A250" s="343">
        <v>1</v>
      </c>
      <c r="B250" s="387"/>
      <c r="C250" s="452">
        <v>1</v>
      </c>
      <c r="D250" s="452"/>
      <c r="E250" s="452"/>
      <c r="F250" s="452" t="s">
        <v>528</v>
      </c>
      <c r="G250" s="452" t="s">
        <v>531</v>
      </c>
      <c r="H250" s="449" t="s">
        <v>534</v>
      </c>
      <c r="I250" s="599">
        <f t="shared" si="17"/>
        <v>96400</v>
      </c>
      <c r="J250" s="598"/>
      <c r="K250" s="599">
        <f>100000-3600</f>
        <v>96400</v>
      </c>
      <c r="L250" s="597"/>
      <c r="M250" s="597"/>
      <c r="N250" s="463"/>
      <c r="R250"/>
    </row>
    <row r="251" spans="1:18" s="343" customFormat="1" ht="24" x14ac:dyDescent="0.2">
      <c r="A251" s="343">
        <v>1</v>
      </c>
      <c r="B251" s="387"/>
      <c r="C251" s="611">
        <v>1</v>
      </c>
      <c r="D251" s="611"/>
      <c r="E251" s="611"/>
      <c r="F251" s="611" t="s">
        <v>528</v>
      </c>
      <c r="G251" s="611" t="s">
        <v>531</v>
      </c>
      <c r="H251" s="612" t="s">
        <v>535</v>
      </c>
      <c r="I251" s="613">
        <f t="shared" si="17"/>
        <v>40000</v>
      </c>
      <c r="J251" s="614"/>
      <c r="K251" s="613">
        <v>40000</v>
      </c>
      <c r="L251" s="615"/>
      <c r="M251" s="615"/>
      <c r="N251" s="463"/>
      <c r="R251"/>
    </row>
    <row r="252" spans="1:18" s="343" customFormat="1" x14ac:dyDescent="0.2">
      <c r="A252" s="343">
        <v>1</v>
      </c>
      <c r="B252" s="387"/>
      <c r="C252" s="611">
        <v>1</v>
      </c>
      <c r="D252" s="611"/>
      <c r="E252" s="611"/>
      <c r="F252" s="611" t="s">
        <v>528</v>
      </c>
      <c r="G252" s="611" t="s">
        <v>531</v>
      </c>
      <c r="H252" s="612" t="s">
        <v>536</v>
      </c>
      <c r="I252" s="613">
        <f t="shared" si="17"/>
        <v>15000</v>
      </c>
      <c r="J252" s="614"/>
      <c r="K252" s="613">
        <v>15000</v>
      </c>
      <c r="L252" s="615"/>
      <c r="M252" s="615"/>
      <c r="N252" s="463"/>
      <c r="R252"/>
    </row>
    <row r="253" spans="1:18" s="343" customFormat="1" ht="24.75" thickBot="1" x14ac:dyDescent="0.25">
      <c r="A253" s="343">
        <v>1</v>
      </c>
      <c r="B253" s="387"/>
      <c r="C253" s="604">
        <v>1</v>
      </c>
      <c r="D253" s="604"/>
      <c r="E253" s="604"/>
      <c r="F253" s="604" t="s">
        <v>528</v>
      </c>
      <c r="G253" s="604" t="s">
        <v>531</v>
      </c>
      <c r="H253" s="605" t="s">
        <v>537</v>
      </c>
      <c r="I253" s="616">
        <f t="shared" si="17"/>
        <v>4000</v>
      </c>
      <c r="J253" s="617"/>
      <c r="K253" s="616">
        <v>4000</v>
      </c>
      <c r="L253" s="618"/>
      <c r="M253" s="618"/>
      <c r="N253" s="463"/>
      <c r="R253"/>
    </row>
    <row r="254" spans="1:18" s="343" customFormat="1" ht="42" customHeight="1" thickTop="1" x14ac:dyDescent="0.2">
      <c r="A254" s="343">
        <v>1</v>
      </c>
      <c r="B254" s="387"/>
      <c r="C254" s="619">
        <v>1</v>
      </c>
      <c r="D254" s="619"/>
      <c r="E254" s="619"/>
      <c r="F254" s="619" t="s">
        <v>528</v>
      </c>
      <c r="G254" s="619" t="s">
        <v>538</v>
      </c>
      <c r="H254" s="620" t="s">
        <v>539</v>
      </c>
      <c r="I254" s="621">
        <f t="shared" si="17"/>
        <v>81070</v>
      </c>
      <c r="J254" s="622"/>
      <c r="K254" s="621">
        <v>81070</v>
      </c>
      <c r="L254" s="621"/>
      <c r="M254" s="621"/>
      <c r="N254" s="463" t="s">
        <v>540</v>
      </c>
      <c r="R254"/>
    </row>
    <row r="255" spans="1:18" s="343" customFormat="1" ht="18" customHeight="1" thickBot="1" x14ac:dyDescent="0.25">
      <c r="A255" s="343">
        <v>1</v>
      </c>
      <c r="B255" s="387"/>
      <c r="C255" s="623">
        <v>1</v>
      </c>
      <c r="D255" s="623"/>
      <c r="E255" s="623"/>
      <c r="F255" s="623" t="s">
        <v>528</v>
      </c>
      <c r="G255" s="623" t="s">
        <v>538</v>
      </c>
      <c r="H255" s="624" t="s">
        <v>541</v>
      </c>
      <c r="I255" s="625">
        <f t="shared" si="17"/>
        <v>3600</v>
      </c>
      <c r="J255" s="626"/>
      <c r="K255" s="625">
        <v>3600</v>
      </c>
      <c r="L255" s="625"/>
      <c r="M255" s="625"/>
      <c r="N255" s="463"/>
      <c r="R255"/>
    </row>
    <row r="256" spans="1:18" s="343" customFormat="1" ht="12.75" thickTop="1" x14ac:dyDescent="0.2">
      <c r="A256" s="343">
        <v>1</v>
      </c>
      <c r="B256" s="387"/>
      <c r="C256" s="483">
        <v>1</v>
      </c>
      <c r="D256" s="483"/>
      <c r="E256" s="483"/>
      <c r="F256" s="483" t="s">
        <v>528</v>
      </c>
      <c r="G256" s="483" t="s">
        <v>542</v>
      </c>
      <c r="H256" s="569" t="s">
        <v>543</v>
      </c>
      <c r="I256" s="627">
        <f t="shared" si="17"/>
        <v>7000</v>
      </c>
      <c r="J256" s="628"/>
      <c r="K256" s="627">
        <v>7000</v>
      </c>
      <c r="L256" s="627"/>
      <c r="M256" s="627"/>
      <c r="N256" s="463"/>
      <c r="R256"/>
    </row>
    <row r="257" spans="1:18" s="343" customFormat="1" x14ac:dyDescent="0.2">
      <c r="A257" s="343">
        <v>1</v>
      </c>
      <c r="B257" s="387"/>
      <c r="C257" s="452">
        <v>1</v>
      </c>
      <c r="D257" s="452"/>
      <c r="E257" s="452"/>
      <c r="F257" s="452" t="s">
        <v>528</v>
      </c>
      <c r="G257" s="452" t="s">
        <v>542</v>
      </c>
      <c r="H257" s="449" t="s">
        <v>544</v>
      </c>
      <c r="I257" s="629">
        <f t="shared" si="17"/>
        <v>30000</v>
      </c>
      <c r="J257" s="630"/>
      <c r="K257" s="629">
        <v>30000</v>
      </c>
      <c r="L257" s="629"/>
      <c r="M257" s="629"/>
      <c r="N257" s="463"/>
      <c r="R257"/>
    </row>
    <row r="258" spans="1:18" s="343" customFormat="1" ht="25.5" customHeight="1" x14ac:dyDescent="0.2">
      <c r="A258" s="343">
        <v>1</v>
      </c>
      <c r="B258" s="387"/>
      <c r="C258" s="452">
        <v>1</v>
      </c>
      <c r="D258" s="452"/>
      <c r="E258" s="452"/>
      <c r="F258" s="452" t="s">
        <v>528</v>
      </c>
      <c r="G258" s="452" t="s">
        <v>542</v>
      </c>
      <c r="H258" s="449" t="s">
        <v>545</v>
      </c>
      <c r="I258" s="629">
        <f t="shared" si="17"/>
        <v>30000</v>
      </c>
      <c r="J258" s="630"/>
      <c r="K258" s="629">
        <v>30000</v>
      </c>
      <c r="L258" s="629"/>
      <c r="M258" s="629"/>
      <c r="N258" s="463"/>
      <c r="R258"/>
    </row>
    <row r="259" spans="1:18" s="343" customFormat="1" ht="15" customHeight="1" x14ac:dyDescent="0.2">
      <c r="A259" s="343">
        <v>1</v>
      </c>
      <c r="B259" s="387"/>
      <c r="C259" s="452"/>
      <c r="D259" s="452"/>
      <c r="E259" s="452"/>
      <c r="F259" s="452" t="s">
        <v>528</v>
      </c>
      <c r="G259" s="452" t="s">
        <v>528</v>
      </c>
      <c r="H259" s="449" t="s">
        <v>546</v>
      </c>
      <c r="I259" s="629">
        <f>K259</f>
        <v>0</v>
      </c>
      <c r="J259" s="630"/>
      <c r="K259" s="629">
        <f>70000-70000</f>
        <v>0</v>
      </c>
      <c r="L259" s="629"/>
      <c r="M259" s="629"/>
      <c r="N259" s="463"/>
      <c r="R259"/>
    </row>
    <row r="260" spans="1:18" s="343" customFormat="1" ht="24" x14ac:dyDescent="0.2">
      <c r="A260" s="343">
        <v>1</v>
      </c>
      <c r="B260" s="387"/>
      <c r="C260" s="452">
        <v>1</v>
      </c>
      <c r="D260" s="452"/>
      <c r="E260" s="452"/>
      <c r="F260" s="452" t="s">
        <v>528</v>
      </c>
      <c r="G260" s="452" t="s">
        <v>542</v>
      </c>
      <c r="H260" s="449" t="s">
        <v>547</v>
      </c>
      <c r="I260" s="629">
        <f t="shared" si="17"/>
        <v>76000</v>
      </c>
      <c r="J260" s="630"/>
      <c r="K260" s="629">
        <v>76000</v>
      </c>
      <c r="L260" s="629"/>
      <c r="M260" s="629"/>
      <c r="N260" s="463" t="s">
        <v>548</v>
      </c>
      <c r="R260"/>
    </row>
    <row r="261" spans="1:18" s="343" customFormat="1" x14ac:dyDescent="0.2">
      <c r="A261" s="343">
        <v>1</v>
      </c>
      <c r="B261" s="387"/>
      <c r="C261" s="452">
        <v>1</v>
      </c>
      <c r="D261" s="452"/>
      <c r="E261" s="452"/>
      <c r="F261" s="452" t="s">
        <v>528</v>
      </c>
      <c r="G261" s="452" t="s">
        <v>542</v>
      </c>
      <c r="H261" s="449" t="s">
        <v>549</v>
      </c>
      <c r="I261" s="629">
        <v>47000</v>
      </c>
      <c r="J261" s="630"/>
      <c r="K261" s="629">
        <v>47000</v>
      </c>
      <c r="L261" s="629"/>
      <c r="M261" s="629"/>
      <c r="N261" s="463" t="s">
        <v>550</v>
      </c>
      <c r="R261"/>
    </row>
    <row r="262" spans="1:18" s="343" customFormat="1" ht="24" x14ac:dyDescent="0.2">
      <c r="A262" s="343">
        <v>1</v>
      </c>
      <c r="B262" s="387"/>
      <c r="C262" s="452">
        <v>1</v>
      </c>
      <c r="D262" s="452"/>
      <c r="E262" s="452"/>
      <c r="F262" s="452" t="s">
        <v>528</v>
      </c>
      <c r="G262" s="452" t="s">
        <v>542</v>
      </c>
      <c r="H262" s="449" t="s">
        <v>551</v>
      </c>
      <c r="I262" s="629">
        <f t="shared" si="17"/>
        <v>8800</v>
      </c>
      <c r="J262" s="630"/>
      <c r="K262" s="629">
        <v>8800</v>
      </c>
      <c r="L262" s="629"/>
      <c r="M262" s="629"/>
      <c r="N262" s="463" t="s">
        <v>552</v>
      </c>
      <c r="R262"/>
    </row>
    <row r="263" spans="1:18" s="343" customFormat="1" ht="24" x14ac:dyDescent="0.2">
      <c r="A263" s="343">
        <v>1</v>
      </c>
      <c r="B263" s="387"/>
      <c r="C263" s="452">
        <v>1</v>
      </c>
      <c r="D263" s="452"/>
      <c r="E263" s="452"/>
      <c r="F263" s="452" t="s">
        <v>528</v>
      </c>
      <c r="G263" s="452" t="s">
        <v>542</v>
      </c>
      <c r="H263" s="449" t="s">
        <v>553</v>
      </c>
      <c r="I263" s="629">
        <f t="shared" si="17"/>
        <v>7000</v>
      </c>
      <c r="J263" s="630"/>
      <c r="K263" s="629">
        <v>7000</v>
      </c>
      <c r="L263" s="629"/>
      <c r="M263" s="629"/>
      <c r="N263" s="463" t="s">
        <v>554</v>
      </c>
      <c r="R263"/>
    </row>
    <row r="264" spans="1:18" s="343" customFormat="1" ht="24" x14ac:dyDescent="0.2">
      <c r="A264" s="343">
        <v>1</v>
      </c>
      <c r="B264" s="387"/>
      <c r="C264" s="452">
        <v>1</v>
      </c>
      <c r="D264" s="452"/>
      <c r="E264" s="452"/>
      <c r="F264" s="452" t="s">
        <v>528</v>
      </c>
      <c r="G264" s="452" t="s">
        <v>542</v>
      </c>
      <c r="H264" s="449" t="s">
        <v>555</v>
      </c>
      <c r="I264" s="629">
        <f t="shared" si="17"/>
        <v>17600</v>
      </c>
      <c r="J264" s="630"/>
      <c r="K264" s="629">
        <v>17600</v>
      </c>
      <c r="L264" s="629"/>
      <c r="M264" s="629"/>
      <c r="N264" s="463" t="s">
        <v>556</v>
      </c>
      <c r="R264"/>
    </row>
    <row r="265" spans="1:18" s="343" customFormat="1" x14ac:dyDescent="0.2">
      <c r="A265" s="343">
        <v>1</v>
      </c>
      <c r="B265" s="387"/>
      <c r="C265" s="587">
        <v>1</v>
      </c>
      <c r="D265" s="587"/>
      <c r="E265" s="587"/>
      <c r="F265" s="587" t="s">
        <v>528</v>
      </c>
      <c r="G265" s="587" t="s">
        <v>542</v>
      </c>
      <c r="H265" s="561" t="s">
        <v>557</v>
      </c>
      <c r="I265" s="631">
        <f t="shared" si="17"/>
        <v>5200</v>
      </c>
      <c r="J265" s="632"/>
      <c r="K265" s="631">
        <v>5200</v>
      </c>
      <c r="L265" s="631"/>
      <c r="M265" s="631"/>
      <c r="N265" s="463"/>
      <c r="R265"/>
    </row>
    <row r="266" spans="1:18" s="343" customFormat="1" x14ac:dyDescent="0.2">
      <c r="A266" s="343">
        <v>1</v>
      </c>
      <c r="B266" s="387"/>
      <c r="C266" s="452">
        <v>1</v>
      </c>
      <c r="D266" s="452"/>
      <c r="E266" s="452"/>
      <c r="F266" s="452" t="s">
        <v>528</v>
      </c>
      <c r="G266" s="452" t="s">
        <v>542</v>
      </c>
      <c r="H266" s="449" t="s">
        <v>558</v>
      </c>
      <c r="I266" s="629">
        <f t="shared" si="17"/>
        <v>9000</v>
      </c>
      <c r="J266" s="630"/>
      <c r="K266" s="629">
        <v>9000</v>
      </c>
      <c r="L266" s="629"/>
      <c r="M266" s="629"/>
      <c r="N266" s="463"/>
      <c r="R266"/>
    </row>
    <row r="267" spans="1:18" s="343" customFormat="1" ht="24.75" thickBot="1" x14ac:dyDescent="0.25">
      <c r="A267" s="343">
        <v>1</v>
      </c>
      <c r="B267" s="387"/>
      <c r="C267" s="633">
        <v>1</v>
      </c>
      <c r="D267" s="633"/>
      <c r="E267" s="633"/>
      <c r="F267" s="633" t="s">
        <v>528</v>
      </c>
      <c r="G267" s="633" t="s">
        <v>542</v>
      </c>
      <c r="H267" s="634" t="s">
        <v>559</v>
      </c>
      <c r="I267" s="635">
        <f t="shared" si="17"/>
        <v>10000</v>
      </c>
      <c r="J267" s="636"/>
      <c r="K267" s="635">
        <v>10000</v>
      </c>
      <c r="L267" s="635"/>
      <c r="M267" s="635"/>
      <c r="N267" s="463" t="s">
        <v>550</v>
      </c>
      <c r="R267"/>
    </row>
    <row r="268" spans="1:18" s="343" customFormat="1" ht="24.75" thickTop="1" x14ac:dyDescent="0.2">
      <c r="A268" s="343">
        <v>1</v>
      </c>
      <c r="B268" s="387"/>
      <c r="C268" s="483">
        <v>1</v>
      </c>
      <c r="D268" s="483"/>
      <c r="E268" s="483"/>
      <c r="F268" s="483" t="s">
        <v>528</v>
      </c>
      <c r="G268" s="483" t="s">
        <v>560</v>
      </c>
      <c r="H268" s="637" t="s">
        <v>561</v>
      </c>
      <c r="I268" s="608">
        <f t="shared" si="17"/>
        <v>6857</v>
      </c>
      <c r="J268" s="609"/>
      <c r="K268" s="608">
        <f>6000+857</f>
        <v>6857</v>
      </c>
      <c r="L268" s="608"/>
      <c r="M268" s="608"/>
      <c r="N268" s="463" t="s">
        <v>562</v>
      </c>
      <c r="R268"/>
    </row>
    <row r="269" spans="1:18" s="343" customFormat="1" ht="63.75" customHeight="1" x14ac:dyDescent="0.2">
      <c r="A269" s="343">
        <v>1</v>
      </c>
      <c r="B269" s="387"/>
      <c r="C269" s="452">
        <v>1</v>
      </c>
      <c r="D269" s="452"/>
      <c r="E269" s="452"/>
      <c r="F269" s="452" t="s">
        <v>528</v>
      </c>
      <c r="G269" s="452" t="s">
        <v>560</v>
      </c>
      <c r="H269" s="460" t="s">
        <v>563</v>
      </c>
      <c r="I269" s="599">
        <f t="shared" ref="I269:I277" si="18">SUM(K269:M269)</f>
        <v>175500</v>
      </c>
      <c r="J269" s="598"/>
      <c r="K269" s="599">
        <f>175500-L269-M269</f>
        <v>63854</v>
      </c>
      <c r="L269" s="599">
        <f>60500+51146</f>
        <v>111646</v>
      </c>
      <c r="M269" s="599"/>
      <c r="N269" s="464" t="s">
        <v>564</v>
      </c>
      <c r="R269"/>
    </row>
    <row r="270" spans="1:18" s="343" customFormat="1" x14ac:dyDescent="0.2">
      <c r="A270" s="343">
        <v>1</v>
      </c>
      <c r="B270" s="387"/>
      <c r="C270" s="452">
        <v>1</v>
      </c>
      <c r="D270" s="452"/>
      <c r="E270" s="452"/>
      <c r="F270" s="452" t="s">
        <v>528</v>
      </c>
      <c r="G270" s="452" t="s">
        <v>560</v>
      </c>
      <c r="H270" s="449" t="s">
        <v>565</v>
      </c>
      <c r="I270" s="597">
        <f t="shared" si="18"/>
        <v>36292</v>
      </c>
      <c r="J270" s="598"/>
      <c r="K270" s="597"/>
      <c r="L270" s="597">
        <v>36292</v>
      </c>
      <c r="M270" s="597"/>
      <c r="N270" s="463" t="s">
        <v>566</v>
      </c>
      <c r="R270"/>
    </row>
    <row r="271" spans="1:18" s="343" customFormat="1" x14ac:dyDescent="0.2">
      <c r="A271" s="343">
        <v>1</v>
      </c>
      <c r="B271" s="387"/>
      <c r="C271" s="452">
        <v>1</v>
      </c>
      <c r="D271" s="452"/>
      <c r="E271" s="452"/>
      <c r="F271" s="452" t="s">
        <v>528</v>
      </c>
      <c r="G271" s="452" t="s">
        <v>560</v>
      </c>
      <c r="H271" s="449" t="s">
        <v>567</v>
      </c>
      <c r="I271" s="597">
        <f t="shared" si="18"/>
        <v>154143</v>
      </c>
      <c r="J271" s="598"/>
      <c r="K271" s="597">
        <f>155000-857</f>
        <v>154143</v>
      </c>
      <c r="L271" s="597"/>
      <c r="M271" s="597"/>
      <c r="N271" s="463"/>
      <c r="R271"/>
    </row>
    <row r="272" spans="1:18" s="343" customFormat="1" ht="36" x14ac:dyDescent="0.2">
      <c r="A272" s="343">
        <v>1</v>
      </c>
      <c r="B272" s="387"/>
      <c r="C272" s="452">
        <v>1</v>
      </c>
      <c r="D272" s="452"/>
      <c r="E272" s="452"/>
      <c r="F272" s="452" t="s">
        <v>528</v>
      </c>
      <c r="G272" s="452" t="s">
        <v>560</v>
      </c>
      <c r="H272" s="638" t="s">
        <v>568</v>
      </c>
      <c r="I272" s="597">
        <f t="shared" si="18"/>
        <v>-78842</v>
      </c>
      <c r="J272" s="598"/>
      <c r="K272" s="597">
        <v>-78842</v>
      </c>
      <c r="L272" s="597"/>
      <c r="M272" s="597"/>
      <c r="N272" s="463"/>
      <c r="R272"/>
    </row>
    <row r="273" spans="1:18" s="343" customFormat="1" ht="24" x14ac:dyDescent="0.2">
      <c r="A273" s="343">
        <v>1</v>
      </c>
      <c r="B273" s="387"/>
      <c r="C273" s="452">
        <v>1</v>
      </c>
      <c r="D273" s="452"/>
      <c r="E273" s="452"/>
      <c r="F273" s="452" t="s">
        <v>528</v>
      </c>
      <c r="G273" s="452" t="s">
        <v>560</v>
      </c>
      <c r="H273" s="449" t="s">
        <v>569</v>
      </c>
      <c r="I273" s="597">
        <f t="shared" si="18"/>
        <v>50000</v>
      </c>
      <c r="J273" s="598"/>
      <c r="K273" s="597">
        <v>50000</v>
      </c>
      <c r="L273" s="597"/>
      <c r="M273" s="597"/>
      <c r="N273" s="463" t="s">
        <v>570</v>
      </c>
      <c r="R273"/>
    </row>
    <row r="274" spans="1:18" s="343" customFormat="1" x14ac:dyDescent="0.2">
      <c r="A274" s="343">
        <v>1</v>
      </c>
      <c r="B274" s="387"/>
      <c r="C274" s="452">
        <v>1</v>
      </c>
      <c r="D274" s="452"/>
      <c r="E274" s="452"/>
      <c r="F274" s="452" t="s">
        <v>528</v>
      </c>
      <c r="G274" s="452" t="s">
        <v>560</v>
      </c>
      <c r="H274" s="449" t="s">
        <v>571</v>
      </c>
      <c r="I274" s="597">
        <f t="shared" si="18"/>
        <v>8000</v>
      </c>
      <c r="J274" s="598"/>
      <c r="K274" s="597">
        <v>8000</v>
      </c>
      <c r="L274" s="597"/>
      <c r="M274" s="597"/>
      <c r="N274" s="463"/>
      <c r="R274"/>
    </row>
    <row r="275" spans="1:18" s="343" customFormat="1" ht="24" x14ac:dyDescent="0.2">
      <c r="A275" s="343">
        <v>1</v>
      </c>
      <c r="B275" s="387"/>
      <c r="C275" s="452">
        <v>1</v>
      </c>
      <c r="D275" s="452"/>
      <c r="E275" s="452"/>
      <c r="F275" s="452" t="s">
        <v>528</v>
      </c>
      <c r="G275" s="452" t="s">
        <v>560</v>
      </c>
      <c r="H275" s="449" t="s">
        <v>572</v>
      </c>
      <c r="I275" s="597">
        <f t="shared" si="18"/>
        <v>10000</v>
      </c>
      <c r="J275" s="598"/>
      <c r="K275" s="597">
        <v>10000</v>
      </c>
      <c r="L275" s="597"/>
      <c r="M275" s="597"/>
      <c r="N275" s="463" t="s">
        <v>573</v>
      </c>
      <c r="R275"/>
    </row>
    <row r="276" spans="1:18" s="343" customFormat="1" x14ac:dyDescent="0.2">
      <c r="A276" s="343">
        <v>1</v>
      </c>
      <c r="B276" s="387"/>
      <c r="C276" s="452">
        <v>1</v>
      </c>
      <c r="D276" s="343">
        <v>2</v>
      </c>
      <c r="E276" s="452"/>
      <c r="F276" s="452" t="s">
        <v>528</v>
      </c>
      <c r="G276" s="452" t="s">
        <v>560</v>
      </c>
      <c r="H276" s="449" t="s">
        <v>574</v>
      </c>
      <c r="I276" s="597">
        <f t="shared" si="18"/>
        <v>15830</v>
      </c>
      <c r="J276" s="598"/>
      <c r="K276" s="639">
        <f>15000+830</f>
        <v>15830</v>
      </c>
      <c r="L276" s="597"/>
      <c r="M276" s="597"/>
      <c r="N276" s="463"/>
      <c r="R276"/>
    </row>
    <row r="277" spans="1:18" s="343" customFormat="1" ht="24.75" customHeight="1" x14ac:dyDescent="0.2">
      <c r="A277" s="343">
        <v>1</v>
      </c>
      <c r="B277" s="387"/>
      <c r="C277" s="452">
        <v>1</v>
      </c>
      <c r="D277" s="452"/>
      <c r="E277" s="587"/>
      <c r="F277" s="587" t="s">
        <v>528</v>
      </c>
      <c r="G277" s="587" t="s">
        <v>560</v>
      </c>
      <c r="H277" s="561" t="s">
        <v>575</v>
      </c>
      <c r="I277" s="640">
        <f t="shared" si="18"/>
        <v>7100</v>
      </c>
      <c r="J277" s="641"/>
      <c r="K277" s="640">
        <v>7100</v>
      </c>
      <c r="L277" s="597"/>
      <c r="M277" s="597"/>
      <c r="N277" s="642" t="s">
        <v>576</v>
      </c>
      <c r="R277"/>
    </row>
    <row r="278" spans="1:18" s="343" customFormat="1" x14ac:dyDescent="0.2">
      <c r="A278" s="343">
        <v>1</v>
      </c>
      <c r="B278" s="387"/>
      <c r="C278" s="452">
        <v>1</v>
      </c>
      <c r="D278" s="643"/>
      <c r="E278" s="644"/>
      <c r="F278" s="644" t="s">
        <v>528</v>
      </c>
      <c r="G278" s="644" t="s">
        <v>560</v>
      </c>
      <c r="H278" s="645" t="s">
        <v>577</v>
      </c>
      <c r="I278" s="646">
        <f t="shared" si="17"/>
        <v>20000</v>
      </c>
      <c r="J278" s="647"/>
      <c r="K278" s="646">
        <v>20000</v>
      </c>
      <c r="L278" s="425"/>
      <c r="M278" s="597"/>
      <c r="N278" s="463" t="s">
        <v>578</v>
      </c>
      <c r="R278"/>
    </row>
    <row r="279" spans="1:18" s="343" customFormat="1" ht="24" x14ac:dyDescent="0.2">
      <c r="A279" s="343">
        <v>1</v>
      </c>
      <c r="B279" s="387"/>
      <c r="C279" s="452">
        <v>1</v>
      </c>
      <c r="D279" s="643"/>
      <c r="E279" s="644"/>
      <c r="F279" s="644" t="s">
        <v>528</v>
      </c>
      <c r="G279" s="644" t="s">
        <v>560</v>
      </c>
      <c r="H279" s="645" t="s">
        <v>579</v>
      </c>
      <c r="I279" s="646">
        <f t="shared" si="17"/>
        <v>33000</v>
      </c>
      <c r="J279" s="647"/>
      <c r="K279" s="646">
        <v>33000</v>
      </c>
      <c r="L279" s="425"/>
      <c r="M279" s="597"/>
      <c r="N279" s="463" t="s">
        <v>580</v>
      </c>
      <c r="R279"/>
    </row>
    <row r="280" spans="1:18" s="343" customFormat="1" x14ac:dyDescent="0.2">
      <c r="A280" s="343">
        <v>1</v>
      </c>
      <c r="B280" s="387"/>
      <c r="C280" s="452">
        <v>1</v>
      </c>
      <c r="D280" s="643"/>
      <c r="E280" s="644"/>
      <c r="F280" s="644" t="s">
        <v>528</v>
      </c>
      <c r="G280" s="644" t="s">
        <v>560</v>
      </c>
      <c r="H280" s="645" t="s">
        <v>581</v>
      </c>
      <c r="I280" s="646">
        <f t="shared" si="17"/>
        <v>50000</v>
      </c>
      <c r="J280" s="647"/>
      <c r="K280" s="646">
        <f>500000-450000</f>
        <v>50000</v>
      </c>
      <c r="L280" s="425"/>
      <c r="M280" s="597"/>
      <c r="N280" s="463" t="s">
        <v>582</v>
      </c>
      <c r="R280"/>
    </row>
    <row r="281" spans="1:18" x14ac:dyDescent="0.2">
      <c r="A281" s="343">
        <v>1</v>
      </c>
      <c r="C281" s="509"/>
      <c r="D281" s="509"/>
      <c r="E281" s="509"/>
      <c r="F281" s="648"/>
      <c r="G281" s="603"/>
      <c r="H281" s="592" t="s">
        <v>583</v>
      </c>
      <c r="I281" s="593"/>
      <c r="J281" s="649"/>
      <c r="K281" s="595"/>
      <c r="L281" s="595"/>
      <c r="M281" s="595"/>
      <c r="N281" s="463"/>
      <c r="O281"/>
    </row>
    <row r="282" spans="1:18" x14ac:dyDescent="0.2">
      <c r="A282" s="343">
        <v>1</v>
      </c>
      <c r="C282" s="343">
        <v>1</v>
      </c>
      <c r="D282" s="440"/>
      <c r="E282" s="440"/>
      <c r="F282" s="452" t="s">
        <v>528</v>
      </c>
      <c r="G282" s="452" t="s">
        <v>528</v>
      </c>
      <c r="H282" s="650" t="s">
        <v>584</v>
      </c>
      <c r="I282" s="651"/>
      <c r="J282" s="652"/>
      <c r="K282" s="651"/>
      <c r="L282" s="651"/>
      <c r="M282" s="651"/>
      <c r="N282" s="463"/>
      <c r="O282"/>
    </row>
    <row r="283" spans="1:18" ht="22.5" x14ac:dyDescent="0.2">
      <c r="A283" s="343">
        <v>1</v>
      </c>
      <c r="B283" s="387" t="s">
        <v>205</v>
      </c>
      <c r="C283" s="343">
        <v>1</v>
      </c>
      <c r="D283" s="440"/>
      <c r="E283" s="440"/>
      <c r="F283" s="452" t="s">
        <v>528</v>
      </c>
      <c r="G283" s="452" t="s">
        <v>528</v>
      </c>
      <c r="H283" s="653" t="s">
        <v>585</v>
      </c>
      <c r="I283" s="597">
        <f t="shared" ref="I283:I318" si="19">SUM(K283:M283)</f>
        <v>265000</v>
      </c>
      <c r="J283" s="429"/>
      <c r="K283" s="597">
        <f>85000+95000</f>
        <v>180000</v>
      </c>
      <c r="L283" s="597"/>
      <c r="M283" s="597">
        <v>85000</v>
      </c>
      <c r="N283" s="463"/>
      <c r="O283"/>
    </row>
    <row r="284" spans="1:18" x14ac:dyDescent="0.2">
      <c r="A284" s="343">
        <v>1</v>
      </c>
      <c r="B284" s="387" t="s">
        <v>205</v>
      </c>
      <c r="C284" s="343">
        <v>1</v>
      </c>
      <c r="D284" s="440"/>
      <c r="E284" s="440"/>
      <c r="F284" s="452" t="s">
        <v>528</v>
      </c>
      <c r="G284" s="452" t="s">
        <v>528</v>
      </c>
      <c r="H284" s="654" t="s">
        <v>586</v>
      </c>
      <c r="I284" s="597">
        <f t="shared" si="19"/>
        <v>22000</v>
      </c>
      <c r="J284" s="429"/>
      <c r="K284" s="597">
        <v>22000</v>
      </c>
      <c r="L284" s="597"/>
      <c r="M284" s="597"/>
      <c r="N284" s="463"/>
      <c r="O284"/>
    </row>
    <row r="285" spans="1:18" x14ac:dyDescent="0.2">
      <c r="A285" s="343">
        <v>1</v>
      </c>
      <c r="C285" s="343">
        <v>1</v>
      </c>
      <c r="D285" s="440"/>
      <c r="E285" s="440"/>
      <c r="F285" s="452" t="s">
        <v>528</v>
      </c>
      <c r="G285" s="452" t="s">
        <v>528</v>
      </c>
      <c r="H285" s="654" t="s">
        <v>587</v>
      </c>
      <c r="I285" s="597">
        <f t="shared" si="19"/>
        <v>32000</v>
      </c>
      <c r="J285" s="429"/>
      <c r="K285" s="597">
        <v>32000</v>
      </c>
      <c r="L285" s="597"/>
      <c r="M285" s="597"/>
      <c r="N285" s="463"/>
      <c r="O285"/>
    </row>
    <row r="286" spans="1:18" x14ac:dyDescent="0.2">
      <c r="A286" s="343">
        <v>1</v>
      </c>
      <c r="C286" s="343">
        <v>1</v>
      </c>
      <c r="D286" s="440"/>
      <c r="E286" s="440"/>
      <c r="F286" s="452" t="s">
        <v>528</v>
      </c>
      <c r="G286" s="452" t="s">
        <v>528</v>
      </c>
      <c r="H286" s="655" t="s">
        <v>588</v>
      </c>
      <c r="I286" s="597">
        <f t="shared" si="19"/>
        <v>50000</v>
      </c>
      <c r="J286" s="429"/>
      <c r="K286" s="597">
        <v>50000</v>
      </c>
      <c r="L286" s="597"/>
      <c r="M286" s="597"/>
      <c r="N286" s="463"/>
      <c r="O286"/>
    </row>
    <row r="287" spans="1:18" x14ac:dyDescent="0.2">
      <c r="A287" s="343">
        <v>1</v>
      </c>
      <c r="C287" s="343">
        <v>1</v>
      </c>
      <c r="D287" s="440"/>
      <c r="E287" s="440"/>
      <c r="F287" s="452" t="s">
        <v>528</v>
      </c>
      <c r="G287" s="452" t="s">
        <v>528</v>
      </c>
      <c r="H287" s="656" t="s">
        <v>589</v>
      </c>
      <c r="I287" s="597">
        <f t="shared" si="19"/>
        <v>48000</v>
      </c>
      <c r="J287" s="429"/>
      <c r="K287" s="597">
        <v>48000</v>
      </c>
      <c r="L287" s="597"/>
      <c r="M287" s="597"/>
      <c r="N287" s="463"/>
      <c r="O287"/>
    </row>
    <row r="288" spans="1:18" x14ac:dyDescent="0.2">
      <c r="A288" s="343">
        <v>1</v>
      </c>
      <c r="C288" s="343">
        <v>1</v>
      </c>
      <c r="D288" s="440"/>
      <c r="E288" s="440"/>
      <c r="F288" s="452" t="s">
        <v>528</v>
      </c>
      <c r="G288" s="452" t="s">
        <v>528</v>
      </c>
      <c r="H288" s="657" t="s">
        <v>590</v>
      </c>
      <c r="I288" s="597">
        <f t="shared" si="19"/>
        <v>35000</v>
      </c>
      <c r="J288" s="429"/>
      <c r="K288" s="597">
        <v>35000</v>
      </c>
      <c r="L288" s="597"/>
      <c r="M288" s="597"/>
      <c r="N288" s="463" t="s">
        <v>591</v>
      </c>
      <c r="O288"/>
    </row>
    <row r="289" spans="1:18" hidden="1" x14ac:dyDescent="0.2">
      <c r="A289" s="343">
        <v>2</v>
      </c>
      <c r="C289" s="343">
        <v>2</v>
      </c>
      <c r="D289" s="440"/>
      <c r="E289" s="440"/>
      <c r="F289" s="577" t="s">
        <v>528</v>
      </c>
      <c r="G289" s="452" t="s">
        <v>528</v>
      </c>
      <c r="H289" s="658" t="s">
        <v>592</v>
      </c>
      <c r="I289" s="579">
        <f t="shared" si="19"/>
        <v>34000</v>
      </c>
      <c r="J289" s="575"/>
      <c r="K289" s="579">
        <v>34000</v>
      </c>
      <c r="L289" s="579"/>
      <c r="M289" s="579"/>
      <c r="N289" s="463"/>
      <c r="O289"/>
    </row>
    <row r="290" spans="1:18" hidden="1" x14ac:dyDescent="0.2">
      <c r="A290" s="343">
        <v>2</v>
      </c>
      <c r="B290" s="387" t="s">
        <v>205</v>
      </c>
      <c r="C290" s="343">
        <v>2</v>
      </c>
      <c r="D290" s="440"/>
      <c r="E290" s="440"/>
      <c r="F290" s="577" t="s">
        <v>528</v>
      </c>
      <c r="G290" s="452" t="s">
        <v>528</v>
      </c>
      <c r="H290" s="659" t="s">
        <v>593</v>
      </c>
      <c r="I290" s="579">
        <f t="shared" si="19"/>
        <v>83000</v>
      </c>
      <c r="J290" s="575"/>
      <c r="K290" s="579">
        <v>83000</v>
      </c>
      <c r="L290" s="579"/>
      <c r="M290" s="579"/>
      <c r="N290" s="463" t="s">
        <v>594</v>
      </c>
      <c r="O290"/>
    </row>
    <row r="291" spans="1:18" ht="24.75" hidden="1" customHeight="1" x14ac:dyDescent="0.2">
      <c r="A291" s="343">
        <v>2</v>
      </c>
      <c r="B291" s="387" t="s">
        <v>205</v>
      </c>
      <c r="C291" s="343">
        <v>2</v>
      </c>
      <c r="D291" s="440"/>
      <c r="E291" s="440"/>
      <c r="F291" s="577" t="s">
        <v>528</v>
      </c>
      <c r="G291" s="452" t="s">
        <v>528</v>
      </c>
      <c r="H291" s="658" t="s">
        <v>595</v>
      </c>
      <c r="I291" s="579">
        <f t="shared" si="19"/>
        <v>40000</v>
      </c>
      <c r="J291" s="575"/>
      <c r="K291" s="579">
        <v>40000</v>
      </c>
      <c r="L291" s="579"/>
      <c r="M291" s="579"/>
      <c r="N291" s="463"/>
      <c r="O291"/>
    </row>
    <row r="292" spans="1:18" x14ac:dyDescent="0.2">
      <c r="A292" s="343">
        <v>1</v>
      </c>
      <c r="C292" s="440">
        <v>1</v>
      </c>
      <c r="D292" s="440"/>
      <c r="E292" s="440"/>
      <c r="F292" s="448" t="s">
        <v>528</v>
      </c>
      <c r="G292" s="452" t="s">
        <v>528</v>
      </c>
      <c r="H292" s="650" t="s">
        <v>596</v>
      </c>
      <c r="I292" s="660"/>
      <c r="J292" s="661"/>
      <c r="K292" s="660"/>
      <c r="L292" s="660"/>
      <c r="M292" s="660"/>
      <c r="N292" s="463"/>
      <c r="O292"/>
    </row>
    <row r="293" spans="1:18" x14ac:dyDescent="0.2">
      <c r="A293" s="343">
        <v>1</v>
      </c>
      <c r="B293" s="387" t="s">
        <v>199</v>
      </c>
      <c r="C293" s="440">
        <v>1</v>
      </c>
      <c r="D293" s="440"/>
      <c r="E293" s="440"/>
      <c r="F293" s="448" t="s">
        <v>528</v>
      </c>
      <c r="G293" s="452" t="s">
        <v>528</v>
      </c>
      <c r="H293" s="662" t="s">
        <v>597</v>
      </c>
      <c r="I293" s="597">
        <f t="shared" si="19"/>
        <v>345000</v>
      </c>
      <c r="J293" s="429"/>
      <c r="K293" s="599">
        <f>345000-L293-M293</f>
        <v>345000</v>
      </c>
      <c r="L293" s="599"/>
      <c r="M293" s="599"/>
      <c r="N293" s="463"/>
    </row>
    <row r="294" spans="1:18" s="343" customFormat="1" ht="36" x14ac:dyDescent="0.2">
      <c r="A294" s="343">
        <v>1</v>
      </c>
      <c r="B294" s="387" t="s">
        <v>199</v>
      </c>
      <c r="C294" s="440">
        <v>1</v>
      </c>
      <c r="D294" s="440"/>
      <c r="E294" s="440"/>
      <c r="F294" s="448" t="s">
        <v>528</v>
      </c>
      <c r="G294" s="452" t="s">
        <v>528</v>
      </c>
      <c r="H294" s="638" t="s">
        <v>568</v>
      </c>
      <c r="I294" s="597">
        <f>SUM(K294:M294)</f>
        <v>78842</v>
      </c>
      <c r="J294" s="598"/>
      <c r="K294" s="597">
        <v>78842</v>
      </c>
      <c r="L294" s="597"/>
      <c r="M294" s="597"/>
      <c r="N294" s="463"/>
      <c r="R294"/>
    </row>
    <row r="295" spans="1:18" x14ac:dyDescent="0.2">
      <c r="A295" s="343">
        <v>1</v>
      </c>
      <c r="B295" s="387" t="s">
        <v>261</v>
      </c>
      <c r="C295" s="440">
        <v>1</v>
      </c>
      <c r="D295" s="440"/>
      <c r="E295" s="440"/>
      <c r="F295" s="448" t="s">
        <v>528</v>
      </c>
      <c r="G295" s="452" t="s">
        <v>528</v>
      </c>
      <c r="H295" s="663" t="s">
        <v>598</v>
      </c>
      <c r="I295" s="597">
        <f t="shared" si="19"/>
        <v>600000</v>
      </c>
      <c r="J295" s="429"/>
      <c r="K295" s="599">
        <f>600000-L295-M295</f>
        <v>90000</v>
      </c>
      <c r="L295" s="599"/>
      <c r="M295" s="597">
        <f>600000*0.85</f>
        <v>510000</v>
      </c>
      <c r="N295" s="463"/>
    </row>
    <row r="296" spans="1:18" ht="22.5" customHeight="1" x14ac:dyDescent="0.2">
      <c r="A296" s="343">
        <v>1</v>
      </c>
      <c r="B296" s="387" t="s">
        <v>199</v>
      </c>
      <c r="C296" s="440">
        <v>1</v>
      </c>
      <c r="D296" s="440"/>
      <c r="E296" s="440"/>
      <c r="F296" s="448" t="s">
        <v>528</v>
      </c>
      <c r="G296" s="452" t="s">
        <v>528</v>
      </c>
      <c r="H296" s="664" t="s">
        <v>599</v>
      </c>
      <c r="I296" s="597">
        <f t="shared" si="19"/>
        <v>60000</v>
      </c>
      <c r="J296" s="429"/>
      <c r="K296" s="599">
        <v>60000</v>
      </c>
      <c r="L296" s="597"/>
      <c r="M296" s="597"/>
      <c r="N296" s="463" t="s">
        <v>600</v>
      </c>
    </row>
    <row r="297" spans="1:18" x14ac:dyDescent="0.2">
      <c r="A297" s="343">
        <v>1</v>
      </c>
      <c r="C297" s="440">
        <v>1</v>
      </c>
      <c r="D297" s="440"/>
      <c r="E297" s="440"/>
      <c r="F297" s="448" t="s">
        <v>528</v>
      </c>
      <c r="G297" s="452" t="s">
        <v>528</v>
      </c>
      <c r="H297" s="656" t="s">
        <v>601</v>
      </c>
      <c r="I297" s="597">
        <f t="shared" si="19"/>
        <v>110000</v>
      </c>
      <c r="J297" s="429"/>
      <c r="K297" s="599">
        <v>110000</v>
      </c>
      <c r="L297" s="597"/>
      <c r="M297" s="597"/>
      <c r="N297" s="463"/>
    </row>
    <row r="298" spans="1:18" ht="22.5" hidden="1" x14ac:dyDescent="0.2">
      <c r="A298" s="343">
        <v>3</v>
      </c>
      <c r="C298" s="440">
        <v>2</v>
      </c>
      <c r="D298" s="440"/>
      <c r="E298" s="440"/>
      <c r="F298" s="577" t="s">
        <v>528</v>
      </c>
      <c r="G298" s="452" t="s">
        <v>528</v>
      </c>
      <c r="H298" s="665" t="s">
        <v>602</v>
      </c>
      <c r="I298" s="442">
        <f t="shared" si="19"/>
        <v>160000</v>
      </c>
      <c r="J298" s="666"/>
      <c r="K298" s="667">
        <v>160000</v>
      </c>
      <c r="L298" s="442"/>
      <c r="M298" s="539"/>
      <c r="N298" s="463" t="s">
        <v>603</v>
      </c>
    </row>
    <row r="299" spans="1:18" hidden="1" x14ac:dyDescent="0.2">
      <c r="A299" s="343">
        <v>2</v>
      </c>
      <c r="C299" s="440">
        <v>2</v>
      </c>
      <c r="D299" s="440"/>
      <c r="E299" s="440"/>
      <c r="F299" s="577" t="s">
        <v>528</v>
      </c>
      <c r="G299" s="452" t="s">
        <v>528</v>
      </c>
      <c r="H299" s="668" t="s">
        <v>604</v>
      </c>
      <c r="I299" s="579">
        <f t="shared" si="19"/>
        <v>590000</v>
      </c>
      <c r="J299" s="575"/>
      <c r="K299" s="589">
        <v>590000</v>
      </c>
      <c r="L299" s="579"/>
      <c r="M299" s="579"/>
      <c r="N299" s="463"/>
    </row>
    <row r="300" spans="1:18" hidden="1" x14ac:dyDescent="0.2">
      <c r="A300" s="343">
        <v>2</v>
      </c>
      <c r="C300" s="440">
        <v>2</v>
      </c>
      <c r="D300" s="440"/>
      <c r="E300" s="440"/>
      <c r="F300" s="577" t="s">
        <v>528</v>
      </c>
      <c r="G300" s="452" t="s">
        <v>528</v>
      </c>
      <c r="H300" s="668" t="s">
        <v>605</v>
      </c>
      <c r="I300" s="579">
        <f t="shared" si="19"/>
        <v>200000</v>
      </c>
      <c r="J300" s="575"/>
      <c r="K300" s="589">
        <v>200000</v>
      </c>
      <c r="L300" s="579"/>
      <c r="M300" s="579"/>
      <c r="N300" s="463"/>
    </row>
    <row r="301" spans="1:18" ht="24.75" hidden="1" customHeight="1" x14ac:dyDescent="0.2">
      <c r="A301" s="343">
        <v>2</v>
      </c>
      <c r="C301" s="440">
        <v>2</v>
      </c>
      <c r="D301" s="440"/>
      <c r="E301" s="440"/>
      <c r="F301" s="577" t="s">
        <v>528</v>
      </c>
      <c r="G301" s="452" t="s">
        <v>528</v>
      </c>
      <c r="H301" s="665" t="s">
        <v>606</v>
      </c>
      <c r="I301" s="579">
        <f t="shared" si="19"/>
        <v>90000</v>
      </c>
      <c r="J301" s="575"/>
      <c r="K301" s="589">
        <v>90000</v>
      </c>
      <c r="L301" s="579"/>
      <c r="M301" s="579"/>
      <c r="N301" s="463"/>
    </row>
    <row r="302" spans="1:18" ht="27" hidden="1" customHeight="1" x14ac:dyDescent="0.2">
      <c r="A302" s="343">
        <v>2</v>
      </c>
      <c r="C302" s="440">
        <v>2</v>
      </c>
      <c r="D302" s="440"/>
      <c r="E302" s="440"/>
      <c r="F302" s="577" t="s">
        <v>528</v>
      </c>
      <c r="G302" s="452" t="s">
        <v>528</v>
      </c>
      <c r="H302" s="665" t="s">
        <v>607</v>
      </c>
      <c r="I302" s="579">
        <f t="shared" si="19"/>
        <v>60000</v>
      </c>
      <c r="J302" s="575"/>
      <c r="K302" s="589">
        <v>60000</v>
      </c>
      <c r="L302" s="579"/>
      <c r="M302" s="579"/>
      <c r="N302" s="463"/>
    </row>
    <row r="303" spans="1:18" ht="25.5" hidden="1" customHeight="1" x14ac:dyDescent="0.2">
      <c r="A303" s="343">
        <v>3</v>
      </c>
      <c r="C303" s="440">
        <v>2</v>
      </c>
      <c r="D303" s="440"/>
      <c r="E303" s="440"/>
      <c r="F303" s="577" t="s">
        <v>528</v>
      </c>
      <c r="G303" s="452" t="s">
        <v>528</v>
      </c>
      <c r="H303" s="669" t="s">
        <v>608</v>
      </c>
      <c r="I303" s="442">
        <f t="shared" si="19"/>
        <v>120000</v>
      </c>
      <c r="J303" s="666"/>
      <c r="K303" s="667">
        <v>120000</v>
      </c>
      <c r="L303" s="442"/>
      <c r="M303" s="539"/>
      <c r="N303" s="463" t="s">
        <v>609</v>
      </c>
    </row>
    <row r="304" spans="1:18" x14ac:dyDescent="0.2">
      <c r="A304" s="343">
        <v>1</v>
      </c>
      <c r="C304" s="440">
        <v>1</v>
      </c>
      <c r="D304" s="440"/>
      <c r="E304" s="440"/>
      <c r="F304" s="448" t="s">
        <v>528</v>
      </c>
      <c r="G304" s="452" t="s">
        <v>528</v>
      </c>
      <c r="H304" s="656" t="s">
        <v>610</v>
      </c>
      <c r="I304" s="597">
        <f t="shared" si="19"/>
        <v>60000</v>
      </c>
      <c r="J304" s="429"/>
      <c r="K304" s="599">
        <f>230000-170000</f>
        <v>60000</v>
      </c>
      <c r="L304" s="597"/>
      <c r="M304" s="597"/>
      <c r="N304" s="463"/>
    </row>
    <row r="305" spans="1:15" x14ac:dyDescent="0.2">
      <c r="A305" s="343">
        <v>1</v>
      </c>
      <c r="C305" s="440"/>
      <c r="D305" s="440"/>
      <c r="E305" s="440"/>
      <c r="F305" s="448" t="s">
        <v>528</v>
      </c>
      <c r="G305" s="452" t="s">
        <v>528</v>
      </c>
      <c r="H305" s="650" t="s">
        <v>611</v>
      </c>
      <c r="I305" s="660"/>
      <c r="J305" s="661"/>
      <c r="K305" s="660"/>
      <c r="L305" s="660"/>
      <c r="M305" s="660"/>
      <c r="N305" s="463"/>
      <c r="O305"/>
    </row>
    <row r="306" spans="1:15" ht="22.5" x14ac:dyDescent="0.2">
      <c r="A306" s="343">
        <v>1</v>
      </c>
      <c r="C306" s="440">
        <v>1</v>
      </c>
      <c r="D306" s="440"/>
      <c r="E306" s="440"/>
      <c r="F306" s="448" t="s">
        <v>528</v>
      </c>
      <c r="G306" s="452" t="s">
        <v>528</v>
      </c>
      <c r="H306" s="670" t="s">
        <v>612</v>
      </c>
      <c r="I306" s="597">
        <f t="shared" si="19"/>
        <v>45000</v>
      </c>
      <c r="J306" s="429"/>
      <c r="K306" s="597">
        <v>45000</v>
      </c>
      <c r="L306" s="597"/>
      <c r="M306" s="597"/>
      <c r="N306" s="463"/>
      <c r="O306"/>
    </row>
    <row r="307" spans="1:15" hidden="1" x14ac:dyDescent="0.2">
      <c r="A307" s="343">
        <v>2</v>
      </c>
      <c r="C307" s="440">
        <v>2</v>
      </c>
      <c r="D307" s="440"/>
      <c r="E307" s="440"/>
      <c r="F307" s="577" t="s">
        <v>528</v>
      </c>
      <c r="G307" s="452" t="s">
        <v>528</v>
      </c>
      <c r="H307" s="671" t="s">
        <v>613</v>
      </c>
      <c r="I307" s="579">
        <f t="shared" si="19"/>
        <v>90750</v>
      </c>
      <c r="J307" s="575"/>
      <c r="K307" s="589">
        <v>90750</v>
      </c>
      <c r="L307" s="579"/>
      <c r="M307" s="579"/>
      <c r="N307" s="463"/>
    </row>
    <row r="308" spans="1:15" hidden="1" x14ac:dyDescent="0.2">
      <c r="A308" s="343">
        <v>2</v>
      </c>
      <c r="C308" s="440">
        <v>2</v>
      </c>
      <c r="D308" s="440"/>
      <c r="E308" s="440"/>
      <c r="F308" s="577" t="s">
        <v>528</v>
      </c>
      <c r="G308" s="452" t="s">
        <v>528</v>
      </c>
      <c r="H308" s="671" t="s">
        <v>614</v>
      </c>
      <c r="I308" s="579">
        <f t="shared" si="19"/>
        <v>55000</v>
      </c>
      <c r="J308" s="575"/>
      <c r="K308" s="579">
        <v>55000</v>
      </c>
      <c r="L308" s="579"/>
      <c r="M308" s="579"/>
      <c r="N308" s="463"/>
    </row>
    <row r="309" spans="1:15" hidden="1" x14ac:dyDescent="0.2">
      <c r="A309" s="343">
        <v>2</v>
      </c>
      <c r="C309" s="440">
        <v>2</v>
      </c>
      <c r="D309" s="440"/>
      <c r="E309" s="440"/>
      <c r="F309" s="577" t="s">
        <v>528</v>
      </c>
      <c r="G309" s="452" t="s">
        <v>528</v>
      </c>
      <c r="H309" s="672" t="s">
        <v>615</v>
      </c>
      <c r="I309" s="579">
        <f t="shared" si="19"/>
        <v>1000000</v>
      </c>
      <c r="J309" s="575"/>
      <c r="K309" s="579">
        <f>1000000-L309</f>
        <v>500000</v>
      </c>
      <c r="L309" s="579">
        <v>500000</v>
      </c>
      <c r="M309" s="579"/>
      <c r="N309" s="463" t="s">
        <v>616</v>
      </c>
    </row>
    <row r="310" spans="1:15" hidden="1" x14ac:dyDescent="0.2">
      <c r="A310" s="343">
        <v>2</v>
      </c>
      <c r="C310" s="440">
        <v>2</v>
      </c>
      <c r="D310" s="440"/>
      <c r="E310" s="440"/>
      <c r="F310" s="577" t="s">
        <v>528</v>
      </c>
      <c r="G310" s="452" t="s">
        <v>528</v>
      </c>
      <c r="H310" s="672" t="s">
        <v>617</v>
      </c>
      <c r="I310" s="579">
        <f t="shared" si="19"/>
        <v>2000000</v>
      </c>
      <c r="J310" s="575"/>
      <c r="K310" s="579">
        <f>2000000-L310</f>
        <v>1000000</v>
      </c>
      <c r="L310" s="579">
        <v>1000000</v>
      </c>
      <c r="M310" s="579"/>
      <c r="N310" s="463" t="s">
        <v>616</v>
      </c>
    </row>
    <row r="311" spans="1:15" hidden="1" x14ac:dyDescent="0.2">
      <c r="A311" s="343">
        <v>2</v>
      </c>
      <c r="B311" s="387" t="s">
        <v>205</v>
      </c>
      <c r="C311" s="440">
        <v>2</v>
      </c>
      <c r="D311" s="440"/>
      <c r="E311" s="440"/>
      <c r="F311" s="577" t="s">
        <v>528</v>
      </c>
      <c r="G311" s="452" t="s">
        <v>528</v>
      </c>
      <c r="H311" s="673" t="s">
        <v>618</v>
      </c>
      <c r="I311" s="579">
        <f t="shared" si="19"/>
        <v>150000</v>
      </c>
      <c r="J311" s="575"/>
      <c r="K311" s="589">
        <v>150000</v>
      </c>
      <c r="L311" s="579"/>
      <c r="M311" s="579"/>
      <c r="N311" s="463"/>
      <c r="O311"/>
    </row>
    <row r="312" spans="1:15" x14ac:dyDescent="0.2">
      <c r="A312" s="343">
        <v>1</v>
      </c>
      <c r="C312" s="440">
        <v>1</v>
      </c>
      <c r="D312" s="440"/>
      <c r="E312" s="440"/>
      <c r="F312" s="448" t="s">
        <v>528</v>
      </c>
      <c r="G312" s="452" t="s">
        <v>528</v>
      </c>
      <c r="H312" s="650" t="s">
        <v>619</v>
      </c>
      <c r="I312" s="660"/>
      <c r="J312" s="661"/>
      <c r="K312" s="660"/>
      <c r="L312" s="660"/>
      <c r="M312" s="660"/>
      <c r="N312" s="463"/>
      <c r="O312"/>
    </row>
    <row r="313" spans="1:15" x14ac:dyDescent="0.2">
      <c r="A313" s="343">
        <v>1</v>
      </c>
      <c r="B313" s="387" t="s">
        <v>199</v>
      </c>
      <c r="C313" s="440">
        <v>1</v>
      </c>
      <c r="D313" s="440"/>
      <c r="E313" s="440"/>
      <c r="F313" s="448" t="s">
        <v>528</v>
      </c>
      <c r="G313" s="452" t="s">
        <v>528</v>
      </c>
      <c r="H313" s="674" t="s">
        <v>620</v>
      </c>
      <c r="I313" s="597">
        <f t="shared" si="19"/>
        <v>37510</v>
      </c>
      <c r="J313" s="429"/>
      <c r="K313" s="597">
        <v>37510</v>
      </c>
      <c r="L313" s="597"/>
      <c r="M313" s="597"/>
      <c r="N313" s="463" t="s">
        <v>621</v>
      </c>
    </row>
    <row r="314" spans="1:15" x14ac:dyDescent="0.2">
      <c r="A314" s="343">
        <v>1</v>
      </c>
      <c r="B314" s="387" t="s">
        <v>199</v>
      </c>
      <c r="C314" s="440">
        <v>1</v>
      </c>
      <c r="D314" s="440"/>
      <c r="E314" s="440"/>
      <c r="F314" s="448" t="s">
        <v>528</v>
      </c>
      <c r="G314" s="452" t="s">
        <v>528</v>
      </c>
      <c r="H314" s="653" t="s">
        <v>622</v>
      </c>
      <c r="I314" s="597">
        <f t="shared" si="19"/>
        <v>70000</v>
      </c>
      <c r="J314" s="429"/>
      <c r="K314" s="597">
        <f>70000</f>
        <v>70000</v>
      </c>
      <c r="L314" s="597"/>
      <c r="M314" s="597"/>
      <c r="N314" s="463" t="s">
        <v>623</v>
      </c>
      <c r="O314"/>
    </row>
    <row r="315" spans="1:15" x14ac:dyDescent="0.2">
      <c r="A315" s="343">
        <v>1</v>
      </c>
      <c r="C315" s="440">
        <v>1</v>
      </c>
      <c r="D315" s="440"/>
      <c r="E315" s="440"/>
      <c r="F315" s="448" t="s">
        <v>528</v>
      </c>
      <c r="G315" s="452" t="s">
        <v>528</v>
      </c>
      <c r="H315" s="662" t="s">
        <v>624</v>
      </c>
      <c r="I315" s="597">
        <f>SUM(K315:M315)</f>
        <v>39800</v>
      </c>
      <c r="J315" s="429"/>
      <c r="K315" s="597">
        <v>39800</v>
      </c>
      <c r="L315" s="597"/>
      <c r="M315" s="597"/>
      <c r="N315" s="463"/>
    </row>
    <row r="316" spans="1:15" x14ac:dyDescent="0.2">
      <c r="A316" s="343">
        <v>1</v>
      </c>
      <c r="B316" s="387" t="s">
        <v>261</v>
      </c>
      <c r="C316" s="440">
        <v>1</v>
      </c>
      <c r="D316" s="440"/>
      <c r="E316" s="440"/>
      <c r="F316" s="448" t="s">
        <v>528</v>
      </c>
      <c r="G316" s="452" t="s">
        <v>528</v>
      </c>
      <c r="H316" s="656" t="s">
        <v>625</v>
      </c>
      <c r="I316" s="597">
        <f t="shared" si="19"/>
        <v>6000</v>
      </c>
      <c r="J316" s="429"/>
      <c r="K316" s="597">
        <v>6000</v>
      </c>
      <c r="L316" s="597"/>
      <c r="M316" s="597"/>
      <c r="N316" s="463"/>
      <c r="O316"/>
    </row>
    <row r="317" spans="1:15" hidden="1" x14ac:dyDescent="0.2">
      <c r="A317" s="343">
        <v>2</v>
      </c>
      <c r="B317" s="387" t="s">
        <v>205</v>
      </c>
      <c r="C317" s="440">
        <v>2</v>
      </c>
      <c r="D317" s="440"/>
      <c r="E317" s="440"/>
      <c r="F317" s="577" t="s">
        <v>528</v>
      </c>
      <c r="G317" s="452" t="s">
        <v>528</v>
      </c>
      <c r="H317" s="665" t="s">
        <v>626</v>
      </c>
      <c r="I317" s="579">
        <f t="shared" si="19"/>
        <v>50000</v>
      </c>
      <c r="J317" s="575"/>
      <c r="K317" s="589">
        <v>50000</v>
      </c>
      <c r="L317" s="589"/>
      <c r="M317" s="589"/>
      <c r="N317" s="463"/>
      <c r="O317"/>
    </row>
    <row r="318" spans="1:15" hidden="1" x14ac:dyDescent="0.2">
      <c r="C318" s="440"/>
      <c r="D318" s="440"/>
      <c r="E318" s="440"/>
      <c r="F318" s="452" t="s">
        <v>528</v>
      </c>
      <c r="G318" s="452" t="s">
        <v>528</v>
      </c>
      <c r="H318" s="675"/>
      <c r="I318" s="539">
        <f t="shared" si="19"/>
        <v>0</v>
      </c>
      <c r="J318" s="676"/>
      <c r="K318" s="539"/>
      <c r="L318" s="539"/>
      <c r="M318" s="539"/>
      <c r="N318" s="463"/>
      <c r="O318"/>
    </row>
    <row r="319" spans="1:15" hidden="1" x14ac:dyDescent="0.2">
      <c r="H319" s="677" t="s">
        <v>627</v>
      </c>
      <c r="I319" s="678">
        <f>SUM(I156:I318)</f>
        <v>9412884.6999999993</v>
      </c>
      <c r="J319" s="450">
        <f>SUM(J156:J316)</f>
        <v>0</v>
      </c>
      <c r="K319" s="678">
        <f>SUM(K156:K318)</f>
        <v>6829946.7000000002</v>
      </c>
      <c r="L319" s="678">
        <f>SUM(L156:L318)</f>
        <v>1647938</v>
      </c>
      <c r="M319" s="470">
        <f>SUM(M156:M318)</f>
        <v>935000</v>
      </c>
      <c r="N319" s="463"/>
      <c r="O319"/>
    </row>
    <row r="320" spans="1:15" x14ac:dyDescent="0.2">
      <c r="H320" s="679"/>
      <c r="I320" s="353"/>
      <c r="J320" s="450"/>
      <c r="K320" s="353"/>
      <c r="L320" s="353"/>
      <c r="M320" s="471"/>
      <c r="N320" s="463"/>
    </row>
    <row r="321" spans="1:23" ht="24" x14ac:dyDescent="0.2">
      <c r="H321" s="679" t="s">
        <v>628</v>
      </c>
      <c r="I321" s="408" t="s">
        <v>183</v>
      </c>
      <c r="J321" s="450"/>
      <c r="K321" s="408" t="s">
        <v>78</v>
      </c>
      <c r="L321" s="408" t="s">
        <v>184</v>
      </c>
      <c r="M321" s="409" t="s">
        <v>185</v>
      </c>
      <c r="N321" s="463"/>
    </row>
    <row r="322" spans="1:23" x14ac:dyDescent="0.2">
      <c r="A322">
        <v>1</v>
      </c>
      <c r="H322" s="679">
        <v>1</v>
      </c>
      <c r="I322" s="680">
        <f>SUMIF($A$156:$A$318,$A322,I$156:I$318)</f>
        <v>4278252.7</v>
      </c>
      <c r="J322" s="450"/>
      <c r="K322" s="680">
        <f t="shared" ref="K322:M323" si="20">SUMIF($A$156:$A$318,$A322,K$156:K$318)</f>
        <v>3195314.7</v>
      </c>
      <c r="L322" s="680">
        <f t="shared" si="20"/>
        <v>147938</v>
      </c>
      <c r="M322" s="680">
        <f t="shared" si="20"/>
        <v>935000</v>
      </c>
      <c r="N322" s="463"/>
    </row>
    <row r="323" spans="1:23" x14ac:dyDescent="0.2">
      <c r="A323">
        <v>2</v>
      </c>
      <c r="H323" s="679">
        <v>2</v>
      </c>
      <c r="I323" s="681">
        <f>SUMIF($A$156:$A$318,$A323,I$156:I$318)</f>
        <v>4854632</v>
      </c>
      <c r="J323" s="450"/>
      <c r="K323" s="681">
        <f t="shared" si="20"/>
        <v>3354632</v>
      </c>
      <c r="L323" s="681">
        <f t="shared" si="20"/>
        <v>1500000</v>
      </c>
      <c r="M323" s="681">
        <f t="shared" si="20"/>
        <v>0</v>
      </c>
      <c r="N323" s="463"/>
    </row>
    <row r="324" spans="1:23" x14ac:dyDescent="0.2">
      <c r="H324">
        <v>3</v>
      </c>
      <c r="I324" s="682">
        <f>I319-I322-I323</f>
        <v>279999.99999999907</v>
      </c>
      <c r="K324" s="682">
        <f>K319-K322-K323</f>
        <v>280000</v>
      </c>
      <c r="L324" s="682">
        <f>L319-L322-L323</f>
        <v>0</v>
      </c>
      <c r="M324" s="682">
        <f>M319-M322-M323</f>
        <v>0</v>
      </c>
      <c r="N324" s="463"/>
    </row>
    <row r="325" spans="1:23" x14ac:dyDescent="0.2">
      <c r="I325" s="682"/>
      <c r="K325" s="682"/>
      <c r="L325" s="682"/>
      <c r="M325" s="682"/>
      <c r="N325" s="463"/>
    </row>
    <row r="326" spans="1:23" s="683" customFormat="1" ht="3.6" customHeight="1" x14ac:dyDescent="0.2">
      <c r="B326" s="684"/>
      <c r="F326" s="388"/>
      <c r="M326" s="685"/>
      <c r="N326" s="463"/>
      <c r="O326" s="330"/>
    </row>
    <row r="327" spans="1:23" x14ac:dyDescent="0.2">
      <c r="F327" s="334" t="s">
        <v>629</v>
      </c>
      <c r="N327" s="463"/>
    </row>
    <row r="328" spans="1:23" ht="24" customHeight="1" x14ac:dyDescent="0.2">
      <c r="C328" s="1177" t="s">
        <v>192</v>
      </c>
      <c r="D328" s="1177" t="s">
        <v>193</v>
      </c>
      <c r="E328" s="1177" t="s">
        <v>194</v>
      </c>
      <c r="F328" s="1178" t="s">
        <v>195</v>
      </c>
      <c r="G328" s="1177" t="s">
        <v>196</v>
      </c>
      <c r="H328" s="1179" t="s">
        <v>375</v>
      </c>
      <c r="I328" s="1175" t="s">
        <v>183</v>
      </c>
      <c r="J328" s="476"/>
      <c r="K328" s="1176" t="s">
        <v>198</v>
      </c>
      <c r="L328" s="1176"/>
      <c r="M328" s="1176"/>
      <c r="N328" s="463"/>
    </row>
    <row r="329" spans="1:23" ht="29.25" customHeight="1" x14ac:dyDescent="0.2">
      <c r="C329" s="1177"/>
      <c r="D329" s="1177"/>
      <c r="E329" s="1177"/>
      <c r="F329" s="1178"/>
      <c r="G329" s="1177"/>
      <c r="H329" s="1180"/>
      <c r="I329" s="1175"/>
      <c r="J329" s="476"/>
      <c r="K329" s="686" t="s">
        <v>78</v>
      </c>
      <c r="L329" s="686" t="s">
        <v>184</v>
      </c>
      <c r="M329" s="687" t="s">
        <v>185</v>
      </c>
      <c r="N329" s="463"/>
    </row>
    <row r="330" spans="1:23" ht="24.75" customHeight="1" x14ac:dyDescent="0.2">
      <c r="C330" s="688"/>
      <c r="D330" s="688"/>
      <c r="E330" s="688"/>
      <c r="F330" s="689"/>
      <c r="G330" s="452"/>
      <c r="H330" s="360"/>
      <c r="I330" s="461">
        <f>SUM(K330:M330)</f>
        <v>0</v>
      </c>
      <c r="J330" s="476"/>
      <c r="K330" s="461"/>
      <c r="L330" s="442"/>
      <c r="M330" s="690"/>
      <c r="N330" s="463"/>
    </row>
    <row r="331" spans="1:23" s="343" customFormat="1" x14ac:dyDescent="0.2">
      <c r="B331" s="387" t="s">
        <v>261</v>
      </c>
      <c r="C331" s="452"/>
      <c r="D331" s="452"/>
      <c r="E331" s="452"/>
      <c r="F331" s="648"/>
      <c r="G331" s="452"/>
      <c r="H331" s="449"/>
      <c r="I331" s="461">
        <f>SUM(K331:M331)</f>
        <v>0</v>
      </c>
      <c r="J331" s="450"/>
      <c r="K331" s="461"/>
      <c r="L331" s="442"/>
      <c r="M331" s="442"/>
      <c r="N331" s="463"/>
      <c r="O331" s="342"/>
      <c r="R331"/>
    </row>
    <row r="332" spans="1:23" x14ac:dyDescent="0.2">
      <c r="I332" s="678">
        <f>SUM(I330:I331)</f>
        <v>0</v>
      </c>
      <c r="J332" s="450"/>
      <c r="K332" s="678">
        <f>SUM(K330:K331)</f>
        <v>0</v>
      </c>
      <c r="L332" s="678"/>
      <c r="M332" s="678"/>
      <c r="N332" s="463"/>
    </row>
    <row r="333" spans="1:23" x14ac:dyDescent="0.2">
      <c r="A333" t="s">
        <v>261</v>
      </c>
      <c r="I333" s="353"/>
      <c r="J333" s="450"/>
      <c r="K333" s="353"/>
      <c r="L333" s="353"/>
      <c r="M333" s="353"/>
      <c r="N333" s="463"/>
    </row>
    <row r="334" spans="1:23" x14ac:dyDescent="0.2">
      <c r="A334" t="s">
        <v>199</v>
      </c>
      <c r="I334" s="341"/>
      <c r="N334" s="463"/>
    </row>
    <row r="335" spans="1:23" s="329" customFormat="1" x14ac:dyDescent="0.2">
      <c r="B335" s="387"/>
      <c r="C335"/>
      <c r="D335"/>
      <c r="E335"/>
      <c r="F335" s="388"/>
      <c r="G335"/>
      <c r="H335"/>
      <c r="I335" s="341"/>
      <c r="J335"/>
      <c r="K335" s="341"/>
      <c r="L335"/>
      <c r="M335" s="363"/>
      <c r="N335" s="463"/>
      <c r="O335" s="330"/>
      <c r="P335"/>
      <c r="Q335"/>
      <c r="R335"/>
      <c r="S335"/>
      <c r="T335"/>
      <c r="U335"/>
      <c r="V335"/>
      <c r="W335"/>
    </row>
    <row r="336" spans="1:23" x14ac:dyDescent="0.2">
      <c r="N336" s="463"/>
    </row>
    <row r="337" spans="1:15" x14ac:dyDescent="0.2">
      <c r="N337" s="463"/>
    </row>
    <row r="338" spans="1:15" x14ac:dyDescent="0.2">
      <c r="N338" s="463"/>
    </row>
    <row r="339" spans="1:15" x14ac:dyDescent="0.2">
      <c r="N339" s="463"/>
    </row>
    <row r="340" spans="1:15" x14ac:dyDescent="0.2">
      <c r="N340" s="463"/>
    </row>
    <row r="341" spans="1:15" x14ac:dyDescent="0.2">
      <c r="N341" s="463"/>
    </row>
    <row r="342" spans="1:15" x14ac:dyDescent="0.2">
      <c r="N342" s="463"/>
    </row>
    <row r="343" spans="1:15" x14ac:dyDescent="0.2">
      <c r="N343" s="463"/>
    </row>
    <row r="344" spans="1:15" x14ac:dyDescent="0.2">
      <c r="N344" s="463"/>
    </row>
    <row r="345" spans="1:15" x14ac:dyDescent="0.2">
      <c r="N345" s="463"/>
    </row>
    <row r="346" spans="1:15" s="343" customFormat="1" x14ac:dyDescent="0.2">
      <c r="F346" s="334" t="s">
        <v>630</v>
      </c>
      <c r="M346" s="474"/>
      <c r="N346" s="463"/>
      <c r="O346" s="342"/>
    </row>
    <row r="347" spans="1:15" ht="24" customHeight="1" x14ac:dyDescent="0.2">
      <c r="C347" s="1177" t="s">
        <v>192</v>
      </c>
      <c r="D347" s="1177" t="s">
        <v>193</v>
      </c>
      <c r="E347" s="1177" t="s">
        <v>194</v>
      </c>
      <c r="F347" s="1178" t="s">
        <v>195</v>
      </c>
      <c r="G347" s="1177" t="s">
        <v>196</v>
      </c>
      <c r="H347" s="1179" t="s">
        <v>375</v>
      </c>
      <c r="I347" s="1175" t="s">
        <v>183</v>
      </c>
      <c r="J347" s="476"/>
      <c r="K347" s="1176" t="s">
        <v>198</v>
      </c>
      <c r="L347" s="1176"/>
      <c r="M347" s="1176"/>
      <c r="N347" s="463"/>
    </row>
    <row r="348" spans="1:15" ht="17.25" customHeight="1" x14ac:dyDescent="0.2">
      <c r="C348" s="1177"/>
      <c r="D348" s="1177"/>
      <c r="E348" s="1177"/>
      <c r="F348" s="1178"/>
      <c r="G348" s="1177"/>
      <c r="H348" s="1180"/>
      <c r="I348" s="1175"/>
      <c r="J348" s="476"/>
      <c r="K348" s="686" t="s">
        <v>78</v>
      </c>
      <c r="L348" s="686" t="s">
        <v>184</v>
      </c>
      <c r="M348" s="687" t="s">
        <v>185</v>
      </c>
      <c r="N348" s="463"/>
    </row>
    <row r="349" spans="1:15" ht="24.75" customHeight="1" x14ac:dyDescent="0.2">
      <c r="A349">
        <v>2024</v>
      </c>
      <c r="C349" s="688"/>
      <c r="D349" s="688"/>
      <c r="E349" s="688"/>
      <c r="F349" s="691" t="s">
        <v>206</v>
      </c>
      <c r="G349" s="452" t="s">
        <v>201</v>
      </c>
      <c r="H349" s="692" t="s">
        <v>631</v>
      </c>
      <c r="I349" s="693">
        <v>0</v>
      </c>
      <c r="J349" s="476"/>
      <c r="K349" s="461">
        <v>13541</v>
      </c>
      <c r="L349" s="442"/>
      <c r="M349" s="690"/>
      <c r="N349" s="463"/>
    </row>
    <row r="350" spans="1:15" x14ac:dyDescent="0.2">
      <c r="A350" s="343">
        <v>2024</v>
      </c>
      <c r="B350" s="387" t="s">
        <v>199</v>
      </c>
      <c r="C350" s="440"/>
      <c r="D350" s="440"/>
      <c r="E350" s="440"/>
      <c r="F350" s="452" t="s">
        <v>528</v>
      </c>
      <c r="G350" s="452" t="s">
        <v>528</v>
      </c>
      <c r="H350" s="692" t="s">
        <v>632</v>
      </c>
      <c r="I350" s="693">
        <f>SUM(K350:M350)-308339.67</f>
        <v>0</v>
      </c>
      <c r="J350" s="450"/>
      <c r="K350" s="461">
        <f>308339.67</f>
        <v>308339.67</v>
      </c>
      <c r="L350" s="442"/>
      <c r="M350" s="539"/>
      <c r="N350" s="463"/>
    </row>
    <row r="351" spans="1:15" ht="24" x14ac:dyDescent="0.2">
      <c r="A351">
        <v>2024</v>
      </c>
      <c r="B351" s="387" t="s">
        <v>199</v>
      </c>
      <c r="C351" s="440"/>
      <c r="D351" s="440"/>
      <c r="E351" s="440"/>
      <c r="F351" s="452" t="s">
        <v>528</v>
      </c>
      <c r="G351" s="452" t="s">
        <v>528</v>
      </c>
      <c r="H351" s="692" t="s">
        <v>633</v>
      </c>
      <c r="I351" s="693">
        <f>SUM(K351:M351)-55000</f>
        <v>0</v>
      </c>
      <c r="J351" s="450"/>
      <c r="K351" s="461">
        <v>55000</v>
      </c>
      <c r="L351" s="442"/>
      <c r="M351" s="539"/>
      <c r="N351" s="463"/>
    </row>
    <row r="352" spans="1:15" ht="24" x14ac:dyDescent="0.2">
      <c r="A352">
        <v>2024</v>
      </c>
      <c r="B352" s="387" t="s">
        <v>205</v>
      </c>
      <c r="C352" s="440"/>
      <c r="D352" s="440"/>
      <c r="E352" s="440"/>
      <c r="F352" s="452" t="s">
        <v>528</v>
      </c>
      <c r="G352" s="452" t="s">
        <v>528</v>
      </c>
      <c r="H352" s="694" t="s">
        <v>634</v>
      </c>
      <c r="I352" s="693">
        <f>3500-3500</f>
        <v>0</v>
      </c>
      <c r="J352" s="450"/>
      <c r="K352" s="461">
        <v>3500</v>
      </c>
      <c r="L352" s="461"/>
      <c r="M352" s="695"/>
      <c r="N352" s="463"/>
    </row>
    <row r="353" spans="1:21" ht="24" x14ac:dyDescent="0.2">
      <c r="A353">
        <v>2024</v>
      </c>
      <c r="B353" s="387" t="s">
        <v>199</v>
      </c>
      <c r="C353" s="477"/>
      <c r="D353" s="477"/>
      <c r="E353" s="477"/>
      <c r="F353" s="478" t="s">
        <v>328</v>
      </c>
      <c r="G353" s="477" t="s">
        <v>329</v>
      </c>
      <c r="H353" s="696" t="s">
        <v>635</v>
      </c>
      <c r="I353" s="697">
        <f>8500-8500</f>
        <v>0</v>
      </c>
      <c r="J353" s="450"/>
      <c r="K353" s="485">
        <v>8500</v>
      </c>
      <c r="L353" s="481"/>
      <c r="M353" s="583"/>
      <c r="N353" s="463"/>
    </row>
    <row r="354" spans="1:21" s="343" customFormat="1" ht="24" x14ac:dyDescent="0.2">
      <c r="A354" s="343">
        <v>2024</v>
      </c>
      <c r="B354" s="387" t="s">
        <v>199</v>
      </c>
      <c r="C354" s="452"/>
      <c r="D354" s="452"/>
      <c r="E354" s="452"/>
      <c r="F354" s="452" t="s">
        <v>528</v>
      </c>
      <c r="G354" s="452" t="s">
        <v>528</v>
      </c>
      <c r="H354" s="698" t="s">
        <v>636</v>
      </c>
      <c r="I354" s="693">
        <f>SUM(K354:M354)-7500</f>
        <v>0</v>
      </c>
      <c r="J354" s="450"/>
      <c r="K354" s="461">
        <f>15000/2</f>
        <v>7500</v>
      </c>
      <c r="L354" s="442"/>
      <c r="M354" s="442"/>
      <c r="N354" s="463"/>
      <c r="O354" s="342"/>
      <c r="R354"/>
    </row>
    <row r="355" spans="1:21" x14ac:dyDescent="0.2">
      <c r="A355">
        <v>2024</v>
      </c>
      <c r="B355" s="387" t="s">
        <v>205</v>
      </c>
      <c r="C355" s="477"/>
      <c r="D355" s="477"/>
      <c r="E355" s="477"/>
      <c r="F355" s="478" t="s">
        <v>501</v>
      </c>
      <c r="G355" s="477" t="s">
        <v>502</v>
      </c>
      <c r="H355" s="696" t="s">
        <v>637</v>
      </c>
      <c r="I355" s="697">
        <f>SUM(K355:M355)-7500</f>
        <v>0</v>
      </c>
      <c r="J355" s="450"/>
      <c r="K355" s="461">
        <f>15000/2</f>
        <v>7500</v>
      </c>
      <c r="L355" s="481"/>
      <c r="M355" s="583"/>
      <c r="N355" s="463"/>
    </row>
    <row r="356" spans="1:21" x14ac:dyDescent="0.2">
      <c r="A356" s="343">
        <v>2024</v>
      </c>
      <c r="B356" s="387" t="s">
        <v>205</v>
      </c>
      <c r="C356" s="440"/>
      <c r="D356" s="440"/>
      <c r="E356" s="440"/>
      <c r="F356" s="452" t="s">
        <v>528</v>
      </c>
      <c r="G356" s="452" t="s">
        <v>528</v>
      </c>
      <c r="H356" s="699" t="s">
        <v>638</v>
      </c>
      <c r="I356" s="693">
        <f>SUM(K356:M356)-21000</f>
        <v>0</v>
      </c>
      <c r="J356" s="450"/>
      <c r="K356" s="461">
        <v>21000</v>
      </c>
      <c r="L356" s="442"/>
      <c r="M356" s="539"/>
      <c r="N356" s="463"/>
    </row>
    <row r="357" spans="1:21" ht="24" x14ac:dyDescent="0.2">
      <c r="A357">
        <v>2024</v>
      </c>
      <c r="C357" s="440"/>
      <c r="D357" s="440"/>
      <c r="E357" s="440"/>
      <c r="F357" s="700" t="s">
        <v>245</v>
      </c>
      <c r="G357" s="440" t="s">
        <v>639</v>
      </c>
      <c r="H357" s="698" t="s">
        <v>640</v>
      </c>
      <c r="I357" s="693">
        <f>SUM(K357:M357)-5000</f>
        <v>0</v>
      </c>
      <c r="J357" s="450"/>
      <c r="K357" s="461">
        <v>5000</v>
      </c>
      <c r="L357" s="442"/>
      <c r="M357" s="442"/>
      <c r="N357" s="463"/>
    </row>
    <row r="358" spans="1:21" ht="24" x14ac:dyDescent="0.2">
      <c r="A358">
        <v>2024</v>
      </c>
      <c r="C358" s="440"/>
      <c r="D358" s="440"/>
      <c r="E358" s="440"/>
      <c r="F358" s="700" t="s">
        <v>245</v>
      </c>
      <c r="G358" s="440" t="s">
        <v>639</v>
      </c>
      <c r="H358" s="698" t="s">
        <v>641</v>
      </c>
      <c r="I358" s="693">
        <f>SUM(K358:M358)-16000</f>
        <v>0</v>
      </c>
      <c r="J358" s="450"/>
      <c r="K358" s="461">
        <v>16000</v>
      </c>
      <c r="L358" s="442"/>
      <c r="M358" s="442"/>
      <c r="N358" s="463"/>
    </row>
    <row r="359" spans="1:21" s="343" customFormat="1" ht="24" x14ac:dyDescent="0.2">
      <c r="A359" s="343">
        <v>2025</v>
      </c>
      <c r="B359" s="387" t="s">
        <v>261</v>
      </c>
      <c r="C359" s="452"/>
      <c r="D359" s="452"/>
      <c r="E359" s="452"/>
      <c r="F359" s="452" t="s">
        <v>528</v>
      </c>
      <c r="G359" s="452" t="s">
        <v>528</v>
      </c>
      <c r="H359" s="449" t="s">
        <v>642</v>
      </c>
      <c r="I359" s="461">
        <f>SUM(K359:M359)</f>
        <v>60000</v>
      </c>
      <c r="J359" s="450"/>
      <c r="K359" s="461">
        <f>330000-270000</f>
        <v>60000</v>
      </c>
      <c r="L359" s="442"/>
      <c r="M359" s="442"/>
      <c r="N359" s="463"/>
      <c r="O359" s="342"/>
      <c r="R359"/>
    </row>
    <row r="360" spans="1:21" x14ac:dyDescent="0.2">
      <c r="A360">
        <v>2025</v>
      </c>
      <c r="B360" s="387" t="s">
        <v>261</v>
      </c>
      <c r="C360" s="440"/>
      <c r="D360" s="440"/>
      <c r="E360" s="440"/>
      <c r="F360" s="452" t="s">
        <v>528</v>
      </c>
      <c r="G360" s="452" t="s">
        <v>528</v>
      </c>
      <c r="H360" s="701" t="s">
        <v>643</v>
      </c>
      <c r="I360" s="461">
        <v>329070</v>
      </c>
      <c r="J360" s="450"/>
      <c r="K360" s="461">
        <v>329070</v>
      </c>
      <c r="L360" s="442"/>
      <c r="M360" s="539"/>
      <c r="N360" s="463"/>
    </row>
    <row r="361" spans="1:21" ht="12.6" customHeight="1" x14ac:dyDescent="0.2">
      <c r="A361">
        <v>2025</v>
      </c>
      <c r="B361" s="387" t="s">
        <v>261</v>
      </c>
      <c r="C361" s="440"/>
      <c r="D361" s="440"/>
      <c r="E361" s="440"/>
      <c r="F361" s="452" t="s">
        <v>528</v>
      </c>
      <c r="G361" s="452" t="s">
        <v>528</v>
      </c>
      <c r="H361" s="702" t="s">
        <v>644</v>
      </c>
      <c r="I361" s="461">
        <v>20000</v>
      </c>
      <c r="J361" s="450"/>
      <c r="K361" s="461">
        <v>20000</v>
      </c>
      <c r="L361" s="461"/>
      <c r="M361" s="695"/>
      <c r="N361" s="463"/>
    </row>
    <row r="362" spans="1:21" ht="11.45" customHeight="1" x14ac:dyDescent="0.2">
      <c r="A362">
        <v>2025</v>
      </c>
      <c r="B362" s="387" t="s">
        <v>205</v>
      </c>
      <c r="C362" s="440"/>
      <c r="D362" s="440"/>
      <c r="E362" s="440"/>
      <c r="F362" s="452" t="s">
        <v>528</v>
      </c>
      <c r="G362" s="452" t="s">
        <v>528</v>
      </c>
      <c r="H362" s="702" t="s">
        <v>645</v>
      </c>
      <c r="I362" s="461">
        <v>2500</v>
      </c>
      <c r="J362" s="450"/>
      <c r="K362" s="461">
        <v>2500</v>
      </c>
      <c r="L362" s="461"/>
      <c r="M362" s="695"/>
      <c r="N362" s="463"/>
    </row>
    <row r="363" spans="1:21" x14ac:dyDescent="0.2">
      <c r="A363">
        <v>2025</v>
      </c>
      <c r="B363" s="387" t="s">
        <v>261</v>
      </c>
      <c r="C363" s="440"/>
      <c r="D363" s="440"/>
      <c r="E363" s="440"/>
      <c r="F363" s="448" t="s">
        <v>286</v>
      </c>
      <c r="G363" s="440" t="s">
        <v>287</v>
      </c>
      <c r="H363" s="449" t="s">
        <v>646</v>
      </c>
      <c r="I363" s="484">
        <f t="shared" ref="I363:I368" si="21">SUM(K363:M363)</f>
        <v>42500</v>
      </c>
      <c r="J363" s="450"/>
      <c r="K363" s="461">
        <f>42500</f>
        <v>42500</v>
      </c>
      <c r="L363" s="442"/>
      <c r="M363" s="539"/>
      <c r="N363" s="463"/>
    </row>
    <row r="364" spans="1:21" ht="13.9" customHeight="1" x14ac:dyDescent="0.2">
      <c r="A364">
        <v>2025</v>
      </c>
      <c r="B364" s="387" t="s">
        <v>199</v>
      </c>
      <c r="C364" s="703"/>
      <c r="D364" s="703"/>
      <c r="E364" s="703"/>
      <c r="F364" s="704" t="s">
        <v>286</v>
      </c>
      <c r="G364" s="703" t="s">
        <v>287</v>
      </c>
      <c r="H364" s="705" t="s">
        <v>647</v>
      </c>
      <c r="I364" s="706">
        <f t="shared" si="21"/>
        <v>60000</v>
      </c>
      <c r="J364" s="707"/>
      <c r="K364" s="708">
        <f>60000</f>
        <v>60000</v>
      </c>
      <c r="L364" s="709"/>
      <c r="M364" s="710"/>
      <c r="N364" s="463"/>
    </row>
    <row r="365" spans="1:21" ht="12.6" customHeight="1" x14ac:dyDescent="0.2">
      <c r="A365">
        <v>2025</v>
      </c>
      <c r="B365" s="387" t="s">
        <v>199</v>
      </c>
      <c r="C365" s="477"/>
      <c r="D365" s="477"/>
      <c r="E365" s="477"/>
      <c r="F365" s="478" t="s">
        <v>450</v>
      </c>
      <c r="G365" s="477" t="s">
        <v>451</v>
      </c>
      <c r="H365" s="569" t="s">
        <v>648</v>
      </c>
      <c r="I365" s="485">
        <f t="shared" si="21"/>
        <v>76000</v>
      </c>
      <c r="J365" s="450"/>
      <c r="K365" s="485">
        <v>76000</v>
      </c>
      <c r="L365" s="481"/>
      <c r="M365" s="583"/>
      <c r="N365" s="463"/>
    </row>
    <row r="366" spans="1:21" s="343" customFormat="1" x14ac:dyDescent="0.2">
      <c r="A366" s="343">
        <v>2024</v>
      </c>
      <c r="B366" s="387" t="s">
        <v>261</v>
      </c>
      <c r="C366" s="587"/>
      <c r="D366" s="587"/>
      <c r="E366" s="587"/>
      <c r="F366" s="590" t="s">
        <v>457</v>
      </c>
      <c r="G366" s="587" t="s">
        <v>458</v>
      </c>
      <c r="H366" s="569" t="s">
        <v>649</v>
      </c>
      <c r="I366" s="461">
        <f t="shared" si="21"/>
        <v>25000</v>
      </c>
      <c r="J366" s="450"/>
      <c r="K366" s="490">
        <v>25000</v>
      </c>
      <c r="L366" s="491"/>
      <c r="M366" s="711"/>
      <c r="N366" s="463"/>
      <c r="O366" s="330"/>
      <c r="P366"/>
      <c r="Q366"/>
      <c r="R366"/>
      <c r="S366"/>
      <c r="T366"/>
      <c r="U366"/>
    </row>
    <row r="367" spans="1:21" x14ac:dyDescent="0.2">
      <c r="A367">
        <v>2025</v>
      </c>
      <c r="B367" s="387" t="s">
        <v>205</v>
      </c>
      <c r="C367" s="712"/>
      <c r="D367" s="477"/>
      <c r="E367" s="477"/>
      <c r="F367" s="448" t="s">
        <v>206</v>
      </c>
      <c r="G367" s="440" t="s">
        <v>201</v>
      </c>
      <c r="H367" s="569" t="s">
        <v>650</v>
      </c>
      <c r="I367" s="570">
        <f t="shared" si="21"/>
        <v>7520</v>
      </c>
      <c r="J367" s="450"/>
      <c r="K367" s="485">
        <v>7520</v>
      </c>
      <c r="L367" s="481"/>
      <c r="M367" s="583"/>
      <c r="N367" s="463"/>
    </row>
    <row r="368" spans="1:21" x14ac:dyDescent="0.2">
      <c r="A368">
        <v>2025</v>
      </c>
      <c r="C368" s="477"/>
      <c r="D368" s="477"/>
      <c r="E368" s="477"/>
      <c r="F368" s="713" t="s">
        <v>379</v>
      </c>
      <c r="G368" s="483" t="s">
        <v>377</v>
      </c>
      <c r="H368" s="569" t="s">
        <v>651</v>
      </c>
      <c r="I368" s="461">
        <f t="shared" si="21"/>
        <v>8168</v>
      </c>
      <c r="J368" s="450"/>
      <c r="K368" s="485">
        <v>8168</v>
      </c>
      <c r="L368" s="481"/>
      <c r="M368" s="481"/>
      <c r="N368" s="463"/>
    </row>
    <row r="369" spans="1:14" x14ac:dyDescent="0.2">
      <c r="I369" s="678">
        <f>SUM(I349:I368)</f>
        <v>630758</v>
      </c>
      <c r="J369" s="450"/>
      <c r="K369" s="678">
        <f>SUM(K349:K368)</f>
        <v>1076638.67</v>
      </c>
      <c r="L369" s="678"/>
      <c r="M369" s="678"/>
      <c r="N369" s="463"/>
    </row>
    <row r="370" spans="1:14" x14ac:dyDescent="0.2">
      <c r="A370" t="s">
        <v>261</v>
      </c>
      <c r="I370" s="353">
        <f>I349+I359+I360+I361+I363+I366+I367+I368+I357+I358</f>
        <v>492258</v>
      </c>
      <c r="J370" s="450"/>
      <c r="K370" s="353"/>
      <c r="L370" s="353"/>
      <c r="M370" s="353"/>
      <c r="N370" s="463"/>
    </row>
    <row r="371" spans="1:14" x14ac:dyDescent="0.2">
      <c r="A371" t="s">
        <v>199</v>
      </c>
      <c r="I371" s="341">
        <f>I369-I370+308340</f>
        <v>446840</v>
      </c>
      <c r="N371" s="463"/>
    </row>
    <row r="372" spans="1:14" x14ac:dyDescent="0.2">
      <c r="N372" s="463"/>
    </row>
    <row r="373" spans="1:14" x14ac:dyDescent="0.2">
      <c r="N373" s="463"/>
    </row>
  </sheetData>
  <autoFilter ref="A155:W319" xr:uid="{34A192B1-81F0-4FC0-97F9-946F07D61EF1}">
    <filterColumn colId="0">
      <filters>
        <filter val="1"/>
      </filters>
    </filterColumn>
  </autoFilter>
  <mergeCells count="43">
    <mergeCell ref="H38:H39"/>
    <mergeCell ref="I38:I39"/>
    <mergeCell ref="K38:M38"/>
    <mergeCell ref="B70:B71"/>
    <mergeCell ref="C70:C71"/>
    <mergeCell ref="D70:D71"/>
    <mergeCell ref="E70:E71"/>
    <mergeCell ref="F70:F71"/>
    <mergeCell ref="G70:G71"/>
    <mergeCell ref="H70:H71"/>
    <mergeCell ref="B38:B39"/>
    <mergeCell ref="C38:C39"/>
    <mergeCell ref="D38:D39"/>
    <mergeCell ref="E38:E39"/>
    <mergeCell ref="F38:F39"/>
    <mergeCell ref="G38:G39"/>
    <mergeCell ref="I70:I71"/>
    <mergeCell ref="K70:M70"/>
    <mergeCell ref="C154:C155"/>
    <mergeCell ref="D154:D155"/>
    <mergeCell ref="E154:E155"/>
    <mergeCell ref="F154:F155"/>
    <mergeCell ref="G154:G155"/>
    <mergeCell ref="H154:H155"/>
    <mergeCell ref="I154:I155"/>
    <mergeCell ref="K154:M154"/>
    <mergeCell ref="N163:R163"/>
    <mergeCell ref="C328:C329"/>
    <mergeCell ref="D328:D329"/>
    <mergeCell ref="E328:E329"/>
    <mergeCell ref="F328:F329"/>
    <mergeCell ref="G328:G329"/>
    <mergeCell ref="H328:H329"/>
    <mergeCell ref="I328:I329"/>
    <mergeCell ref="K328:M328"/>
    <mergeCell ref="I347:I348"/>
    <mergeCell ref="K347:M347"/>
    <mergeCell ref="C347:C348"/>
    <mergeCell ref="D347:D348"/>
    <mergeCell ref="E347:E348"/>
    <mergeCell ref="F347:F348"/>
    <mergeCell ref="G347:G348"/>
    <mergeCell ref="H347:H348"/>
  </mergeCells>
  <hyperlinks>
    <hyperlink ref="N87" r:id="rId1" display="https://precessportam.lv/products/skatitaju-tribines-parvietojamas-1_x000a_" xr:uid="{03598B35-DCAA-4AD8-8451-F1833F3FB672}"/>
  </hyperlinks>
  <pageMargins left="0.25" right="0.25" top="0.75" bottom="0.75" header="0.3" footer="0.3"/>
  <pageSetup paperSize="9" scale="74" fitToHeight="0" orientation="landscape" r:id="rId2"/>
  <rowBreaks count="4" manualBreakCount="4">
    <brk id="36" max="16383" man="1"/>
    <brk id="64" max="16383" man="1"/>
    <brk id="266" max="22" man="1"/>
    <brk id="323" max="16383" man="1"/>
  </rowBreaks>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E83F7-C114-4AD4-982E-708A71BC0755}">
  <sheetPr filterMode="1">
    <tabColor rgb="FF8E267F"/>
    <pageSetUpPr fitToPage="1"/>
  </sheetPr>
  <dimension ref="A1:Y470"/>
  <sheetViews>
    <sheetView topLeftCell="A88" zoomScale="122" zoomScaleNormal="130" zoomScaleSheetLayoutView="150" workbookViewId="0">
      <selection activeCell="P97" sqref="P97"/>
    </sheetView>
  </sheetViews>
  <sheetFormatPr defaultRowHeight="12" outlineLevelRow="1" outlineLevelCol="1" x14ac:dyDescent="0.2"/>
  <cols>
    <col min="1" max="1" width="2.5703125" style="790" customWidth="1"/>
    <col min="2" max="2" width="3.42578125" style="387" hidden="1" customWidth="1" outlineLevel="1"/>
    <col min="3" max="3" width="3.7109375" customWidth="1" collapsed="1"/>
    <col min="4" max="5" width="1.7109375" customWidth="1"/>
    <col min="6" max="6" width="12" style="388" customWidth="1" outlineLevel="1"/>
    <col min="7" max="7" width="12.7109375" customWidth="1" outlineLevel="1"/>
    <col min="8" max="8" width="56.85546875" customWidth="1"/>
    <col min="9" max="9" width="14.42578125" customWidth="1"/>
    <col min="10" max="10" width="0.5703125" customWidth="1"/>
    <col min="11" max="11" width="14.85546875" customWidth="1"/>
    <col min="12" max="12" width="13.42578125" customWidth="1"/>
    <col min="13" max="13" width="12.7109375" style="363" customWidth="1"/>
    <col min="14" max="14" width="1" customWidth="1"/>
    <col min="15" max="15" width="12.7109375" style="363" customWidth="1" outlineLevel="1"/>
    <col min="16" max="16" width="72.5703125" style="329" customWidth="1"/>
    <col min="17" max="17" width="13.42578125" style="330" customWidth="1"/>
    <col min="18" max="18" width="15.42578125" customWidth="1"/>
    <col min="19" max="19" width="21.42578125" customWidth="1"/>
    <col min="20" max="20" width="13.42578125" customWidth="1"/>
    <col min="21" max="21" width="11" customWidth="1"/>
  </cols>
  <sheetData>
    <row r="1" spans="6:21" ht="14.45" customHeight="1" x14ac:dyDescent="0.2">
      <c r="M1" s="328"/>
      <c r="O1" s="328"/>
      <c r="R1" s="331"/>
      <c r="S1" s="332"/>
    </row>
    <row r="2" spans="6:21" ht="24.75" customHeight="1" x14ac:dyDescent="0.2">
      <c r="G2" s="333"/>
      <c r="H2" s="334"/>
      <c r="K2" s="771">
        <v>2025</v>
      </c>
      <c r="L2" s="771">
        <v>2026</v>
      </c>
      <c r="M2" s="772" t="s">
        <v>712</v>
      </c>
      <c r="O2" s="773" t="s">
        <v>713</v>
      </c>
      <c r="R2" s="338" t="s">
        <v>163</v>
      </c>
      <c r="S2" s="339">
        <v>4928374.21</v>
      </c>
      <c r="T2" s="340">
        <v>4771895.0599999996</v>
      </c>
      <c r="U2" s="341"/>
    </row>
    <row r="3" spans="6:21" ht="15.6" customHeight="1" x14ac:dyDescent="0.2">
      <c r="F3" s="774">
        <v>47212315.492941171</v>
      </c>
      <c r="G3" s="775">
        <v>47212315.492941171</v>
      </c>
      <c r="H3" s="343"/>
      <c r="I3" s="335" t="s">
        <v>164</v>
      </c>
      <c r="K3" s="344">
        <v>44215043.328235291</v>
      </c>
      <c r="L3" s="776">
        <v>47212315.492941171</v>
      </c>
      <c r="M3" s="346">
        <f>L3-K3</f>
        <v>2997272.16470588</v>
      </c>
      <c r="O3" s="347">
        <f>L3/K3-1</f>
        <v>6.7788515832842178E-2</v>
      </c>
      <c r="P3" s="777" t="s">
        <v>714</v>
      </c>
      <c r="Q3" s="348"/>
      <c r="R3" s="349" t="s">
        <v>165</v>
      </c>
      <c r="S3" s="350"/>
      <c r="T3" s="340" t="s">
        <v>166</v>
      </c>
      <c r="U3" s="341"/>
    </row>
    <row r="4" spans="6:21" ht="93.6" customHeight="1" x14ac:dyDescent="0.2">
      <c r="F4" s="774">
        <v>41221258.668277726</v>
      </c>
      <c r="G4" s="775">
        <v>41221258.668277726</v>
      </c>
      <c r="H4" s="343"/>
      <c r="I4" s="335" t="s">
        <v>167</v>
      </c>
      <c r="K4" s="351">
        <v>40684058.856587857</v>
      </c>
      <c r="L4" s="345">
        <v>41221259.668277726</v>
      </c>
      <c r="M4" s="346">
        <f>L4-K4</f>
        <v>537200.81168986857</v>
      </c>
      <c r="O4" s="347">
        <f>L4/K4-1</f>
        <v>1.3204208891337776E-2</v>
      </c>
      <c r="P4" s="777" t="s">
        <v>715</v>
      </c>
      <c r="Q4" s="348"/>
      <c r="R4" s="338" t="s">
        <v>168</v>
      </c>
      <c r="S4" s="352"/>
      <c r="T4" s="340"/>
      <c r="U4" s="341"/>
    </row>
    <row r="5" spans="6:21" ht="14.45" customHeight="1" x14ac:dyDescent="0.2">
      <c r="F5" s="774">
        <v>5991056.8246634454</v>
      </c>
      <c r="G5" s="778">
        <v>5991056.8246634454</v>
      </c>
      <c r="H5" s="354"/>
      <c r="I5" s="354"/>
      <c r="K5" s="355">
        <f>K3-K4</f>
        <v>3530984.4716474339</v>
      </c>
      <c r="L5" s="355">
        <f>L3-L4</f>
        <v>5991055.8246634454</v>
      </c>
      <c r="M5" s="356">
        <f>M3-M4</f>
        <v>2460071.3530160114</v>
      </c>
      <c r="O5" s="347">
        <f>L5/K5-1</f>
        <v>0.69670976260856454</v>
      </c>
      <c r="Q5" s="357"/>
      <c r="R5" s="358" t="s">
        <v>169</v>
      </c>
      <c r="S5" s="359"/>
      <c r="T5" s="340"/>
      <c r="U5" s="341"/>
    </row>
    <row r="6" spans="6:21" ht="14.45" customHeight="1" x14ac:dyDescent="0.2">
      <c r="F6" s="774"/>
      <c r="G6" s="775"/>
      <c r="H6" s="360"/>
      <c r="I6" s="361"/>
      <c r="L6" s="362"/>
      <c r="P6" s="364"/>
      <c r="Q6" s="357"/>
      <c r="R6" s="365" t="s">
        <v>170</v>
      </c>
      <c r="S6" s="366">
        <f>SUM(S4:S5)</f>
        <v>0</v>
      </c>
      <c r="T6" s="340"/>
      <c r="U6" s="341"/>
    </row>
    <row r="7" spans="6:21" ht="14.45" customHeight="1" x14ac:dyDescent="0.2">
      <c r="F7" s="774">
        <v>6702990.9699999997</v>
      </c>
      <c r="G7" s="779">
        <v>6702990.9699999997</v>
      </c>
      <c r="H7" s="361"/>
      <c r="I7" s="780" t="s">
        <v>716</v>
      </c>
      <c r="J7" s="388"/>
      <c r="K7" s="781"/>
      <c r="L7" s="782">
        <f>6712462.97-7279-2193</f>
        <v>6702990.9699999997</v>
      </c>
      <c r="M7" s="783" t="s">
        <v>717</v>
      </c>
      <c r="N7" s="388"/>
      <c r="P7" s="363"/>
      <c r="S7" s="370"/>
      <c r="U7" s="341"/>
    </row>
    <row r="8" spans="6:21" ht="14.45" customHeight="1" x14ac:dyDescent="0.2">
      <c r="F8" s="774">
        <v>12694047.794663444</v>
      </c>
      <c r="G8" s="784">
        <v>12694047.794663444</v>
      </c>
      <c r="H8" s="372"/>
      <c r="I8" s="372" t="s">
        <v>172</v>
      </c>
      <c r="K8" s="373"/>
      <c r="L8" s="374">
        <f>L5+L7</f>
        <v>12694046.794663444</v>
      </c>
      <c r="T8" s="340"/>
      <c r="U8" s="341"/>
    </row>
    <row r="9" spans="6:21" ht="14.45" customHeight="1" x14ac:dyDescent="0.2">
      <c r="F9" s="774"/>
      <c r="G9" s="785"/>
      <c r="I9" s="361"/>
      <c r="L9" s="362"/>
      <c r="R9" s="375"/>
      <c r="S9" s="370"/>
      <c r="T9" s="340" t="s">
        <v>173</v>
      </c>
      <c r="U9" s="341"/>
    </row>
    <row r="10" spans="6:21" ht="14.45" customHeight="1" x14ac:dyDescent="0.2">
      <c r="F10" s="774">
        <v>3907497</v>
      </c>
      <c r="G10" s="785">
        <v>3907497</v>
      </c>
      <c r="I10" s="335" t="s">
        <v>174</v>
      </c>
      <c r="K10" s="786" t="s">
        <v>718</v>
      </c>
      <c r="L10" s="345">
        <v>3907497</v>
      </c>
      <c r="M10" s="330">
        <v>455488.13</v>
      </c>
      <c r="O10" s="363" t="s">
        <v>719</v>
      </c>
      <c r="S10" s="370"/>
      <c r="T10" s="340"/>
      <c r="U10" s="341"/>
    </row>
    <row r="11" spans="6:21" ht="14.45" customHeight="1" x14ac:dyDescent="0.2">
      <c r="F11" s="774">
        <v>8786550.7946634442</v>
      </c>
      <c r="G11" s="785">
        <v>8786550.7946634442</v>
      </c>
      <c r="H11" s="377"/>
      <c r="I11" s="377"/>
      <c r="J11" s="340"/>
      <c r="K11" s="378"/>
      <c r="L11" s="374">
        <f>L8-L10</f>
        <v>8786549.7946634442</v>
      </c>
      <c r="N11" s="340"/>
      <c r="O11" s="787"/>
      <c r="S11" s="370"/>
      <c r="T11" s="340"/>
      <c r="U11" s="341"/>
    </row>
    <row r="12" spans="6:21" ht="14.45" customHeight="1" x14ac:dyDescent="0.2">
      <c r="F12" s="774"/>
      <c r="G12" s="785"/>
      <c r="I12" s="361"/>
      <c r="K12" s="379"/>
      <c r="L12" s="362"/>
      <c r="S12" s="370"/>
      <c r="U12" s="341"/>
    </row>
    <row r="13" spans="6:21" ht="14.45" customHeight="1" x14ac:dyDescent="0.2">
      <c r="F13" s="774">
        <v>3340445.1859999998</v>
      </c>
      <c r="G13" s="784">
        <v>3320445.1859999998</v>
      </c>
      <c r="H13" s="380"/>
      <c r="I13" s="368" t="s">
        <v>175</v>
      </c>
      <c r="L13" s="345">
        <f>K29</f>
        <v>3320446.6360000004</v>
      </c>
      <c r="S13" s="330"/>
      <c r="T13" s="340"/>
      <c r="U13" s="341"/>
    </row>
    <row r="14" spans="6:21" ht="14.45" customHeight="1" x14ac:dyDescent="0.2">
      <c r="F14" s="774">
        <v>1392130.75141</v>
      </c>
      <c r="G14" s="784">
        <v>1392130.75141</v>
      </c>
      <c r="I14" s="368" t="s">
        <v>176</v>
      </c>
      <c r="L14" s="345">
        <f>K30</f>
        <v>1392130.75141</v>
      </c>
      <c r="M14" s="381"/>
      <c r="O14" s="381"/>
      <c r="S14" s="382"/>
      <c r="U14" s="341"/>
    </row>
    <row r="15" spans="6:21" ht="14.45" customHeight="1" x14ac:dyDescent="0.2">
      <c r="F15" s="774">
        <v>4053974.8572534444</v>
      </c>
      <c r="G15" s="779">
        <v>4073974.8572534444</v>
      </c>
      <c r="H15" s="383"/>
      <c r="I15" s="383" t="s">
        <v>177</v>
      </c>
      <c r="K15" s="384"/>
      <c r="L15" s="385">
        <f>L11-L13-L14</f>
        <v>4073972.4072534442</v>
      </c>
      <c r="M15" s="788">
        <f>L4*O15</f>
        <v>206106.29834138864</v>
      </c>
      <c r="O15" s="789">
        <v>5.0000000000000001E-3</v>
      </c>
      <c r="S15" s="330"/>
      <c r="T15" s="340"/>
      <c r="U15" s="341"/>
    </row>
    <row r="16" spans="6:21" ht="14.45" customHeight="1" x14ac:dyDescent="0.2">
      <c r="F16" s="774"/>
      <c r="G16" s="785"/>
      <c r="L16" s="362"/>
      <c r="M16" s="788" t="s">
        <v>720</v>
      </c>
      <c r="O16" s="788"/>
      <c r="S16" s="330"/>
      <c r="U16" s="341"/>
    </row>
    <row r="17" spans="1:21" ht="14.45" customHeight="1" x14ac:dyDescent="0.2">
      <c r="F17" s="774"/>
      <c r="G17" s="785"/>
      <c r="I17" s="368" t="s">
        <v>178</v>
      </c>
      <c r="L17" s="362"/>
      <c r="P17" s="386"/>
      <c r="S17" s="330"/>
      <c r="U17" s="341"/>
    </row>
    <row r="18" spans="1:21" ht="14.45" customHeight="1" x14ac:dyDescent="0.2">
      <c r="F18" s="774">
        <v>3878517.7333333334</v>
      </c>
      <c r="G18" s="785">
        <v>3923667.7333333334</v>
      </c>
      <c r="I18" s="389" t="s">
        <v>179</v>
      </c>
      <c r="J18" s="390"/>
      <c r="K18" s="390"/>
      <c r="L18" s="391">
        <f>K32</f>
        <v>3923667.7333333334</v>
      </c>
      <c r="M18" s="791" t="s">
        <v>721</v>
      </c>
      <c r="N18" s="792"/>
      <c r="O18" s="791"/>
      <c r="P18" s="793"/>
      <c r="S18" s="363"/>
      <c r="U18" s="341"/>
    </row>
    <row r="19" spans="1:21" ht="14.45" customHeight="1" x14ac:dyDescent="0.2">
      <c r="F19" s="774">
        <v>175457.12392011099</v>
      </c>
      <c r="G19" s="785">
        <v>150307.12392011099</v>
      </c>
      <c r="H19" s="393"/>
      <c r="I19" s="394" t="s">
        <v>180</v>
      </c>
      <c r="J19" s="390"/>
      <c r="K19" s="390"/>
      <c r="L19" s="395">
        <f>L15-L18</f>
        <v>150304.6739201108</v>
      </c>
      <c r="M19" s="794" t="s">
        <v>722</v>
      </c>
      <c r="N19" s="390"/>
      <c r="O19" s="392"/>
      <c r="P19" s="386"/>
      <c r="S19" s="363"/>
      <c r="U19" s="341"/>
    </row>
    <row r="20" spans="1:21" ht="14.45" customHeight="1" x14ac:dyDescent="0.2">
      <c r="G20" s="341"/>
      <c r="H20" s="393"/>
      <c r="I20" s="389"/>
      <c r="J20" s="390"/>
      <c r="K20" s="390"/>
      <c r="L20" s="396"/>
      <c r="M20" s="794"/>
      <c r="N20" s="390"/>
      <c r="O20" s="381"/>
      <c r="P20" s="386"/>
      <c r="S20" s="363"/>
      <c r="U20" s="341"/>
    </row>
    <row r="21" spans="1:21" ht="14.45" customHeight="1" x14ac:dyDescent="0.2">
      <c r="G21" s="341"/>
      <c r="H21" s="393"/>
      <c r="I21" s="389"/>
      <c r="J21" s="390"/>
      <c r="K21" s="390"/>
      <c r="L21" s="396"/>
      <c r="M21" s="794"/>
      <c r="N21" s="390"/>
      <c r="O21" s="381"/>
      <c r="P21" s="386"/>
      <c r="S21" s="363"/>
      <c r="U21" s="341"/>
    </row>
    <row r="22" spans="1:21" ht="12" customHeight="1" x14ac:dyDescent="0.2">
      <c r="G22" s="341"/>
      <c r="I22" s="368"/>
      <c r="L22" s="345"/>
      <c r="O22" s="381"/>
      <c r="P22" s="386"/>
      <c r="S22" s="363"/>
      <c r="U22" s="341"/>
    </row>
    <row r="23" spans="1:21" hidden="1" x14ac:dyDescent="0.2">
      <c r="F23" s="397"/>
      <c r="I23" s="368" t="s">
        <v>181</v>
      </c>
      <c r="L23" s="345">
        <f>K31-K32</f>
        <v>3920750.4400000004</v>
      </c>
      <c r="M23" s="386"/>
      <c r="O23" s="386"/>
      <c r="P23"/>
      <c r="Q23"/>
      <c r="R23" s="363"/>
      <c r="T23" s="341"/>
    </row>
    <row r="24" spans="1:21" hidden="1" x14ac:dyDescent="0.2">
      <c r="G24" s="341"/>
      <c r="I24" s="368"/>
      <c r="L24" s="345"/>
      <c r="M24" s="381"/>
      <c r="O24" s="381"/>
      <c r="P24" s="386"/>
      <c r="Q24"/>
      <c r="S24" s="363"/>
      <c r="U24" s="341"/>
    </row>
    <row r="25" spans="1:21" hidden="1" x14ac:dyDescent="0.2">
      <c r="H25" s="398"/>
      <c r="I25" s="398" t="s">
        <v>182</v>
      </c>
      <c r="K25" s="399"/>
      <c r="L25" s="400">
        <f>L15-L18-L23</f>
        <v>-3770445.7660798896</v>
      </c>
      <c r="Q25"/>
      <c r="S25" s="363"/>
      <c r="T25" s="340"/>
      <c r="U25" s="341"/>
    </row>
    <row r="26" spans="1:21" hidden="1" x14ac:dyDescent="0.2">
      <c r="L26" s="363"/>
      <c r="Q26"/>
    </row>
    <row r="27" spans="1:21" hidden="1" x14ac:dyDescent="0.2">
      <c r="L27" s="363"/>
      <c r="Q27"/>
    </row>
    <row r="28" spans="1:21" ht="12" customHeight="1" collapsed="1" x14ac:dyDescent="0.2">
      <c r="A28" s="795"/>
      <c r="C28" s="402"/>
      <c r="D28" s="403"/>
      <c r="E28" s="403"/>
      <c r="F28" s="404"/>
      <c r="G28" s="403"/>
      <c r="H28" s="405"/>
      <c r="I28" s="406" t="s">
        <v>183</v>
      </c>
      <c r="J28" s="407"/>
      <c r="K28" s="408" t="s">
        <v>78</v>
      </c>
      <c r="L28" s="408" t="s">
        <v>184</v>
      </c>
      <c r="M28" s="409" t="s">
        <v>185</v>
      </c>
      <c r="N28" s="407"/>
      <c r="O28" s="329"/>
    </row>
    <row r="29" spans="1:21" ht="14.45" customHeight="1" x14ac:dyDescent="0.2">
      <c r="A29" s="795"/>
      <c r="C29" s="410"/>
      <c r="D29" s="411"/>
      <c r="E29" s="411"/>
      <c r="G29" s="411"/>
      <c r="H29" s="412" t="s">
        <v>186</v>
      </c>
      <c r="I29" s="413">
        <f>SUM(K29:M29)</f>
        <v>24902313.65554262</v>
      </c>
      <c r="K29" s="414">
        <f>K121</f>
        <v>3320446.6360000004</v>
      </c>
      <c r="L29" s="414">
        <f>L121</f>
        <v>11274865.470542617</v>
      </c>
      <c r="M29" s="414">
        <f>M121</f>
        <v>10307001.549000002</v>
      </c>
      <c r="O29" s="329"/>
    </row>
    <row r="30" spans="1:21" ht="14.45" customHeight="1" x14ac:dyDescent="0.2">
      <c r="A30" s="795"/>
      <c r="C30" s="410"/>
      <c r="D30" s="411"/>
      <c r="E30" s="411"/>
      <c r="G30" s="411"/>
      <c r="H30" s="412" t="s">
        <v>187</v>
      </c>
      <c r="I30" s="413">
        <f>SUM(K30:M30)</f>
        <v>1422550.75141</v>
      </c>
      <c r="K30" s="414">
        <f>K200</f>
        <v>1392130.75141</v>
      </c>
      <c r="L30" s="414">
        <f>L200</f>
        <v>30420</v>
      </c>
      <c r="M30" s="414">
        <f>M200</f>
        <v>0</v>
      </c>
      <c r="O30" s="329"/>
    </row>
    <row r="31" spans="1:21" ht="14.45" customHeight="1" x14ac:dyDescent="0.2">
      <c r="A31" s="795"/>
      <c r="C31" s="410"/>
      <c r="D31" s="411"/>
      <c r="E31" s="411"/>
      <c r="G31" s="411"/>
      <c r="H31" s="412" t="s">
        <v>178</v>
      </c>
      <c r="I31" s="413">
        <f>SUM(K31:M31)</f>
        <v>7844418.1733333338</v>
      </c>
      <c r="K31" s="414">
        <f>K393</f>
        <v>7844418.1733333338</v>
      </c>
      <c r="L31" s="414">
        <f>L393</f>
        <v>0</v>
      </c>
      <c r="M31" s="414">
        <f>M393</f>
        <v>0</v>
      </c>
      <c r="O31" s="329"/>
    </row>
    <row r="32" spans="1:21" ht="14.45" customHeight="1" x14ac:dyDescent="0.2">
      <c r="A32" s="795"/>
      <c r="C32" s="410"/>
      <c r="D32" s="411"/>
      <c r="E32" s="411"/>
      <c r="G32" s="411"/>
      <c r="H32" s="415" t="s">
        <v>179</v>
      </c>
      <c r="I32" s="416">
        <f>I396</f>
        <v>3923667.7333333334</v>
      </c>
      <c r="J32" s="417"/>
      <c r="K32" s="418">
        <f t="shared" ref="K32:M33" si="0">K396</f>
        <v>3923667.7333333334</v>
      </c>
      <c r="L32" s="416">
        <f t="shared" si="0"/>
        <v>0</v>
      </c>
      <c r="M32" s="416">
        <f t="shared" si="0"/>
        <v>0</v>
      </c>
      <c r="N32" s="417"/>
      <c r="O32" s="329"/>
    </row>
    <row r="33" spans="1:23" ht="14.45" customHeight="1" x14ac:dyDescent="0.2">
      <c r="A33" s="795"/>
      <c r="C33" s="410"/>
      <c r="D33" s="411"/>
      <c r="E33" s="411"/>
      <c r="G33" s="411"/>
      <c r="H33" s="415" t="s">
        <v>188</v>
      </c>
      <c r="I33" s="416">
        <f>I397</f>
        <v>3873887.44</v>
      </c>
      <c r="J33" s="417"/>
      <c r="K33" s="418">
        <f t="shared" si="0"/>
        <v>3873887.44</v>
      </c>
      <c r="L33" s="416">
        <f t="shared" si="0"/>
        <v>0</v>
      </c>
      <c r="M33" s="416">
        <f t="shared" si="0"/>
        <v>0</v>
      </c>
      <c r="N33" s="417"/>
      <c r="O33" s="329"/>
    </row>
    <row r="34" spans="1:23" ht="14.45" customHeight="1" x14ac:dyDescent="0.2">
      <c r="A34" s="795"/>
      <c r="C34" s="410"/>
      <c r="D34" s="411"/>
      <c r="E34" s="411"/>
      <c r="G34" s="411"/>
      <c r="H34" s="412" t="s">
        <v>189</v>
      </c>
      <c r="I34" s="419">
        <f>SUM(I29:I31)</f>
        <v>34169282.580285951</v>
      </c>
      <c r="J34" s="361"/>
      <c r="K34" s="420">
        <f>SUM(K29:K31)</f>
        <v>12556995.560743334</v>
      </c>
      <c r="L34" s="420">
        <f>SUM(L29:L31)</f>
        <v>11305285.470542617</v>
      </c>
      <c r="M34" s="420">
        <f>SUM(M29:M31)</f>
        <v>10307001.549000002</v>
      </c>
      <c r="N34" s="361"/>
      <c r="O34" s="329"/>
    </row>
    <row r="35" spans="1:23" ht="14.45" customHeight="1" x14ac:dyDescent="0.2">
      <c r="A35" s="795"/>
      <c r="C35" s="421"/>
      <c r="D35" s="422"/>
      <c r="E35" s="422"/>
      <c r="F35" s="423"/>
      <c r="G35" s="422"/>
      <c r="H35" s="424" t="s">
        <v>190</v>
      </c>
      <c r="I35" s="425">
        <f>SUM(K35:M35)</f>
        <v>0</v>
      </c>
      <c r="J35" s="426"/>
      <c r="K35" s="427">
        <f>K469</f>
        <v>0</v>
      </c>
      <c r="L35" s="427">
        <f>L469</f>
        <v>0</v>
      </c>
      <c r="M35" s="427">
        <f>M469</f>
        <v>0</v>
      </c>
      <c r="N35" s="426"/>
      <c r="O35" s="329"/>
    </row>
    <row r="36" spans="1:23" ht="14.45" customHeight="1" x14ac:dyDescent="0.2">
      <c r="H36" s="428"/>
      <c r="I36" s="429"/>
      <c r="J36" s="426"/>
      <c r="K36" s="430"/>
      <c r="L36" s="430"/>
      <c r="M36" s="430"/>
      <c r="N36" s="426"/>
      <c r="O36" s="430"/>
    </row>
    <row r="37" spans="1:23" ht="14.45" customHeight="1" x14ac:dyDescent="0.2">
      <c r="D37" s="431"/>
      <c r="E37" s="431"/>
      <c r="F37" s="432" t="s">
        <v>191</v>
      </c>
      <c r="G37" s="431"/>
    </row>
    <row r="38" spans="1:23" ht="14.45" customHeight="1" x14ac:dyDescent="0.2">
      <c r="B38" s="1193"/>
      <c r="C38" s="1186" t="s">
        <v>192</v>
      </c>
      <c r="D38" s="1186" t="s">
        <v>193</v>
      </c>
      <c r="E38" s="1186" t="s">
        <v>194</v>
      </c>
      <c r="F38" s="1186" t="s">
        <v>195</v>
      </c>
      <c r="G38" s="1186" t="s">
        <v>196</v>
      </c>
      <c r="H38" s="1186" t="s">
        <v>197</v>
      </c>
      <c r="I38" s="1186" t="s">
        <v>183</v>
      </c>
      <c r="J38" s="434"/>
      <c r="K38" s="1191" t="s">
        <v>198</v>
      </c>
      <c r="L38" s="1191"/>
      <c r="M38" s="1191"/>
      <c r="N38" s="434"/>
      <c r="O38" s="1199" t="s">
        <v>723</v>
      </c>
    </row>
    <row r="39" spans="1:23" s="380" customFormat="1" ht="36" customHeight="1" x14ac:dyDescent="0.2">
      <c r="A39" s="796"/>
      <c r="B39" s="1193"/>
      <c r="C39" s="1186"/>
      <c r="D39" s="1186"/>
      <c r="E39" s="1186"/>
      <c r="F39" s="1186"/>
      <c r="G39" s="1186"/>
      <c r="H39" s="1186"/>
      <c r="I39" s="1186"/>
      <c r="J39" s="434"/>
      <c r="K39" s="433" t="s">
        <v>78</v>
      </c>
      <c r="L39" s="408" t="s">
        <v>184</v>
      </c>
      <c r="M39" s="435" t="s">
        <v>185</v>
      </c>
      <c r="N39" s="434"/>
      <c r="O39" s="1200"/>
      <c r="P39" s="329"/>
      <c r="Q39" s="330"/>
      <c r="R39"/>
      <c r="S39"/>
      <c r="T39"/>
      <c r="U39"/>
      <c r="V39"/>
      <c r="W39"/>
    </row>
    <row r="40" spans="1:23" s="380" customFormat="1" ht="15" customHeight="1" x14ac:dyDescent="0.2">
      <c r="A40" s="796"/>
      <c r="B40" s="360" t="s">
        <v>205</v>
      </c>
      <c r="C40" s="437">
        <v>1</v>
      </c>
      <c r="D40" s="438"/>
      <c r="E40" s="438"/>
      <c r="F40" s="439" t="s">
        <v>376</v>
      </c>
      <c r="G40" s="440" t="s">
        <v>377</v>
      </c>
      <c r="H40" s="441" t="s">
        <v>378</v>
      </c>
      <c r="I40" s="797">
        <f t="shared" ref="I40:I57" si="1">SUM(K40:M40)</f>
        <v>9257</v>
      </c>
      <c r="J40" s="443"/>
      <c r="K40" s="809">
        <v>9257</v>
      </c>
      <c r="L40" s="799"/>
      <c r="M40" s="800">
        <v>0</v>
      </c>
      <c r="N40" s="443"/>
      <c r="O40" s="801"/>
      <c r="P40" s="445" t="s">
        <v>724</v>
      </c>
      <c r="Q40" s="446"/>
      <c r="S40" s="447" t="s">
        <v>204</v>
      </c>
      <c r="T40" s="447"/>
      <c r="U40" s="341"/>
    </row>
    <row r="41" spans="1:23" ht="16.899999999999999" customHeight="1" x14ac:dyDescent="0.2">
      <c r="A41" s="802"/>
      <c r="B41" s="343"/>
      <c r="C41" s="440">
        <v>2</v>
      </c>
      <c r="D41" s="558"/>
      <c r="E41" s="558"/>
      <c r="F41" s="559" t="s">
        <v>382</v>
      </c>
      <c r="G41" s="440" t="s">
        <v>383</v>
      </c>
      <c r="H41" s="803" t="s">
        <v>725</v>
      </c>
      <c r="I41" s="804">
        <f t="shared" si="1"/>
        <v>30000</v>
      </c>
      <c r="J41" s="560"/>
      <c r="K41" s="1143">
        <f>50000-20000</f>
        <v>30000</v>
      </c>
      <c r="L41" s="806"/>
      <c r="M41" s="806"/>
      <c r="N41" s="560"/>
      <c r="O41" s="807"/>
      <c r="P41" s="445" t="s">
        <v>726</v>
      </c>
      <c r="Q41"/>
    </row>
    <row r="42" spans="1:23" s="380" customFormat="1" ht="24" x14ac:dyDescent="0.2">
      <c r="A42" s="796"/>
      <c r="B42" s="360" t="s">
        <v>199</v>
      </c>
      <c r="C42" s="437">
        <v>3</v>
      </c>
      <c r="D42" s="438"/>
      <c r="E42" s="438"/>
      <c r="F42" s="439" t="s">
        <v>528</v>
      </c>
      <c r="G42" s="440" t="s">
        <v>528</v>
      </c>
      <c r="H42" s="441" t="s">
        <v>202</v>
      </c>
      <c r="I42" s="808">
        <f t="shared" si="1"/>
        <v>10622</v>
      </c>
      <c r="J42" s="443"/>
      <c r="K42" s="809">
        <v>0</v>
      </c>
      <c r="L42" s="809">
        <v>10622</v>
      </c>
      <c r="M42" s="800">
        <v>0</v>
      </c>
      <c r="N42" s="443"/>
      <c r="O42" s="801"/>
      <c r="P42" s="445" t="s">
        <v>203</v>
      </c>
      <c r="Q42" s="446"/>
      <c r="S42" s="447" t="s">
        <v>204</v>
      </c>
      <c r="T42" s="447"/>
      <c r="U42" s="341"/>
    </row>
    <row r="43" spans="1:23" s="343" customFormat="1" ht="18.600000000000001" customHeight="1" x14ac:dyDescent="0.2">
      <c r="A43" s="810"/>
      <c r="B43" s="343" t="s">
        <v>261</v>
      </c>
      <c r="C43" s="440">
        <v>4</v>
      </c>
      <c r="D43" s="458"/>
      <c r="E43" s="459"/>
      <c r="F43" s="811" t="s">
        <v>727</v>
      </c>
      <c r="G43" s="644" t="s">
        <v>201</v>
      </c>
      <c r="H43" s="645" t="s">
        <v>728</v>
      </c>
      <c r="I43" s="455">
        <f>SUM(K43:M43)</f>
        <v>41250</v>
      </c>
      <c r="J43" s="450"/>
      <c r="K43" s="1152">
        <v>41250</v>
      </c>
      <c r="L43" s="799">
        <v>0</v>
      </c>
      <c r="M43" s="809"/>
      <c r="N43" s="450"/>
      <c r="O43" s="813">
        <v>858258.45</v>
      </c>
      <c r="P43" s="445" t="s">
        <v>729</v>
      </c>
      <c r="Q43" s="462"/>
      <c r="R43" s="360"/>
      <c r="S43" s="360"/>
      <c r="T43" s="360"/>
      <c r="U43" s="360"/>
      <c r="V43" s="360"/>
      <c r="W43" s="360"/>
    </row>
    <row r="44" spans="1:23" ht="36" x14ac:dyDescent="0.2">
      <c r="B44" s="343" t="s">
        <v>205</v>
      </c>
      <c r="C44" s="437">
        <v>5</v>
      </c>
      <c r="D44" s="440"/>
      <c r="E44" s="440"/>
      <c r="F44" s="448" t="s">
        <v>206</v>
      </c>
      <c r="G44" s="440" t="s">
        <v>201</v>
      </c>
      <c r="H44" s="449" t="s">
        <v>730</v>
      </c>
      <c r="I44" s="455">
        <f t="shared" si="1"/>
        <v>18000</v>
      </c>
      <c r="J44" s="450"/>
      <c r="K44" s="1152">
        <v>6000</v>
      </c>
      <c r="L44" s="799">
        <v>12000</v>
      </c>
      <c r="M44" s="799"/>
      <c r="N44" s="450"/>
      <c r="O44" s="814"/>
      <c r="P44" s="456" t="s">
        <v>213</v>
      </c>
    </row>
    <row r="45" spans="1:23" ht="65.45" customHeight="1" x14ac:dyDescent="0.2">
      <c r="B45" s="343" t="s">
        <v>199</v>
      </c>
      <c r="C45" s="440">
        <v>6</v>
      </c>
      <c r="D45" s="440"/>
      <c r="E45" s="440"/>
      <c r="F45" s="448" t="s">
        <v>206</v>
      </c>
      <c r="G45" s="440" t="s">
        <v>201</v>
      </c>
      <c r="H45" s="449" t="s">
        <v>731</v>
      </c>
      <c r="I45" s="812">
        <f t="shared" si="1"/>
        <v>3050</v>
      </c>
      <c r="J45" s="450"/>
      <c r="K45" s="809">
        <f>570+2480</f>
        <v>3050</v>
      </c>
      <c r="L45" s="799"/>
      <c r="M45" s="799"/>
      <c r="N45" s="450"/>
      <c r="O45" s="814"/>
      <c r="P45" s="815" t="s">
        <v>732</v>
      </c>
    </row>
    <row r="46" spans="1:23" ht="58.15" customHeight="1" x14ac:dyDescent="0.2">
      <c r="B46" s="343" t="s">
        <v>199</v>
      </c>
      <c r="C46" s="437">
        <v>7</v>
      </c>
      <c r="D46" s="440"/>
      <c r="E46" s="440"/>
      <c r="F46" s="448" t="s">
        <v>206</v>
      </c>
      <c r="G46" s="440" t="s">
        <v>201</v>
      </c>
      <c r="H46" s="449" t="s">
        <v>733</v>
      </c>
      <c r="I46" s="812">
        <f t="shared" si="1"/>
        <v>1525</v>
      </c>
      <c r="J46" s="450"/>
      <c r="K46" s="809">
        <f>285+1240</f>
        <v>1525</v>
      </c>
      <c r="L46" s="799"/>
      <c r="M46" s="799"/>
      <c r="N46" s="450"/>
      <c r="O46" s="814"/>
      <c r="P46" s="815" t="s">
        <v>732</v>
      </c>
    </row>
    <row r="47" spans="1:23" x14ac:dyDescent="0.2">
      <c r="B47" s="343" t="s">
        <v>734</v>
      </c>
      <c r="C47" s="440">
        <v>8</v>
      </c>
      <c r="D47" s="440"/>
      <c r="E47" s="440"/>
      <c r="F47" s="448" t="s">
        <v>206</v>
      </c>
      <c r="G47" s="440" t="s">
        <v>201</v>
      </c>
      <c r="H47" s="558" t="s">
        <v>735</v>
      </c>
      <c r="I47" s="812">
        <f t="shared" si="1"/>
        <v>1300</v>
      </c>
      <c r="J47" s="450"/>
      <c r="K47" s="809">
        <v>300</v>
      </c>
      <c r="L47" s="799">
        <v>1000</v>
      </c>
      <c r="M47" s="799"/>
      <c r="N47" s="450"/>
      <c r="O47" s="814"/>
      <c r="P47" s="456"/>
    </row>
    <row r="48" spans="1:23" ht="14.45" customHeight="1" x14ac:dyDescent="0.2">
      <c r="B48" s="343" t="s">
        <v>261</v>
      </c>
      <c r="C48" s="437">
        <v>9</v>
      </c>
      <c r="D48" s="440"/>
      <c r="E48" s="440"/>
      <c r="F48" s="448" t="s">
        <v>206</v>
      </c>
      <c r="G48" s="644" t="s">
        <v>201</v>
      </c>
      <c r="H48" s="449" t="s">
        <v>736</v>
      </c>
      <c r="I48" s="812">
        <f>SUM(K48:M48)</f>
        <v>4000</v>
      </c>
      <c r="J48" s="450"/>
      <c r="K48" s="809">
        <v>4000</v>
      </c>
      <c r="L48" s="799"/>
      <c r="M48" s="799"/>
      <c r="N48" s="450"/>
      <c r="O48" s="814"/>
      <c r="P48" s="456" t="s">
        <v>737</v>
      </c>
    </row>
    <row r="49" spans="1:23" s="343" customFormat="1" ht="24" x14ac:dyDescent="0.2">
      <c r="A49" s="816"/>
      <c r="B49" s="343" t="s">
        <v>261</v>
      </c>
      <c r="C49" s="440">
        <v>10</v>
      </c>
      <c r="D49" s="458"/>
      <c r="E49" s="459"/>
      <c r="F49" s="439" t="s">
        <v>219</v>
      </c>
      <c r="G49" s="452" t="s">
        <v>201</v>
      </c>
      <c r="H49" s="645" t="s">
        <v>738</v>
      </c>
      <c r="I49" s="455">
        <f>SUM(K49:M49)</f>
        <v>1435672.9972426188</v>
      </c>
      <c r="J49" s="450"/>
      <c r="K49" s="1155">
        <f>363090.93-M49</f>
        <v>43090.929999999993</v>
      </c>
      <c r="L49" s="799">
        <v>1072582.0672426189</v>
      </c>
      <c r="M49" s="817">
        <v>320000</v>
      </c>
      <c r="N49" s="450"/>
      <c r="O49" s="814">
        <v>2847772</v>
      </c>
      <c r="P49" s="456" t="s">
        <v>739</v>
      </c>
      <c r="Q49" s="462"/>
      <c r="R49" s="360"/>
      <c r="S49" s="360"/>
      <c r="T49" s="360"/>
      <c r="U49" s="360"/>
      <c r="V49" s="360"/>
      <c r="W49" s="360"/>
    </row>
    <row r="50" spans="1:23" s="343" customFormat="1" ht="22.5" x14ac:dyDescent="0.2">
      <c r="A50" s="816"/>
      <c r="B50" s="343" t="s">
        <v>261</v>
      </c>
      <c r="C50" s="437">
        <v>11</v>
      </c>
      <c r="D50" s="458"/>
      <c r="E50" s="459"/>
      <c r="F50" s="818" t="s">
        <v>740</v>
      </c>
      <c r="G50" s="819" t="s">
        <v>201</v>
      </c>
      <c r="H50" s="820" t="s">
        <v>741</v>
      </c>
      <c r="I50" s="591">
        <f>SUM(K50:M50)</f>
        <v>980225</v>
      </c>
      <c r="J50" s="450"/>
      <c r="K50" s="894">
        <v>147033.75</v>
      </c>
      <c r="L50" s="799">
        <v>0</v>
      </c>
      <c r="M50" s="799">
        <v>833191.25</v>
      </c>
      <c r="N50" s="450"/>
      <c r="O50" s="814">
        <v>1782228</v>
      </c>
      <c r="P50" s="456" t="s">
        <v>742</v>
      </c>
      <c r="Q50" s="462"/>
      <c r="R50" s="360"/>
      <c r="S50" s="360"/>
      <c r="T50" s="360"/>
      <c r="U50" s="360"/>
      <c r="V50" s="360"/>
      <c r="W50" s="360"/>
    </row>
    <row r="51" spans="1:23" ht="39" customHeight="1" x14ac:dyDescent="0.2">
      <c r="B51" s="343" t="s">
        <v>261</v>
      </c>
      <c r="C51" s="440">
        <v>12</v>
      </c>
      <c r="D51" s="440"/>
      <c r="E51" s="440"/>
      <c r="F51" s="439" t="s">
        <v>214</v>
      </c>
      <c r="G51" s="440" t="s">
        <v>201</v>
      </c>
      <c r="H51" s="449" t="s">
        <v>743</v>
      </c>
      <c r="I51" s="455">
        <f t="shared" si="1"/>
        <v>660558.49</v>
      </c>
      <c r="J51" s="450"/>
      <c r="K51" s="1152">
        <v>269578.48999999993</v>
      </c>
      <c r="L51" s="799">
        <v>390980</v>
      </c>
      <c r="M51" s="799"/>
      <c r="N51" s="450"/>
      <c r="O51" s="814">
        <v>707692.95</v>
      </c>
      <c r="P51" s="456"/>
    </row>
    <row r="52" spans="1:23" ht="38.450000000000003" customHeight="1" x14ac:dyDescent="0.2">
      <c r="B52" s="343" t="s">
        <v>261</v>
      </c>
      <c r="C52" s="437">
        <v>13</v>
      </c>
      <c r="D52" s="440"/>
      <c r="E52" s="440"/>
      <c r="F52" s="448" t="s">
        <v>216</v>
      </c>
      <c r="G52" s="440" t="s">
        <v>201</v>
      </c>
      <c r="H52" s="645" t="s">
        <v>744</v>
      </c>
      <c r="I52" s="455">
        <f>SUM(K52:M52)</f>
        <v>907436.40000000014</v>
      </c>
      <c r="J52" s="450"/>
      <c r="K52" s="1152">
        <v>28362</v>
      </c>
      <c r="L52" s="799">
        <v>638646</v>
      </c>
      <c r="M52" s="799">
        <v>240428.40000000014</v>
      </c>
      <c r="N52" s="450"/>
      <c r="O52" s="814">
        <v>907436.40000000014</v>
      </c>
      <c r="P52" s="456" t="s">
        <v>218</v>
      </c>
    </row>
    <row r="53" spans="1:23" ht="29.45" customHeight="1" x14ac:dyDescent="0.2">
      <c r="B53" s="343" t="s">
        <v>261</v>
      </c>
      <c r="C53" s="440">
        <v>14</v>
      </c>
      <c r="D53" s="440"/>
      <c r="E53" s="440"/>
      <c r="F53" s="822" t="s">
        <v>745</v>
      </c>
      <c r="G53" s="644" t="s">
        <v>201</v>
      </c>
      <c r="H53" s="645" t="s">
        <v>746</v>
      </c>
      <c r="I53" s="455">
        <f>SUM(K53:M53)</f>
        <v>363945.29000000004</v>
      </c>
      <c r="J53" s="450"/>
      <c r="K53" s="1152">
        <v>80217.820000000065</v>
      </c>
      <c r="L53" s="799">
        <v>283727.46999999997</v>
      </c>
      <c r="M53" s="799"/>
      <c r="N53" s="450"/>
      <c r="O53" s="814">
        <v>363945.29000000004</v>
      </c>
      <c r="P53" s="456"/>
    </row>
    <row r="54" spans="1:23" ht="17.45" customHeight="1" x14ac:dyDescent="0.2">
      <c r="B54" s="343" t="s">
        <v>199</v>
      </c>
      <c r="C54" s="437">
        <v>15</v>
      </c>
      <c r="D54" s="440"/>
      <c r="E54" s="440"/>
      <c r="F54" s="823" t="s">
        <v>747</v>
      </c>
      <c r="G54" s="824" t="s">
        <v>201</v>
      </c>
      <c r="H54" s="645" t="s">
        <v>748</v>
      </c>
      <c r="I54" s="455">
        <f t="shared" si="1"/>
        <v>404972</v>
      </c>
      <c r="J54" s="450"/>
      <c r="K54" s="1152">
        <f>404972-L54-M54</f>
        <v>328847</v>
      </c>
      <c r="L54" s="799">
        <v>76125</v>
      </c>
      <c r="M54" s="799"/>
      <c r="N54" s="450"/>
      <c r="O54" s="814">
        <v>584127.92000000004</v>
      </c>
      <c r="P54" s="456" t="s">
        <v>749</v>
      </c>
    </row>
    <row r="55" spans="1:23" ht="17.45" customHeight="1" x14ac:dyDescent="0.2">
      <c r="B55" s="343" t="s">
        <v>199</v>
      </c>
      <c r="C55" s="440">
        <v>16</v>
      </c>
      <c r="D55" s="440"/>
      <c r="E55" s="440"/>
      <c r="F55" s="823" t="s">
        <v>750</v>
      </c>
      <c r="G55" s="824" t="s">
        <v>201</v>
      </c>
      <c r="H55" s="645" t="s">
        <v>751</v>
      </c>
      <c r="I55" s="455">
        <f t="shared" si="1"/>
        <v>48400.14</v>
      </c>
      <c r="J55" s="450"/>
      <c r="K55" s="894">
        <v>22711</v>
      </c>
      <c r="L55" s="799">
        <v>25689.14</v>
      </c>
      <c r="M55" s="799"/>
      <c r="N55" s="450"/>
      <c r="O55" s="825">
        <v>48400</v>
      </c>
      <c r="P55" s="456"/>
    </row>
    <row r="56" spans="1:23" ht="24" customHeight="1" x14ac:dyDescent="0.2">
      <c r="B56" s="343" t="s">
        <v>261</v>
      </c>
      <c r="C56" s="437">
        <v>17</v>
      </c>
      <c r="D56" s="440"/>
      <c r="E56" s="440"/>
      <c r="F56" s="823" t="s">
        <v>752</v>
      </c>
      <c r="G56" s="824" t="s">
        <v>201</v>
      </c>
      <c r="H56" s="645" t="s">
        <v>753</v>
      </c>
      <c r="I56" s="455">
        <f t="shared" si="1"/>
        <v>0</v>
      </c>
      <c r="J56" s="450"/>
      <c r="K56" s="809">
        <v>0</v>
      </c>
      <c r="L56" s="799">
        <v>0</v>
      </c>
      <c r="M56" s="799">
        <v>0</v>
      </c>
      <c r="N56" s="450"/>
      <c r="O56" s="814">
        <v>4997.3</v>
      </c>
      <c r="P56" s="826" t="s">
        <v>754</v>
      </c>
    </row>
    <row r="57" spans="1:23" ht="39" customHeight="1" thickBot="1" x14ac:dyDescent="0.25">
      <c r="B57" s="343" t="s">
        <v>199</v>
      </c>
      <c r="C57" s="440">
        <v>18</v>
      </c>
      <c r="D57" s="440"/>
      <c r="E57" s="440"/>
      <c r="F57" s="823" t="s">
        <v>755</v>
      </c>
      <c r="G57" s="824" t="s">
        <v>201</v>
      </c>
      <c r="H57" s="645" t="s">
        <v>756</v>
      </c>
      <c r="I57" s="455">
        <f t="shared" si="1"/>
        <v>0</v>
      </c>
      <c r="J57" s="450"/>
      <c r="K57" s="809">
        <v>0</v>
      </c>
      <c r="L57" s="799">
        <v>0</v>
      </c>
      <c r="M57" s="799">
        <v>0</v>
      </c>
      <c r="N57" s="450"/>
      <c r="O57" s="814">
        <v>10000</v>
      </c>
      <c r="P57" s="826" t="s">
        <v>757</v>
      </c>
    </row>
    <row r="58" spans="1:23" s="343" customFormat="1" ht="24" x14ac:dyDescent="0.2">
      <c r="A58" s="816"/>
      <c r="B58" s="343" t="s">
        <v>261</v>
      </c>
      <c r="C58" s="437">
        <v>19</v>
      </c>
      <c r="D58" s="458"/>
      <c r="E58" s="827"/>
      <c r="F58" s="828" t="s">
        <v>221</v>
      </c>
      <c r="G58" s="829" t="s">
        <v>201</v>
      </c>
      <c r="H58" s="830" t="s">
        <v>222</v>
      </c>
      <c r="I58" s="1012">
        <f>SUM(K58:M58)</f>
        <v>788012.49</v>
      </c>
      <c r="J58" s="831"/>
      <c r="K58" s="1153">
        <f>850912.49-L58-L59</f>
        <v>678719.49</v>
      </c>
      <c r="L58" s="832">
        <f>172193-L59</f>
        <v>109293</v>
      </c>
      <c r="M58" s="799">
        <v>0</v>
      </c>
      <c r="N58" s="450"/>
      <c r="O58" s="1201">
        <v>986255</v>
      </c>
      <c r="P58" s="388"/>
      <c r="Q58" s="462"/>
      <c r="R58" s="360"/>
      <c r="S58" s="360"/>
      <c r="T58" s="360"/>
      <c r="U58" s="360"/>
      <c r="V58" s="360"/>
      <c r="W58" s="360"/>
    </row>
    <row r="59" spans="1:23" s="343" customFormat="1" ht="24.75" thickBot="1" x14ac:dyDescent="0.25">
      <c r="A59" s="816"/>
      <c r="B59" s="343" t="s">
        <v>261</v>
      </c>
      <c r="C59" s="440">
        <v>20</v>
      </c>
      <c r="D59" s="458"/>
      <c r="E59" s="827"/>
      <c r="F59" s="833" t="s">
        <v>758</v>
      </c>
      <c r="G59" s="834" t="s">
        <v>201</v>
      </c>
      <c r="H59" s="835" t="s">
        <v>759</v>
      </c>
      <c r="I59" s="1020">
        <f>SUM(K59:M59)</f>
        <v>62900</v>
      </c>
      <c r="J59" s="836"/>
      <c r="K59" s="798">
        <v>0</v>
      </c>
      <c r="L59" s="799">
        <v>62900</v>
      </c>
      <c r="M59" s="799">
        <v>0</v>
      </c>
      <c r="N59" s="450"/>
      <c r="O59" s="1201"/>
      <c r="P59" s="388"/>
      <c r="Q59" s="462"/>
      <c r="R59" s="360"/>
      <c r="S59" s="360"/>
      <c r="T59" s="360"/>
      <c r="U59" s="360"/>
      <c r="V59" s="360"/>
      <c r="W59" s="360"/>
    </row>
    <row r="60" spans="1:23" s="343" customFormat="1" ht="24" x14ac:dyDescent="0.2">
      <c r="A60" s="816"/>
      <c r="B60" s="343" t="s">
        <v>199</v>
      </c>
      <c r="C60" s="437">
        <v>21</v>
      </c>
      <c r="D60" s="452"/>
      <c r="E60" s="452"/>
      <c r="F60" s="448" t="s">
        <v>210</v>
      </c>
      <c r="G60" s="452" t="s">
        <v>201</v>
      </c>
      <c r="H60" s="645" t="s">
        <v>211</v>
      </c>
      <c r="I60" s="442">
        <f>SUM(K60:M60)</f>
        <v>42495</v>
      </c>
      <c r="J60" s="450"/>
      <c r="K60" s="1152">
        <v>6000</v>
      </c>
      <c r="L60" s="799">
        <v>36495</v>
      </c>
      <c r="M60" s="799">
        <v>0</v>
      </c>
      <c r="N60" s="450"/>
      <c r="O60" s="814"/>
      <c r="P60" s="456"/>
      <c r="Q60" s="342"/>
    </row>
    <row r="61" spans="1:23" s="343" customFormat="1" ht="24" x14ac:dyDescent="0.2">
      <c r="A61" s="816"/>
      <c r="B61" s="343" t="s">
        <v>199</v>
      </c>
      <c r="C61" s="440">
        <v>22</v>
      </c>
      <c r="D61" s="459"/>
      <c r="E61" s="459"/>
      <c r="F61" s="478" t="s">
        <v>224</v>
      </c>
      <c r="G61" s="483" t="s">
        <v>201</v>
      </c>
      <c r="H61" s="569" t="s">
        <v>225</v>
      </c>
      <c r="I61" s="480">
        <f t="shared" ref="I61:I111" si="2">SUM(K61:M61)</f>
        <v>354136.73180000001</v>
      </c>
      <c r="J61" s="450"/>
      <c r="K61" s="798">
        <v>0</v>
      </c>
      <c r="L61" s="799">
        <f>343733.7318+1815</f>
        <v>345548.73180000001</v>
      </c>
      <c r="M61" s="799">
        <v>8588</v>
      </c>
      <c r="N61" s="450"/>
      <c r="O61" s="814">
        <v>1435665.0000000002</v>
      </c>
      <c r="P61" s="838" t="s">
        <v>760</v>
      </c>
      <c r="Q61" s="342"/>
    </row>
    <row r="62" spans="1:23" s="343" customFormat="1" ht="13.5" customHeight="1" x14ac:dyDescent="0.2">
      <c r="A62" s="816"/>
      <c r="B62" s="343" t="s">
        <v>199</v>
      </c>
      <c r="C62" s="437">
        <v>23</v>
      </c>
      <c r="D62" s="459"/>
      <c r="E62" s="459"/>
      <c r="F62" s="448" t="s">
        <v>226</v>
      </c>
      <c r="G62" s="452" t="s">
        <v>201</v>
      </c>
      <c r="H62" s="449" t="s">
        <v>227</v>
      </c>
      <c r="I62" s="455">
        <f t="shared" si="2"/>
        <v>3920860</v>
      </c>
      <c r="J62" s="450"/>
      <c r="K62" s="798">
        <v>0</v>
      </c>
      <c r="L62" s="799">
        <v>3051714</v>
      </c>
      <c r="M62" s="839">
        <v>869146</v>
      </c>
      <c r="N62" s="450"/>
      <c r="O62" s="814">
        <v>6240591.2000000002</v>
      </c>
      <c r="P62" s="838" t="s">
        <v>761</v>
      </c>
      <c r="Q62" s="342"/>
    </row>
    <row r="63" spans="1:23" s="343" customFormat="1" ht="13.5" customHeight="1" x14ac:dyDescent="0.2">
      <c r="A63" s="816"/>
      <c r="C63" s="440">
        <v>24</v>
      </c>
      <c r="D63" s="459"/>
      <c r="E63" s="459"/>
      <c r="F63" s="448" t="s">
        <v>229</v>
      </c>
      <c r="G63" s="452" t="s">
        <v>201</v>
      </c>
      <c r="H63" s="449" t="s">
        <v>762</v>
      </c>
      <c r="I63" s="455">
        <f t="shared" si="2"/>
        <v>191255</v>
      </c>
      <c r="J63" s="450"/>
      <c r="K63" s="1152">
        <v>191255</v>
      </c>
      <c r="L63" s="799"/>
      <c r="M63" s="799"/>
      <c r="N63" s="450"/>
      <c r="O63" s="814"/>
      <c r="P63" s="838"/>
      <c r="Q63" s="342"/>
    </row>
    <row r="64" spans="1:23" s="343" customFormat="1" ht="24.6" customHeight="1" x14ac:dyDescent="0.2">
      <c r="A64" s="816"/>
      <c r="B64" s="343" t="s">
        <v>261</v>
      </c>
      <c r="C64" s="437">
        <v>25</v>
      </c>
      <c r="D64" s="459"/>
      <c r="E64" s="459"/>
      <c r="F64" s="448" t="s">
        <v>232</v>
      </c>
      <c r="G64" s="452" t="s">
        <v>201</v>
      </c>
      <c r="H64" s="449" t="s">
        <v>233</v>
      </c>
      <c r="I64" s="455">
        <f t="shared" si="2"/>
        <v>193242</v>
      </c>
      <c r="J64" s="450"/>
      <c r="K64" s="1153">
        <f>108900+84342</f>
        <v>193242</v>
      </c>
      <c r="L64" s="799">
        <v>0</v>
      </c>
      <c r="M64" s="799"/>
      <c r="N64" s="450"/>
      <c r="O64" s="814">
        <v>7197942.9199999999</v>
      </c>
      <c r="P64" s="445"/>
      <c r="Q64" s="342"/>
    </row>
    <row r="65" spans="1:23" s="343" customFormat="1" ht="24.6" customHeight="1" x14ac:dyDescent="0.2">
      <c r="A65" s="816"/>
      <c r="B65" s="343" t="s">
        <v>199</v>
      </c>
      <c r="C65" s="440">
        <v>26</v>
      </c>
      <c r="D65" s="840"/>
      <c r="E65" s="841"/>
      <c r="F65" s="811" t="s">
        <v>206</v>
      </c>
      <c r="G65" s="644" t="s">
        <v>201</v>
      </c>
      <c r="H65" s="645" t="s">
        <v>763</v>
      </c>
      <c r="I65" s="1135">
        <f t="shared" ref="I65:I71" si="3">SUM(K65:M65)</f>
        <v>987119.77750000008</v>
      </c>
      <c r="J65" s="450"/>
      <c r="K65" s="1152">
        <v>218324.99849999999</v>
      </c>
      <c r="L65" s="799">
        <v>768794.7790000001</v>
      </c>
      <c r="M65" s="809">
        <v>0</v>
      </c>
      <c r="N65" s="450"/>
      <c r="O65" s="813">
        <v>1582322.1850000001</v>
      </c>
      <c r="P65" s="445"/>
      <c r="Q65" s="462"/>
      <c r="R65" s="360"/>
      <c r="S65" s="360"/>
      <c r="T65" s="360"/>
      <c r="U65" s="360"/>
      <c r="V65" s="360"/>
      <c r="W65" s="360"/>
    </row>
    <row r="66" spans="1:23" s="343" customFormat="1" ht="26.45" customHeight="1" x14ac:dyDescent="0.2">
      <c r="A66" s="816"/>
      <c r="B66" s="343" t="s">
        <v>199</v>
      </c>
      <c r="C66" s="437">
        <v>27</v>
      </c>
      <c r="D66" s="843"/>
      <c r="E66" s="844"/>
      <c r="F66" s="845" t="s">
        <v>206</v>
      </c>
      <c r="G66" s="846" t="s">
        <v>201</v>
      </c>
      <c r="H66" s="847" t="s">
        <v>764</v>
      </c>
      <c r="I66" s="480">
        <f t="shared" si="3"/>
        <v>36542</v>
      </c>
      <c r="J66" s="450"/>
      <c r="K66" s="809">
        <f>36542-L66</f>
        <v>0</v>
      </c>
      <c r="L66" s="799">
        <v>36542</v>
      </c>
      <c r="M66" s="809">
        <v>0</v>
      </c>
      <c r="N66" s="450"/>
      <c r="O66" s="813">
        <v>1617500</v>
      </c>
      <c r="P66" s="445"/>
      <c r="Q66" s="462"/>
      <c r="R66" s="360"/>
      <c r="S66" s="360"/>
      <c r="T66" s="360"/>
      <c r="U66" s="360"/>
      <c r="V66" s="360"/>
      <c r="W66" s="360"/>
    </row>
    <row r="67" spans="1:23" s="343" customFormat="1" ht="29.25" customHeight="1" x14ac:dyDescent="0.2">
      <c r="A67" s="816"/>
      <c r="B67" s="343" t="s">
        <v>199</v>
      </c>
      <c r="C67" s="440">
        <v>28</v>
      </c>
      <c r="D67" s="458"/>
      <c r="E67" s="459"/>
      <c r="F67" s="822" t="s">
        <v>206</v>
      </c>
      <c r="G67" s="644" t="s">
        <v>201</v>
      </c>
      <c r="H67" s="645" t="s">
        <v>765</v>
      </c>
      <c r="I67" s="455">
        <f t="shared" si="3"/>
        <v>76315</v>
      </c>
      <c r="J67" s="450"/>
      <c r="K67" s="809">
        <v>0</v>
      </c>
      <c r="L67" s="799">
        <v>76315</v>
      </c>
      <c r="M67" s="809">
        <v>0</v>
      </c>
      <c r="N67" s="450"/>
      <c r="O67" s="813">
        <v>1802500</v>
      </c>
      <c r="P67" s="445"/>
      <c r="Q67" s="462"/>
      <c r="R67" s="360"/>
      <c r="S67" s="360"/>
      <c r="T67" s="360"/>
      <c r="U67" s="360"/>
      <c r="V67" s="360"/>
      <c r="W67" s="360"/>
    </row>
    <row r="68" spans="1:23" s="343" customFormat="1" ht="29.25" customHeight="1" x14ac:dyDescent="0.2">
      <c r="A68" s="816"/>
      <c r="B68" s="343" t="s">
        <v>199</v>
      </c>
      <c r="C68" s="437">
        <v>29</v>
      </c>
      <c r="D68" s="458"/>
      <c r="E68" s="459"/>
      <c r="F68" s="822" t="s">
        <v>206</v>
      </c>
      <c r="G68" s="644" t="s">
        <v>201</v>
      </c>
      <c r="H68" s="645" t="s">
        <v>766</v>
      </c>
      <c r="I68" s="455">
        <f t="shared" si="3"/>
        <v>44625.11</v>
      </c>
      <c r="J68" s="450"/>
      <c r="K68" s="1152">
        <v>8941</v>
      </c>
      <c r="L68" s="799">
        <v>35684.11</v>
      </c>
      <c r="M68" s="809">
        <v>0</v>
      </c>
      <c r="N68" s="450"/>
      <c r="O68" s="813">
        <v>1009421</v>
      </c>
      <c r="P68" s="445"/>
      <c r="Q68" s="462"/>
      <c r="R68" s="360"/>
      <c r="S68" s="360"/>
      <c r="T68" s="360"/>
      <c r="U68" s="360"/>
      <c r="V68" s="360"/>
      <c r="W68" s="360"/>
    </row>
    <row r="69" spans="1:23" s="343" customFormat="1" ht="29.25" customHeight="1" x14ac:dyDescent="0.2">
      <c r="A69" s="816"/>
      <c r="B69" s="343" t="s">
        <v>199</v>
      </c>
      <c r="C69" s="440">
        <v>30</v>
      </c>
      <c r="D69" s="458"/>
      <c r="E69" s="459"/>
      <c r="F69" s="822" t="s">
        <v>206</v>
      </c>
      <c r="G69" s="644" t="s">
        <v>201</v>
      </c>
      <c r="H69" s="645" t="s">
        <v>767</v>
      </c>
      <c r="I69" s="455">
        <f t="shared" si="3"/>
        <v>71219</v>
      </c>
      <c r="J69" s="450"/>
      <c r="K69" s="1152">
        <v>7500</v>
      </c>
      <c r="L69" s="799">
        <v>63719</v>
      </c>
      <c r="M69" s="809">
        <v>0</v>
      </c>
      <c r="N69" s="450"/>
      <c r="O69" s="813">
        <v>939722.22200000007</v>
      </c>
      <c r="P69" s="445"/>
      <c r="Q69" s="462"/>
      <c r="R69" s="360"/>
      <c r="S69" s="360"/>
      <c r="T69" s="360"/>
      <c r="U69" s="360"/>
      <c r="V69" s="360"/>
      <c r="W69" s="360"/>
    </row>
    <row r="70" spans="1:23" s="343" customFormat="1" ht="29.25" customHeight="1" x14ac:dyDescent="0.2">
      <c r="A70" s="816"/>
      <c r="B70" s="343" t="s">
        <v>199</v>
      </c>
      <c r="C70" s="437">
        <v>31</v>
      </c>
      <c r="D70" s="458"/>
      <c r="E70" s="459"/>
      <c r="F70" s="822" t="s">
        <v>206</v>
      </c>
      <c r="G70" s="644" t="s">
        <v>201</v>
      </c>
      <c r="H70" s="645" t="s">
        <v>768</v>
      </c>
      <c r="I70" s="455">
        <f t="shared" si="3"/>
        <v>58080</v>
      </c>
      <c r="J70" s="450"/>
      <c r="K70" s="809">
        <v>0</v>
      </c>
      <c r="L70" s="799">
        <v>58080</v>
      </c>
      <c r="M70" s="809">
        <v>0</v>
      </c>
      <c r="N70" s="450"/>
      <c r="O70" s="813">
        <v>750000</v>
      </c>
      <c r="P70" s="445"/>
      <c r="Q70" s="462"/>
      <c r="R70" s="360"/>
      <c r="S70" s="360"/>
      <c r="T70" s="360"/>
      <c r="U70" s="360"/>
      <c r="V70" s="360"/>
      <c r="W70" s="360"/>
    </row>
    <row r="71" spans="1:23" s="343" customFormat="1" ht="29.25" customHeight="1" x14ac:dyDescent="0.2">
      <c r="A71" s="816"/>
      <c r="B71" s="343" t="s">
        <v>199</v>
      </c>
      <c r="C71" s="440">
        <v>32</v>
      </c>
      <c r="D71" s="458"/>
      <c r="E71" s="459"/>
      <c r="F71" s="822" t="s">
        <v>206</v>
      </c>
      <c r="G71" s="644" t="s">
        <v>201</v>
      </c>
      <c r="H71" s="645" t="s">
        <v>769</v>
      </c>
      <c r="I71" s="455">
        <f t="shared" si="3"/>
        <v>39567</v>
      </c>
      <c r="J71" s="450"/>
      <c r="K71" s="809">
        <v>0</v>
      </c>
      <c r="L71" s="799">
        <v>39567</v>
      </c>
      <c r="M71" s="809">
        <v>0</v>
      </c>
      <c r="N71" s="450"/>
      <c r="O71" s="813">
        <v>1232500</v>
      </c>
      <c r="P71" s="445"/>
      <c r="Q71" s="462"/>
      <c r="R71" s="360"/>
      <c r="S71" s="360"/>
      <c r="T71" s="360"/>
      <c r="U71" s="360"/>
      <c r="V71" s="360"/>
      <c r="W71" s="360"/>
    </row>
    <row r="72" spans="1:23" s="343" customFormat="1" ht="29.45" customHeight="1" x14ac:dyDescent="0.2">
      <c r="A72" s="810"/>
      <c r="C72" s="437">
        <v>33</v>
      </c>
      <c r="D72" s="458"/>
      <c r="E72" s="459"/>
      <c r="F72" s="822" t="s">
        <v>206</v>
      </c>
      <c r="G72" s="644" t="s">
        <v>201</v>
      </c>
      <c r="H72" s="848" t="s">
        <v>770</v>
      </c>
      <c r="I72" s="455">
        <f>SUM(K72:M72)</f>
        <v>115193.98999999999</v>
      </c>
      <c r="J72" s="450"/>
      <c r="K72" s="1152">
        <v>17841.489999999991</v>
      </c>
      <c r="L72" s="799">
        <v>97352.5</v>
      </c>
      <c r="M72" s="809"/>
      <c r="N72" s="450"/>
      <c r="O72" s="849">
        <v>229064.71</v>
      </c>
      <c r="P72" s="445" t="s">
        <v>771</v>
      </c>
      <c r="Q72" s="462"/>
      <c r="R72" s="360"/>
      <c r="S72" s="360"/>
      <c r="T72" s="360"/>
      <c r="U72" s="360"/>
      <c r="V72" s="360"/>
      <c r="W72" s="360"/>
    </row>
    <row r="73" spans="1:23" s="343" customFormat="1" ht="25.5" customHeight="1" x14ac:dyDescent="0.2">
      <c r="A73" s="810"/>
      <c r="C73" s="437">
        <v>35</v>
      </c>
      <c r="D73" s="458"/>
      <c r="E73" s="459"/>
      <c r="F73" s="822" t="s">
        <v>206</v>
      </c>
      <c r="G73" s="644" t="s">
        <v>201</v>
      </c>
      <c r="H73" s="850" t="s">
        <v>772</v>
      </c>
      <c r="I73" s="812">
        <f>SUM(K73:M73)</f>
        <v>0</v>
      </c>
      <c r="J73" s="450"/>
      <c r="K73" s="851">
        <f>321863-321863</f>
        <v>0</v>
      </c>
      <c r="L73" s="799">
        <v>0</v>
      </c>
      <c r="M73" s="809"/>
      <c r="N73" s="450"/>
      <c r="O73" s="849">
        <v>3161117</v>
      </c>
      <c r="P73" s="445" t="s">
        <v>773</v>
      </c>
      <c r="Q73" s="462"/>
      <c r="R73" s="360"/>
      <c r="S73" s="360"/>
      <c r="T73" s="360"/>
      <c r="U73" s="360"/>
      <c r="V73" s="360"/>
      <c r="W73" s="360"/>
    </row>
    <row r="74" spans="1:23" s="343" customFormat="1" ht="12.6" customHeight="1" x14ac:dyDescent="0.2">
      <c r="A74" s="816"/>
      <c r="C74" s="440">
        <v>36</v>
      </c>
      <c r="D74" s="452"/>
      <c r="E74" s="452"/>
      <c r="F74" s="448" t="s">
        <v>286</v>
      </c>
      <c r="G74" s="452" t="s">
        <v>287</v>
      </c>
      <c r="H74" s="449" t="s">
        <v>408</v>
      </c>
      <c r="I74" s="493">
        <f t="shared" si="2"/>
        <v>10000</v>
      </c>
      <c r="J74" s="584"/>
      <c r="K74" s="1156">
        <v>10000</v>
      </c>
      <c r="L74" s="854"/>
      <c r="M74" s="854"/>
      <c r="N74" s="450"/>
      <c r="O74" s="855"/>
      <c r="P74" s="572"/>
      <c r="Q74" s="342"/>
      <c r="T74"/>
    </row>
    <row r="75" spans="1:23" s="343" customFormat="1" ht="24" customHeight="1" x14ac:dyDescent="0.2">
      <c r="A75" s="816"/>
      <c r="C75" s="437">
        <v>37</v>
      </c>
      <c r="D75" s="452"/>
      <c r="E75" s="452"/>
      <c r="F75" s="856" t="s">
        <v>442</v>
      </c>
      <c r="G75" s="343" t="s">
        <v>774</v>
      </c>
      <c r="H75" s="360" t="s">
        <v>775</v>
      </c>
      <c r="I75" s="852">
        <f t="shared" si="2"/>
        <v>2723</v>
      </c>
      <c r="J75" s="584"/>
      <c r="K75" s="853">
        <v>2723</v>
      </c>
      <c r="L75" s="854"/>
      <c r="M75" s="854"/>
      <c r="N75" s="450"/>
      <c r="O75" s="855"/>
      <c r="P75" s="572"/>
      <c r="Q75" s="342"/>
      <c r="T75"/>
    </row>
    <row r="76" spans="1:23" ht="24" customHeight="1" x14ac:dyDescent="0.2">
      <c r="B76" s="343" t="s">
        <v>199</v>
      </c>
      <c r="C76" s="440">
        <v>38</v>
      </c>
      <c r="D76" s="440"/>
      <c r="E76" s="440"/>
      <c r="F76" s="822" t="s">
        <v>776</v>
      </c>
      <c r="G76" s="644" t="s">
        <v>201</v>
      </c>
      <c r="H76" s="645" t="s">
        <v>777</v>
      </c>
      <c r="I76" s="455">
        <f t="shared" si="2"/>
        <v>16700</v>
      </c>
      <c r="J76" s="450"/>
      <c r="K76" s="1152">
        <v>2300</v>
      </c>
      <c r="L76" s="799">
        <v>14400</v>
      </c>
      <c r="M76" s="799">
        <v>0</v>
      </c>
      <c r="N76" s="450"/>
      <c r="O76" s="814">
        <v>22700</v>
      </c>
      <c r="P76" s="456"/>
    </row>
    <row r="77" spans="1:23" s="343" customFormat="1" ht="12.75" x14ac:dyDescent="0.2">
      <c r="A77" s="816"/>
      <c r="B77" s="343" t="s">
        <v>261</v>
      </c>
      <c r="C77" s="437">
        <v>39</v>
      </c>
      <c r="D77" s="458"/>
      <c r="E77" s="459"/>
      <c r="F77" s="439" t="s">
        <v>234</v>
      </c>
      <c r="G77" s="452" t="s">
        <v>201</v>
      </c>
      <c r="H77" s="449" t="s">
        <v>235</v>
      </c>
      <c r="I77" s="455">
        <f t="shared" si="2"/>
        <v>8910182.6090000011</v>
      </c>
      <c r="J77" s="450"/>
      <c r="K77" s="798">
        <v>0</v>
      </c>
      <c r="L77" s="799">
        <v>1403713.71</v>
      </c>
      <c r="M77" s="809">
        <v>7506468.8990000011</v>
      </c>
      <c r="N77" s="450"/>
      <c r="O77" s="813">
        <v>15154550.221799999</v>
      </c>
      <c r="P77" s="445" t="s">
        <v>236</v>
      </c>
      <c r="Q77" s="462"/>
      <c r="R77" s="360"/>
      <c r="S77" s="360"/>
      <c r="T77" s="360"/>
      <c r="U77" s="360"/>
      <c r="V77" s="360"/>
      <c r="W77" s="360"/>
    </row>
    <row r="78" spans="1:23" s="343" customFormat="1" ht="13.9" customHeight="1" x14ac:dyDescent="0.2">
      <c r="A78" s="816"/>
      <c r="B78" s="343" t="s">
        <v>261</v>
      </c>
      <c r="C78" s="440">
        <v>40</v>
      </c>
      <c r="D78" s="458"/>
      <c r="E78" s="459"/>
      <c r="F78" s="439" t="s">
        <v>237</v>
      </c>
      <c r="G78" s="452" t="s">
        <v>201</v>
      </c>
      <c r="H78" s="558" t="s">
        <v>778</v>
      </c>
      <c r="I78" s="455">
        <f t="shared" si="2"/>
        <v>78746.5</v>
      </c>
      <c r="J78" s="676"/>
      <c r="K78" s="1152">
        <v>78746.5</v>
      </c>
      <c r="L78" s="799">
        <v>0</v>
      </c>
      <c r="M78" s="809">
        <v>0</v>
      </c>
      <c r="N78" s="450"/>
      <c r="O78" s="813"/>
      <c r="P78" s="445"/>
      <c r="Q78" s="462"/>
      <c r="R78" s="360"/>
      <c r="S78" s="360"/>
      <c r="T78" s="360"/>
      <c r="U78" s="360"/>
      <c r="V78" s="360"/>
      <c r="W78" s="360"/>
    </row>
    <row r="79" spans="1:23" ht="12" customHeight="1" thickBot="1" x14ac:dyDescent="0.25">
      <c r="B79" s="343" t="s">
        <v>261</v>
      </c>
      <c r="C79" s="437">
        <v>41</v>
      </c>
      <c r="D79" s="440"/>
      <c r="E79" s="440"/>
      <c r="F79" s="823" t="s">
        <v>779</v>
      </c>
      <c r="G79" s="824" t="s">
        <v>201</v>
      </c>
      <c r="H79" s="645" t="s">
        <v>780</v>
      </c>
      <c r="I79" s="455">
        <f t="shared" si="2"/>
        <v>20934</v>
      </c>
      <c r="J79" s="450"/>
      <c r="K79" s="1152">
        <v>685</v>
      </c>
      <c r="L79" s="799">
        <v>20249</v>
      </c>
      <c r="M79" s="799">
        <v>0</v>
      </c>
      <c r="N79" s="450"/>
      <c r="O79" s="814">
        <v>31642</v>
      </c>
      <c r="P79" s="857"/>
    </row>
    <row r="80" spans="1:23" s="343" customFormat="1" ht="25.9" customHeight="1" x14ac:dyDescent="0.2">
      <c r="A80" s="858"/>
      <c r="B80" s="343" t="s">
        <v>261</v>
      </c>
      <c r="C80" s="859">
        <v>42</v>
      </c>
      <c r="D80" s="860"/>
      <c r="E80" s="861"/>
      <c r="F80" s="862" t="s">
        <v>781</v>
      </c>
      <c r="G80" s="829" t="s">
        <v>201</v>
      </c>
      <c r="H80" s="830" t="s">
        <v>782</v>
      </c>
      <c r="I80" s="1012">
        <f t="shared" si="2"/>
        <v>622519.04999999981</v>
      </c>
      <c r="J80" s="831"/>
      <c r="K80" s="1152">
        <v>93377.857499999984</v>
      </c>
      <c r="L80" s="799">
        <v>529141.19249999989</v>
      </c>
      <c r="M80" s="809">
        <v>0</v>
      </c>
      <c r="N80" s="450"/>
      <c r="O80" s="813">
        <v>1437245.8800000001</v>
      </c>
      <c r="P80" s="863"/>
      <c r="Q80" s="462"/>
      <c r="R80" s="360"/>
      <c r="S80" s="360"/>
      <c r="T80" s="360"/>
      <c r="U80" s="360"/>
      <c r="V80" s="360"/>
      <c r="W80" s="360"/>
    </row>
    <row r="81" spans="1:23" s="343" customFormat="1" ht="25.9" customHeight="1" x14ac:dyDescent="0.2">
      <c r="A81" s="858"/>
      <c r="C81" s="864">
        <v>43</v>
      </c>
      <c r="D81" s="458"/>
      <c r="E81" s="459"/>
      <c r="F81" s="865" t="s">
        <v>493</v>
      </c>
      <c r="G81" s="866" t="s">
        <v>246</v>
      </c>
      <c r="H81" s="867" t="s">
        <v>783</v>
      </c>
      <c r="I81" s="868">
        <f t="shared" si="2"/>
        <v>0</v>
      </c>
      <c r="J81" s="869"/>
      <c r="K81" s="870"/>
      <c r="L81" s="799"/>
      <c r="M81" s="809"/>
      <c r="N81" s="450"/>
      <c r="O81" s="813"/>
      <c r="P81" s="871">
        <v>14440</v>
      </c>
      <c r="Q81" s="462"/>
      <c r="R81" s="360"/>
      <c r="S81" s="360"/>
      <c r="T81" s="360"/>
      <c r="U81" s="360"/>
      <c r="V81" s="360"/>
      <c r="W81" s="360"/>
    </row>
    <row r="82" spans="1:23" s="343" customFormat="1" ht="25.9" customHeight="1" x14ac:dyDescent="0.2">
      <c r="A82" s="858"/>
      <c r="C82" s="864">
        <v>44</v>
      </c>
      <c r="D82" s="458"/>
      <c r="E82" s="459"/>
      <c r="F82" s="865" t="s">
        <v>493</v>
      </c>
      <c r="G82" s="866" t="s">
        <v>246</v>
      </c>
      <c r="H82" s="867" t="s">
        <v>784</v>
      </c>
      <c r="I82" s="868">
        <f t="shared" si="2"/>
        <v>0</v>
      </c>
      <c r="J82" s="869"/>
      <c r="K82" s="870"/>
      <c r="L82" s="799"/>
      <c r="M82" s="809"/>
      <c r="N82" s="450"/>
      <c r="O82" s="813"/>
      <c r="P82" s="871">
        <v>154729</v>
      </c>
      <c r="Q82" s="462"/>
      <c r="R82" s="360"/>
      <c r="S82" s="360"/>
      <c r="T82" s="360"/>
      <c r="U82" s="360"/>
      <c r="V82" s="360"/>
      <c r="W82" s="360"/>
    </row>
    <row r="83" spans="1:23" s="343" customFormat="1" ht="53.25" customHeight="1" x14ac:dyDescent="0.2">
      <c r="A83" s="858"/>
      <c r="C83" s="864">
        <v>45</v>
      </c>
      <c r="D83" s="458"/>
      <c r="E83" s="459"/>
      <c r="F83" s="865" t="s">
        <v>493</v>
      </c>
      <c r="G83" s="866" t="s">
        <v>246</v>
      </c>
      <c r="H83" s="867" t="s">
        <v>785</v>
      </c>
      <c r="I83" s="868">
        <f t="shared" si="2"/>
        <v>0</v>
      </c>
      <c r="J83" s="869"/>
      <c r="K83" s="870"/>
      <c r="L83" s="799"/>
      <c r="M83" s="809"/>
      <c r="N83" s="450"/>
      <c r="O83" s="813"/>
      <c r="P83" s="871">
        <v>28692</v>
      </c>
      <c r="Q83" s="462"/>
      <c r="R83" s="360"/>
      <c r="S83" s="360"/>
      <c r="T83" s="360"/>
      <c r="U83" s="360"/>
      <c r="V83" s="360"/>
      <c r="W83" s="360"/>
    </row>
    <row r="84" spans="1:23" s="343" customFormat="1" ht="24" customHeight="1" x14ac:dyDescent="0.2">
      <c r="A84" s="858"/>
      <c r="C84" s="864">
        <v>46</v>
      </c>
      <c r="D84" s="458"/>
      <c r="E84" s="459"/>
      <c r="F84" s="448" t="s">
        <v>493</v>
      </c>
      <c r="G84" s="452" t="s">
        <v>246</v>
      </c>
      <c r="H84" s="867" t="s">
        <v>786</v>
      </c>
      <c r="I84" s="797">
        <f t="shared" si="2"/>
        <v>0</v>
      </c>
      <c r="J84" s="600"/>
      <c r="K84" s="799"/>
      <c r="L84" s="799"/>
      <c r="M84" s="809"/>
      <c r="N84" s="450"/>
      <c r="O84" s="813"/>
      <c r="P84" s="871">
        <v>332723</v>
      </c>
      <c r="Q84" s="462"/>
      <c r="R84" s="360"/>
      <c r="S84" s="360"/>
      <c r="T84" s="360"/>
      <c r="U84" s="360"/>
      <c r="V84" s="360"/>
      <c r="W84" s="360"/>
    </row>
    <row r="85" spans="1:23" s="343" customFormat="1" ht="36.75" customHeight="1" x14ac:dyDescent="0.2">
      <c r="A85" s="858"/>
      <c r="C85" s="872">
        <v>47</v>
      </c>
      <c r="D85" s="873"/>
      <c r="E85" s="874"/>
      <c r="F85" s="704" t="s">
        <v>493</v>
      </c>
      <c r="G85" s="875" t="s">
        <v>246</v>
      </c>
      <c r="H85" s="876" t="s">
        <v>787</v>
      </c>
      <c r="I85" s="877">
        <f>SUM(K85:M85)</f>
        <v>0</v>
      </c>
      <c r="J85" s="878"/>
      <c r="K85" s="879"/>
      <c r="L85" s="879"/>
      <c r="M85" s="880"/>
      <c r="N85" s="450"/>
      <c r="O85" s="813"/>
      <c r="P85" s="871">
        <v>11680</v>
      </c>
      <c r="Q85" s="462"/>
      <c r="R85" s="360"/>
      <c r="S85" s="360"/>
      <c r="T85" s="360"/>
      <c r="U85" s="360"/>
      <c r="V85" s="360"/>
      <c r="W85" s="360"/>
    </row>
    <row r="86" spans="1:23" ht="13.5" customHeight="1" x14ac:dyDescent="0.2">
      <c r="B86" s="343"/>
      <c r="C86" s="477">
        <v>50</v>
      </c>
      <c r="D86" s="477"/>
      <c r="E86" s="477"/>
      <c r="F86" s="478" t="s">
        <v>493</v>
      </c>
      <c r="G86" s="483" t="s">
        <v>246</v>
      </c>
      <c r="H86" s="569" t="s">
        <v>788</v>
      </c>
      <c r="I86" s="881">
        <f t="shared" si="2"/>
        <v>29040</v>
      </c>
      <c r="J86" s="517"/>
      <c r="K86" s="882">
        <v>29040</v>
      </c>
      <c r="L86" s="882"/>
      <c r="M86" s="882"/>
      <c r="N86" s="450"/>
      <c r="O86" s="814"/>
      <c r="Q86" s="329"/>
      <c r="R86" s="329"/>
      <c r="S86" s="329"/>
      <c r="T86" s="329"/>
    </row>
    <row r="87" spans="1:23" ht="13.5" customHeight="1" x14ac:dyDescent="0.2">
      <c r="B87" s="343"/>
      <c r="C87" s="440">
        <v>51</v>
      </c>
      <c r="D87" s="440"/>
      <c r="E87" s="440"/>
      <c r="F87" s="448" t="s">
        <v>493</v>
      </c>
      <c r="G87" s="452" t="s">
        <v>246</v>
      </c>
      <c r="H87" s="449" t="s">
        <v>789</v>
      </c>
      <c r="I87" s="797">
        <f>SUM(K87:M87)</f>
        <v>5011</v>
      </c>
      <c r="J87" s="600"/>
      <c r="K87" s="799">
        <v>5011</v>
      </c>
      <c r="L87" s="799"/>
      <c r="M87" s="799"/>
      <c r="N87" s="450"/>
      <c r="O87" s="814"/>
      <c r="Q87" s="329"/>
      <c r="R87" s="329"/>
      <c r="S87" s="329"/>
      <c r="T87" s="329"/>
    </row>
    <row r="88" spans="1:23" x14ac:dyDescent="0.2">
      <c r="B88" s="343"/>
      <c r="C88" s="440">
        <v>52</v>
      </c>
      <c r="D88" s="494"/>
      <c r="E88" s="494"/>
      <c r="F88" s="856" t="s">
        <v>790</v>
      </c>
      <c r="G88" s="343" t="s">
        <v>791</v>
      </c>
      <c r="H88" s="360" t="s">
        <v>792</v>
      </c>
      <c r="I88" s="797">
        <f>SUM(K88:M88)</f>
        <v>9996</v>
      </c>
      <c r="J88" s="450"/>
      <c r="K88" s="799"/>
      <c r="L88" s="799">
        <v>9996</v>
      </c>
      <c r="M88" s="799"/>
      <c r="N88" s="450"/>
      <c r="O88" s="814"/>
      <c r="Q88" s="329"/>
      <c r="R88" s="329"/>
      <c r="S88" s="329"/>
      <c r="T88" s="329"/>
    </row>
    <row r="89" spans="1:23" s="343" customFormat="1" ht="24" x14ac:dyDescent="0.2">
      <c r="A89" s="816"/>
      <c r="B89" s="343" t="s">
        <v>205</v>
      </c>
      <c r="C89" s="440">
        <v>53</v>
      </c>
      <c r="D89" s="841"/>
      <c r="E89" s="841"/>
      <c r="F89" s="822" t="s">
        <v>239</v>
      </c>
      <c r="G89" s="644" t="s">
        <v>201</v>
      </c>
      <c r="H89" s="645" t="s">
        <v>793</v>
      </c>
      <c r="I89" s="1135">
        <f t="shared" si="2"/>
        <v>47219.45</v>
      </c>
      <c r="J89" s="450"/>
      <c r="K89" s="809">
        <v>0</v>
      </c>
      <c r="L89" s="799">
        <v>47219.45</v>
      </c>
      <c r="M89" s="799">
        <v>0</v>
      </c>
      <c r="N89" s="450"/>
      <c r="O89" s="825">
        <v>186981</v>
      </c>
      <c r="P89" s="445"/>
      <c r="Q89" s="342"/>
    </row>
    <row r="90" spans="1:23" s="343" customFormat="1" ht="24" x14ac:dyDescent="0.2">
      <c r="A90" s="816"/>
      <c r="B90" s="343" t="s">
        <v>261</v>
      </c>
      <c r="C90" s="440">
        <v>54</v>
      </c>
      <c r="D90" s="844"/>
      <c r="E90" s="844"/>
      <c r="F90" s="883" t="s">
        <v>242</v>
      </c>
      <c r="G90" s="477" t="s">
        <v>201</v>
      </c>
      <c r="H90" s="884" t="s">
        <v>243</v>
      </c>
      <c r="I90" s="480">
        <f t="shared" si="2"/>
        <v>0</v>
      </c>
      <c r="J90" s="885"/>
      <c r="K90" s="809">
        <v>0</v>
      </c>
      <c r="L90" s="886">
        <v>0</v>
      </c>
      <c r="M90" s="886">
        <v>0</v>
      </c>
      <c r="N90" s="450"/>
      <c r="O90" s="825">
        <v>43191.63</v>
      </c>
      <c r="P90" s="887" t="s">
        <v>794</v>
      </c>
      <c r="Q90" s="342"/>
    </row>
    <row r="91" spans="1:23" x14ac:dyDescent="0.2">
      <c r="A91" s="816"/>
      <c r="B91" s="343"/>
      <c r="C91" s="440">
        <v>55</v>
      </c>
      <c r="D91" s="440"/>
      <c r="E91" s="440"/>
      <c r="F91" s="448" t="s">
        <v>528</v>
      </c>
      <c r="G91" s="452" t="s">
        <v>528</v>
      </c>
      <c r="H91" s="888" t="s">
        <v>795</v>
      </c>
      <c r="I91" s="797">
        <f>SUM(K91:M91)</f>
        <v>888703</v>
      </c>
      <c r="J91" s="450"/>
      <c r="K91" s="799"/>
      <c r="L91" s="799">
        <v>888703</v>
      </c>
      <c r="M91" s="889"/>
      <c r="N91" s="450"/>
      <c r="O91" s="890"/>
      <c r="P91" s="463" t="s">
        <v>796</v>
      </c>
    </row>
    <row r="92" spans="1:23" x14ac:dyDescent="0.2">
      <c r="A92" s="816"/>
      <c r="B92" s="343"/>
      <c r="C92" s="440">
        <v>56</v>
      </c>
      <c r="D92" s="440"/>
      <c r="E92" s="440"/>
      <c r="F92" s="891" t="s">
        <v>528</v>
      </c>
      <c r="G92" s="440" t="s">
        <v>528</v>
      </c>
      <c r="H92" s="888" t="s">
        <v>797</v>
      </c>
      <c r="I92" s="442">
        <f t="shared" si="2"/>
        <v>570505</v>
      </c>
      <c r="J92" s="885"/>
      <c r="K92" s="1157">
        <f>570505-M92</f>
        <v>91025</v>
      </c>
      <c r="L92" s="886"/>
      <c r="M92" s="893">
        <f>276030+(204530-1080)</f>
        <v>479480</v>
      </c>
      <c r="N92" s="450"/>
      <c r="O92" s="825">
        <v>693831</v>
      </c>
      <c r="P92" s="463" t="s">
        <v>798</v>
      </c>
    </row>
    <row r="93" spans="1:23" s="343" customFormat="1" x14ac:dyDescent="0.2">
      <c r="A93" s="816"/>
      <c r="C93" s="440">
        <v>57</v>
      </c>
      <c r="D93" s="440"/>
      <c r="E93" s="440"/>
      <c r="F93" s="448" t="s">
        <v>528</v>
      </c>
      <c r="G93" s="452" t="s">
        <v>528</v>
      </c>
      <c r="H93" s="645" t="s">
        <v>799</v>
      </c>
      <c r="I93" s="442">
        <f>SUM(K93:M93)</f>
        <v>4840</v>
      </c>
      <c r="J93" s="598"/>
      <c r="K93" s="894">
        <v>4840</v>
      </c>
      <c r="L93" s="894"/>
      <c r="M93" s="894"/>
      <c r="N93" s="450"/>
      <c r="O93" s="895"/>
      <c r="P93" s="896"/>
      <c r="T93"/>
    </row>
    <row r="94" spans="1:23" ht="12.75" customHeight="1" x14ac:dyDescent="0.2">
      <c r="A94" s="816"/>
      <c r="B94" s="343"/>
      <c r="C94" s="440">
        <v>58</v>
      </c>
      <c r="D94" s="440"/>
      <c r="E94" s="440"/>
      <c r="F94" s="448" t="s">
        <v>800</v>
      </c>
      <c r="G94" s="452" t="s">
        <v>528</v>
      </c>
      <c r="H94" s="645" t="s">
        <v>801</v>
      </c>
      <c r="I94" s="797">
        <f>SUM(K94:M94)</f>
        <v>57584</v>
      </c>
      <c r="J94" s="450"/>
      <c r="K94" s="799">
        <v>57584</v>
      </c>
      <c r="L94" s="799"/>
      <c r="M94" s="894"/>
      <c r="N94" s="450"/>
      <c r="O94" s="895"/>
      <c r="P94" s="463" t="s">
        <v>802</v>
      </c>
    </row>
    <row r="95" spans="1:23" x14ac:dyDescent="0.2">
      <c r="A95" s="816"/>
      <c r="B95" s="343"/>
      <c r="C95" s="440">
        <v>59</v>
      </c>
      <c r="D95" s="440"/>
      <c r="E95" s="440"/>
      <c r="F95" s="448" t="s">
        <v>800</v>
      </c>
      <c r="G95" s="452" t="s">
        <v>528</v>
      </c>
      <c r="H95" s="645" t="s">
        <v>803</v>
      </c>
      <c r="I95" s="797">
        <f>SUM(K95:M95)</f>
        <v>38600</v>
      </c>
      <c r="J95" s="450"/>
      <c r="K95" s="799">
        <v>38600</v>
      </c>
      <c r="L95" s="799"/>
      <c r="M95" s="889"/>
      <c r="N95" s="450"/>
      <c r="O95" s="897"/>
      <c r="P95" s="463" t="s">
        <v>802</v>
      </c>
    </row>
    <row r="96" spans="1:23" s="343" customFormat="1" ht="79.5" thickBot="1" x14ac:dyDescent="0.25">
      <c r="A96" s="816"/>
      <c r="C96" s="494">
        <v>60</v>
      </c>
      <c r="D96" s="898"/>
      <c r="E96" s="819"/>
      <c r="F96" s="819" t="s">
        <v>804</v>
      </c>
      <c r="G96" s="819" t="s">
        <v>805</v>
      </c>
      <c r="H96" s="820" t="s">
        <v>806</v>
      </c>
      <c r="I96" s="1141">
        <f>SUM(K96:M96)</f>
        <v>47288</v>
      </c>
      <c r="J96" s="899"/>
      <c r="K96" s="900">
        <v>47288</v>
      </c>
      <c r="L96" s="900"/>
      <c r="M96" s="900"/>
      <c r="N96" s="450"/>
      <c r="O96" s="901">
        <f>881784.9+155609.1</f>
        <v>1037394</v>
      </c>
      <c r="P96" s="464" t="s">
        <v>807</v>
      </c>
      <c r="T96"/>
    </row>
    <row r="97" spans="1:17" ht="24" x14ac:dyDescent="0.2">
      <c r="A97" s="810"/>
      <c r="B97" s="343"/>
      <c r="C97" s="1195">
        <v>61</v>
      </c>
      <c r="D97" s="902"/>
      <c r="E97" s="902"/>
      <c r="F97" s="903" t="s">
        <v>808</v>
      </c>
      <c r="G97" s="904" t="s">
        <v>809</v>
      </c>
      <c r="H97" s="902" t="s">
        <v>810</v>
      </c>
      <c r="I97" s="1138">
        <f t="shared" si="2"/>
        <v>254729</v>
      </c>
      <c r="J97" s="905"/>
      <c r="K97" s="906"/>
      <c r="L97" s="907">
        <f>122404+4400+(118325+7600+2000)</f>
        <v>254729</v>
      </c>
      <c r="M97" s="908"/>
      <c r="N97" s="831"/>
      <c r="O97" s="1197">
        <v>268728</v>
      </c>
      <c r="P97" s="329" t="s">
        <v>811</v>
      </c>
    </row>
    <row r="98" spans="1:17" ht="24.75" thickBot="1" x14ac:dyDescent="0.25">
      <c r="A98" s="810"/>
      <c r="B98" s="343"/>
      <c r="C98" s="1196"/>
      <c r="D98" s="909"/>
      <c r="E98" s="909"/>
      <c r="F98" s="910" t="s">
        <v>371</v>
      </c>
      <c r="G98" s="911" t="s">
        <v>809</v>
      </c>
      <c r="H98" s="909" t="s">
        <v>812</v>
      </c>
      <c r="I98" s="1139">
        <f t="shared" si="2"/>
        <v>14000</v>
      </c>
      <c r="J98" s="912"/>
      <c r="K98" s="913"/>
      <c r="L98" s="914">
        <v>14000</v>
      </c>
      <c r="M98" s="915"/>
      <c r="N98" s="836"/>
      <c r="O98" s="1198"/>
    </row>
    <row r="99" spans="1:17" ht="133.15" customHeight="1" x14ac:dyDescent="0.2">
      <c r="A99" s="810"/>
      <c r="B99" s="343"/>
      <c r="C99" s="477">
        <v>62</v>
      </c>
      <c r="D99" s="916"/>
      <c r="E99" s="916"/>
      <c r="F99" s="917" t="s">
        <v>371</v>
      </c>
      <c r="G99" s="918" t="s">
        <v>809</v>
      </c>
      <c r="H99" s="919" t="s">
        <v>813</v>
      </c>
      <c r="I99" s="1137">
        <f t="shared" si="2"/>
        <v>613434</v>
      </c>
      <c r="J99" s="920"/>
      <c r="K99" s="1154">
        <f>613434-L99-M99</f>
        <v>193434</v>
      </c>
      <c r="L99" s="921">
        <f>270000+150000</f>
        <v>420000</v>
      </c>
      <c r="M99" s="922"/>
      <c r="N99" s="923"/>
      <c r="O99" s="924">
        <v>635250</v>
      </c>
      <c r="P99" s="519" t="s">
        <v>814</v>
      </c>
    </row>
    <row r="100" spans="1:17" s="343" customFormat="1" x14ac:dyDescent="0.2">
      <c r="A100" s="810"/>
      <c r="B100" s="343" t="s">
        <v>261</v>
      </c>
      <c r="C100" s="440">
        <v>63</v>
      </c>
      <c r="D100" s="483"/>
      <c r="E100" s="483"/>
      <c r="F100" s="845" t="s">
        <v>528</v>
      </c>
      <c r="G100" s="846" t="s">
        <v>528</v>
      </c>
      <c r="H100" s="847" t="s">
        <v>815</v>
      </c>
      <c r="I100" s="925">
        <f t="shared" si="2"/>
        <v>59199</v>
      </c>
      <c r="J100" s="450"/>
      <c r="K100" s="809">
        <f>59199-M100</f>
        <v>9500</v>
      </c>
      <c r="L100" s="799"/>
      <c r="M100" s="926">
        <f>47733+1966</f>
        <v>49699</v>
      </c>
      <c r="N100" s="450"/>
      <c r="O100" s="814">
        <v>262933.5</v>
      </c>
      <c r="P100" s="329"/>
      <c r="Q100" s="342"/>
    </row>
    <row r="101" spans="1:17" ht="21" customHeight="1" x14ac:dyDescent="0.2">
      <c r="A101" s="810"/>
      <c r="B101" s="343"/>
      <c r="C101" s="343"/>
      <c r="D101" s="440"/>
      <c r="E101" s="440"/>
      <c r="F101" s="452" t="s">
        <v>800</v>
      </c>
      <c r="G101" s="440" t="s">
        <v>528</v>
      </c>
      <c r="H101" s="927" t="s">
        <v>816</v>
      </c>
      <c r="I101" s="928">
        <f>SUM(K101:M101)</f>
        <v>19470</v>
      </c>
      <c r="J101" s="450"/>
      <c r="K101" s="799">
        <f>20922-K102</f>
        <v>19470</v>
      </c>
      <c r="L101" s="894"/>
      <c r="M101" s="894"/>
      <c r="N101" s="450"/>
      <c r="O101" s="929"/>
      <c r="P101" s="463" t="s">
        <v>817</v>
      </c>
      <c r="Q101"/>
    </row>
    <row r="102" spans="1:17" ht="21" customHeight="1" x14ac:dyDescent="0.2">
      <c r="A102" s="810"/>
      <c r="B102" s="343"/>
      <c r="C102" s="343"/>
      <c r="D102" s="440"/>
      <c r="E102" s="440"/>
      <c r="F102" s="691" t="s">
        <v>818</v>
      </c>
      <c r="G102" s="440" t="s">
        <v>819</v>
      </c>
      <c r="H102" s="927" t="s">
        <v>820</v>
      </c>
      <c r="I102" s="928">
        <f>SUM(K102:M102)</f>
        <v>1452</v>
      </c>
      <c r="J102" s="450"/>
      <c r="K102" s="799">
        <v>1452</v>
      </c>
      <c r="L102" s="894"/>
      <c r="M102" s="894"/>
      <c r="N102" s="450"/>
      <c r="O102" s="929"/>
      <c r="P102" s="463" t="s">
        <v>821</v>
      </c>
      <c r="Q102"/>
    </row>
    <row r="103" spans="1:17" ht="21" customHeight="1" x14ac:dyDescent="0.2">
      <c r="A103" s="810"/>
      <c r="B103" s="343"/>
      <c r="C103" s="343"/>
      <c r="D103" s="440"/>
      <c r="E103" s="440"/>
      <c r="F103" s="452" t="s">
        <v>800</v>
      </c>
      <c r="G103" s="440" t="s">
        <v>528</v>
      </c>
      <c r="H103" s="930" t="s">
        <v>822</v>
      </c>
      <c r="I103" s="928">
        <f>SUM(K103:M103)</f>
        <v>7994</v>
      </c>
      <c r="J103" s="450"/>
      <c r="K103" s="799">
        <v>7994</v>
      </c>
      <c r="L103" s="894"/>
      <c r="M103" s="894"/>
      <c r="N103" s="450"/>
      <c r="O103" s="929"/>
      <c r="P103" s="463" t="s">
        <v>823</v>
      </c>
      <c r="Q103"/>
    </row>
    <row r="104" spans="1:17" x14ac:dyDescent="0.2">
      <c r="A104" s="810"/>
      <c r="B104" s="343"/>
      <c r="C104" s="440"/>
      <c r="D104" s="440"/>
      <c r="E104" s="440"/>
      <c r="F104" s="448" t="s">
        <v>800</v>
      </c>
      <c r="G104" s="440" t="s">
        <v>528</v>
      </c>
      <c r="H104" s="931" t="s">
        <v>824</v>
      </c>
      <c r="I104" s="928">
        <f>SUM(K104:M104)</f>
        <v>250000</v>
      </c>
      <c r="J104" s="450"/>
      <c r="K104" s="799">
        <v>250000</v>
      </c>
      <c r="L104" s="799"/>
      <c r="M104" s="894"/>
      <c r="N104" s="450"/>
      <c r="O104" s="929"/>
      <c r="P104" s="463" t="s">
        <v>825</v>
      </c>
    </row>
    <row r="105" spans="1:17" s="343" customFormat="1" ht="24" x14ac:dyDescent="0.2">
      <c r="A105" s="810"/>
      <c r="B105" s="343" t="s">
        <v>261</v>
      </c>
      <c r="C105" s="440">
        <v>64</v>
      </c>
      <c r="D105" s="452"/>
      <c r="E105" s="452"/>
      <c r="F105" s="822" t="s">
        <v>826</v>
      </c>
      <c r="G105" s="644" t="s">
        <v>249</v>
      </c>
      <c r="H105" s="645" t="s">
        <v>827</v>
      </c>
      <c r="I105" s="812">
        <f t="shared" si="2"/>
        <v>42376</v>
      </c>
      <c r="J105" s="450"/>
      <c r="K105" s="809">
        <v>0</v>
      </c>
      <c r="L105" s="806">
        <v>42376</v>
      </c>
      <c r="M105" s="799">
        <v>0</v>
      </c>
      <c r="N105" s="450"/>
      <c r="O105" s="1194">
        <f>SUM(I105:I111)</f>
        <v>68285</v>
      </c>
      <c r="P105" s="329"/>
      <c r="Q105" s="342"/>
    </row>
    <row r="106" spans="1:17" s="343" customFormat="1" ht="24" x14ac:dyDescent="0.2">
      <c r="A106" s="816"/>
      <c r="B106" s="343" t="s">
        <v>261</v>
      </c>
      <c r="C106" s="440">
        <v>65</v>
      </c>
      <c r="D106" s="452"/>
      <c r="E106" s="452"/>
      <c r="F106" s="822" t="s">
        <v>828</v>
      </c>
      <c r="G106" s="644" t="s">
        <v>829</v>
      </c>
      <c r="H106" s="645" t="s">
        <v>830</v>
      </c>
      <c r="I106" s="812">
        <f t="shared" si="2"/>
        <v>1221</v>
      </c>
      <c r="J106" s="450"/>
      <c r="K106" s="809">
        <v>0</v>
      </c>
      <c r="L106" s="806">
        <v>1221</v>
      </c>
      <c r="M106" s="799">
        <v>0</v>
      </c>
      <c r="N106" s="450"/>
      <c r="O106" s="1194"/>
      <c r="P106" s="932"/>
      <c r="Q106" s="342"/>
    </row>
    <row r="107" spans="1:17" s="343" customFormat="1" ht="24" x14ac:dyDescent="0.2">
      <c r="A107" s="816"/>
      <c r="B107" s="343" t="s">
        <v>199</v>
      </c>
      <c r="C107" s="440">
        <v>66</v>
      </c>
      <c r="D107" s="452"/>
      <c r="E107" s="452"/>
      <c r="F107" s="822" t="s">
        <v>831</v>
      </c>
      <c r="G107" s="644" t="s">
        <v>519</v>
      </c>
      <c r="H107" s="645" t="s">
        <v>832</v>
      </c>
      <c r="I107" s="812">
        <f t="shared" si="2"/>
        <v>15473</v>
      </c>
      <c r="J107" s="450"/>
      <c r="K107" s="809">
        <v>0</v>
      </c>
      <c r="L107" s="806">
        <v>15473</v>
      </c>
      <c r="M107" s="799">
        <v>0</v>
      </c>
      <c r="N107" s="450"/>
      <c r="O107" s="1194"/>
      <c r="P107" s="932"/>
      <c r="Q107" s="342"/>
    </row>
    <row r="108" spans="1:17" s="343" customFormat="1" ht="24" x14ac:dyDescent="0.2">
      <c r="A108" s="816"/>
      <c r="B108" s="343" t="s">
        <v>199</v>
      </c>
      <c r="C108" s="440">
        <v>67</v>
      </c>
      <c r="D108" s="452"/>
      <c r="E108" s="452"/>
      <c r="F108" s="822" t="s">
        <v>833</v>
      </c>
      <c r="G108" s="644" t="s">
        <v>451</v>
      </c>
      <c r="H108" s="645" t="s">
        <v>834</v>
      </c>
      <c r="I108" s="812">
        <f t="shared" si="2"/>
        <v>2219</v>
      </c>
      <c r="J108" s="450"/>
      <c r="K108" s="809">
        <v>0</v>
      </c>
      <c r="L108" s="799">
        <v>2219</v>
      </c>
      <c r="M108" s="799">
        <v>0</v>
      </c>
      <c r="N108" s="450"/>
      <c r="O108" s="1194"/>
      <c r="P108" s="932"/>
      <c r="Q108" s="342"/>
    </row>
    <row r="109" spans="1:17" s="343" customFormat="1" ht="24" x14ac:dyDescent="0.2">
      <c r="A109" s="816"/>
      <c r="B109" s="343" t="s">
        <v>261</v>
      </c>
      <c r="C109" s="440">
        <v>68</v>
      </c>
      <c r="D109" s="452"/>
      <c r="E109" s="452"/>
      <c r="F109" s="822" t="s">
        <v>835</v>
      </c>
      <c r="G109" s="644" t="s">
        <v>458</v>
      </c>
      <c r="H109" s="645" t="s">
        <v>836</v>
      </c>
      <c r="I109" s="812">
        <f t="shared" si="2"/>
        <v>2857</v>
      </c>
      <c r="J109" s="450"/>
      <c r="K109" s="809">
        <v>0</v>
      </c>
      <c r="L109" s="799">
        <v>2857</v>
      </c>
      <c r="M109" s="799">
        <v>0</v>
      </c>
      <c r="N109" s="450"/>
      <c r="O109" s="1194"/>
      <c r="P109" s="932"/>
      <c r="Q109" s="342"/>
    </row>
    <row r="110" spans="1:17" s="343" customFormat="1" ht="24" x14ac:dyDescent="0.2">
      <c r="A110" s="816"/>
      <c r="B110" s="343" t="s">
        <v>261</v>
      </c>
      <c r="C110" s="440">
        <v>69</v>
      </c>
      <c r="D110" s="452"/>
      <c r="E110" s="452"/>
      <c r="F110" s="822" t="s">
        <v>837</v>
      </c>
      <c r="G110" s="644" t="s">
        <v>838</v>
      </c>
      <c r="H110" s="645" t="s">
        <v>839</v>
      </c>
      <c r="I110" s="812">
        <f t="shared" si="2"/>
        <v>1643</v>
      </c>
      <c r="J110" s="450"/>
      <c r="K110" s="809">
        <v>0</v>
      </c>
      <c r="L110" s="806">
        <v>1643</v>
      </c>
      <c r="M110" s="799">
        <v>0</v>
      </c>
      <c r="N110" s="450"/>
      <c r="O110" s="1194"/>
      <c r="P110" s="932"/>
      <c r="Q110" s="342"/>
    </row>
    <row r="111" spans="1:17" s="343" customFormat="1" ht="24" x14ac:dyDescent="0.2">
      <c r="A111" s="816"/>
      <c r="B111" s="343" t="s">
        <v>199</v>
      </c>
      <c r="C111" s="440">
        <v>70</v>
      </c>
      <c r="D111" s="452"/>
      <c r="E111" s="452"/>
      <c r="F111" s="822" t="s">
        <v>840</v>
      </c>
      <c r="G111" s="644" t="s">
        <v>841</v>
      </c>
      <c r="H111" s="645" t="s">
        <v>842</v>
      </c>
      <c r="I111" s="812">
        <f t="shared" si="2"/>
        <v>2496</v>
      </c>
      <c r="J111" s="450"/>
      <c r="K111" s="809">
        <v>0</v>
      </c>
      <c r="L111" s="799">
        <v>2496</v>
      </c>
      <c r="M111" s="799">
        <v>0</v>
      </c>
      <c r="N111" s="450"/>
      <c r="O111" s="1194"/>
      <c r="P111" s="932"/>
      <c r="Q111" s="342"/>
    </row>
    <row r="112" spans="1:17" s="388" customFormat="1" ht="12.75" thickBot="1" x14ac:dyDescent="0.25">
      <c r="A112" s="802"/>
      <c r="B112" s="933"/>
      <c r="C112" s="440">
        <v>71</v>
      </c>
      <c r="D112" s="452"/>
      <c r="E112" s="452"/>
      <c r="F112" s="822" t="s">
        <v>358</v>
      </c>
      <c r="G112" s="644" t="s">
        <v>359</v>
      </c>
      <c r="H112" s="645" t="s">
        <v>843</v>
      </c>
      <c r="I112" s="812">
        <f>SUBTOTAL(9,K112:M112)</f>
        <v>9634.02</v>
      </c>
      <c r="J112" s="450"/>
      <c r="K112" s="851">
        <f>7962*1.21</f>
        <v>9634.02</v>
      </c>
      <c r="L112" s="799"/>
      <c r="M112" s="799"/>
      <c r="N112" s="450"/>
      <c r="O112" s="814"/>
      <c r="P112" s="934" t="s">
        <v>844</v>
      </c>
    </row>
    <row r="113" spans="1:18" ht="12.75" thickTop="1" x14ac:dyDescent="0.2">
      <c r="B113" s="343" t="s">
        <v>205</v>
      </c>
      <c r="C113" s="440">
        <v>72</v>
      </c>
      <c r="D113" s="703"/>
      <c r="E113" s="703"/>
      <c r="F113" s="704" t="s">
        <v>845</v>
      </c>
      <c r="G113" s="703" t="s">
        <v>54</v>
      </c>
      <c r="H113" s="935" t="s">
        <v>846</v>
      </c>
      <c r="I113" s="877">
        <f t="shared" ref="I113:I120" si="4">SUM(K113:M113)</f>
        <v>19174</v>
      </c>
      <c r="J113" s="707"/>
      <c r="K113" s="442">
        <v>3328</v>
      </c>
      <c r="L113" s="442">
        <f>15132+714</f>
        <v>15846</v>
      </c>
      <c r="M113" s="442"/>
      <c r="N113" s="450"/>
      <c r="O113" s="814"/>
      <c r="P113" s="542" t="s">
        <v>357</v>
      </c>
      <c r="Q113" s="330" t="s">
        <v>847</v>
      </c>
      <c r="R113" t="s">
        <v>848</v>
      </c>
    </row>
    <row r="114" spans="1:18" ht="24" x14ac:dyDescent="0.2">
      <c r="B114" s="343" t="s">
        <v>205</v>
      </c>
      <c r="C114" s="440">
        <v>73</v>
      </c>
      <c r="D114" s="936"/>
      <c r="E114" s="936"/>
      <c r="F114" s="937" t="s">
        <v>849</v>
      </c>
      <c r="G114" s="936" t="s">
        <v>54</v>
      </c>
      <c r="H114" s="938" t="s">
        <v>850</v>
      </c>
      <c r="I114" s="939">
        <f t="shared" si="4"/>
        <v>83359.61</v>
      </c>
      <c r="J114" s="707"/>
      <c r="K114" s="892">
        <f>7563.71+6647.18</f>
        <v>14210.89</v>
      </c>
      <c r="L114" s="442">
        <f>50424.72+13066+5658</f>
        <v>69148.72</v>
      </c>
      <c r="M114" s="442"/>
      <c r="N114" s="450"/>
      <c r="O114" s="814">
        <v>226889.89</v>
      </c>
      <c r="P114" s="542" t="s">
        <v>851</v>
      </c>
      <c r="Q114" s="330">
        <f>14210.89+0.11</f>
        <v>14211</v>
      </c>
      <c r="R114" s="363">
        <v>9946.0126086956443</v>
      </c>
    </row>
    <row r="115" spans="1:18" x14ac:dyDescent="0.2">
      <c r="B115" s="343" t="s">
        <v>205</v>
      </c>
      <c r="C115" s="440">
        <v>74</v>
      </c>
      <c r="D115" s="936"/>
      <c r="E115" s="936"/>
      <c r="F115" s="937" t="s">
        <v>852</v>
      </c>
      <c r="G115" s="936" t="s">
        <v>54</v>
      </c>
      <c r="H115" s="938" t="s">
        <v>853</v>
      </c>
      <c r="I115" s="939">
        <f t="shared" si="4"/>
        <v>41749</v>
      </c>
      <c r="J115" s="707"/>
      <c r="K115" s="442"/>
      <c r="L115" s="442">
        <v>41749</v>
      </c>
      <c r="M115" s="442"/>
      <c r="N115" s="450"/>
      <c r="O115" s="814"/>
      <c r="P115" s="940" t="s">
        <v>854</v>
      </c>
      <c r="R115" s="341">
        <f>Q114-R114</f>
        <v>4264.9873913043557</v>
      </c>
    </row>
    <row r="116" spans="1:18" s="343" customFormat="1" x14ac:dyDescent="0.2">
      <c r="A116" s="816"/>
      <c r="B116" s="343" t="s">
        <v>261</v>
      </c>
      <c r="C116" s="440">
        <v>75</v>
      </c>
      <c r="D116" s="844"/>
      <c r="E116" s="844"/>
      <c r="F116" s="478" t="s">
        <v>248</v>
      </c>
      <c r="G116" s="483" t="s">
        <v>249</v>
      </c>
      <c r="H116" s="483" t="s">
        <v>250</v>
      </c>
      <c r="I116" s="881">
        <f t="shared" si="4"/>
        <v>42102</v>
      </c>
      <c r="J116" s="450"/>
      <c r="K116" s="414"/>
      <c r="L116" s="442">
        <f>102+42000</f>
        <v>42102</v>
      </c>
      <c r="M116" s="442"/>
      <c r="N116" s="450"/>
      <c r="O116" s="814"/>
      <c r="P116" s="934"/>
      <c r="Q116" s="342"/>
    </row>
    <row r="117" spans="1:18" s="343" customFormat="1" x14ac:dyDescent="0.2">
      <c r="A117" s="816"/>
      <c r="B117" s="343" t="s">
        <v>261</v>
      </c>
      <c r="C117" s="440">
        <v>76</v>
      </c>
      <c r="D117" s="459"/>
      <c r="E117" s="459"/>
      <c r="F117" s="448" t="s">
        <v>251</v>
      </c>
      <c r="G117" s="452" t="s">
        <v>249</v>
      </c>
      <c r="H117" s="452" t="s">
        <v>252</v>
      </c>
      <c r="I117" s="797">
        <f t="shared" si="4"/>
        <v>70991</v>
      </c>
      <c r="J117" s="450"/>
      <c r="K117" s="414"/>
      <c r="L117" s="442">
        <v>70991</v>
      </c>
      <c r="M117" s="442"/>
      <c r="N117" s="450"/>
      <c r="O117" s="814"/>
      <c r="P117" s="463"/>
      <c r="Q117" s="342"/>
    </row>
    <row r="118" spans="1:18" s="343" customFormat="1" x14ac:dyDescent="0.2">
      <c r="A118" s="816"/>
      <c r="B118" s="343" t="s">
        <v>199</v>
      </c>
      <c r="C118" s="440">
        <v>77</v>
      </c>
      <c r="D118" s="459"/>
      <c r="E118" s="459"/>
      <c r="F118" s="448" t="s">
        <v>253</v>
      </c>
      <c r="G118" s="452" t="s">
        <v>519</v>
      </c>
      <c r="H118" s="452" t="s">
        <v>255</v>
      </c>
      <c r="I118" s="797">
        <f t="shared" si="4"/>
        <v>17776</v>
      </c>
      <c r="J118" s="450"/>
      <c r="K118" s="414"/>
      <c r="L118" s="442">
        <f>1796+15980</f>
        <v>17776</v>
      </c>
      <c r="M118" s="442"/>
      <c r="N118" s="450"/>
      <c r="O118" s="814"/>
      <c r="P118" s="463"/>
      <c r="Q118" s="342"/>
    </row>
    <row r="119" spans="1:18" s="343" customFormat="1" x14ac:dyDescent="0.2">
      <c r="A119" s="816"/>
      <c r="B119" s="343" t="s">
        <v>199</v>
      </c>
      <c r="C119" s="440">
        <v>78</v>
      </c>
      <c r="D119" s="459"/>
      <c r="E119" s="459"/>
      <c r="F119" s="448" t="s">
        <v>256</v>
      </c>
      <c r="G119" s="452" t="s">
        <v>519</v>
      </c>
      <c r="H119" s="452" t="s">
        <v>257</v>
      </c>
      <c r="I119" s="941">
        <f t="shared" si="4"/>
        <v>40988</v>
      </c>
      <c r="J119" s="450"/>
      <c r="K119" s="414">
        <v>8888.4</v>
      </c>
      <c r="L119" s="461">
        <f>40988-K119</f>
        <v>32099.599999999999</v>
      </c>
      <c r="M119" s="442"/>
      <c r="N119" s="450"/>
      <c r="O119" s="814"/>
      <c r="P119" s="463"/>
      <c r="Q119" s="342"/>
    </row>
    <row r="120" spans="1:18" s="343" customFormat="1" x14ac:dyDescent="0.2">
      <c r="A120" s="816"/>
      <c r="B120" s="343" t="s">
        <v>199</v>
      </c>
      <c r="C120" s="440">
        <v>79</v>
      </c>
      <c r="D120" s="459"/>
      <c r="E120" s="459"/>
      <c r="F120" s="448" t="s">
        <v>258</v>
      </c>
      <c r="G120" s="452" t="s">
        <v>519</v>
      </c>
      <c r="H120" s="452" t="s">
        <v>259</v>
      </c>
      <c r="I120" s="941">
        <f t="shared" si="4"/>
        <v>25608</v>
      </c>
      <c r="J120" s="450"/>
      <c r="K120" s="414">
        <v>4268</v>
      </c>
      <c r="L120" s="461">
        <f>25608-K120</f>
        <v>21340</v>
      </c>
      <c r="M120" s="442"/>
      <c r="N120" s="450"/>
      <c r="O120" s="814"/>
      <c r="P120" s="463"/>
      <c r="Q120" s="342"/>
    </row>
    <row r="121" spans="1:18" x14ac:dyDescent="0.2">
      <c r="D121" s="466"/>
      <c r="E121" s="466"/>
      <c r="F121" s="467"/>
      <c r="G121" s="468"/>
      <c r="H121" s="469" t="s">
        <v>260</v>
      </c>
      <c r="I121" s="942">
        <f>SUM(I40:I120)</f>
        <v>24902313.655542616</v>
      </c>
      <c r="J121" s="471"/>
      <c r="K121" s="470">
        <f>SUM(K40:K120)</f>
        <v>3320446.6360000004</v>
      </c>
      <c r="L121" s="470">
        <f>SUM(L40:L120)</f>
        <v>11274865.470542617</v>
      </c>
      <c r="M121" s="470">
        <f>SUM(M40:M120)</f>
        <v>10307001.549000002</v>
      </c>
      <c r="N121" s="450"/>
      <c r="O121" s="943"/>
      <c r="P121" s="463"/>
    </row>
    <row r="122" spans="1:18" ht="14.45" customHeight="1" x14ac:dyDescent="0.2">
      <c r="D122" s="466"/>
      <c r="E122" s="466"/>
      <c r="F122" s="467"/>
      <c r="G122" s="468"/>
      <c r="H122" s="335"/>
      <c r="I122" s="471">
        <f>I99+I98+I97+I96+I93+I92+I89+I80+I79+I78+I77+I76+I74+I72+I74+I71+I70+I69+I68+I67+I66+I65+I64+I63+I62+I61+I60+I59+I58+I55+I54+I53+I52+I51+I50+I49+I44+I43</f>
        <v>23063121.025542617</v>
      </c>
      <c r="J122" s="471"/>
      <c r="K122" s="471">
        <f t="shared" ref="K122:M122" si="5">K99+K98+K97+K96+K93+K92+K89+K80+K79+K78+K77+K76+K74+K72+K74+K71+K70+K69+K68+K67+K66+K65+K64+K63+K62+K61+K60+K59+K58+K55+K54+K53+K52+K51+K50+K49+K44+K43</f>
        <v>2820611.3260000004</v>
      </c>
      <c r="L122" s="471">
        <f t="shared" si="5"/>
        <v>9985207.1505426168</v>
      </c>
      <c r="M122" s="471">
        <f t="shared" si="5"/>
        <v>10257302.549000001</v>
      </c>
      <c r="N122" s="450"/>
      <c r="O122" s="471"/>
    </row>
    <row r="123" spans="1:18" hidden="1" outlineLevel="1" x14ac:dyDescent="0.2">
      <c r="B123" s="472" t="s">
        <v>261</v>
      </c>
      <c r="D123" s="466"/>
      <c r="E123" s="466"/>
      <c r="F123" s="467"/>
      <c r="G123" s="468"/>
      <c r="H123" s="335"/>
      <c r="I123" s="473">
        <f>SUMIF($B$42:$B$120,$B123,I$42:I$120)</f>
        <v>15290013.826242622</v>
      </c>
      <c r="J123" s="471"/>
      <c r="K123" s="473">
        <f t="shared" ref="K123:M125" si="6">SUMIF($B$42:$B$120,$B123,K$42:K$120)</f>
        <v>1667803.8374999999</v>
      </c>
      <c r="L123" s="473">
        <f t="shared" si="6"/>
        <v>4672422.4397426182</v>
      </c>
      <c r="M123" s="473">
        <f t="shared" si="6"/>
        <v>8949787.5490000006</v>
      </c>
      <c r="N123" s="450"/>
      <c r="O123" s="473"/>
      <c r="Q123"/>
    </row>
    <row r="124" spans="1:18" hidden="1" outlineLevel="1" x14ac:dyDescent="0.2">
      <c r="B124" s="472" t="s">
        <v>199</v>
      </c>
      <c r="D124" s="466"/>
      <c r="E124" s="466"/>
      <c r="F124" s="467"/>
      <c r="G124" s="468"/>
      <c r="H124" s="335"/>
      <c r="I124" s="473">
        <f>SUMIF($B$42:$B$120,$B124,I$42:I$120)</f>
        <v>6220788.7593</v>
      </c>
      <c r="J124" s="471"/>
      <c r="K124" s="473">
        <f t="shared" si="6"/>
        <v>612355.39850000001</v>
      </c>
      <c r="L124" s="473">
        <f t="shared" si="6"/>
        <v>4730699.3607999999</v>
      </c>
      <c r="M124" s="473">
        <f t="shared" si="6"/>
        <v>877734</v>
      </c>
      <c r="N124" s="450"/>
      <c r="O124" s="473"/>
      <c r="Q124"/>
    </row>
    <row r="125" spans="1:18" hidden="1" outlineLevel="1" x14ac:dyDescent="0.2">
      <c r="B125" s="472" t="s">
        <v>205</v>
      </c>
      <c r="D125" s="466"/>
      <c r="E125" s="466"/>
      <c r="F125" s="467"/>
      <c r="G125" s="468"/>
      <c r="H125" s="335"/>
      <c r="I125" s="473">
        <f>SUMIF($B$42:$B$120,$B125,I$42:I$120)</f>
        <v>209502.06</v>
      </c>
      <c r="J125" s="471"/>
      <c r="K125" s="473">
        <f t="shared" si="6"/>
        <v>23538.89</v>
      </c>
      <c r="L125" s="473">
        <f t="shared" si="6"/>
        <v>185963.16999999998</v>
      </c>
      <c r="M125" s="473">
        <f t="shared" si="6"/>
        <v>0</v>
      </c>
      <c r="N125" s="450"/>
      <c r="O125" s="473"/>
      <c r="Q125"/>
    </row>
    <row r="126" spans="1:18" collapsed="1" x14ac:dyDescent="0.2">
      <c r="D126" s="466"/>
      <c r="E126" s="466"/>
      <c r="F126" s="467"/>
      <c r="G126" s="468"/>
      <c r="H126" s="335"/>
      <c r="I126" s="471">
        <f>I121-I122</f>
        <v>1839192.629999999</v>
      </c>
      <c r="J126" s="471"/>
      <c r="K126" s="471">
        <f t="shared" ref="K126:M126" si="7">K121-K122</f>
        <v>499835.31000000006</v>
      </c>
      <c r="L126" s="471">
        <f t="shared" si="7"/>
        <v>1289658.3200000003</v>
      </c>
      <c r="M126" s="471">
        <f t="shared" si="7"/>
        <v>49699.000000001863</v>
      </c>
      <c r="N126" s="450"/>
      <c r="O126" s="471"/>
    </row>
    <row r="127" spans="1:18" ht="12.75" x14ac:dyDescent="0.2">
      <c r="F127" s="432" t="s">
        <v>855</v>
      </c>
      <c r="I127" s="474"/>
      <c r="J127" s="450"/>
      <c r="K127" s="474"/>
      <c r="L127" s="474"/>
      <c r="M127" s="474"/>
      <c r="N127" s="450"/>
      <c r="O127" s="474"/>
      <c r="Q127" s="475"/>
    </row>
    <row r="128" spans="1:18" ht="12" customHeight="1" x14ac:dyDescent="0.2">
      <c r="B128" s="1192"/>
      <c r="C128" s="1186" t="s">
        <v>192</v>
      </c>
      <c r="D128" s="1186" t="s">
        <v>193</v>
      </c>
      <c r="E128" s="1186" t="s">
        <v>194</v>
      </c>
      <c r="F128" s="1191" t="s">
        <v>195</v>
      </c>
      <c r="G128" s="1191" t="s">
        <v>196</v>
      </c>
      <c r="H128" s="1186" t="s">
        <v>263</v>
      </c>
      <c r="I128" s="1184" t="s">
        <v>183</v>
      </c>
      <c r="J128" s="476"/>
      <c r="K128" s="1185" t="s">
        <v>198</v>
      </c>
      <c r="L128" s="1185"/>
      <c r="M128" s="1185"/>
      <c r="N128" s="450"/>
      <c r="O128" s="329"/>
    </row>
    <row r="129" spans="2:16" ht="24" x14ac:dyDescent="0.2">
      <c r="B129" s="1192"/>
      <c r="C129" s="1186"/>
      <c r="D129" s="1186"/>
      <c r="E129" s="1186"/>
      <c r="F129" s="1191"/>
      <c r="G129" s="1191"/>
      <c r="H129" s="1186"/>
      <c r="I129" s="1184"/>
      <c r="J129" s="476"/>
      <c r="K129" s="408" t="s">
        <v>78</v>
      </c>
      <c r="L129" s="408" t="s">
        <v>184</v>
      </c>
      <c r="M129" s="409" t="s">
        <v>185</v>
      </c>
      <c r="N129" s="450"/>
      <c r="O129" s="329"/>
    </row>
    <row r="130" spans="2:16" ht="36" x14ac:dyDescent="0.2">
      <c r="B130" s="343" t="s">
        <v>205</v>
      </c>
      <c r="C130" s="440"/>
      <c r="D130" s="477"/>
      <c r="E130" s="477"/>
      <c r="F130" s="478" t="s">
        <v>206</v>
      </c>
      <c r="G130" s="477" t="s">
        <v>201</v>
      </c>
      <c r="H130" s="569" t="s">
        <v>264</v>
      </c>
      <c r="I130" s="837">
        <f>SUM(K130:M130)</f>
        <v>870</v>
      </c>
      <c r="J130" s="450"/>
      <c r="K130" s="481">
        <v>870</v>
      </c>
      <c r="L130" s="481"/>
      <c r="M130" s="481"/>
      <c r="N130" s="450"/>
      <c r="O130" s="944">
        <f>K130</f>
        <v>870</v>
      </c>
    </row>
    <row r="131" spans="2:16" ht="36" x14ac:dyDescent="0.2">
      <c r="B131" s="343" t="s">
        <v>205</v>
      </c>
      <c r="C131" s="440"/>
      <c r="D131" s="440"/>
      <c r="E131" s="440"/>
      <c r="F131" s="448" t="s">
        <v>206</v>
      </c>
      <c r="G131" s="440" t="s">
        <v>201</v>
      </c>
      <c r="H131" s="449" t="s">
        <v>265</v>
      </c>
      <c r="I131" s="812">
        <f>SUM(K131:M131)</f>
        <v>550</v>
      </c>
      <c r="J131" s="450"/>
      <c r="K131" s="442">
        <v>550</v>
      </c>
      <c r="L131" s="442"/>
      <c r="M131" s="442"/>
      <c r="N131" s="450"/>
      <c r="O131" s="944">
        <f>K131</f>
        <v>550</v>
      </c>
      <c r="P131" s="369"/>
    </row>
    <row r="132" spans="2:16" ht="24" x14ac:dyDescent="0.2">
      <c r="B132" s="343"/>
      <c r="C132" s="875"/>
      <c r="D132" s="875"/>
      <c r="E132" s="875"/>
      <c r="F132" s="704" t="s">
        <v>206</v>
      </c>
      <c r="G132" s="875" t="s">
        <v>201</v>
      </c>
      <c r="H132" s="705" t="s">
        <v>856</v>
      </c>
      <c r="I132" s="842">
        <f>K132+L132</f>
        <v>600</v>
      </c>
      <c r="J132" s="707"/>
      <c r="K132" s="708">
        <v>600</v>
      </c>
      <c r="L132" s="708"/>
      <c r="M132" s="709"/>
      <c r="N132" s="450"/>
      <c r="O132" s="944">
        <f>K132</f>
        <v>600</v>
      </c>
      <c r="P132" s="492"/>
    </row>
    <row r="133" spans="2:16" ht="12.75" thickBot="1" x14ac:dyDescent="0.25">
      <c r="B133" s="343"/>
      <c r="C133" s="623"/>
      <c r="D133" s="623"/>
      <c r="E133" s="623"/>
      <c r="F133" s="522" t="s">
        <v>206</v>
      </c>
      <c r="G133" s="623" t="s">
        <v>201</v>
      </c>
      <c r="H133" s="624" t="s">
        <v>272</v>
      </c>
      <c r="I133" s="945">
        <f>K133+L133</f>
        <v>10000</v>
      </c>
      <c r="J133" s="501"/>
      <c r="K133" s="946">
        <f>2*2000+6000</f>
        <v>10000</v>
      </c>
      <c r="L133" s="947"/>
      <c r="M133" s="526"/>
      <c r="N133" s="450"/>
      <c r="O133" s="944">
        <f>K133-6000</f>
        <v>4000</v>
      </c>
      <c r="P133" s="492"/>
    </row>
    <row r="134" spans="2:16" ht="12.75" thickTop="1" x14ac:dyDescent="0.2">
      <c r="B134" s="343" t="s">
        <v>205</v>
      </c>
      <c r="C134" s="477"/>
      <c r="D134" s="477" t="s">
        <v>273</v>
      </c>
      <c r="E134" s="477"/>
      <c r="F134" s="478" t="s">
        <v>274</v>
      </c>
      <c r="G134" s="477" t="s">
        <v>201</v>
      </c>
      <c r="H134" s="569" t="s">
        <v>275</v>
      </c>
      <c r="I134" s="948">
        <f t="shared" ref="I134:I152" si="8">SUM(K134:M134)</f>
        <v>40000</v>
      </c>
      <c r="J134" s="450"/>
      <c r="K134" s="485">
        <v>40000</v>
      </c>
      <c r="L134" s="949"/>
      <c r="M134" s="949"/>
      <c r="N134" s="450"/>
      <c r="O134" s="944"/>
      <c r="P134" s="486"/>
    </row>
    <row r="135" spans="2:16" ht="24" x14ac:dyDescent="0.2">
      <c r="B135" s="343" t="s">
        <v>205</v>
      </c>
      <c r="C135" s="440"/>
      <c r="D135" s="440"/>
      <c r="E135" s="440"/>
      <c r="F135" s="448" t="s">
        <v>274</v>
      </c>
      <c r="G135" s="440" t="s">
        <v>201</v>
      </c>
      <c r="H135" s="449" t="s">
        <v>266</v>
      </c>
      <c r="I135" s="812">
        <f>K135+L135</f>
        <v>150</v>
      </c>
      <c r="J135" s="450"/>
      <c r="K135" s="442">
        <v>150</v>
      </c>
      <c r="L135" s="461"/>
      <c r="M135" s="442"/>
      <c r="N135" s="450"/>
      <c r="O135" s="944"/>
      <c r="P135" s="369"/>
    </row>
    <row r="136" spans="2:16" ht="36" x14ac:dyDescent="0.2">
      <c r="B136" s="343"/>
      <c r="C136" s="494"/>
      <c r="D136" s="494"/>
      <c r="E136" s="494"/>
      <c r="F136" s="448" t="s">
        <v>274</v>
      </c>
      <c r="G136" s="440" t="s">
        <v>201</v>
      </c>
      <c r="H136" s="561" t="s">
        <v>857</v>
      </c>
      <c r="I136" s="852">
        <f>SUM(K136:M136)</f>
        <v>1400</v>
      </c>
      <c r="J136" s="450"/>
      <c r="K136" s="490">
        <f>1000+400</f>
        <v>1400</v>
      </c>
      <c r="L136" s="491"/>
      <c r="M136" s="491"/>
      <c r="N136" s="450"/>
      <c r="O136" s="944"/>
      <c r="P136" s="486"/>
    </row>
    <row r="137" spans="2:16" ht="32.25" customHeight="1" thickBot="1" x14ac:dyDescent="0.25">
      <c r="B137" s="343" t="s">
        <v>205</v>
      </c>
      <c r="C137" s="497"/>
      <c r="D137" s="497" t="s">
        <v>277</v>
      </c>
      <c r="E137" s="497"/>
      <c r="F137" s="498" t="s">
        <v>274</v>
      </c>
      <c r="G137" s="497" t="s">
        <v>201</v>
      </c>
      <c r="H137" s="634" t="s">
        <v>278</v>
      </c>
      <c r="I137" s="950">
        <f t="shared" si="8"/>
        <v>10000</v>
      </c>
      <c r="J137" s="501"/>
      <c r="K137" s="504">
        <v>10000</v>
      </c>
      <c r="L137" s="500"/>
      <c r="M137" s="500"/>
      <c r="N137" s="450"/>
      <c r="O137" s="944"/>
      <c r="P137" s="486"/>
    </row>
    <row r="138" spans="2:16" ht="12.75" thickTop="1" x14ac:dyDescent="0.2">
      <c r="B138" s="343" t="s">
        <v>205</v>
      </c>
      <c r="C138" s="440"/>
      <c r="D138" s="440"/>
      <c r="E138" s="440"/>
      <c r="F138" s="700" t="s">
        <v>279</v>
      </c>
      <c r="G138" s="440" t="s">
        <v>280</v>
      </c>
      <c r="H138" s="449" t="s">
        <v>281</v>
      </c>
      <c r="I138" s="797">
        <f>SUM(K138:M138)</f>
        <v>15000</v>
      </c>
      <c r="J138" s="450"/>
      <c r="K138" s="442">
        <v>15000</v>
      </c>
      <c r="L138" s="491"/>
      <c r="M138" s="491"/>
      <c r="N138" s="450"/>
      <c r="P138" s="682"/>
    </row>
    <row r="139" spans="2:16" ht="12.75" thickBot="1" x14ac:dyDescent="0.25">
      <c r="B139" s="343" t="s">
        <v>199</v>
      </c>
      <c r="C139" s="497"/>
      <c r="D139" s="497"/>
      <c r="E139" s="497"/>
      <c r="F139" s="951" t="s">
        <v>279</v>
      </c>
      <c r="G139" s="497" t="s">
        <v>280</v>
      </c>
      <c r="H139" s="634" t="s">
        <v>282</v>
      </c>
      <c r="I139" s="952">
        <f>SUM(K139:M139)</f>
        <v>8000</v>
      </c>
      <c r="J139" s="501"/>
      <c r="K139" s="504">
        <v>8000</v>
      </c>
      <c r="L139" s="500"/>
      <c r="M139" s="500"/>
      <c r="N139" s="450"/>
      <c r="P139" s="682"/>
    </row>
    <row r="140" spans="2:16" ht="12.75" thickTop="1" x14ac:dyDescent="0.2">
      <c r="B140" s="343" t="s">
        <v>205</v>
      </c>
      <c r="C140" s="477"/>
      <c r="D140" s="477"/>
      <c r="E140" s="477"/>
      <c r="F140" s="478" t="s">
        <v>286</v>
      </c>
      <c r="G140" s="477" t="s">
        <v>287</v>
      </c>
      <c r="H140" s="569" t="s">
        <v>288</v>
      </c>
      <c r="I140" s="881">
        <f t="shared" si="8"/>
        <v>49380</v>
      </c>
      <c r="J140" s="450"/>
      <c r="K140" s="481">
        <f>43880+5500</f>
        <v>49380</v>
      </c>
      <c r="L140" s="481"/>
      <c r="M140" s="481"/>
      <c r="N140" s="450"/>
      <c r="P140" s="486" t="s">
        <v>289</v>
      </c>
    </row>
    <row r="141" spans="2:16" ht="23.25" customHeight="1" x14ac:dyDescent="0.2">
      <c r="B141" s="343" t="s">
        <v>205</v>
      </c>
      <c r="C141" s="440"/>
      <c r="D141" s="440"/>
      <c r="E141" s="440"/>
      <c r="F141" s="448" t="s">
        <v>286</v>
      </c>
      <c r="G141" s="440" t="s">
        <v>287</v>
      </c>
      <c r="H141" s="449" t="s">
        <v>858</v>
      </c>
      <c r="I141" s="797">
        <f t="shared" si="8"/>
        <v>11250</v>
      </c>
      <c r="J141" s="450"/>
      <c r="K141" s="442">
        <v>11250</v>
      </c>
      <c r="L141" s="442"/>
      <c r="M141" s="442"/>
      <c r="N141" s="450"/>
      <c r="P141" s="486" t="s">
        <v>291</v>
      </c>
    </row>
    <row r="142" spans="2:16" ht="22.15" customHeight="1" x14ac:dyDescent="0.2">
      <c r="B142" s="343"/>
      <c r="C142" s="440"/>
      <c r="D142" s="440"/>
      <c r="E142" s="440"/>
      <c r="F142" s="448" t="s">
        <v>286</v>
      </c>
      <c r="G142" s="440" t="s">
        <v>287</v>
      </c>
      <c r="H142" s="449" t="s">
        <v>859</v>
      </c>
      <c r="I142" s="797">
        <f t="shared" si="8"/>
        <v>5000</v>
      </c>
      <c r="J142" s="450"/>
      <c r="K142" s="442">
        <v>5000</v>
      </c>
      <c r="L142" s="491"/>
      <c r="M142" s="491"/>
      <c r="N142" s="450"/>
      <c r="O142" s="944"/>
      <c r="P142" s="486"/>
    </row>
    <row r="143" spans="2:16" ht="24" x14ac:dyDescent="0.2">
      <c r="B143" s="343" t="s">
        <v>205</v>
      </c>
      <c r="C143" s="440"/>
      <c r="D143" s="440"/>
      <c r="E143" s="440"/>
      <c r="F143" s="448" t="s">
        <v>286</v>
      </c>
      <c r="G143" s="440" t="s">
        <v>287</v>
      </c>
      <c r="H143" s="449" t="s">
        <v>860</v>
      </c>
      <c r="I143" s="797">
        <f t="shared" si="8"/>
        <v>12000</v>
      </c>
      <c r="J143" s="450"/>
      <c r="K143" s="442">
        <v>12000</v>
      </c>
      <c r="L143" s="491"/>
      <c r="M143" s="491"/>
      <c r="N143" s="450"/>
      <c r="O143" s="944"/>
      <c r="P143" s="486"/>
    </row>
    <row r="144" spans="2:16" ht="27.6" customHeight="1" thickBot="1" x14ac:dyDescent="0.25">
      <c r="B144" s="343" t="s">
        <v>205</v>
      </c>
      <c r="C144" s="497"/>
      <c r="D144" s="497"/>
      <c r="E144" s="497"/>
      <c r="F144" s="498" t="s">
        <v>286</v>
      </c>
      <c r="G144" s="497" t="s">
        <v>287</v>
      </c>
      <c r="H144" s="953" t="s">
        <v>861</v>
      </c>
      <c r="I144" s="797">
        <f t="shared" si="8"/>
        <v>124488</v>
      </c>
      <c r="J144" s="501"/>
      <c r="K144" s="954">
        <f>114488+10000</f>
        <v>124488</v>
      </c>
      <c r="L144" s="500"/>
      <c r="M144" s="500"/>
      <c r="N144" s="450"/>
      <c r="O144" s="955" t="s">
        <v>862</v>
      </c>
      <c r="P144" s="956"/>
    </row>
    <row r="145" spans="1:25" ht="12.75" thickTop="1" x14ac:dyDescent="0.2">
      <c r="B145" s="343" t="s">
        <v>261</v>
      </c>
      <c r="C145" s="477"/>
      <c r="D145" s="477"/>
      <c r="E145" s="506"/>
      <c r="F145" s="478" t="s">
        <v>296</v>
      </c>
      <c r="G145" s="477" t="s">
        <v>297</v>
      </c>
      <c r="H145" s="569" t="s">
        <v>298</v>
      </c>
      <c r="I145" s="881">
        <f t="shared" si="8"/>
        <v>19000</v>
      </c>
      <c r="J145" s="450"/>
      <c r="K145" s="481">
        <v>19000</v>
      </c>
      <c r="L145" s="481"/>
      <c r="M145" s="481"/>
      <c r="N145" s="450"/>
      <c r="O145" s="944"/>
    </row>
    <row r="146" spans="1:25" x14ac:dyDescent="0.2">
      <c r="B146" s="343" t="s">
        <v>261</v>
      </c>
      <c r="C146" s="440"/>
      <c r="D146" s="507"/>
      <c r="E146" s="507"/>
      <c r="F146" s="448" t="s">
        <v>296</v>
      </c>
      <c r="G146" s="440" t="s">
        <v>297</v>
      </c>
      <c r="H146" s="957" t="s">
        <v>299</v>
      </c>
      <c r="I146" s="941">
        <f t="shared" si="8"/>
        <v>150000</v>
      </c>
      <c r="J146" s="676"/>
      <c r="K146" s="958">
        <f>168000-28000+10000</f>
        <v>150000</v>
      </c>
      <c r="L146" s="442"/>
      <c r="M146" s="442"/>
      <c r="N146" s="450"/>
      <c r="O146" s="944"/>
    </row>
    <row r="147" spans="1:25" s="329" customFormat="1" x14ac:dyDescent="0.2">
      <c r="A147" s="959"/>
      <c r="B147" s="343" t="s">
        <v>261</v>
      </c>
      <c r="C147" s="509"/>
      <c r="D147" s="510"/>
      <c r="E147" s="510"/>
      <c r="F147" s="448" t="s">
        <v>296</v>
      </c>
      <c r="G147" s="509" t="s">
        <v>297</v>
      </c>
      <c r="H147" s="592" t="s">
        <v>302</v>
      </c>
      <c r="I147" s="593"/>
      <c r="J147" s="513"/>
      <c r="K147" s="960"/>
      <c r="L147" s="514"/>
      <c r="M147" s="514"/>
      <c r="N147" s="450"/>
      <c r="O147" s="944"/>
      <c r="Q147" s="330"/>
      <c r="R147"/>
      <c r="S147"/>
      <c r="T147"/>
      <c r="U147"/>
      <c r="V147"/>
      <c r="W147"/>
      <c r="X147"/>
      <c r="Y147"/>
    </row>
    <row r="148" spans="1:25" s="329" customFormat="1" x14ac:dyDescent="0.2">
      <c r="A148" s="959"/>
      <c r="B148" s="343" t="s">
        <v>261</v>
      </c>
      <c r="C148" s="440"/>
      <c r="D148" s="507"/>
      <c r="E148" s="507"/>
      <c r="F148" s="448" t="s">
        <v>296</v>
      </c>
      <c r="G148" s="440" t="s">
        <v>297</v>
      </c>
      <c r="H148" s="961" t="s">
        <v>863</v>
      </c>
      <c r="I148" s="941">
        <f t="shared" si="8"/>
        <v>6000</v>
      </c>
      <c r="J148" s="450"/>
      <c r="K148" s="442">
        <v>6000</v>
      </c>
      <c r="L148" s="442"/>
      <c r="M148" s="442"/>
      <c r="N148" s="450"/>
      <c r="O148" s="944"/>
      <c r="Q148" s="330"/>
      <c r="R148"/>
      <c r="S148"/>
      <c r="T148"/>
      <c r="U148"/>
      <c r="V148"/>
      <c r="W148"/>
      <c r="X148"/>
      <c r="Y148"/>
    </row>
    <row r="149" spans="1:25" s="329" customFormat="1" x14ac:dyDescent="0.2">
      <c r="A149" s="959"/>
      <c r="B149" s="343" t="s">
        <v>261</v>
      </c>
      <c r="C149" s="440"/>
      <c r="D149" s="507"/>
      <c r="E149" s="507"/>
      <c r="F149" s="448" t="s">
        <v>296</v>
      </c>
      <c r="G149" s="440" t="s">
        <v>297</v>
      </c>
      <c r="H149" s="596" t="s">
        <v>864</v>
      </c>
      <c r="I149" s="941">
        <f t="shared" si="8"/>
        <v>4000</v>
      </c>
      <c r="J149" s="450"/>
      <c r="K149" s="442">
        <v>4000</v>
      </c>
      <c r="L149" s="442"/>
      <c r="M149" s="442"/>
      <c r="N149" s="450"/>
      <c r="O149" s="944"/>
      <c r="Q149" s="330"/>
      <c r="R149"/>
      <c r="S149"/>
      <c r="T149"/>
      <c r="U149"/>
      <c r="V149"/>
      <c r="W149"/>
      <c r="X149"/>
      <c r="Y149"/>
    </row>
    <row r="150" spans="1:25" s="329" customFormat="1" x14ac:dyDescent="0.2">
      <c r="A150" s="959"/>
      <c r="B150" s="343" t="s">
        <v>261</v>
      </c>
      <c r="C150" s="440"/>
      <c r="D150" s="507"/>
      <c r="E150" s="507"/>
      <c r="F150" s="448" t="s">
        <v>296</v>
      </c>
      <c r="G150" s="440" t="s">
        <v>297</v>
      </c>
      <c r="H150" s="596" t="s">
        <v>865</v>
      </c>
      <c r="I150" s="941">
        <f t="shared" si="8"/>
        <v>15000</v>
      </c>
      <c r="J150" s="450"/>
      <c r="K150" s="442">
        <v>15000</v>
      </c>
      <c r="L150" s="442"/>
      <c r="M150" s="442"/>
      <c r="N150" s="450"/>
      <c r="O150" s="944"/>
      <c r="Q150" s="330"/>
      <c r="R150"/>
      <c r="S150"/>
      <c r="T150"/>
      <c r="U150"/>
      <c r="V150"/>
      <c r="W150"/>
      <c r="X150"/>
      <c r="Y150"/>
    </row>
    <row r="151" spans="1:25" s="329" customFormat="1" x14ac:dyDescent="0.2">
      <c r="A151" s="959"/>
      <c r="B151" s="343" t="s">
        <v>261</v>
      </c>
      <c r="C151" s="440"/>
      <c r="D151" s="507"/>
      <c r="E151" s="507"/>
      <c r="F151" s="448" t="s">
        <v>296</v>
      </c>
      <c r="G151" s="440" t="s">
        <v>297</v>
      </c>
      <c r="H151" s="596" t="s">
        <v>866</v>
      </c>
      <c r="I151" s="941">
        <f t="shared" si="8"/>
        <v>13000</v>
      </c>
      <c r="J151" s="450"/>
      <c r="K151" s="442">
        <v>13000</v>
      </c>
      <c r="L151" s="442"/>
      <c r="M151" s="442"/>
      <c r="N151" s="450"/>
      <c r="O151" s="944"/>
      <c r="Q151" s="330"/>
      <c r="R151"/>
      <c r="S151"/>
      <c r="T151"/>
      <c r="U151"/>
      <c r="V151"/>
      <c r="W151"/>
      <c r="X151"/>
      <c r="Y151"/>
    </row>
    <row r="152" spans="1:25" s="329" customFormat="1" x14ac:dyDescent="0.2">
      <c r="A152" s="959"/>
      <c r="B152" s="343"/>
      <c r="C152" s="440"/>
      <c r="D152" s="507"/>
      <c r="E152" s="507"/>
      <c r="F152" s="448" t="s">
        <v>296</v>
      </c>
      <c r="G152" s="440" t="s">
        <v>297</v>
      </c>
      <c r="H152" s="596" t="s">
        <v>866</v>
      </c>
      <c r="I152" s="941">
        <f t="shared" si="8"/>
        <v>13000</v>
      </c>
      <c r="J152" s="450"/>
      <c r="K152" s="442">
        <v>13000</v>
      </c>
      <c r="L152" s="442"/>
      <c r="M152" s="442"/>
      <c r="N152" s="450"/>
      <c r="O152" s="944"/>
      <c r="Q152" s="330"/>
      <c r="R152"/>
      <c r="S152"/>
      <c r="T152"/>
      <c r="U152"/>
      <c r="V152"/>
      <c r="W152"/>
      <c r="X152"/>
      <c r="Y152"/>
    </row>
    <row r="153" spans="1:25" s="329" customFormat="1" ht="24" x14ac:dyDescent="0.2">
      <c r="A153" s="959"/>
      <c r="B153" s="343" t="s">
        <v>261</v>
      </c>
      <c r="C153" s="440"/>
      <c r="D153" s="507"/>
      <c r="E153" s="507"/>
      <c r="F153" s="448" t="s">
        <v>296</v>
      </c>
      <c r="G153" s="440" t="s">
        <v>297</v>
      </c>
      <c r="H153" s="596" t="s">
        <v>867</v>
      </c>
      <c r="I153" s="962">
        <f>SUM(K153:M153)</f>
        <v>15000</v>
      </c>
      <c r="J153" s="450"/>
      <c r="K153" s="442">
        <v>15000</v>
      </c>
      <c r="L153" s="442"/>
      <c r="M153" s="442"/>
      <c r="N153" s="450"/>
      <c r="O153" s="944"/>
      <c r="Q153" s="330"/>
      <c r="R153"/>
      <c r="S153"/>
      <c r="T153"/>
      <c r="U153"/>
      <c r="V153"/>
      <c r="W153"/>
      <c r="X153"/>
      <c r="Y153"/>
    </row>
    <row r="154" spans="1:25" s="329" customFormat="1" x14ac:dyDescent="0.2">
      <c r="A154" s="959"/>
      <c r="B154" s="343" t="s">
        <v>261</v>
      </c>
      <c r="C154" s="440"/>
      <c r="D154" s="507"/>
      <c r="E154" s="507"/>
      <c r="F154" s="448" t="s">
        <v>296</v>
      </c>
      <c r="G154" s="440" t="s">
        <v>297</v>
      </c>
      <c r="H154" s="596" t="s">
        <v>868</v>
      </c>
      <c r="I154" s="962">
        <f>SUM(K154:M154)</f>
        <v>6000</v>
      </c>
      <c r="J154" s="450"/>
      <c r="K154" s="442">
        <v>6000</v>
      </c>
      <c r="L154" s="442"/>
      <c r="M154" s="442"/>
      <c r="N154" s="450"/>
      <c r="O154" s="944"/>
      <c r="Q154" s="330"/>
      <c r="R154"/>
      <c r="S154"/>
      <c r="T154"/>
      <c r="U154"/>
      <c r="V154"/>
      <c r="W154"/>
      <c r="X154"/>
      <c r="Y154"/>
    </row>
    <row r="155" spans="1:25" s="329" customFormat="1" x14ac:dyDescent="0.2">
      <c r="A155" s="959"/>
      <c r="B155" s="343"/>
      <c r="C155" s="440"/>
      <c r="D155" s="507"/>
      <c r="E155" s="507"/>
      <c r="F155" s="448" t="s">
        <v>296</v>
      </c>
      <c r="G155" s="440" t="s">
        <v>297</v>
      </c>
      <c r="H155" s="596" t="s">
        <v>322</v>
      </c>
      <c r="I155" s="962">
        <f>SUM(K155:M155)</f>
        <v>1500</v>
      </c>
      <c r="J155" s="450"/>
      <c r="K155" s="442">
        <v>1500</v>
      </c>
      <c r="L155" s="442"/>
      <c r="M155" s="442"/>
      <c r="N155" s="450"/>
      <c r="O155" s="944"/>
      <c r="Q155" s="330"/>
      <c r="R155"/>
      <c r="S155"/>
      <c r="T155"/>
      <c r="U155"/>
      <c r="V155"/>
      <c r="W155"/>
      <c r="X155"/>
      <c r="Y155"/>
    </row>
    <row r="156" spans="1:25" s="329" customFormat="1" x14ac:dyDescent="0.2">
      <c r="A156" s="959"/>
      <c r="B156" s="343" t="s">
        <v>261</v>
      </c>
      <c r="C156" s="509"/>
      <c r="D156" s="510"/>
      <c r="E156" s="510"/>
      <c r="F156" s="448" t="s">
        <v>296</v>
      </c>
      <c r="G156" s="509" t="s">
        <v>297</v>
      </c>
      <c r="H156" s="592" t="s">
        <v>311</v>
      </c>
      <c r="I156" s="963">
        <f>SUM(K156:M156)</f>
        <v>0</v>
      </c>
      <c r="J156" s="513"/>
      <c r="K156" s="960"/>
      <c r="L156" s="514"/>
      <c r="M156" s="514"/>
      <c r="N156" s="450"/>
      <c r="P156" s="329" t="s">
        <v>312</v>
      </c>
      <c r="Q156" s="330"/>
      <c r="R156"/>
      <c r="S156"/>
      <c r="T156"/>
      <c r="U156"/>
      <c r="V156"/>
      <c r="W156"/>
      <c r="X156"/>
      <c r="Y156"/>
    </row>
    <row r="157" spans="1:25" s="329" customFormat="1" ht="24" x14ac:dyDescent="0.2">
      <c r="A157" s="959"/>
      <c r="B157" s="343" t="s">
        <v>261</v>
      </c>
      <c r="C157" s="440"/>
      <c r="D157" s="507"/>
      <c r="E157" s="507"/>
      <c r="F157" s="448" t="s">
        <v>296</v>
      </c>
      <c r="G157" s="440" t="s">
        <v>297</v>
      </c>
      <c r="H157" s="596" t="s">
        <v>869</v>
      </c>
      <c r="I157" s="812">
        <f t="shared" ref="I157:I199" si="9">SUM(K157:M157)</f>
        <v>400</v>
      </c>
      <c r="J157" s="450"/>
      <c r="K157" s="461">
        <v>400</v>
      </c>
      <c r="L157" s="442"/>
      <c r="M157" s="442"/>
      <c r="N157" s="450"/>
      <c r="O157" s="944"/>
      <c r="Q157" s="330"/>
      <c r="R157"/>
      <c r="S157"/>
      <c r="T157"/>
      <c r="U157"/>
      <c r="V157"/>
      <c r="W157"/>
      <c r="X157"/>
      <c r="Y157"/>
    </row>
    <row r="158" spans="1:25" s="329" customFormat="1" x14ac:dyDescent="0.2">
      <c r="A158" s="959"/>
      <c r="B158" s="343" t="s">
        <v>261</v>
      </c>
      <c r="C158" s="440"/>
      <c r="D158" s="507"/>
      <c r="E158" s="507"/>
      <c r="F158" s="448" t="s">
        <v>296</v>
      </c>
      <c r="G158" s="440" t="s">
        <v>297</v>
      </c>
      <c r="H158" s="961" t="s">
        <v>317</v>
      </c>
      <c r="I158" s="812">
        <f t="shared" si="9"/>
        <v>300</v>
      </c>
      <c r="J158" s="450"/>
      <c r="K158" s="442">
        <v>300</v>
      </c>
      <c r="L158" s="442"/>
      <c r="M158" s="442"/>
      <c r="N158" s="450"/>
      <c r="O158" s="944"/>
      <c r="Q158" s="330"/>
      <c r="R158"/>
      <c r="S158"/>
      <c r="T158"/>
      <c r="U158"/>
      <c r="V158"/>
      <c r="W158"/>
      <c r="X158"/>
      <c r="Y158"/>
    </row>
    <row r="159" spans="1:25" s="329" customFormat="1" x14ac:dyDescent="0.2">
      <c r="A159" s="959"/>
      <c r="B159" s="343" t="s">
        <v>261</v>
      </c>
      <c r="C159" s="440"/>
      <c r="D159" s="507"/>
      <c r="E159" s="507"/>
      <c r="F159" s="448" t="s">
        <v>296</v>
      </c>
      <c r="G159" s="440" t="s">
        <v>297</v>
      </c>
      <c r="H159" s="961" t="s">
        <v>870</v>
      </c>
      <c r="I159" s="812">
        <f>SUM(K159:M159)</f>
        <v>400</v>
      </c>
      <c r="J159" s="450"/>
      <c r="K159" s="442">
        <v>400</v>
      </c>
      <c r="L159" s="442"/>
      <c r="M159" s="442"/>
      <c r="N159" s="450"/>
      <c r="O159" s="944"/>
      <c r="Q159" s="330"/>
      <c r="R159"/>
      <c r="S159"/>
      <c r="T159"/>
      <c r="U159"/>
      <c r="V159"/>
      <c r="W159"/>
      <c r="X159"/>
      <c r="Y159"/>
    </row>
    <row r="160" spans="1:25" s="329" customFormat="1" x14ac:dyDescent="0.2">
      <c r="A160" s="959"/>
      <c r="B160" s="343" t="s">
        <v>261</v>
      </c>
      <c r="C160" s="440"/>
      <c r="D160" s="507"/>
      <c r="E160" s="507"/>
      <c r="F160" s="448" t="s">
        <v>296</v>
      </c>
      <c r="G160" s="440" t="s">
        <v>297</v>
      </c>
      <c r="H160" s="961" t="s">
        <v>871</v>
      </c>
      <c r="I160" s="812">
        <f t="shared" si="9"/>
        <v>500</v>
      </c>
      <c r="J160" s="450"/>
      <c r="K160" s="442">
        <v>500</v>
      </c>
      <c r="L160" s="442"/>
      <c r="M160" s="442"/>
      <c r="N160" s="450"/>
      <c r="O160" s="944"/>
      <c r="Q160" s="330"/>
      <c r="R160"/>
      <c r="S160"/>
      <c r="T160"/>
      <c r="U160"/>
      <c r="V160"/>
      <c r="W160"/>
      <c r="X160"/>
      <c r="Y160"/>
    </row>
    <row r="161" spans="1:25" s="329" customFormat="1" x14ac:dyDescent="0.2">
      <c r="A161" s="959"/>
      <c r="B161" s="343" t="s">
        <v>261</v>
      </c>
      <c r="C161" s="440"/>
      <c r="D161" s="507"/>
      <c r="E161" s="507"/>
      <c r="F161" s="448" t="s">
        <v>296</v>
      </c>
      <c r="G161" s="440" t="s">
        <v>297</v>
      </c>
      <c r="H161" s="961" t="s">
        <v>872</v>
      </c>
      <c r="I161" s="812">
        <f t="shared" si="9"/>
        <v>1000</v>
      </c>
      <c r="J161" s="450"/>
      <c r="K161" s="442">
        <v>1000</v>
      </c>
      <c r="L161" s="442"/>
      <c r="M161" s="442"/>
      <c r="N161" s="450"/>
      <c r="O161" s="944"/>
      <c r="Q161" s="330"/>
      <c r="R161"/>
      <c r="S161"/>
      <c r="T161"/>
      <c r="U161"/>
      <c r="V161"/>
      <c r="W161"/>
      <c r="X161"/>
      <c r="Y161"/>
    </row>
    <row r="162" spans="1:25" s="329" customFormat="1" ht="24" x14ac:dyDescent="0.2">
      <c r="A162" s="959"/>
      <c r="B162" s="343" t="s">
        <v>261</v>
      </c>
      <c r="C162" s="440"/>
      <c r="D162" s="507"/>
      <c r="E162" s="507"/>
      <c r="F162" s="448" t="s">
        <v>296</v>
      </c>
      <c r="G162" s="440" t="s">
        <v>297</v>
      </c>
      <c r="H162" s="596" t="s">
        <v>873</v>
      </c>
      <c r="I162" s="812">
        <f t="shared" si="9"/>
        <v>2500</v>
      </c>
      <c r="J162" s="450"/>
      <c r="K162" s="442">
        <v>2500</v>
      </c>
      <c r="L162" s="442"/>
      <c r="M162" s="442"/>
      <c r="N162" s="450"/>
      <c r="O162" s="944"/>
      <c r="Q162" s="330"/>
      <c r="R162"/>
      <c r="S162"/>
      <c r="T162"/>
      <c r="U162"/>
      <c r="V162"/>
      <c r="W162"/>
      <c r="X162"/>
      <c r="Y162"/>
    </row>
    <row r="163" spans="1:25" s="329" customFormat="1" ht="24" x14ac:dyDescent="0.2">
      <c r="A163" s="959"/>
      <c r="B163" s="343" t="s">
        <v>261</v>
      </c>
      <c r="C163" s="440"/>
      <c r="D163" s="507"/>
      <c r="E163" s="507"/>
      <c r="F163" s="448" t="s">
        <v>296</v>
      </c>
      <c r="G163" s="440" t="s">
        <v>297</v>
      </c>
      <c r="H163" s="596" t="s">
        <v>874</v>
      </c>
      <c r="I163" s="812">
        <f t="shared" si="9"/>
        <v>3000</v>
      </c>
      <c r="J163" s="450"/>
      <c r="K163" s="442">
        <v>3000</v>
      </c>
      <c r="L163" s="442"/>
      <c r="M163" s="442"/>
      <c r="N163" s="450"/>
      <c r="P163" s="329" t="s">
        <v>875</v>
      </c>
      <c r="Q163" s="330"/>
      <c r="R163"/>
      <c r="S163"/>
      <c r="T163"/>
      <c r="U163"/>
      <c r="V163"/>
      <c r="W163"/>
      <c r="X163"/>
      <c r="Y163"/>
    </row>
    <row r="164" spans="1:25" s="329" customFormat="1" x14ac:dyDescent="0.2">
      <c r="A164" s="959"/>
      <c r="B164" s="343" t="s">
        <v>261</v>
      </c>
      <c r="C164" s="494"/>
      <c r="D164" s="964"/>
      <c r="E164" s="964"/>
      <c r="F164" s="590" t="s">
        <v>296</v>
      </c>
      <c r="G164" s="494" t="s">
        <v>297</v>
      </c>
      <c r="H164" s="965" t="s">
        <v>320</v>
      </c>
      <c r="I164" s="821">
        <f t="shared" si="9"/>
        <v>200</v>
      </c>
      <c r="J164" s="450"/>
      <c r="K164" s="491">
        <v>200</v>
      </c>
      <c r="L164" s="491"/>
      <c r="M164" s="491"/>
      <c r="N164" s="450"/>
      <c r="Q164" s="330"/>
      <c r="R164"/>
      <c r="S164"/>
      <c r="T164"/>
      <c r="U164"/>
      <c r="V164"/>
      <c r="W164"/>
      <c r="X164"/>
      <c r="Y164"/>
    </row>
    <row r="165" spans="1:25" s="329" customFormat="1" ht="12.75" thickBot="1" x14ac:dyDescent="0.25">
      <c r="A165" s="959"/>
      <c r="B165" s="343" t="s">
        <v>261</v>
      </c>
      <c r="C165" s="966"/>
      <c r="D165" s="967"/>
      <c r="E165" s="967"/>
      <c r="F165" s="968" t="s">
        <v>296</v>
      </c>
      <c r="G165" s="966" t="s">
        <v>297</v>
      </c>
      <c r="H165" s="969" t="s">
        <v>876</v>
      </c>
      <c r="I165" s="970">
        <f>SUM(K165:M165)</f>
        <v>2000</v>
      </c>
      <c r="J165" s="971"/>
      <c r="K165" s="972">
        <v>2000</v>
      </c>
      <c r="L165" s="972"/>
      <c r="M165" s="972"/>
      <c r="N165" s="450"/>
      <c r="P165" s="329" t="s">
        <v>877</v>
      </c>
      <c r="Q165" s="330"/>
      <c r="R165"/>
      <c r="S165"/>
      <c r="T165"/>
      <c r="U165"/>
      <c r="V165"/>
      <c r="W165"/>
      <c r="X165"/>
      <c r="Y165"/>
    </row>
    <row r="166" spans="1:25" s="329" customFormat="1" ht="13.5" thickTop="1" thickBot="1" x14ac:dyDescent="0.25">
      <c r="A166" s="959"/>
      <c r="B166" s="343"/>
      <c r="C166" s="520"/>
      <c r="D166" s="521"/>
      <c r="E166" s="521"/>
      <c r="F166" s="522" t="s">
        <v>296</v>
      </c>
      <c r="G166" s="520" t="s">
        <v>297</v>
      </c>
      <c r="H166" s="973" t="s">
        <v>878</v>
      </c>
      <c r="I166" s="945">
        <f>SUM(K166:M166)</f>
        <v>10000</v>
      </c>
      <c r="J166" s="501"/>
      <c r="K166" s="526">
        <v>10000</v>
      </c>
      <c r="L166" s="526"/>
      <c r="M166" s="526"/>
      <c r="N166" s="450"/>
      <c r="O166" s="944"/>
      <c r="Q166" s="330"/>
      <c r="R166"/>
      <c r="S166"/>
      <c r="T166"/>
      <c r="U166"/>
      <c r="V166"/>
      <c r="W166"/>
      <c r="X166"/>
      <c r="Y166"/>
    </row>
    <row r="167" spans="1:25" s="329" customFormat="1" ht="12.75" thickTop="1" x14ac:dyDescent="0.2">
      <c r="A167" s="959"/>
      <c r="B167" s="343" t="s">
        <v>199</v>
      </c>
      <c r="C167" s="477"/>
      <c r="D167" s="477"/>
      <c r="E167" s="477"/>
      <c r="F167" s="478" t="s">
        <v>328</v>
      </c>
      <c r="G167" s="477" t="s">
        <v>329</v>
      </c>
      <c r="H167" s="569" t="s">
        <v>298</v>
      </c>
      <c r="I167" s="881">
        <f>SUM(K167:M167)</f>
        <v>14500</v>
      </c>
      <c r="J167" s="450"/>
      <c r="K167" s="481">
        <v>14500</v>
      </c>
      <c r="L167" s="481"/>
      <c r="M167" s="481"/>
      <c r="N167" s="450"/>
      <c r="O167" s="944"/>
      <c r="Q167" s="330"/>
      <c r="R167"/>
      <c r="S167"/>
      <c r="T167"/>
      <c r="U167"/>
      <c r="V167"/>
      <c r="W167"/>
      <c r="X167"/>
      <c r="Y167"/>
    </row>
    <row r="168" spans="1:25" s="329" customFormat="1" ht="43.15" customHeight="1" x14ac:dyDescent="0.2">
      <c r="A168" s="959"/>
      <c r="B168" s="343" t="s">
        <v>199</v>
      </c>
      <c r="C168" s="440"/>
      <c r="D168" s="440"/>
      <c r="E168" s="440"/>
      <c r="F168" s="448" t="s">
        <v>328</v>
      </c>
      <c r="G168" s="477" t="s">
        <v>329</v>
      </c>
      <c r="H168" s="449" t="s">
        <v>330</v>
      </c>
      <c r="I168" s="797">
        <f t="shared" si="9"/>
        <v>20000</v>
      </c>
      <c r="J168" s="450"/>
      <c r="K168" s="442">
        <v>20000</v>
      </c>
      <c r="L168" s="442"/>
      <c r="M168" s="442"/>
      <c r="N168" s="450"/>
      <c r="O168" s="944"/>
      <c r="Q168" s="330"/>
      <c r="R168"/>
      <c r="S168"/>
      <c r="T168"/>
      <c r="U168"/>
      <c r="V168"/>
      <c r="W168"/>
      <c r="X168"/>
      <c r="Y168"/>
    </row>
    <row r="169" spans="1:25" s="329" customFormat="1" ht="24" x14ac:dyDescent="0.2">
      <c r="A169" s="959"/>
      <c r="B169" s="343" t="s">
        <v>199</v>
      </c>
      <c r="C169" s="440"/>
      <c r="D169" s="440"/>
      <c r="E169" s="440"/>
      <c r="F169" s="448" t="s">
        <v>328</v>
      </c>
      <c r="G169" s="477" t="s">
        <v>329</v>
      </c>
      <c r="H169" s="449" t="s">
        <v>331</v>
      </c>
      <c r="I169" s="797">
        <f t="shared" si="9"/>
        <v>5500</v>
      </c>
      <c r="J169" s="450"/>
      <c r="K169" s="442">
        <f>1500+4000</f>
        <v>5500</v>
      </c>
      <c r="L169" s="442"/>
      <c r="M169" s="442"/>
      <c r="N169" s="450"/>
      <c r="O169" s="944"/>
      <c r="Q169" s="330"/>
      <c r="R169"/>
      <c r="S169"/>
      <c r="T169"/>
      <c r="U169"/>
      <c r="V169"/>
      <c r="W169"/>
      <c r="X169"/>
      <c r="Y169"/>
    </row>
    <row r="170" spans="1:25" s="329" customFormat="1" x14ac:dyDescent="0.2">
      <c r="A170" s="959"/>
      <c r="B170" s="343"/>
      <c r="C170" s="440"/>
      <c r="D170" s="440"/>
      <c r="E170" s="440"/>
      <c r="F170" s="448" t="s">
        <v>328</v>
      </c>
      <c r="G170" s="477" t="s">
        <v>329</v>
      </c>
      <c r="H170" s="449" t="s">
        <v>879</v>
      </c>
      <c r="I170" s="941">
        <f t="shared" si="9"/>
        <v>30000</v>
      </c>
      <c r="J170" s="450"/>
      <c r="K170" s="461">
        <v>30000</v>
      </c>
      <c r="L170" s="442"/>
      <c r="M170" s="442"/>
      <c r="N170" s="450"/>
      <c r="P170" s="329" t="s">
        <v>880</v>
      </c>
      <c r="Q170" s="330"/>
      <c r="R170"/>
      <c r="S170"/>
      <c r="T170"/>
      <c r="U170"/>
      <c r="V170"/>
      <c r="W170"/>
      <c r="X170"/>
      <c r="Y170"/>
    </row>
    <row r="171" spans="1:25" s="329" customFormat="1" x14ac:dyDescent="0.2">
      <c r="A171" s="959"/>
      <c r="B171" s="343" t="s">
        <v>199</v>
      </c>
      <c r="C171" s="440"/>
      <c r="D171" s="440"/>
      <c r="E171" s="440"/>
      <c r="F171" s="448" t="s">
        <v>328</v>
      </c>
      <c r="G171" s="477" t="s">
        <v>329</v>
      </c>
      <c r="H171" s="449" t="s">
        <v>881</v>
      </c>
      <c r="I171" s="941">
        <f t="shared" si="9"/>
        <v>15000</v>
      </c>
      <c r="J171" s="450"/>
      <c r="K171" s="461">
        <v>15000</v>
      </c>
      <c r="L171" s="442"/>
      <c r="M171" s="442"/>
      <c r="N171" s="450"/>
      <c r="P171" s="329" t="s">
        <v>882</v>
      </c>
      <c r="Q171" s="330"/>
      <c r="R171"/>
      <c r="S171"/>
      <c r="T171"/>
      <c r="U171"/>
      <c r="V171"/>
      <c r="W171"/>
      <c r="X171"/>
      <c r="Y171"/>
    </row>
    <row r="172" spans="1:25" s="329" customFormat="1" x14ac:dyDescent="0.2">
      <c r="A172" s="959"/>
      <c r="B172" s="343"/>
      <c r="C172" s="440"/>
      <c r="D172" s="440"/>
      <c r="E172" s="440"/>
      <c r="F172" s="448" t="s">
        <v>328</v>
      </c>
      <c r="G172" s="477" t="s">
        <v>329</v>
      </c>
      <c r="H172" s="974" t="s">
        <v>335</v>
      </c>
      <c r="I172" s="941">
        <f t="shared" si="9"/>
        <v>150000</v>
      </c>
      <c r="J172" s="676"/>
      <c r="K172" s="958">
        <f>168000-28000+10000</f>
        <v>150000</v>
      </c>
      <c r="L172" s="442"/>
      <c r="M172" s="442"/>
      <c r="N172" s="450"/>
      <c r="P172" s="329" t="s">
        <v>883</v>
      </c>
      <c r="Q172" s="330"/>
      <c r="R172"/>
      <c r="S172"/>
      <c r="T172"/>
      <c r="U172"/>
      <c r="V172"/>
      <c r="W172"/>
      <c r="X172"/>
      <c r="Y172"/>
    </row>
    <row r="173" spans="1:25" s="329" customFormat="1" x14ac:dyDescent="0.2">
      <c r="A173" s="959"/>
      <c r="B173" s="343"/>
      <c r="C173" s="440"/>
      <c r="D173" s="440"/>
      <c r="E173" s="440"/>
      <c r="F173" s="448" t="s">
        <v>328</v>
      </c>
      <c r="G173" s="477" t="s">
        <v>329</v>
      </c>
      <c r="H173" s="449" t="s">
        <v>343</v>
      </c>
      <c r="I173" s="941">
        <f t="shared" si="9"/>
        <v>1500</v>
      </c>
      <c r="J173" s="450"/>
      <c r="K173" s="461">
        <v>1500</v>
      </c>
      <c r="L173" s="442"/>
      <c r="M173" s="442"/>
      <c r="N173" s="450"/>
      <c r="Q173" s="330"/>
      <c r="R173"/>
      <c r="S173"/>
      <c r="T173"/>
      <c r="U173"/>
      <c r="V173"/>
      <c r="W173"/>
      <c r="X173"/>
      <c r="Y173"/>
    </row>
    <row r="174" spans="1:25" s="329" customFormat="1" x14ac:dyDescent="0.2">
      <c r="A174" s="959"/>
      <c r="B174" s="343" t="s">
        <v>199</v>
      </c>
      <c r="C174" s="509"/>
      <c r="D174" s="509"/>
      <c r="E174" s="509"/>
      <c r="F174" s="448" t="s">
        <v>328</v>
      </c>
      <c r="G174" s="529" t="s">
        <v>329</v>
      </c>
      <c r="H174" s="975" t="s">
        <v>311</v>
      </c>
      <c r="I174" s="595"/>
      <c r="J174" s="530"/>
      <c r="K174" s="960"/>
      <c r="L174" s="514"/>
      <c r="M174" s="514"/>
      <c r="N174" s="450"/>
      <c r="Q174" s="330"/>
      <c r="R174"/>
      <c r="S174"/>
      <c r="T174"/>
      <c r="U174"/>
      <c r="V174"/>
      <c r="W174"/>
      <c r="X174"/>
      <c r="Y174"/>
    </row>
    <row r="175" spans="1:25" s="329" customFormat="1" x14ac:dyDescent="0.2">
      <c r="A175" s="959"/>
      <c r="B175" s="343" t="s">
        <v>199</v>
      </c>
      <c r="C175" s="440"/>
      <c r="D175" s="440"/>
      <c r="E175" s="440"/>
      <c r="F175" s="448" t="s">
        <v>328</v>
      </c>
      <c r="G175" s="477" t="s">
        <v>329</v>
      </c>
      <c r="H175" s="961" t="s">
        <v>348</v>
      </c>
      <c r="I175" s="797">
        <f t="shared" si="9"/>
        <v>800</v>
      </c>
      <c r="J175" s="450"/>
      <c r="K175" s="442">
        <v>800</v>
      </c>
      <c r="L175" s="442"/>
      <c r="M175" s="442"/>
      <c r="N175" s="450"/>
      <c r="Q175" s="330"/>
      <c r="R175"/>
      <c r="S175"/>
      <c r="T175"/>
      <c r="U175"/>
      <c r="V175"/>
      <c r="W175"/>
      <c r="X175"/>
      <c r="Y175"/>
    </row>
    <row r="176" spans="1:25" s="329" customFormat="1" x14ac:dyDescent="0.2">
      <c r="A176" s="959"/>
      <c r="B176" s="343" t="s">
        <v>199</v>
      </c>
      <c r="C176" s="440"/>
      <c r="D176" s="440"/>
      <c r="E176" s="440"/>
      <c r="F176" s="448" t="s">
        <v>328</v>
      </c>
      <c r="G176" s="477" t="s">
        <v>329</v>
      </c>
      <c r="H176" s="961" t="s">
        <v>884</v>
      </c>
      <c r="I176" s="797">
        <f t="shared" si="9"/>
        <v>1200</v>
      </c>
      <c r="J176" s="450"/>
      <c r="K176" s="442">
        <v>1200</v>
      </c>
      <c r="L176" s="442"/>
      <c r="M176" s="442"/>
      <c r="N176" s="450"/>
      <c r="P176" s="329" t="s">
        <v>885</v>
      </c>
      <c r="Q176" s="330"/>
      <c r="R176"/>
      <c r="S176"/>
      <c r="T176"/>
      <c r="U176"/>
      <c r="V176"/>
      <c r="W176"/>
      <c r="X176"/>
      <c r="Y176"/>
    </row>
    <row r="177" spans="1:25" s="329" customFormat="1" ht="24" x14ac:dyDescent="0.2">
      <c r="A177" s="959"/>
      <c r="B177" s="343" t="s">
        <v>199</v>
      </c>
      <c r="C177" s="440"/>
      <c r="D177" s="440"/>
      <c r="E177" s="440"/>
      <c r="F177" s="448" t="s">
        <v>328</v>
      </c>
      <c r="G177" s="477" t="s">
        <v>329</v>
      </c>
      <c r="H177" s="596" t="s">
        <v>886</v>
      </c>
      <c r="I177" s="797">
        <f t="shared" si="9"/>
        <v>1200</v>
      </c>
      <c r="J177" s="450"/>
      <c r="K177" s="442">
        <v>1200</v>
      </c>
      <c r="L177" s="442"/>
      <c r="M177" s="442"/>
      <c r="N177" s="450"/>
      <c r="P177" s="329" t="s">
        <v>887</v>
      </c>
      <c r="Q177" s="330"/>
      <c r="R177"/>
      <c r="S177"/>
      <c r="T177"/>
      <c r="U177"/>
      <c r="V177"/>
      <c r="W177"/>
      <c r="X177"/>
      <c r="Y177"/>
    </row>
    <row r="178" spans="1:25" s="329" customFormat="1" ht="24" x14ac:dyDescent="0.2">
      <c r="A178" s="959"/>
      <c r="B178" s="343" t="s">
        <v>199</v>
      </c>
      <c r="C178" s="440"/>
      <c r="D178" s="440"/>
      <c r="E178" s="440"/>
      <c r="F178" s="448" t="s">
        <v>328</v>
      </c>
      <c r="G178" s="477" t="s">
        <v>329</v>
      </c>
      <c r="H178" s="596" t="s">
        <v>888</v>
      </c>
      <c r="I178" s="797">
        <f t="shared" si="9"/>
        <v>300</v>
      </c>
      <c r="J178" s="450"/>
      <c r="K178" s="442">
        <v>300</v>
      </c>
      <c r="L178" s="442"/>
      <c r="M178" s="442"/>
      <c r="N178" s="450"/>
      <c r="Q178" s="330"/>
      <c r="R178"/>
      <c r="S178"/>
      <c r="T178"/>
      <c r="U178"/>
      <c r="V178"/>
      <c r="W178"/>
      <c r="X178"/>
      <c r="Y178"/>
    </row>
    <row r="179" spans="1:25" s="329" customFormat="1" x14ac:dyDescent="0.2">
      <c r="A179" s="959"/>
      <c r="B179" s="343"/>
      <c r="C179" s="440"/>
      <c r="D179" s="440"/>
      <c r="E179" s="440"/>
      <c r="F179" s="448" t="s">
        <v>328</v>
      </c>
      <c r="G179" s="477" t="s">
        <v>329</v>
      </c>
      <c r="H179" s="961" t="s">
        <v>889</v>
      </c>
      <c r="I179" s="797">
        <f t="shared" si="9"/>
        <v>1200</v>
      </c>
      <c r="J179" s="450"/>
      <c r="K179" s="442">
        <v>1200</v>
      </c>
      <c r="L179" s="442"/>
      <c r="M179" s="442"/>
      <c r="N179" s="450"/>
      <c r="P179" s="329" t="s">
        <v>890</v>
      </c>
      <c r="Q179" s="330"/>
      <c r="R179"/>
      <c r="S179"/>
      <c r="T179"/>
      <c r="U179"/>
      <c r="V179"/>
      <c r="W179"/>
      <c r="X179"/>
      <c r="Y179"/>
    </row>
    <row r="180" spans="1:25" s="329" customFormat="1" x14ac:dyDescent="0.2">
      <c r="A180" s="959"/>
      <c r="B180" s="343"/>
      <c r="C180" s="440"/>
      <c r="D180" s="440"/>
      <c r="E180" s="440"/>
      <c r="F180" s="448" t="s">
        <v>328</v>
      </c>
      <c r="G180" s="477" t="s">
        <v>329</v>
      </c>
      <c r="H180" s="961" t="s">
        <v>891</v>
      </c>
      <c r="I180" s="797">
        <f t="shared" si="9"/>
        <v>600</v>
      </c>
      <c r="J180" s="450"/>
      <c r="K180" s="442">
        <v>600</v>
      </c>
      <c r="L180" s="442"/>
      <c r="M180" s="442"/>
      <c r="N180" s="450"/>
      <c r="Q180" s="330"/>
      <c r="R180"/>
      <c r="S180"/>
      <c r="T180"/>
      <c r="U180"/>
      <c r="V180"/>
      <c r="W180"/>
      <c r="X180"/>
      <c r="Y180"/>
    </row>
    <row r="181" spans="1:25" s="329" customFormat="1" x14ac:dyDescent="0.2">
      <c r="A181" s="959"/>
      <c r="B181" s="343" t="s">
        <v>199</v>
      </c>
      <c r="C181" s="440"/>
      <c r="D181" s="440"/>
      <c r="E181" s="440"/>
      <c r="F181" s="448" t="s">
        <v>328</v>
      </c>
      <c r="G181" s="477" t="s">
        <v>329</v>
      </c>
      <c r="H181" s="961" t="s">
        <v>341</v>
      </c>
      <c r="I181" s="797">
        <f t="shared" si="9"/>
        <v>800</v>
      </c>
      <c r="J181" s="450"/>
      <c r="K181" s="442">
        <v>800</v>
      </c>
      <c r="L181" s="442"/>
      <c r="M181" s="442"/>
      <c r="N181" s="450"/>
      <c r="Q181" s="330"/>
      <c r="R181"/>
      <c r="S181"/>
      <c r="T181"/>
      <c r="U181"/>
      <c r="V181"/>
      <c r="W181"/>
      <c r="X181"/>
      <c r="Y181"/>
    </row>
    <row r="182" spans="1:25" s="329" customFormat="1" x14ac:dyDescent="0.2">
      <c r="A182" s="959"/>
      <c r="B182" s="343" t="s">
        <v>199</v>
      </c>
      <c r="C182" s="440"/>
      <c r="D182" s="440"/>
      <c r="E182" s="440"/>
      <c r="F182" s="448" t="s">
        <v>328</v>
      </c>
      <c r="G182" s="477" t="s">
        <v>329</v>
      </c>
      <c r="H182" s="961" t="s">
        <v>892</v>
      </c>
      <c r="I182" s="797">
        <f t="shared" si="9"/>
        <v>700</v>
      </c>
      <c r="J182" s="450"/>
      <c r="K182" s="442">
        <v>700</v>
      </c>
      <c r="L182" s="442"/>
      <c r="M182" s="442"/>
      <c r="N182" s="450"/>
      <c r="Q182" s="330"/>
      <c r="R182"/>
      <c r="S182"/>
      <c r="T182"/>
      <c r="U182"/>
      <c r="V182"/>
      <c r="W182"/>
      <c r="X182"/>
      <c r="Y182"/>
    </row>
    <row r="183" spans="1:25" s="329" customFormat="1" ht="13.15" customHeight="1" x14ac:dyDescent="0.2">
      <c r="A183" s="959"/>
      <c r="B183" s="343" t="s">
        <v>199</v>
      </c>
      <c r="C183" s="440"/>
      <c r="D183" s="440"/>
      <c r="E183" s="440"/>
      <c r="F183" s="448" t="s">
        <v>328</v>
      </c>
      <c r="G183" s="477" t="s">
        <v>329</v>
      </c>
      <c r="H183" s="961" t="s">
        <v>893</v>
      </c>
      <c r="I183" s="797">
        <f t="shared" si="9"/>
        <v>1000</v>
      </c>
      <c r="J183" s="450"/>
      <c r="K183" s="442">
        <v>1000</v>
      </c>
      <c r="L183" s="442"/>
      <c r="M183" s="442"/>
      <c r="N183" s="450"/>
      <c r="P183" s="519" t="s">
        <v>894</v>
      </c>
      <c r="Q183" s="330"/>
      <c r="R183"/>
      <c r="S183"/>
      <c r="T183"/>
      <c r="U183"/>
      <c r="V183"/>
      <c r="W183"/>
      <c r="X183"/>
      <c r="Y183"/>
    </row>
    <row r="184" spans="1:25" x14ac:dyDescent="0.2">
      <c r="B184" s="343" t="s">
        <v>199</v>
      </c>
      <c r="C184" s="440"/>
      <c r="D184" s="440"/>
      <c r="E184" s="440"/>
      <c r="F184" s="448" t="s">
        <v>328</v>
      </c>
      <c r="G184" s="477" t="s">
        <v>329</v>
      </c>
      <c r="H184" s="961" t="s">
        <v>895</v>
      </c>
      <c r="I184" s="797">
        <f t="shared" si="9"/>
        <v>600</v>
      </c>
      <c r="J184" s="450"/>
      <c r="K184" s="442">
        <v>600</v>
      </c>
      <c r="L184" s="442"/>
      <c r="M184" s="442"/>
      <c r="N184" s="450"/>
      <c r="O184" s="944"/>
    </row>
    <row r="185" spans="1:25" ht="12.75" thickBot="1" x14ac:dyDescent="0.25">
      <c r="B185" s="343" t="s">
        <v>199</v>
      </c>
      <c r="C185" s="497"/>
      <c r="D185" s="497"/>
      <c r="E185" s="497"/>
      <c r="F185" s="498" t="s">
        <v>328</v>
      </c>
      <c r="G185" s="520" t="s">
        <v>329</v>
      </c>
      <c r="H185" s="634" t="s">
        <v>337</v>
      </c>
      <c r="I185" s="950">
        <f t="shared" si="9"/>
        <v>800</v>
      </c>
      <c r="J185" s="501"/>
      <c r="K185" s="500">
        <v>800</v>
      </c>
      <c r="L185" s="500"/>
      <c r="M185" s="500"/>
      <c r="N185" s="450"/>
      <c r="O185" s="944"/>
    </row>
    <row r="186" spans="1:25" ht="24.75" thickTop="1" x14ac:dyDescent="0.2">
      <c r="B186" s="343" t="s">
        <v>205</v>
      </c>
      <c r="C186" s="477"/>
      <c r="D186" s="477"/>
      <c r="E186" s="477"/>
      <c r="F186" s="478" t="s">
        <v>351</v>
      </c>
      <c r="G186" s="483" t="s">
        <v>54</v>
      </c>
      <c r="H186" s="976" t="s">
        <v>352</v>
      </c>
      <c r="I186" s="837">
        <f>K186</f>
        <v>23000</v>
      </c>
      <c r="J186" s="450"/>
      <c r="K186" s="485">
        <v>23000</v>
      </c>
      <c r="L186" s="481"/>
      <c r="M186" s="481"/>
      <c r="N186" s="450"/>
      <c r="O186" s="944"/>
      <c r="P186" s="486"/>
    </row>
    <row r="187" spans="1:25" ht="24" x14ac:dyDescent="0.2">
      <c r="B187" s="343" t="s">
        <v>205</v>
      </c>
      <c r="C187" s="440"/>
      <c r="D187" s="440"/>
      <c r="E187" s="440"/>
      <c r="F187" s="448" t="s">
        <v>351</v>
      </c>
      <c r="G187" s="440" t="s">
        <v>54</v>
      </c>
      <c r="H187" s="976" t="s">
        <v>353</v>
      </c>
      <c r="I187" s="941">
        <f t="shared" ref="I187:I192" si="10">SUM(K187:M187)</f>
        <v>2320</v>
      </c>
      <c r="J187" s="450"/>
      <c r="K187" s="442">
        <v>2320</v>
      </c>
      <c r="L187" s="442"/>
      <c r="M187" s="442"/>
      <c r="N187" s="450"/>
      <c r="O187" s="944"/>
      <c r="P187" s="369"/>
    </row>
    <row r="188" spans="1:25" x14ac:dyDescent="0.2">
      <c r="B188" s="343" t="s">
        <v>205</v>
      </c>
      <c r="C188" s="440"/>
      <c r="D188" s="440"/>
      <c r="E188" s="440"/>
      <c r="F188" s="448" t="s">
        <v>351</v>
      </c>
      <c r="G188" s="440" t="s">
        <v>54</v>
      </c>
      <c r="H188" s="977" t="s">
        <v>354</v>
      </c>
      <c r="I188" s="797">
        <f t="shared" si="10"/>
        <v>39800</v>
      </c>
      <c r="J188" s="450"/>
      <c r="K188" s="442">
        <v>39800</v>
      </c>
      <c r="L188" s="539"/>
      <c r="M188" s="539"/>
      <c r="N188" s="450"/>
      <c r="O188" s="794"/>
      <c r="P188" s="540"/>
    </row>
    <row r="189" spans="1:25" ht="24.75" thickBot="1" x14ac:dyDescent="0.25">
      <c r="B189" s="343" t="s">
        <v>205</v>
      </c>
      <c r="C189" s="633"/>
      <c r="D189" s="633"/>
      <c r="E189" s="633"/>
      <c r="F189" s="498" t="s">
        <v>351</v>
      </c>
      <c r="G189" s="633" t="s">
        <v>54</v>
      </c>
      <c r="H189" s="978" t="s">
        <v>355</v>
      </c>
      <c r="I189" s="950">
        <f t="shared" si="10"/>
        <v>2000</v>
      </c>
      <c r="J189" s="501"/>
      <c r="K189" s="500">
        <v>2000</v>
      </c>
      <c r="L189" s="500"/>
      <c r="M189" s="500"/>
      <c r="N189" s="450"/>
      <c r="O189" s="944"/>
      <c r="P189" s="542"/>
    </row>
    <row r="190" spans="1:25" ht="24.75" thickTop="1" x14ac:dyDescent="0.2">
      <c r="B190" s="343" t="s">
        <v>205</v>
      </c>
      <c r="C190" s="440"/>
      <c r="D190" s="440"/>
      <c r="E190" s="440"/>
      <c r="F190" s="448" t="s">
        <v>358</v>
      </c>
      <c r="G190" s="440" t="s">
        <v>359</v>
      </c>
      <c r="H190" s="441" t="s">
        <v>896</v>
      </c>
      <c r="I190" s="797">
        <f t="shared" si="10"/>
        <v>74550</v>
      </c>
      <c r="J190" s="450"/>
      <c r="K190" s="979">
        <v>44130</v>
      </c>
      <c r="L190" s="442">
        <v>30420</v>
      </c>
      <c r="M190" s="442"/>
      <c r="N190" s="450"/>
      <c r="O190" s="944"/>
      <c r="P190" s="369"/>
    </row>
    <row r="191" spans="1:25" ht="24" x14ac:dyDescent="0.2">
      <c r="B191" s="343" t="s">
        <v>205</v>
      </c>
      <c r="C191" s="440"/>
      <c r="D191" s="440"/>
      <c r="E191" s="440"/>
      <c r="F191" s="448" t="s">
        <v>358</v>
      </c>
      <c r="G191" s="440" t="s">
        <v>359</v>
      </c>
      <c r="H191" s="441" t="s">
        <v>897</v>
      </c>
      <c r="I191" s="797">
        <f t="shared" si="10"/>
        <v>26262.751410000001</v>
      </c>
      <c r="J191" s="450"/>
      <c r="K191" s="442">
        <v>26262.751410000001</v>
      </c>
      <c r="L191" s="442"/>
      <c r="M191" s="442"/>
      <c r="N191" s="450"/>
      <c r="O191" s="944"/>
      <c r="P191" s="369"/>
    </row>
    <row r="192" spans="1:25" ht="12.75" thickBot="1" x14ac:dyDescent="0.25">
      <c r="B192" s="343" t="s">
        <v>205</v>
      </c>
      <c r="C192" s="497"/>
      <c r="D192" s="497"/>
      <c r="E192" s="497"/>
      <c r="F192" s="498" t="s">
        <v>358</v>
      </c>
      <c r="G192" s="497" t="s">
        <v>359</v>
      </c>
      <c r="H192" s="978" t="s">
        <v>361</v>
      </c>
      <c r="I192" s="950">
        <f t="shared" si="10"/>
        <v>4000</v>
      </c>
      <c r="J192" s="501"/>
      <c r="K192" s="500">
        <v>4000</v>
      </c>
      <c r="L192" s="500"/>
      <c r="M192" s="500"/>
      <c r="N192" s="450"/>
      <c r="O192" s="944"/>
      <c r="P192" s="369"/>
    </row>
    <row r="193" spans="1:25" s="329" customFormat="1" ht="24.75" thickTop="1" x14ac:dyDescent="0.2">
      <c r="A193" s="959"/>
      <c r="B193" s="343" t="s">
        <v>205</v>
      </c>
      <c r="C193" s="477"/>
      <c r="D193" s="477"/>
      <c r="E193" s="477"/>
      <c r="F193" s="478">
        <v>1010</v>
      </c>
      <c r="G193" s="477" t="s">
        <v>362</v>
      </c>
      <c r="H193" s="569" t="s">
        <v>898</v>
      </c>
      <c r="I193" s="881">
        <f t="shared" si="9"/>
        <v>19000</v>
      </c>
      <c r="J193" s="450"/>
      <c r="K193" s="481">
        <v>19000</v>
      </c>
      <c r="L193" s="481"/>
      <c r="M193" s="481"/>
      <c r="N193" s="450"/>
      <c r="O193" s="944"/>
      <c r="Q193" s="330"/>
      <c r="R193"/>
      <c r="S193"/>
      <c r="T193"/>
      <c r="U193"/>
      <c r="V193"/>
      <c r="W193"/>
      <c r="X193"/>
      <c r="Y193"/>
    </row>
    <row r="194" spans="1:25" s="329" customFormat="1" x14ac:dyDescent="0.2">
      <c r="A194" s="959"/>
      <c r="B194" s="343"/>
      <c r="C194" s="440"/>
      <c r="D194" s="440"/>
      <c r="E194" s="440"/>
      <c r="F194" s="448">
        <v>1010</v>
      </c>
      <c r="G194" s="477" t="s">
        <v>362</v>
      </c>
      <c r="H194" s="449" t="s">
        <v>364</v>
      </c>
      <c r="I194" s="797">
        <f t="shared" si="9"/>
        <v>25830</v>
      </c>
      <c r="J194" s="450"/>
      <c r="K194" s="461">
        <v>25830</v>
      </c>
      <c r="L194" s="442"/>
      <c r="M194" s="442"/>
      <c r="N194" s="450"/>
      <c r="P194" s="329" t="s">
        <v>365</v>
      </c>
      <c r="Q194" s="330"/>
      <c r="R194"/>
      <c r="S194"/>
      <c r="T194"/>
      <c r="U194"/>
      <c r="V194"/>
      <c r="W194"/>
      <c r="X194"/>
      <c r="Y194"/>
    </row>
    <row r="195" spans="1:25" s="329" customFormat="1" ht="22.15" customHeight="1" x14ac:dyDescent="0.2">
      <c r="A195" s="959"/>
      <c r="B195" s="343"/>
      <c r="C195" s="440"/>
      <c r="D195" s="440"/>
      <c r="E195" s="440"/>
      <c r="F195" s="448">
        <v>1010</v>
      </c>
      <c r="G195" s="477" t="s">
        <v>362</v>
      </c>
      <c r="H195" s="449" t="s">
        <v>366</v>
      </c>
      <c r="I195" s="797">
        <f t="shared" si="9"/>
        <v>167400</v>
      </c>
      <c r="J195" s="450"/>
      <c r="K195" s="980">
        <v>167400</v>
      </c>
      <c r="L195" s="442"/>
      <c r="M195" s="442"/>
      <c r="N195" s="450"/>
      <c r="O195" s="944"/>
      <c r="Q195" s="330"/>
      <c r="R195"/>
      <c r="S195"/>
      <c r="T195"/>
      <c r="U195"/>
      <c r="V195"/>
      <c r="W195"/>
      <c r="X195"/>
      <c r="Y195"/>
    </row>
    <row r="196" spans="1:25" s="329" customFormat="1" ht="23.45" customHeight="1" x14ac:dyDescent="0.2">
      <c r="A196" s="959"/>
      <c r="B196" s="343"/>
      <c r="C196" s="440"/>
      <c r="D196" s="440"/>
      <c r="E196" s="440"/>
      <c r="F196" s="448">
        <v>1010</v>
      </c>
      <c r="G196" s="477" t="s">
        <v>362</v>
      </c>
      <c r="H196" s="449" t="s">
        <v>367</v>
      </c>
      <c r="I196" s="797">
        <f t="shared" si="9"/>
        <v>50000</v>
      </c>
      <c r="J196" s="450"/>
      <c r="K196" s="980">
        <v>50000</v>
      </c>
      <c r="L196" s="442"/>
      <c r="M196" s="442"/>
      <c r="N196" s="450"/>
      <c r="O196" s="944"/>
      <c r="Q196" s="330"/>
      <c r="R196"/>
      <c r="S196"/>
      <c r="T196"/>
      <c r="U196"/>
      <c r="V196"/>
      <c r="W196"/>
      <c r="X196"/>
      <c r="Y196"/>
    </row>
    <row r="197" spans="1:25" s="329" customFormat="1" ht="27" customHeight="1" x14ac:dyDescent="0.2">
      <c r="A197" s="959"/>
      <c r="B197" s="343"/>
      <c r="C197" s="440"/>
      <c r="D197" s="440"/>
      <c r="E197" s="440"/>
      <c r="F197" s="448">
        <v>1010</v>
      </c>
      <c r="G197" s="477" t="s">
        <v>362</v>
      </c>
      <c r="H197" s="449" t="s">
        <v>899</v>
      </c>
      <c r="I197" s="797">
        <f t="shared" si="9"/>
        <v>10000</v>
      </c>
      <c r="J197" s="450"/>
      <c r="K197" s="442">
        <v>10000</v>
      </c>
      <c r="L197" s="442"/>
      <c r="M197" s="442"/>
      <c r="N197" s="450"/>
      <c r="O197" s="944"/>
      <c r="Q197" s="330"/>
      <c r="R197"/>
      <c r="S197"/>
      <c r="T197"/>
      <c r="U197"/>
      <c r="V197"/>
      <c r="W197"/>
      <c r="X197"/>
      <c r="Y197"/>
    </row>
    <row r="198" spans="1:25" s="329" customFormat="1" ht="24" customHeight="1" x14ac:dyDescent="0.2">
      <c r="A198" s="959"/>
      <c r="B198" s="343"/>
      <c r="C198" s="440"/>
      <c r="D198" s="440"/>
      <c r="E198" s="440"/>
      <c r="F198" s="448">
        <v>1010</v>
      </c>
      <c r="G198" s="477" t="s">
        <v>362</v>
      </c>
      <c r="H198" s="449" t="s">
        <v>369</v>
      </c>
      <c r="I198" s="797">
        <f t="shared" si="9"/>
        <v>1200</v>
      </c>
      <c r="J198" s="450"/>
      <c r="K198" s="442">
        <v>1200</v>
      </c>
      <c r="L198" s="442"/>
      <c r="M198" s="442"/>
      <c r="N198" s="450"/>
      <c r="O198" s="944"/>
      <c r="Q198" s="330"/>
      <c r="R198"/>
      <c r="S198"/>
      <c r="T198"/>
      <c r="U198"/>
      <c r="V198"/>
      <c r="W198"/>
      <c r="X198"/>
      <c r="Y198"/>
    </row>
    <row r="199" spans="1:25" s="329" customFormat="1" x14ac:dyDescent="0.2">
      <c r="A199" s="959"/>
      <c r="B199" s="343"/>
      <c r="C199" s="440"/>
      <c r="D199" s="440"/>
      <c r="E199" s="440"/>
      <c r="F199" s="448">
        <v>1010</v>
      </c>
      <c r="G199" s="477" t="s">
        <v>362</v>
      </c>
      <c r="H199" s="449" t="s">
        <v>900</v>
      </c>
      <c r="I199" s="797">
        <f t="shared" si="9"/>
        <v>180000</v>
      </c>
      <c r="J199" s="450"/>
      <c r="K199" s="980">
        <v>180000</v>
      </c>
      <c r="L199" s="442"/>
      <c r="M199" s="442"/>
      <c r="N199" s="450"/>
      <c r="O199" s="944"/>
      <c r="Q199" s="330"/>
      <c r="R199"/>
      <c r="S199"/>
      <c r="T199"/>
      <c r="U199"/>
      <c r="V199"/>
      <c r="W199"/>
      <c r="X199"/>
      <c r="Y199"/>
    </row>
    <row r="200" spans="1:25" x14ac:dyDescent="0.2">
      <c r="D200" s="466"/>
      <c r="E200" s="466"/>
      <c r="F200" s="467"/>
      <c r="G200" s="468"/>
      <c r="H200" s="552" t="s">
        <v>373</v>
      </c>
      <c r="I200" s="553">
        <f>SUM(I130:I199)</f>
        <v>1422550.75141</v>
      </c>
      <c r="J200" s="554"/>
      <c r="K200" s="553">
        <f>SUM(K130:K199)</f>
        <v>1392130.75141</v>
      </c>
      <c r="L200" s="553">
        <f>SUM(L130:L199)</f>
        <v>30420</v>
      </c>
      <c r="M200" s="553">
        <f>SUM(M130:M199)</f>
        <v>0</v>
      </c>
      <c r="N200" s="450"/>
      <c r="O200" s="329"/>
    </row>
    <row r="201" spans="1:25" x14ac:dyDescent="0.2">
      <c r="D201" s="466"/>
      <c r="E201" s="466"/>
      <c r="F201" s="467"/>
      <c r="G201" s="468"/>
      <c r="H201" s="335"/>
      <c r="I201" s="981"/>
      <c r="J201" s="335"/>
      <c r="K201" s="335"/>
      <c r="L201" s="335"/>
      <c r="M201" s="335"/>
      <c r="N201" s="450"/>
      <c r="O201" s="335"/>
    </row>
    <row r="202" spans="1:25" hidden="1" outlineLevel="1" x14ac:dyDescent="0.2">
      <c r="B202" s="472" t="s">
        <v>261</v>
      </c>
      <c r="D202" s="466"/>
      <c r="E202" s="466"/>
      <c r="F202" s="467"/>
      <c r="G202" s="468"/>
      <c r="H202" s="552"/>
      <c r="I202" s="553">
        <f>SUMIF($B$130:$B$199,$B202,I$130:I$199)</f>
        <v>238300</v>
      </c>
      <c r="J202" s="554"/>
      <c r="K202" s="553">
        <f t="shared" ref="K202:M204" si="11">SUMIF($B$130:$B$199,$B202,K$130:K$199)</f>
        <v>238300</v>
      </c>
      <c r="L202" s="553">
        <f t="shared" si="11"/>
        <v>0</v>
      </c>
      <c r="M202" s="553">
        <f t="shared" si="11"/>
        <v>0</v>
      </c>
      <c r="N202" s="450"/>
      <c r="O202" s="982"/>
      <c r="Q202" s="341"/>
    </row>
    <row r="203" spans="1:25" hidden="1" outlineLevel="1" x14ac:dyDescent="0.2">
      <c r="B203" s="472" t="s">
        <v>199</v>
      </c>
      <c r="D203" s="466"/>
      <c r="E203" s="466"/>
      <c r="F203" s="467"/>
      <c r="G203" s="468"/>
      <c r="H203" s="552"/>
      <c r="I203" s="553">
        <f>SUMIF($B$130:$B$199,$B203,I$130:I$199)</f>
        <v>70400</v>
      </c>
      <c r="J203" s="554"/>
      <c r="K203" s="553">
        <f t="shared" si="11"/>
        <v>70400</v>
      </c>
      <c r="L203" s="553">
        <f t="shared" si="11"/>
        <v>0</v>
      </c>
      <c r="M203" s="553">
        <f t="shared" si="11"/>
        <v>0</v>
      </c>
      <c r="N203" s="450"/>
      <c r="O203" s="982"/>
      <c r="Q203" s="341"/>
    </row>
    <row r="204" spans="1:25" hidden="1" outlineLevel="1" x14ac:dyDescent="0.2">
      <c r="B204" s="472" t="s">
        <v>205</v>
      </c>
      <c r="D204" s="466"/>
      <c r="E204" s="466"/>
      <c r="F204" s="467"/>
      <c r="G204" s="468"/>
      <c r="H204" s="552"/>
      <c r="I204" s="553">
        <f>SUMIF($B$130:$B$199,$B204,I$130:I$199)</f>
        <v>454620.75141000003</v>
      </c>
      <c r="J204" s="554"/>
      <c r="K204" s="553">
        <f t="shared" si="11"/>
        <v>424200.75141000003</v>
      </c>
      <c r="L204" s="553">
        <f t="shared" si="11"/>
        <v>30420</v>
      </c>
      <c r="M204" s="553">
        <f t="shared" si="11"/>
        <v>0</v>
      </c>
      <c r="N204" s="450"/>
      <c r="O204" s="982"/>
      <c r="Q204" s="341"/>
    </row>
    <row r="205" spans="1:25" collapsed="1" x14ac:dyDescent="0.2">
      <c r="D205" s="466"/>
      <c r="E205" s="466"/>
      <c r="F205" s="467"/>
      <c r="G205" s="468"/>
      <c r="H205" s="335"/>
      <c r="I205" s="981"/>
      <c r="J205" s="335"/>
      <c r="K205" s="555"/>
      <c r="L205" s="335"/>
      <c r="M205" s="335"/>
      <c r="N205" s="450"/>
      <c r="O205" s="335"/>
    </row>
    <row r="206" spans="1:25" x14ac:dyDescent="0.2">
      <c r="F206" s="334" t="s">
        <v>374</v>
      </c>
      <c r="H206" s="388"/>
      <c r="I206" s="474"/>
      <c r="J206" s="450"/>
      <c r="K206" s="474"/>
      <c r="L206" s="474"/>
      <c r="M206" s="474"/>
      <c r="N206" s="450"/>
      <c r="O206" s="474"/>
      <c r="P206" s="369"/>
    </row>
    <row r="207" spans="1:25" ht="12" customHeight="1" x14ac:dyDescent="0.2">
      <c r="C207" s="1186" t="s">
        <v>192</v>
      </c>
      <c r="D207" s="1186" t="s">
        <v>193</v>
      </c>
      <c r="E207" s="1186" t="s">
        <v>194</v>
      </c>
      <c r="F207" s="1186" t="s">
        <v>195</v>
      </c>
      <c r="G207" s="1186" t="s">
        <v>196</v>
      </c>
      <c r="H207" s="1187" t="s">
        <v>375</v>
      </c>
      <c r="I207" s="1184" t="s">
        <v>183</v>
      </c>
      <c r="J207" s="476"/>
      <c r="K207" s="1185" t="s">
        <v>198</v>
      </c>
      <c r="L207" s="1185"/>
      <c r="M207" s="1185"/>
      <c r="N207" s="450"/>
      <c r="O207" s="329"/>
    </row>
    <row r="208" spans="1:25" ht="24" x14ac:dyDescent="0.2">
      <c r="C208" s="1187"/>
      <c r="D208" s="1187"/>
      <c r="E208" s="1187"/>
      <c r="F208" s="1187"/>
      <c r="G208" s="1187"/>
      <c r="H208" s="1189"/>
      <c r="I208" s="1190"/>
      <c r="J208" s="476"/>
      <c r="K208" s="556" t="s">
        <v>78</v>
      </c>
      <c r="L208" s="556" t="s">
        <v>184</v>
      </c>
      <c r="M208" s="557" t="s">
        <v>185</v>
      </c>
      <c r="N208" s="450"/>
      <c r="O208" s="329"/>
    </row>
    <row r="209" spans="1:20" ht="64.150000000000006" customHeight="1" x14ac:dyDescent="0.2">
      <c r="A209" s="790">
        <v>1</v>
      </c>
      <c r="B209" s="343"/>
      <c r="C209" s="440"/>
      <c r="D209" s="558"/>
      <c r="E209" s="558"/>
      <c r="F209" s="559" t="s">
        <v>376</v>
      </c>
      <c r="G209" s="440" t="s">
        <v>901</v>
      </c>
      <c r="H209" s="569" t="s">
        <v>902</v>
      </c>
      <c r="I209" s="983">
        <f t="shared" ref="I209:I215" si="12">SUM(K209:M209)</f>
        <v>10000</v>
      </c>
      <c r="J209" s="560"/>
      <c r="K209" s="984">
        <v>10000</v>
      </c>
      <c r="L209" s="455"/>
      <c r="M209" s="455"/>
      <c r="N209" s="450"/>
      <c r="O209" s="985"/>
      <c r="P209" s="572" t="s">
        <v>903</v>
      </c>
      <c r="Q209"/>
    </row>
    <row r="210" spans="1:20" ht="15.6" customHeight="1" x14ac:dyDescent="0.2">
      <c r="A210" s="790">
        <v>1</v>
      </c>
      <c r="B210" s="343"/>
      <c r="C210" s="440"/>
      <c r="D210" s="558"/>
      <c r="E210" s="558"/>
      <c r="F210" s="559" t="s">
        <v>376</v>
      </c>
      <c r="G210" s="440" t="s">
        <v>901</v>
      </c>
      <c r="H210" s="569" t="s">
        <v>904</v>
      </c>
      <c r="I210" s="983">
        <f t="shared" si="12"/>
        <v>20000</v>
      </c>
      <c r="J210" s="560"/>
      <c r="K210" s="986">
        <v>20000</v>
      </c>
      <c r="L210" s="455"/>
      <c r="M210" s="455"/>
      <c r="N210" s="450"/>
      <c r="O210" s="955" t="s">
        <v>905</v>
      </c>
      <c r="P210" s="572"/>
      <c r="Q210"/>
    </row>
    <row r="211" spans="1:20" ht="64.150000000000006" hidden="1" customHeight="1" x14ac:dyDescent="0.2">
      <c r="A211" s="790">
        <v>2</v>
      </c>
      <c r="B211" s="343"/>
      <c r="C211" s="440"/>
      <c r="D211" s="558"/>
      <c r="E211" s="558"/>
      <c r="F211" s="559" t="s">
        <v>382</v>
      </c>
      <c r="G211" s="440" t="s">
        <v>383</v>
      </c>
      <c r="H211" s="569" t="s">
        <v>906</v>
      </c>
      <c r="I211" s="570">
        <f>SUM(K211:M211)</f>
        <v>30000</v>
      </c>
      <c r="J211" s="560"/>
      <c r="K211" s="455">
        <v>30000</v>
      </c>
      <c r="L211" s="455"/>
      <c r="M211" s="455"/>
      <c r="N211" s="450"/>
      <c r="O211" s="985"/>
      <c r="P211" s="572" t="s">
        <v>903</v>
      </c>
      <c r="Q211"/>
    </row>
    <row r="212" spans="1:20" ht="24" x14ac:dyDescent="0.2">
      <c r="A212" s="790">
        <v>1</v>
      </c>
      <c r="B212" s="343" t="s">
        <v>205</v>
      </c>
      <c r="C212" s="440"/>
      <c r="D212" s="558"/>
      <c r="E212" s="558"/>
      <c r="F212" s="571" t="s">
        <v>388</v>
      </c>
      <c r="G212" s="440" t="s">
        <v>389</v>
      </c>
      <c r="H212" s="449" t="s">
        <v>390</v>
      </c>
      <c r="I212" s="962">
        <f t="shared" si="12"/>
        <v>2000</v>
      </c>
      <c r="J212" s="560"/>
      <c r="K212" s="984">
        <v>2000</v>
      </c>
      <c r="L212" s="455"/>
      <c r="M212" s="455"/>
      <c r="N212" s="450"/>
      <c r="O212" s="985"/>
      <c r="P212" s="572"/>
      <c r="Q212" s="572"/>
      <c r="R212" s="572"/>
      <c r="S212" s="572"/>
      <c r="T212" s="572"/>
    </row>
    <row r="213" spans="1:20" ht="18.600000000000001" customHeight="1" x14ac:dyDescent="0.2">
      <c r="A213" s="790">
        <v>1</v>
      </c>
      <c r="B213" s="343" t="s">
        <v>205</v>
      </c>
      <c r="C213" s="440"/>
      <c r="D213" s="558"/>
      <c r="E213" s="558"/>
      <c r="F213" s="571" t="s">
        <v>388</v>
      </c>
      <c r="G213" s="440" t="s">
        <v>389</v>
      </c>
      <c r="H213" s="449" t="s">
        <v>907</v>
      </c>
      <c r="I213" s="962">
        <f t="shared" si="12"/>
        <v>4000</v>
      </c>
      <c r="J213" s="560"/>
      <c r="K213" s="984">
        <v>4000</v>
      </c>
      <c r="L213" s="455"/>
      <c r="M213" s="455"/>
      <c r="N213" s="450"/>
      <c r="O213" s="985"/>
      <c r="P213" s="572" t="s">
        <v>908</v>
      </c>
      <c r="Q213"/>
    </row>
    <row r="214" spans="1:20" ht="18.600000000000001" hidden="1" customHeight="1" x14ac:dyDescent="0.2">
      <c r="A214" s="790">
        <v>3</v>
      </c>
      <c r="B214" s="343"/>
      <c r="C214" s="477"/>
      <c r="D214" s="987"/>
      <c r="E214" s="987"/>
      <c r="F214" s="988" t="s">
        <v>909</v>
      </c>
      <c r="G214" s="477" t="s">
        <v>910</v>
      </c>
      <c r="H214" s="987" t="s">
        <v>911</v>
      </c>
      <c r="I214" s="484">
        <f t="shared" si="12"/>
        <v>0</v>
      </c>
      <c r="J214" s="989"/>
      <c r="K214" s="455">
        <f>10000-10000</f>
        <v>0</v>
      </c>
      <c r="L214" s="480"/>
      <c r="M214" s="480"/>
      <c r="N214" s="450"/>
      <c r="O214" s="985"/>
      <c r="P214" s="572"/>
      <c r="Q214"/>
    </row>
    <row r="215" spans="1:20" ht="46.5" customHeight="1" x14ac:dyDescent="0.2">
      <c r="A215" s="990">
        <v>1</v>
      </c>
      <c r="B215" s="343"/>
      <c r="C215" s="477"/>
      <c r="D215" s="987"/>
      <c r="E215" s="987"/>
      <c r="F215" s="571" t="s">
        <v>909</v>
      </c>
      <c r="G215" s="477" t="s">
        <v>910</v>
      </c>
      <c r="H215" s="569" t="s">
        <v>912</v>
      </c>
      <c r="I215" s="962">
        <f t="shared" si="12"/>
        <v>0</v>
      </c>
      <c r="J215" s="991"/>
      <c r="K215" s="992">
        <f>25500-25500</f>
        <v>0</v>
      </c>
      <c r="L215" s="993"/>
      <c r="M215" s="993"/>
      <c r="N215" s="450"/>
      <c r="O215" s="955" t="s">
        <v>913</v>
      </c>
      <c r="P215" s="994"/>
      <c r="Q215"/>
    </row>
    <row r="216" spans="1:20" ht="15.6" customHeight="1" x14ac:dyDescent="0.2">
      <c r="A216" s="990">
        <v>1</v>
      </c>
      <c r="B216" s="343"/>
      <c r="C216" s="477"/>
      <c r="D216" s="987"/>
      <c r="E216" s="987"/>
      <c r="F216" s="571" t="s">
        <v>909</v>
      </c>
      <c r="G216" s="477" t="s">
        <v>910</v>
      </c>
      <c r="H216" s="569" t="s">
        <v>914</v>
      </c>
      <c r="I216" s="962">
        <f>SUM(K216:M216)</f>
        <v>0</v>
      </c>
      <c r="J216" s="991"/>
      <c r="K216" s="805">
        <f>200000+50000-250000</f>
        <v>0</v>
      </c>
      <c r="L216" s="993"/>
      <c r="M216" s="993"/>
      <c r="N216" s="450"/>
      <c r="O216" s="955" t="s">
        <v>905</v>
      </c>
      <c r="P216" s="994"/>
      <c r="Q216"/>
    </row>
    <row r="217" spans="1:20" ht="15.6" customHeight="1" x14ac:dyDescent="0.2">
      <c r="A217" s="990">
        <v>1</v>
      </c>
      <c r="B217" s="477"/>
      <c r="C217" s="987"/>
      <c r="D217" s="987"/>
      <c r="E217" s="571"/>
      <c r="F217" s="571" t="s">
        <v>909</v>
      </c>
      <c r="G217" s="477" t="s">
        <v>910</v>
      </c>
      <c r="H217" s="569" t="s">
        <v>915</v>
      </c>
      <c r="I217" s="962">
        <f>SUM(K217:M217)</f>
        <v>40000</v>
      </c>
      <c r="J217" s="991"/>
      <c r="K217" s="805">
        <v>40000</v>
      </c>
      <c r="L217" s="985"/>
      <c r="M217" s="985"/>
      <c r="N217" s="450"/>
      <c r="O217" s="955"/>
      <c r="P217" s="994"/>
      <c r="Q217"/>
    </row>
    <row r="218" spans="1:20" ht="15.6" customHeight="1" x14ac:dyDescent="0.2">
      <c r="A218" s="990">
        <v>1</v>
      </c>
      <c r="B218"/>
      <c r="C218" s="987"/>
      <c r="D218" s="987"/>
      <c r="E218" s="995"/>
      <c r="F218" s="559" t="s">
        <v>382</v>
      </c>
      <c r="G218" s="440" t="s">
        <v>383</v>
      </c>
      <c r="H218" s="569" t="s">
        <v>916</v>
      </c>
      <c r="I218" s="996">
        <f>SUM(K218:M218)</f>
        <v>40000</v>
      </c>
      <c r="J218" s="991"/>
      <c r="K218" s="997">
        <v>40000</v>
      </c>
      <c r="L218" s="985"/>
      <c r="M218" s="985"/>
      <c r="N218" s="450"/>
      <c r="O218" s="955"/>
      <c r="P218" s="994"/>
      <c r="Q218"/>
    </row>
    <row r="219" spans="1:20" ht="15.6" customHeight="1" x14ac:dyDescent="0.2">
      <c r="A219" s="990">
        <v>1</v>
      </c>
      <c r="B219"/>
      <c r="C219" s="987"/>
      <c r="D219" s="987"/>
      <c r="E219" s="995"/>
      <c r="F219" s="448" t="s">
        <v>206</v>
      </c>
      <c r="G219" s="452" t="s">
        <v>201</v>
      </c>
      <c r="H219" s="569" t="s">
        <v>917</v>
      </c>
      <c r="I219" s="962">
        <f>SUM(K219:M219)</f>
        <v>100000</v>
      </c>
      <c r="J219" s="991"/>
      <c r="K219" s="997">
        <v>100000</v>
      </c>
      <c r="L219" s="985"/>
      <c r="M219" s="985"/>
      <c r="N219" s="450"/>
      <c r="O219" s="955"/>
      <c r="P219" s="994"/>
      <c r="Q219"/>
    </row>
    <row r="220" spans="1:20" ht="15.6" customHeight="1" x14ac:dyDescent="0.2">
      <c r="A220" s="990">
        <v>1</v>
      </c>
      <c r="B220" s="343"/>
      <c r="C220" s="477"/>
      <c r="D220" s="987"/>
      <c r="E220" s="987"/>
      <c r="F220" s="448" t="s">
        <v>206</v>
      </c>
      <c r="G220" s="452" t="s">
        <v>201</v>
      </c>
      <c r="H220" s="569" t="s">
        <v>918</v>
      </c>
      <c r="I220" s="962">
        <f>SUM(K220:M220)</f>
        <v>20000</v>
      </c>
      <c r="J220" s="991"/>
      <c r="K220" s="998">
        <v>20000</v>
      </c>
      <c r="L220" s="985"/>
      <c r="M220" s="985"/>
      <c r="N220" s="450"/>
      <c r="O220" s="955" t="s">
        <v>905</v>
      </c>
      <c r="P220" s="994"/>
      <c r="Q220"/>
    </row>
    <row r="221" spans="1:20" ht="78.75" x14ac:dyDescent="0.2">
      <c r="A221" s="999">
        <v>1</v>
      </c>
      <c r="B221" s="343"/>
      <c r="C221" s="483"/>
      <c r="D221" s="483"/>
      <c r="E221" s="483"/>
      <c r="F221" s="448" t="s">
        <v>206</v>
      </c>
      <c r="G221" s="452" t="s">
        <v>201</v>
      </c>
      <c r="H221" s="569" t="s">
        <v>919</v>
      </c>
      <c r="I221" s="812">
        <f>K221+L221</f>
        <v>4000</v>
      </c>
      <c r="J221" s="450"/>
      <c r="K221" s="1000">
        <v>4000</v>
      </c>
      <c r="L221" s="1001"/>
      <c r="M221" s="1002"/>
      <c r="N221" s="450"/>
      <c r="O221" s="944"/>
      <c r="P221" s="572" t="s">
        <v>920</v>
      </c>
    </row>
    <row r="222" spans="1:20" ht="101.25" hidden="1" x14ac:dyDescent="0.2">
      <c r="A222" s="816">
        <v>2</v>
      </c>
      <c r="B222" s="343"/>
      <c r="C222" s="483"/>
      <c r="D222" s="483"/>
      <c r="E222" s="483"/>
      <c r="F222" s="448" t="s">
        <v>206</v>
      </c>
      <c r="G222" s="452" t="s">
        <v>201</v>
      </c>
      <c r="H222" s="569" t="s">
        <v>921</v>
      </c>
      <c r="I222" s="455">
        <f>K222+L222</f>
        <v>13500</v>
      </c>
      <c r="J222" s="450"/>
      <c r="K222" s="1003">
        <v>13500</v>
      </c>
      <c r="L222" s="1001"/>
      <c r="M222" s="1002"/>
      <c r="N222" s="450"/>
      <c r="O222" s="944"/>
      <c r="P222" s="572" t="s">
        <v>922</v>
      </c>
    </row>
    <row r="223" spans="1:20" ht="24" x14ac:dyDescent="0.2">
      <c r="A223" s="816">
        <v>1</v>
      </c>
      <c r="B223" s="343"/>
      <c r="C223" s="483"/>
      <c r="D223" s="483"/>
      <c r="E223" s="483"/>
      <c r="F223" s="448" t="s">
        <v>286</v>
      </c>
      <c r="G223" s="452" t="s">
        <v>287</v>
      </c>
      <c r="H223" s="569" t="s">
        <v>923</v>
      </c>
      <c r="I223" s="812">
        <f>K223+L223</f>
        <v>2700</v>
      </c>
      <c r="J223" s="450"/>
      <c r="K223" s="1003">
        <v>2700</v>
      </c>
      <c r="L223" s="450"/>
      <c r="M223" s="944"/>
      <c r="N223" s="450"/>
      <c r="O223" s="944"/>
      <c r="P223" s="572" t="s">
        <v>924</v>
      </c>
    </row>
    <row r="224" spans="1:20" hidden="1" x14ac:dyDescent="0.2">
      <c r="A224" s="790">
        <v>2</v>
      </c>
      <c r="B224" s="343" t="s">
        <v>199</v>
      </c>
      <c r="C224" s="452"/>
      <c r="D224" s="452"/>
      <c r="E224" s="452"/>
      <c r="F224" s="448" t="s">
        <v>286</v>
      </c>
      <c r="G224" s="452" t="s">
        <v>287</v>
      </c>
      <c r="H224" s="449" t="s">
        <v>925</v>
      </c>
      <c r="I224" s="442">
        <f t="shared" ref="I224:I233" si="13">SUM(K224:M224)</f>
        <v>20000</v>
      </c>
      <c r="J224" s="450"/>
      <c r="K224" s="1003">
        <v>20000</v>
      </c>
      <c r="L224" s="481"/>
      <c r="M224" s="481"/>
      <c r="N224" s="450"/>
      <c r="O224" s="944"/>
      <c r="P224" s="682" t="s">
        <v>926</v>
      </c>
    </row>
    <row r="225" spans="1:20" ht="13.15" hidden="1" customHeight="1" x14ac:dyDescent="0.2">
      <c r="A225" s="816">
        <v>2</v>
      </c>
      <c r="B225" s="343"/>
      <c r="C225" s="452"/>
      <c r="D225" s="452"/>
      <c r="E225" s="452"/>
      <c r="F225" s="448" t="s">
        <v>286</v>
      </c>
      <c r="G225" s="452" t="s">
        <v>287</v>
      </c>
      <c r="H225" s="449" t="s">
        <v>927</v>
      </c>
      <c r="I225" s="491">
        <f t="shared" si="13"/>
        <v>4000</v>
      </c>
      <c r="J225" s="450"/>
      <c r="K225" s="442">
        <v>4000</v>
      </c>
      <c r="L225" s="491"/>
      <c r="M225" s="491"/>
      <c r="N225" s="450"/>
      <c r="O225" s="944"/>
      <c r="P225" s="572" t="s">
        <v>928</v>
      </c>
    </row>
    <row r="226" spans="1:20" s="343" customFormat="1" ht="12.6" customHeight="1" x14ac:dyDescent="0.2">
      <c r="A226" s="816">
        <v>1</v>
      </c>
      <c r="C226" s="452"/>
      <c r="D226" s="452"/>
      <c r="E226" s="452"/>
      <c r="F226" s="448" t="s">
        <v>286</v>
      </c>
      <c r="G226" s="452" t="s">
        <v>287</v>
      </c>
      <c r="H226" s="449" t="s">
        <v>929</v>
      </c>
      <c r="I226" s="852">
        <f t="shared" si="13"/>
        <v>200000</v>
      </c>
      <c r="J226" s="584"/>
      <c r="K226" s="585">
        <v>200000</v>
      </c>
      <c r="L226" s="586"/>
      <c r="M226" s="586"/>
      <c r="N226" s="450"/>
      <c r="O226" s="1004"/>
      <c r="P226" s="572"/>
      <c r="Q226" s="342"/>
      <c r="T226"/>
    </row>
    <row r="227" spans="1:20" s="343" customFormat="1" ht="12.6" customHeight="1" x14ac:dyDescent="0.2">
      <c r="A227" s="816">
        <v>1</v>
      </c>
      <c r="C227" s="452"/>
      <c r="D227" s="452"/>
      <c r="E227" s="452"/>
      <c r="F227" s="448" t="s">
        <v>411</v>
      </c>
      <c r="G227" s="452" t="s">
        <v>287</v>
      </c>
      <c r="H227" s="561" t="s">
        <v>930</v>
      </c>
      <c r="I227" s="852">
        <f>SUM(K227:M227)</f>
        <v>0</v>
      </c>
      <c r="J227" s="584"/>
      <c r="K227" s="1005">
        <f>50000+30000-80000</f>
        <v>0</v>
      </c>
      <c r="L227" s="586"/>
      <c r="M227" s="586"/>
      <c r="N227" s="450"/>
      <c r="O227" s="1006" t="s">
        <v>905</v>
      </c>
      <c r="P227" s="572"/>
      <c r="Q227" s="342"/>
      <c r="T227"/>
    </row>
    <row r="228" spans="1:20" s="343" customFormat="1" ht="12.6" customHeight="1" x14ac:dyDescent="0.2">
      <c r="A228" s="816">
        <v>1</v>
      </c>
      <c r="C228" s="452"/>
      <c r="D228" s="452"/>
      <c r="E228" s="452"/>
      <c r="F228" s="448" t="s">
        <v>411</v>
      </c>
      <c r="G228" s="452" t="s">
        <v>287</v>
      </c>
      <c r="H228" s="561" t="s">
        <v>931</v>
      </c>
      <c r="I228" s="852">
        <f>SUM(K228:M228)</f>
        <v>10000</v>
      </c>
      <c r="J228" s="584"/>
      <c r="K228" s="1005">
        <v>10000</v>
      </c>
      <c r="L228" s="586"/>
      <c r="M228" s="586"/>
      <c r="N228" s="450"/>
      <c r="O228" s="1006"/>
      <c r="P228" s="572"/>
      <c r="Q228" s="342"/>
      <c r="T228"/>
    </row>
    <row r="229" spans="1:20" s="343" customFormat="1" ht="12.6" customHeight="1" x14ac:dyDescent="0.2">
      <c r="A229" s="816">
        <v>1</v>
      </c>
      <c r="C229" s="452"/>
      <c r="D229" s="452"/>
      <c r="E229" s="452"/>
      <c r="F229" s="448" t="s">
        <v>286</v>
      </c>
      <c r="G229" s="452" t="s">
        <v>287</v>
      </c>
      <c r="H229" s="561" t="s">
        <v>932</v>
      </c>
      <c r="I229" s="852">
        <f t="shared" si="13"/>
        <v>50000</v>
      </c>
      <c r="J229" s="584"/>
      <c r="K229" s="1007">
        <v>50000</v>
      </c>
      <c r="L229" s="586"/>
      <c r="M229" s="586"/>
      <c r="N229" s="450"/>
      <c r="O229" s="1006" t="s">
        <v>905</v>
      </c>
      <c r="P229" s="572"/>
      <c r="Q229" s="342"/>
      <c r="T229"/>
    </row>
    <row r="230" spans="1:20" s="343" customFormat="1" ht="13.15" hidden="1" customHeight="1" thickBot="1" x14ac:dyDescent="0.25">
      <c r="A230" s="816">
        <v>2</v>
      </c>
      <c r="C230" s="452"/>
      <c r="D230" s="452"/>
      <c r="E230" s="452"/>
      <c r="F230" s="590" t="s">
        <v>411</v>
      </c>
      <c r="G230" s="587" t="s">
        <v>287</v>
      </c>
      <c r="H230" s="561" t="s">
        <v>933</v>
      </c>
      <c r="I230" s="493">
        <f t="shared" si="13"/>
        <v>62000</v>
      </c>
      <c r="J230" s="584"/>
      <c r="K230" s="1008">
        <v>62000</v>
      </c>
      <c r="L230" s="586"/>
      <c r="M230" s="586"/>
      <c r="N230" s="450"/>
      <c r="O230" s="1004"/>
      <c r="P230" s="572"/>
      <c r="Q230" s="342"/>
      <c r="T230"/>
    </row>
    <row r="231" spans="1:20" s="343" customFormat="1" ht="25.9" hidden="1" customHeight="1" x14ac:dyDescent="0.2">
      <c r="A231" s="790">
        <v>2</v>
      </c>
      <c r="C231" s="452"/>
      <c r="D231" s="452"/>
      <c r="E231" s="643"/>
      <c r="F231" s="1009" t="s">
        <v>411</v>
      </c>
      <c r="G231" s="1010" t="s">
        <v>287</v>
      </c>
      <c r="H231" s="1011" t="s">
        <v>934</v>
      </c>
      <c r="I231" s="1012">
        <f t="shared" si="13"/>
        <v>850000</v>
      </c>
      <c r="J231" s="831"/>
      <c r="K231" s="1013">
        <v>850000</v>
      </c>
      <c r="L231" s="413"/>
      <c r="M231" s="586"/>
      <c r="N231" s="450"/>
      <c r="O231" s="1004"/>
      <c r="P231" s="572"/>
      <c r="Q231" s="342"/>
      <c r="T231"/>
    </row>
    <row r="232" spans="1:20" s="343" customFormat="1" ht="24" hidden="1" x14ac:dyDescent="0.2">
      <c r="A232" s="816">
        <v>2</v>
      </c>
      <c r="C232" s="587"/>
      <c r="D232" s="587"/>
      <c r="E232" s="898"/>
      <c r="F232" s="1014" t="s">
        <v>411</v>
      </c>
      <c r="G232" s="587" t="s">
        <v>287</v>
      </c>
      <c r="H232" s="561" t="s">
        <v>935</v>
      </c>
      <c r="I232" s="455">
        <f t="shared" si="13"/>
        <v>12000</v>
      </c>
      <c r="J232" s="575"/>
      <c r="K232" s="1015">
        <v>12000</v>
      </c>
      <c r="L232" s="1016"/>
      <c r="M232" s="581"/>
      <c r="N232" s="450"/>
      <c r="O232" s="890"/>
      <c r="P232" s="572"/>
      <c r="Q232" s="342"/>
      <c r="T232"/>
    </row>
    <row r="233" spans="1:20" s="343" customFormat="1" ht="24.75" hidden="1" thickBot="1" x14ac:dyDescent="0.25">
      <c r="A233" s="816">
        <v>2</v>
      </c>
      <c r="C233" s="587"/>
      <c r="D233" s="587"/>
      <c r="E233" s="898"/>
      <c r="F233" s="1017" t="s">
        <v>411</v>
      </c>
      <c r="G233" s="1018" t="s">
        <v>287</v>
      </c>
      <c r="H233" s="1019" t="s">
        <v>936</v>
      </c>
      <c r="I233" s="1020">
        <f t="shared" si="13"/>
        <v>5000</v>
      </c>
      <c r="J233" s="836"/>
      <c r="K233" s="1021">
        <v>5000</v>
      </c>
      <c r="L233" s="1022"/>
      <c r="M233" s="491"/>
      <c r="N233" s="450"/>
      <c r="O233" s="944"/>
      <c r="P233" s="572"/>
      <c r="Q233" s="342"/>
      <c r="T233"/>
    </row>
    <row r="234" spans="1:20" ht="13.15" customHeight="1" x14ac:dyDescent="0.2">
      <c r="A234" s="816">
        <v>1</v>
      </c>
      <c r="B234" s="343"/>
      <c r="C234" s="587"/>
      <c r="D234" s="587"/>
      <c r="E234" s="587"/>
      <c r="F234" s="590" t="s">
        <v>296</v>
      </c>
      <c r="G234" s="587" t="s">
        <v>297</v>
      </c>
      <c r="H234" s="561" t="s">
        <v>937</v>
      </c>
      <c r="I234" s="821">
        <f>SUM(K234:M234)</f>
        <v>7000</v>
      </c>
      <c r="J234" s="450"/>
      <c r="K234" s="490">
        <v>7000</v>
      </c>
      <c r="L234" s="491"/>
      <c r="M234" s="491"/>
      <c r="N234" s="450"/>
      <c r="O234" s="944"/>
      <c r="P234" s="1023" t="s">
        <v>938</v>
      </c>
    </row>
    <row r="235" spans="1:20" ht="25.9" hidden="1" customHeight="1" thickBot="1" x14ac:dyDescent="0.25">
      <c r="A235" s="816">
        <v>2</v>
      </c>
      <c r="B235" s="343"/>
      <c r="C235" s="587"/>
      <c r="D235" s="587"/>
      <c r="E235" s="587"/>
      <c r="F235" s="498" t="s">
        <v>296</v>
      </c>
      <c r="G235" s="633" t="s">
        <v>297</v>
      </c>
      <c r="H235" s="634" t="s">
        <v>939</v>
      </c>
      <c r="I235" s="503">
        <f>SUM(K235:M235)</f>
        <v>2840</v>
      </c>
      <c r="J235" s="501"/>
      <c r="K235" s="504">
        <f>3020-180</f>
        <v>2840</v>
      </c>
      <c r="L235" s="500"/>
      <c r="M235" s="500"/>
      <c r="N235" s="450"/>
      <c r="O235" s="944"/>
      <c r="P235" s="1023" t="s">
        <v>940</v>
      </c>
    </row>
    <row r="236" spans="1:20" ht="24" x14ac:dyDescent="0.2">
      <c r="A236" s="816">
        <v>1</v>
      </c>
      <c r="B236" s="343" t="s">
        <v>199</v>
      </c>
      <c r="C236" s="440"/>
      <c r="D236" s="440"/>
      <c r="E236" s="440"/>
      <c r="F236" s="448" t="s">
        <v>328</v>
      </c>
      <c r="G236" s="440" t="s">
        <v>329</v>
      </c>
      <c r="H236" s="449" t="s">
        <v>941</v>
      </c>
      <c r="I236" s="852">
        <f>SUM(K236:M236)</f>
        <v>11266</v>
      </c>
      <c r="J236" s="1024"/>
      <c r="K236" s="585">
        <v>11266</v>
      </c>
      <c r="L236" s="586"/>
      <c r="M236" s="586"/>
      <c r="N236" s="450"/>
      <c r="O236" s="1004"/>
      <c r="P236" s="486" t="s">
        <v>942</v>
      </c>
      <c r="Q236"/>
    </row>
    <row r="237" spans="1:20" ht="48" hidden="1" x14ac:dyDescent="0.2">
      <c r="A237" s="790">
        <v>2</v>
      </c>
      <c r="B237" s="343"/>
      <c r="C237" s="440"/>
      <c r="D237" s="440"/>
      <c r="E237" s="440"/>
      <c r="F237" s="448" t="s">
        <v>431</v>
      </c>
      <c r="G237" s="440" t="s">
        <v>432</v>
      </c>
      <c r="H237" s="449" t="s">
        <v>943</v>
      </c>
      <c r="I237" s="442">
        <f>K237</f>
        <v>4000</v>
      </c>
      <c r="J237" s="601"/>
      <c r="K237" s="461">
        <v>4000</v>
      </c>
      <c r="L237" s="579"/>
      <c r="M237" s="579"/>
      <c r="N237" s="450"/>
      <c r="O237" s="890"/>
      <c r="P237" s="486"/>
      <c r="Q237"/>
    </row>
    <row r="238" spans="1:20" ht="24" hidden="1" x14ac:dyDescent="0.2">
      <c r="A238" s="790">
        <v>2</v>
      </c>
      <c r="B238" s="343"/>
      <c r="C238" s="440"/>
      <c r="D238" s="440"/>
      <c r="E238" s="440"/>
      <c r="F238" s="448" t="s">
        <v>442</v>
      </c>
      <c r="G238" s="440" t="s">
        <v>774</v>
      </c>
      <c r="H238" s="449" t="s">
        <v>944</v>
      </c>
      <c r="I238" s="442">
        <f>K238</f>
        <v>2500</v>
      </c>
      <c r="J238" s="601"/>
      <c r="K238" s="461">
        <v>2500</v>
      </c>
      <c r="L238" s="579"/>
      <c r="M238" s="579"/>
      <c r="N238" s="450"/>
      <c r="O238" s="890"/>
      <c r="P238" s="486"/>
      <c r="Q238"/>
    </row>
    <row r="239" spans="1:20" x14ac:dyDescent="0.2">
      <c r="A239" s="790">
        <v>1</v>
      </c>
      <c r="B239" s="343"/>
      <c r="C239" s="440"/>
      <c r="D239" s="440"/>
      <c r="E239" s="440"/>
      <c r="F239" s="448" t="s">
        <v>442</v>
      </c>
      <c r="G239" s="440" t="s">
        <v>774</v>
      </c>
      <c r="H239" s="449" t="s">
        <v>945</v>
      </c>
      <c r="I239" s="797">
        <f>K239</f>
        <v>5000</v>
      </c>
      <c r="J239" s="601"/>
      <c r="K239" s="461">
        <v>5000</v>
      </c>
      <c r="L239" s="579"/>
      <c r="M239" s="579"/>
      <c r="N239" s="450"/>
      <c r="O239" s="890"/>
      <c r="P239" s="486"/>
      <c r="Q239"/>
    </row>
    <row r="240" spans="1:20" ht="12" customHeight="1" x14ac:dyDescent="0.2">
      <c r="A240" s="790">
        <v>1</v>
      </c>
      <c r="B240" s="343" t="s">
        <v>205</v>
      </c>
      <c r="C240" s="440"/>
      <c r="D240" s="440"/>
      <c r="E240" s="440"/>
      <c r="F240" s="448" t="s">
        <v>447</v>
      </c>
      <c r="G240" s="452" t="s">
        <v>448</v>
      </c>
      <c r="H240" s="449" t="s">
        <v>449</v>
      </c>
      <c r="I240" s="797">
        <f>SUM(K240:M240)</f>
        <v>6000</v>
      </c>
      <c r="J240" s="1025"/>
      <c r="K240" s="892">
        <f>4000+2000</f>
        <v>6000</v>
      </c>
      <c r="L240" s="597"/>
      <c r="M240" s="597"/>
      <c r="N240" s="450"/>
      <c r="O240" s="1026" t="s">
        <v>946</v>
      </c>
    </row>
    <row r="241" spans="1:23" ht="25.9" hidden="1" customHeight="1" x14ac:dyDescent="0.2">
      <c r="A241" s="790">
        <v>2</v>
      </c>
      <c r="B241" s="343" t="s">
        <v>199</v>
      </c>
      <c r="C241" s="440"/>
      <c r="D241" s="440"/>
      <c r="E241" s="440"/>
      <c r="F241" s="448" t="s">
        <v>450</v>
      </c>
      <c r="G241" s="440" t="s">
        <v>451</v>
      </c>
      <c r="H241" s="449" t="s">
        <v>947</v>
      </c>
      <c r="I241" s="442">
        <f>SUM(K241:M241)</f>
        <v>89000</v>
      </c>
      <c r="J241" s="600"/>
      <c r="K241" s="461">
        <v>89000</v>
      </c>
      <c r="L241" s="442"/>
      <c r="M241" s="442"/>
      <c r="N241" s="450"/>
      <c r="O241" s="944"/>
      <c r="P241" s="486"/>
      <c r="Q241"/>
    </row>
    <row r="242" spans="1:23" ht="12" hidden="1" customHeight="1" x14ac:dyDescent="0.2">
      <c r="A242" s="790">
        <v>2</v>
      </c>
      <c r="B242" s="343"/>
      <c r="C242" s="440"/>
      <c r="D242" s="440"/>
      <c r="E242" s="440"/>
      <c r="F242" s="448" t="s">
        <v>450</v>
      </c>
      <c r="G242" s="440" t="s">
        <v>451</v>
      </c>
      <c r="H242" s="449" t="s">
        <v>948</v>
      </c>
      <c r="I242" s="442">
        <f>SUM(K242:M242)</f>
        <v>16000</v>
      </c>
      <c r="J242" s="600"/>
      <c r="K242" s="461">
        <v>16000</v>
      </c>
      <c r="L242" s="442"/>
      <c r="M242" s="442"/>
      <c r="N242" s="450"/>
      <c r="O242" s="944"/>
      <c r="P242" s="486"/>
      <c r="Q242"/>
    </row>
    <row r="243" spans="1:23" ht="12" customHeight="1" x14ac:dyDescent="0.2">
      <c r="A243" s="790">
        <v>1</v>
      </c>
      <c r="B243" s="343" t="s">
        <v>199</v>
      </c>
      <c r="C243" s="440"/>
      <c r="D243" s="440"/>
      <c r="E243" s="440"/>
      <c r="F243" s="704" t="s">
        <v>455</v>
      </c>
      <c r="G243" s="703" t="s">
        <v>451</v>
      </c>
      <c r="H243" s="705" t="s">
        <v>949</v>
      </c>
      <c r="I243" s="877">
        <f>SUM(K243:M243)</f>
        <v>9300</v>
      </c>
      <c r="J243" s="878"/>
      <c r="K243" s="708">
        <v>9300</v>
      </c>
      <c r="L243" s="709"/>
      <c r="M243" s="709"/>
      <c r="N243" s="450"/>
      <c r="O243" s="944"/>
      <c r="P243" s="486" t="s">
        <v>950</v>
      </c>
      <c r="Q243"/>
    </row>
    <row r="244" spans="1:23" ht="29.25" hidden="1" customHeight="1" x14ac:dyDescent="0.2">
      <c r="A244" s="790">
        <v>2</v>
      </c>
      <c r="B244" s="343"/>
      <c r="C244" s="440"/>
      <c r="D244" s="440"/>
      <c r="E244" s="507"/>
      <c r="F244" s="1027" t="s">
        <v>951</v>
      </c>
      <c r="G244" s="477" t="s">
        <v>952</v>
      </c>
      <c r="H244" s="569" t="s">
        <v>953</v>
      </c>
      <c r="I244" s="481">
        <f t="shared" ref="I244:I258" si="14">SUM(K244:M244)</f>
        <v>1494</v>
      </c>
      <c r="J244" s="517"/>
      <c r="K244" s="485">
        <v>1494</v>
      </c>
      <c r="L244" s="481"/>
      <c r="M244" s="1028"/>
      <c r="N244" s="450"/>
      <c r="O244" s="944"/>
      <c r="P244" s="486"/>
      <c r="Q244"/>
    </row>
    <row r="245" spans="1:23" ht="14.25" hidden="1" customHeight="1" x14ac:dyDescent="0.2">
      <c r="A245" s="790">
        <v>2</v>
      </c>
      <c r="B245" s="343"/>
      <c r="C245" s="440"/>
      <c r="D245" s="440"/>
      <c r="E245" s="507"/>
      <c r="F245" s="1029" t="s">
        <v>951</v>
      </c>
      <c r="G245" s="440" t="s">
        <v>952</v>
      </c>
      <c r="H245" s="449" t="s">
        <v>954</v>
      </c>
      <c r="I245" s="442">
        <f t="shared" si="14"/>
        <v>127</v>
      </c>
      <c r="J245" s="600"/>
      <c r="K245" s="461">
        <v>127</v>
      </c>
      <c r="L245" s="442"/>
      <c r="M245" s="1030"/>
      <c r="N245" s="450"/>
      <c r="O245" s="944"/>
      <c r="P245" s="486"/>
      <c r="Q245"/>
    </row>
    <row r="246" spans="1:23" ht="22.15" hidden="1" customHeight="1" x14ac:dyDescent="0.2">
      <c r="A246" s="790">
        <v>2</v>
      </c>
      <c r="B246" s="343"/>
      <c r="C246" s="440"/>
      <c r="D246" s="440"/>
      <c r="E246" s="507"/>
      <c r="F246" s="1029" t="s">
        <v>951</v>
      </c>
      <c r="G246" s="440" t="s">
        <v>952</v>
      </c>
      <c r="H246" s="449" t="s">
        <v>955</v>
      </c>
      <c r="I246" s="442">
        <f t="shared" si="14"/>
        <v>897</v>
      </c>
      <c r="J246" s="600"/>
      <c r="K246" s="461">
        <v>897</v>
      </c>
      <c r="L246" s="442"/>
      <c r="M246" s="1030"/>
      <c r="N246" s="450"/>
      <c r="O246" s="944"/>
      <c r="P246" s="486"/>
      <c r="Q246"/>
    </row>
    <row r="247" spans="1:23" ht="23.25" hidden="1" customHeight="1" x14ac:dyDescent="0.2">
      <c r="A247" s="790">
        <v>2</v>
      </c>
      <c r="B247" s="343"/>
      <c r="C247" s="440"/>
      <c r="D247" s="440"/>
      <c r="E247" s="507"/>
      <c r="F247" s="1029" t="s">
        <v>951</v>
      </c>
      <c r="G247" s="440" t="s">
        <v>952</v>
      </c>
      <c r="H247" s="449" t="s">
        <v>956</v>
      </c>
      <c r="I247" s="442">
        <f t="shared" si="14"/>
        <v>955</v>
      </c>
      <c r="J247" s="600"/>
      <c r="K247" s="461">
        <v>955</v>
      </c>
      <c r="L247" s="442"/>
      <c r="M247" s="1030"/>
      <c r="N247" s="450"/>
      <c r="O247" s="944"/>
      <c r="P247" s="486"/>
      <c r="Q247"/>
    </row>
    <row r="248" spans="1:23" ht="23.25" hidden="1" customHeight="1" x14ac:dyDescent="0.2">
      <c r="A248" s="790">
        <v>2</v>
      </c>
      <c r="B248" s="343"/>
      <c r="C248" s="440"/>
      <c r="D248" s="440"/>
      <c r="E248" s="507"/>
      <c r="F248" s="1029" t="s">
        <v>951</v>
      </c>
      <c r="G248" s="440" t="s">
        <v>952</v>
      </c>
      <c r="H248" s="449" t="s">
        <v>957</v>
      </c>
      <c r="I248" s="442">
        <f t="shared" si="14"/>
        <v>1139</v>
      </c>
      <c r="J248" s="600"/>
      <c r="K248" s="461">
        <v>1139</v>
      </c>
      <c r="L248" s="442"/>
      <c r="M248" s="1030"/>
      <c r="N248" s="450"/>
      <c r="O248" s="944"/>
      <c r="P248" s="486"/>
      <c r="Q248"/>
    </row>
    <row r="249" spans="1:23" ht="22.15" hidden="1" customHeight="1" x14ac:dyDescent="0.2">
      <c r="A249" s="790">
        <v>2</v>
      </c>
      <c r="B249" s="343"/>
      <c r="C249" s="440"/>
      <c r="D249" s="440"/>
      <c r="E249" s="507"/>
      <c r="F249" s="1029" t="s">
        <v>951</v>
      </c>
      <c r="G249" s="440" t="s">
        <v>952</v>
      </c>
      <c r="H249" s="449" t="s">
        <v>958</v>
      </c>
      <c r="I249" s="442">
        <f t="shared" si="14"/>
        <v>1771.44</v>
      </c>
      <c r="J249" s="600"/>
      <c r="K249" s="461">
        <v>1771.44</v>
      </c>
      <c r="L249" s="442"/>
      <c r="M249" s="1030"/>
      <c r="N249" s="450"/>
      <c r="O249" s="944"/>
      <c r="P249" s="486"/>
      <c r="Q249"/>
    </row>
    <row r="250" spans="1:23" ht="26.25" customHeight="1" thickBot="1" x14ac:dyDescent="0.25">
      <c r="A250" s="790">
        <v>1</v>
      </c>
      <c r="B250" s="343"/>
      <c r="C250" s="440"/>
      <c r="D250" s="440"/>
      <c r="E250" s="507"/>
      <c r="F250" s="1017" t="s">
        <v>959</v>
      </c>
      <c r="G250" s="1031" t="s">
        <v>952</v>
      </c>
      <c r="H250" s="1019" t="s">
        <v>960</v>
      </c>
      <c r="I250" s="1032">
        <f t="shared" si="14"/>
        <v>3700</v>
      </c>
      <c r="J250" s="1033"/>
      <c r="K250" s="1034">
        <v>3700</v>
      </c>
      <c r="L250" s="1035"/>
      <c r="M250" s="1036"/>
      <c r="N250" s="450"/>
      <c r="O250" s="944"/>
      <c r="P250" s="486"/>
      <c r="Q250"/>
    </row>
    <row r="251" spans="1:23" ht="26.25" customHeight="1" x14ac:dyDescent="0.2">
      <c r="A251" s="990">
        <v>1</v>
      </c>
      <c r="B251" s="343"/>
      <c r="C251" s="440"/>
      <c r="D251" s="440"/>
      <c r="E251" s="507"/>
      <c r="F251" s="1037" t="s">
        <v>961</v>
      </c>
      <c r="G251" s="1038" t="s">
        <v>952</v>
      </c>
      <c r="H251" s="1039" t="s">
        <v>962</v>
      </c>
      <c r="I251" s="1040">
        <f t="shared" si="14"/>
        <v>0</v>
      </c>
      <c r="J251" s="1041"/>
      <c r="K251" s="992">
        <f>20000-20000</f>
        <v>0</v>
      </c>
      <c r="L251" s="1042"/>
      <c r="M251" s="1043"/>
      <c r="N251" s="450"/>
      <c r="O251" s="955" t="s">
        <v>913</v>
      </c>
      <c r="P251" s="486"/>
      <c r="Q251"/>
    </row>
    <row r="252" spans="1:23" x14ac:dyDescent="0.2">
      <c r="A252" s="790">
        <v>1</v>
      </c>
      <c r="B252" s="343"/>
      <c r="C252" s="440"/>
      <c r="D252" s="440"/>
      <c r="E252" s="440"/>
      <c r="F252" s="478" t="s">
        <v>460</v>
      </c>
      <c r="G252" s="483" t="s">
        <v>458</v>
      </c>
      <c r="H252" s="569" t="s">
        <v>963</v>
      </c>
      <c r="I252" s="881">
        <f t="shared" si="14"/>
        <v>40000</v>
      </c>
      <c r="J252" s="517"/>
      <c r="K252" s="481">
        <v>40000</v>
      </c>
      <c r="L252" s="481"/>
      <c r="M252" s="481"/>
      <c r="N252" s="450"/>
      <c r="O252" s="944"/>
      <c r="P252" s="486"/>
    </row>
    <row r="253" spans="1:23" s="343" customFormat="1" ht="24" x14ac:dyDescent="0.2">
      <c r="A253" s="1044">
        <v>1</v>
      </c>
      <c r="C253" s="452"/>
      <c r="D253" s="452"/>
      <c r="E253" s="452"/>
      <c r="F253" s="448" t="s">
        <v>460</v>
      </c>
      <c r="G253" s="452" t="s">
        <v>458</v>
      </c>
      <c r="H253" s="449" t="s">
        <v>964</v>
      </c>
      <c r="I253" s="941">
        <f t="shared" si="14"/>
        <v>70000</v>
      </c>
      <c r="J253" s="600"/>
      <c r="K253" s="1045">
        <f>210000-210000+70000</f>
        <v>70000</v>
      </c>
      <c r="L253" s="442"/>
      <c r="M253" s="442"/>
      <c r="N253" s="450"/>
      <c r="O253" s="955" t="s">
        <v>965</v>
      </c>
      <c r="P253" s="486"/>
      <c r="Q253" s="330"/>
      <c r="R253"/>
      <c r="S253"/>
      <c r="T253"/>
      <c r="U253"/>
      <c r="V253"/>
      <c r="W253"/>
    </row>
    <row r="254" spans="1:23" x14ac:dyDescent="0.2">
      <c r="A254" s="790">
        <v>1</v>
      </c>
      <c r="B254" s="343"/>
      <c r="C254" s="440"/>
      <c r="D254" s="440"/>
      <c r="E254" s="440"/>
      <c r="F254" s="590" t="s">
        <v>472</v>
      </c>
      <c r="G254" s="587" t="s">
        <v>473</v>
      </c>
      <c r="H254" s="561" t="s">
        <v>966</v>
      </c>
      <c r="I254" s="1046">
        <f t="shared" si="14"/>
        <v>7000</v>
      </c>
      <c r="J254" s="1047"/>
      <c r="K254" s="491">
        <v>7000</v>
      </c>
      <c r="L254" s="491"/>
      <c r="M254" s="491"/>
      <c r="N254" s="450"/>
      <c r="O254" s="944"/>
      <c r="P254" s="486"/>
      <c r="Q254" s="342"/>
      <c r="R254" s="343"/>
      <c r="S254" s="343"/>
      <c r="U254" s="343"/>
      <c r="V254" s="343"/>
      <c r="W254" s="343"/>
    </row>
    <row r="255" spans="1:23" ht="19.149999999999999" hidden="1" customHeight="1" x14ac:dyDescent="0.2">
      <c r="A255" s="790">
        <v>2</v>
      </c>
      <c r="B255" s="343"/>
      <c r="C255" s="440"/>
      <c r="D255" s="440"/>
      <c r="E255" s="507"/>
      <c r="F255" s="1048" t="s">
        <v>472</v>
      </c>
      <c r="G255" s="1010" t="s">
        <v>473</v>
      </c>
      <c r="H255" s="1011" t="s">
        <v>967</v>
      </c>
      <c r="I255" s="1049">
        <f t="shared" si="14"/>
        <v>28000</v>
      </c>
      <c r="J255" s="1050"/>
      <c r="K255" s="1051">
        <v>28000</v>
      </c>
      <c r="L255" s="1051"/>
      <c r="M255" s="1052"/>
      <c r="N255" s="450"/>
      <c r="O255" s="944"/>
      <c r="P255" s="486" t="s">
        <v>968</v>
      </c>
      <c r="Q255" s="342"/>
      <c r="R255" s="343"/>
      <c r="S255" s="343"/>
      <c r="U255" s="343"/>
      <c r="V255" s="343"/>
      <c r="W255" s="343"/>
    </row>
    <row r="256" spans="1:23" ht="19.149999999999999" hidden="1" customHeight="1" thickBot="1" x14ac:dyDescent="0.25">
      <c r="A256" s="790">
        <v>2</v>
      </c>
      <c r="B256" s="343"/>
      <c r="C256" s="440"/>
      <c r="D256" s="440"/>
      <c r="E256" s="507"/>
      <c r="F256" s="1017" t="s">
        <v>477</v>
      </c>
      <c r="G256" s="1018" t="s">
        <v>473</v>
      </c>
      <c r="H256" s="1019" t="s">
        <v>969</v>
      </c>
      <c r="I256" s="1034">
        <f t="shared" si="14"/>
        <v>25000</v>
      </c>
      <c r="J256" s="1033"/>
      <c r="K256" s="1035">
        <v>25000</v>
      </c>
      <c r="L256" s="1035"/>
      <c r="M256" s="1036"/>
      <c r="N256" s="450"/>
      <c r="O256" s="944"/>
      <c r="P256" s="486"/>
      <c r="Q256" s="342"/>
      <c r="R256" s="343"/>
      <c r="S256" s="343"/>
      <c r="U256" s="343"/>
      <c r="V256" s="343"/>
      <c r="W256" s="343"/>
    </row>
    <row r="257" spans="1:23" ht="15" hidden="1" customHeight="1" x14ac:dyDescent="0.2">
      <c r="A257" s="790">
        <v>2</v>
      </c>
      <c r="B257" s="343"/>
      <c r="C257" s="440"/>
      <c r="D257" s="440"/>
      <c r="E257" s="440"/>
      <c r="F257" s="478" t="s">
        <v>477</v>
      </c>
      <c r="G257" s="483" t="s">
        <v>473</v>
      </c>
      <c r="H257" s="569" t="s">
        <v>970</v>
      </c>
      <c r="I257" s="485">
        <f t="shared" si="14"/>
        <v>91031</v>
      </c>
      <c r="J257" s="517"/>
      <c r="K257" s="481">
        <v>91031</v>
      </c>
      <c r="L257" s="576"/>
      <c r="M257" s="576"/>
      <c r="N257" s="450"/>
      <c r="O257" s="890"/>
      <c r="P257" s="464"/>
      <c r="Q257" s="342"/>
      <c r="R257" s="343"/>
      <c r="S257" s="343"/>
      <c r="U257" s="343"/>
      <c r="V257" s="343"/>
      <c r="W257" s="343"/>
    </row>
    <row r="258" spans="1:23" ht="36" x14ac:dyDescent="0.2">
      <c r="A258" s="790">
        <v>1</v>
      </c>
      <c r="B258" s="343"/>
      <c r="C258" s="440"/>
      <c r="D258" s="440"/>
      <c r="E258" s="440"/>
      <c r="F258" s="448" t="s">
        <v>477</v>
      </c>
      <c r="G258" s="452" t="s">
        <v>473</v>
      </c>
      <c r="H258" s="449" t="s">
        <v>971</v>
      </c>
      <c r="I258" s="941">
        <f t="shared" si="14"/>
        <v>6000</v>
      </c>
      <c r="J258" s="600"/>
      <c r="K258" s="442">
        <v>6000</v>
      </c>
      <c r="L258" s="579"/>
      <c r="M258" s="579"/>
      <c r="N258" s="450"/>
      <c r="O258" s="890"/>
      <c r="P258" s="464"/>
      <c r="Q258" s="342"/>
      <c r="R258" s="343"/>
      <c r="S258" s="343"/>
      <c r="U258" s="343"/>
      <c r="V258" s="343"/>
      <c r="W258" s="343"/>
    </row>
    <row r="259" spans="1:23" x14ac:dyDescent="0.2">
      <c r="A259" s="790">
        <v>1</v>
      </c>
      <c r="B259" s="343"/>
      <c r="C259" s="440"/>
      <c r="D259" s="440"/>
      <c r="E259" s="440"/>
      <c r="F259" s="448" t="s">
        <v>351</v>
      </c>
      <c r="G259" s="440" t="s">
        <v>54</v>
      </c>
      <c r="H259" s="977" t="s">
        <v>972</v>
      </c>
      <c r="I259" s="797">
        <f t="shared" ref="I259:I264" si="15">K259</f>
        <v>3921</v>
      </c>
      <c r="J259" s="601"/>
      <c r="K259" s="442">
        <v>3921</v>
      </c>
      <c r="L259" s="579"/>
      <c r="M259" s="579"/>
      <c r="N259" s="450"/>
      <c r="O259" s="890"/>
      <c r="P259" s="445"/>
      <c r="Q259"/>
    </row>
    <row r="260" spans="1:23" ht="24" hidden="1" x14ac:dyDescent="0.2">
      <c r="A260" s="790">
        <v>2</v>
      </c>
      <c r="B260" s="343"/>
      <c r="C260" s="440"/>
      <c r="D260" s="440"/>
      <c r="E260" s="440"/>
      <c r="F260" s="448" t="s">
        <v>351</v>
      </c>
      <c r="G260" s="440" t="s">
        <v>54</v>
      </c>
      <c r="H260" s="977" t="s">
        <v>973</v>
      </c>
      <c r="I260" s="442">
        <f t="shared" si="15"/>
        <v>11200</v>
      </c>
      <c r="J260" s="601"/>
      <c r="K260" s="442">
        <v>11200</v>
      </c>
      <c r="L260" s="579"/>
      <c r="M260" s="579"/>
      <c r="N260" s="450"/>
      <c r="O260" s="890"/>
      <c r="P260" s="445"/>
      <c r="Q260"/>
    </row>
    <row r="261" spans="1:23" x14ac:dyDescent="0.2">
      <c r="A261" s="1053">
        <v>1</v>
      </c>
      <c r="B261" s="343"/>
      <c r="C261" s="440"/>
      <c r="D261" s="440"/>
      <c r="E261" s="440"/>
      <c r="F261" s="448" t="s">
        <v>351</v>
      </c>
      <c r="G261" s="440" t="s">
        <v>54</v>
      </c>
      <c r="H261" s="977" t="s">
        <v>974</v>
      </c>
      <c r="I261" s="797">
        <f t="shared" si="15"/>
        <v>6150</v>
      </c>
      <c r="J261" s="601"/>
      <c r="K261" s="1045">
        <v>6150</v>
      </c>
      <c r="L261" s="579"/>
      <c r="M261" s="579"/>
      <c r="N261" s="450"/>
      <c r="O261" s="890"/>
      <c r="P261" s="445"/>
      <c r="Q261"/>
    </row>
    <row r="262" spans="1:23" x14ac:dyDescent="0.2">
      <c r="A262" s="790">
        <v>1</v>
      </c>
      <c r="B262" s="343"/>
      <c r="C262" s="440"/>
      <c r="D262" s="440"/>
      <c r="E262" s="440"/>
      <c r="F262" s="448" t="s">
        <v>351</v>
      </c>
      <c r="G262" s="440" t="s">
        <v>54</v>
      </c>
      <c r="H262" s="977" t="s">
        <v>975</v>
      </c>
      <c r="I262" s="797">
        <f t="shared" si="15"/>
        <v>6000</v>
      </c>
      <c r="J262" s="601"/>
      <c r="K262" s="442">
        <v>6000</v>
      </c>
      <c r="L262" s="579"/>
      <c r="M262" s="579"/>
      <c r="N262" s="450"/>
      <c r="O262" s="890"/>
      <c r="P262" s="445"/>
      <c r="Q262"/>
    </row>
    <row r="263" spans="1:23" x14ac:dyDescent="0.2">
      <c r="A263" s="790">
        <v>1</v>
      </c>
      <c r="B263" s="343"/>
      <c r="C263" s="440"/>
      <c r="D263" s="440"/>
      <c r="E263" s="440"/>
      <c r="F263" s="448" t="s">
        <v>351</v>
      </c>
      <c r="G263" s="440" t="s">
        <v>54</v>
      </c>
      <c r="H263" s="977" t="s">
        <v>976</v>
      </c>
      <c r="I263" s="797">
        <f t="shared" si="15"/>
        <v>2000</v>
      </c>
      <c r="J263" s="601"/>
      <c r="K263" s="442">
        <v>2000</v>
      </c>
      <c r="L263" s="579"/>
      <c r="M263" s="579"/>
      <c r="N263" s="450"/>
      <c r="O263" s="890"/>
      <c r="P263" s="445"/>
      <c r="Q263"/>
    </row>
    <row r="264" spans="1:23" ht="24" x14ac:dyDescent="0.2">
      <c r="A264" s="790">
        <v>1</v>
      </c>
      <c r="B264" s="343"/>
      <c r="C264" s="440"/>
      <c r="D264" s="440"/>
      <c r="E264" s="440"/>
      <c r="F264" s="448" t="s">
        <v>977</v>
      </c>
      <c r="G264" s="440" t="s">
        <v>978</v>
      </c>
      <c r="H264" s="977" t="s">
        <v>979</v>
      </c>
      <c r="I264" s="797">
        <f t="shared" si="15"/>
        <v>11388</v>
      </c>
      <c r="J264" s="601"/>
      <c r="K264" s="442">
        <v>11388</v>
      </c>
      <c r="L264" s="579"/>
      <c r="M264" s="579"/>
      <c r="N264" s="450"/>
      <c r="O264" s="890"/>
      <c r="P264" s="445"/>
      <c r="Q264"/>
    </row>
    <row r="265" spans="1:23" ht="24.75" customHeight="1" x14ac:dyDescent="0.2">
      <c r="A265" s="790">
        <v>1</v>
      </c>
      <c r="B265" s="343"/>
      <c r="C265" s="440"/>
      <c r="D265" s="440"/>
      <c r="E265" s="440"/>
      <c r="F265" s="448" t="s">
        <v>358</v>
      </c>
      <c r="G265" s="440" t="s">
        <v>359</v>
      </c>
      <c r="H265" s="441" t="s">
        <v>980</v>
      </c>
      <c r="I265" s="797">
        <f>SUM(K265:M265)</f>
        <v>2800</v>
      </c>
      <c r="J265" s="600"/>
      <c r="K265" s="442">
        <v>2800</v>
      </c>
      <c r="L265" s="442"/>
      <c r="M265" s="442"/>
      <c r="N265" s="450"/>
      <c r="O265" s="944"/>
      <c r="P265" s="369"/>
    </row>
    <row r="266" spans="1:23" ht="13.5" customHeight="1" x14ac:dyDescent="0.2">
      <c r="A266" s="790">
        <v>1</v>
      </c>
      <c r="B266" s="343"/>
      <c r="C266" s="440"/>
      <c r="D266" s="440"/>
      <c r="E266" s="440"/>
      <c r="F266" s="448" t="s">
        <v>245</v>
      </c>
      <c r="G266" s="452" t="s">
        <v>246</v>
      </c>
      <c r="H266" s="441" t="s">
        <v>981</v>
      </c>
      <c r="I266" s="797">
        <f>SUM(K266:M266)</f>
        <v>47290.9</v>
      </c>
      <c r="J266" s="600"/>
      <c r="K266" s="892">
        <v>47290.9</v>
      </c>
      <c r="L266" s="442"/>
      <c r="M266" s="442"/>
      <c r="N266" s="450"/>
      <c r="O266" s="944"/>
      <c r="P266" s="1054" t="s">
        <v>982</v>
      </c>
    </row>
    <row r="267" spans="1:23" x14ac:dyDescent="0.2">
      <c r="A267" s="790">
        <v>1</v>
      </c>
      <c r="B267" s="343"/>
      <c r="C267" s="440"/>
      <c r="D267" s="440"/>
      <c r="E267" s="440"/>
      <c r="F267" s="448" t="s">
        <v>245</v>
      </c>
      <c r="G267" s="440" t="s">
        <v>246</v>
      </c>
      <c r="H267" s="441" t="s">
        <v>983</v>
      </c>
      <c r="I267" s="797">
        <f>K267</f>
        <v>1521</v>
      </c>
      <c r="J267" s="601"/>
      <c r="K267" s="461">
        <v>1521</v>
      </c>
      <c r="L267" s="579"/>
      <c r="M267" s="579"/>
      <c r="N267" s="450"/>
      <c r="O267" s="890"/>
      <c r="P267" s="445"/>
      <c r="Q267"/>
    </row>
    <row r="268" spans="1:23" x14ac:dyDescent="0.2">
      <c r="A268" s="790">
        <v>1</v>
      </c>
      <c r="B268" s="343"/>
      <c r="C268" s="440"/>
      <c r="D268" s="440"/>
      <c r="E268" s="440"/>
      <c r="F268" s="448" t="s">
        <v>245</v>
      </c>
      <c r="G268" s="440" t="s">
        <v>246</v>
      </c>
      <c r="H268" s="441" t="s">
        <v>984</v>
      </c>
      <c r="I268" s="797">
        <f>K268</f>
        <v>7048.333333333333</v>
      </c>
      <c r="J268" s="601"/>
      <c r="K268" s="461">
        <f>21145/3</f>
        <v>7048.333333333333</v>
      </c>
      <c r="L268" s="579"/>
      <c r="M268" s="579"/>
      <c r="N268" s="450"/>
      <c r="O268" s="890"/>
      <c r="P268" s="445"/>
      <c r="Q268"/>
    </row>
    <row r="269" spans="1:23" hidden="1" x14ac:dyDescent="0.2">
      <c r="A269" s="790">
        <v>2</v>
      </c>
      <c r="B269" s="343"/>
      <c r="C269" s="440"/>
      <c r="D269" s="440"/>
      <c r="E269" s="440"/>
      <c r="F269" s="448" t="s">
        <v>245</v>
      </c>
      <c r="G269" s="440" t="s">
        <v>246</v>
      </c>
      <c r="H269" s="449" t="s">
        <v>985</v>
      </c>
      <c r="I269" s="442">
        <f t="shared" ref="I269:I318" si="16">SUM(K269:M269)</f>
        <v>8682</v>
      </c>
      <c r="J269" s="600"/>
      <c r="K269" s="461">
        <v>8682</v>
      </c>
      <c r="L269" s="442"/>
      <c r="M269" s="442"/>
      <c r="N269" s="450"/>
      <c r="O269" s="944"/>
      <c r="P269" s="445"/>
    </row>
    <row r="270" spans="1:23" x14ac:dyDescent="0.2">
      <c r="A270" s="790">
        <v>1</v>
      </c>
      <c r="B270" s="343"/>
      <c r="C270" s="440"/>
      <c r="D270" s="440"/>
      <c r="E270" s="440"/>
      <c r="F270" s="448" t="s">
        <v>245</v>
      </c>
      <c r="G270" s="440" t="s">
        <v>246</v>
      </c>
      <c r="H270" s="449" t="s">
        <v>986</v>
      </c>
      <c r="I270" s="797">
        <f t="shared" si="16"/>
        <v>4250.3</v>
      </c>
      <c r="J270" s="600"/>
      <c r="K270" s="461">
        <v>4250.3</v>
      </c>
      <c r="L270" s="442"/>
      <c r="M270" s="442"/>
      <c r="N270" s="450"/>
      <c r="O270" s="944" t="s">
        <v>987</v>
      </c>
      <c r="P270" s="445"/>
    </row>
    <row r="271" spans="1:23" x14ac:dyDescent="0.2">
      <c r="A271" s="790">
        <v>1</v>
      </c>
      <c r="B271" s="343"/>
      <c r="C271" s="440"/>
      <c r="D271" s="440"/>
      <c r="E271" s="440"/>
      <c r="F271" s="448" t="s">
        <v>245</v>
      </c>
      <c r="G271" s="440" t="s">
        <v>246</v>
      </c>
      <c r="H271" s="449" t="s">
        <v>988</v>
      </c>
      <c r="I271" s="797">
        <f t="shared" si="16"/>
        <v>2831</v>
      </c>
      <c r="J271" s="600"/>
      <c r="K271" s="461">
        <v>2831</v>
      </c>
      <c r="L271" s="442"/>
      <c r="M271" s="442"/>
      <c r="N271" s="450"/>
      <c r="O271" s="944" t="s">
        <v>987</v>
      </c>
      <c r="P271" s="445"/>
    </row>
    <row r="272" spans="1:23" x14ac:dyDescent="0.2">
      <c r="A272" s="790">
        <v>1</v>
      </c>
      <c r="B272" s="343"/>
      <c r="C272" s="440"/>
      <c r="D272" s="440"/>
      <c r="E272" s="440"/>
      <c r="F272" s="448" t="s">
        <v>245</v>
      </c>
      <c r="G272" s="440" t="s">
        <v>246</v>
      </c>
      <c r="H272" s="449" t="s">
        <v>989</v>
      </c>
      <c r="I272" s="797">
        <f t="shared" si="16"/>
        <v>4250.3</v>
      </c>
      <c r="J272" s="600"/>
      <c r="K272" s="461">
        <v>4250.3</v>
      </c>
      <c r="L272" s="442"/>
      <c r="M272" s="442"/>
      <c r="N272" s="450"/>
      <c r="O272" s="944" t="s">
        <v>987</v>
      </c>
      <c r="P272" s="445"/>
    </row>
    <row r="273" spans="1:20" x14ac:dyDescent="0.2">
      <c r="A273" s="790">
        <v>1</v>
      </c>
      <c r="B273" s="343"/>
      <c r="C273" s="440"/>
      <c r="D273" s="440"/>
      <c r="E273" s="440"/>
      <c r="F273" s="448" t="s">
        <v>245</v>
      </c>
      <c r="G273" s="440" t="s">
        <v>246</v>
      </c>
      <c r="H273" s="449" t="s">
        <v>990</v>
      </c>
      <c r="I273" s="797">
        <f t="shared" si="16"/>
        <v>2831</v>
      </c>
      <c r="J273" s="600"/>
      <c r="K273" s="461">
        <v>2831</v>
      </c>
      <c r="L273" s="442"/>
      <c r="M273" s="442"/>
      <c r="N273" s="450"/>
      <c r="O273" s="944" t="s">
        <v>987</v>
      </c>
      <c r="P273" s="445"/>
    </row>
    <row r="274" spans="1:20" x14ac:dyDescent="0.2">
      <c r="A274" s="790">
        <v>1</v>
      </c>
      <c r="B274" s="343"/>
      <c r="C274" s="440"/>
      <c r="D274" s="440"/>
      <c r="E274" s="440"/>
      <c r="F274" s="448" t="s">
        <v>245</v>
      </c>
      <c r="G274" s="440" t="s">
        <v>246</v>
      </c>
      <c r="H274" s="449" t="s">
        <v>991</v>
      </c>
      <c r="I274" s="797">
        <f t="shared" si="16"/>
        <v>2384</v>
      </c>
      <c r="J274" s="600"/>
      <c r="K274" s="461">
        <v>2384</v>
      </c>
      <c r="L274" s="442"/>
      <c r="M274" s="442"/>
      <c r="N274" s="450"/>
      <c r="O274" s="944" t="s">
        <v>987</v>
      </c>
      <c r="P274" s="445"/>
    </row>
    <row r="275" spans="1:20" x14ac:dyDescent="0.2">
      <c r="A275" s="790">
        <v>1</v>
      </c>
      <c r="B275" s="343"/>
      <c r="C275" s="440"/>
      <c r="D275" s="440"/>
      <c r="E275" s="440"/>
      <c r="F275" s="448" t="s">
        <v>245</v>
      </c>
      <c r="G275" s="440" t="s">
        <v>246</v>
      </c>
      <c r="H275" s="449" t="s">
        <v>992</v>
      </c>
      <c r="I275" s="797">
        <f t="shared" si="16"/>
        <v>2384</v>
      </c>
      <c r="J275" s="600"/>
      <c r="K275" s="461">
        <v>2384</v>
      </c>
      <c r="L275" s="442"/>
      <c r="M275" s="442"/>
      <c r="N275" s="450"/>
      <c r="O275" s="944" t="s">
        <v>987</v>
      </c>
      <c r="P275" s="445"/>
    </row>
    <row r="276" spans="1:20" x14ac:dyDescent="0.2">
      <c r="A276" s="790">
        <v>1</v>
      </c>
      <c r="B276" s="343"/>
      <c r="C276" s="440"/>
      <c r="D276" s="440"/>
      <c r="E276" s="440"/>
      <c r="F276" s="448" t="s">
        <v>245</v>
      </c>
      <c r="G276" s="440" t="s">
        <v>246</v>
      </c>
      <c r="H276" s="449" t="s">
        <v>993</v>
      </c>
      <c r="I276" s="797">
        <f t="shared" si="16"/>
        <v>1192</v>
      </c>
      <c r="J276" s="600"/>
      <c r="K276" s="461">
        <v>1192</v>
      </c>
      <c r="L276" s="442"/>
      <c r="M276" s="442"/>
      <c r="N276" s="450"/>
      <c r="O276" s="944" t="s">
        <v>987</v>
      </c>
      <c r="P276" s="445"/>
    </row>
    <row r="277" spans="1:20" ht="24" x14ac:dyDescent="0.2">
      <c r="A277" s="1053">
        <v>1</v>
      </c>
      <c r="B277" s="343"/>
      <c r="C277" s="440"/>
      <c r="D277" s="440"/>
      <c r="E277" s="440"/>
      <c r="F277" s="448" t="s">
        <v>245</v>
      </c>
      <c r="G277" s="440" t="s">
        <v>246</v>
      </c>
      <c r="H277" s="449" t="s">
        <v>994</v>
      </c>
      <c r="I277" s="797">
        <f t="shared" si="16"/>
        <v>35000</v>
      </c>
      <c r="J277" s="600"/>
      <c r="K277" s="1045">
        <v>35000</v>
      </c>
      <c r="L277" s="442"/>
      <c r="M277" s="442"/>
      <c r="N277" s="450"/>
      <c r="O277" s="944"/>
      <c r="P277" s="445"/>
    </row>
    <row r="278" spans="1:20" x14ac:dyDescent="0.2">
      <c r="A278" s="790">
        <v>1</v>
      </c>
      <c r="B278" s="343"/>
      <c r="C278" s="440"/>
      <c r="D278" s="440"/>
      <c r="E278" s="440"/>
      <c r="F278" s="448" t="s">
        <v>245</v>
      </c>
      <c r="G278" s="440" t="s">
        <v>246</v>
      </c>
      <c r="H278" s="449" t="s">
        <v>490</v>
      </c>
      <c r="I278" s="797">
        <f t="shared" si="16"/>
        <v>5000</v>
      </c>
      <c r="J278" s="600"/>
      <c r="K278" s="461">
        <v>5000</v>
      </c>
      <c r="L278" s="442"/>
      <c r="M278" s="442"/>
      <c r="N278" s="450"/>
      <c r="O278" s="944"/>
      <c r="P278" s="445"/>
    </row>
    <row r="279" spans="1:20" ht="24" x14ac:dyDescent="0.2">
      <c r="A279" s="790">
        <v>1</v>
      </c>
      <c r="B279" s="343"/>
      <c r="C279" s="440"/>
      <c r="D279" s="440"/>
      <c r="E279" s="440"/>
      <c r="F279" s="448" t="s">
        <v>245</v>
      </c>
      <c r="G279" s="440" t="s">
        <v>246</v>
      </c>
      <c r="H279" s="449" t="s">
        <v>995</v>
      </c>
      <c r="I279" s="797">
        <f t="shared" si="16"/>
        <v>16000</v>
      </c>
      <c r="J279" s="601"/>
      <c r="K279" s="1055">
        <v>16000</v>
      </c>
      <c r="L279" s="579"/>
      <c r="M279" s="579"/>
      <c r="N279" s="450"/>
      <c r="O279" s="890"/>
      <c r="P279" s="445"/>
    </row>
    <row r="280" spans="1:20" ht="24" x14ac:dyDescent="0.2">
      <c r="A280" s="790">
        <v>1</v>
      </c>
      <c r="B280" s="343"/>
      <c r="C280" s="440"/>
      <c r="D280" s="440"/>
      <c r="E280" s="440"/>
      <c r="F280" s="448" t="s">
        <v>245</v>
      </c>
      <c r="G280" s="440" t="s">
        <v>246</v>
      </c>
      <c r="H280" s="449" t="s">
        <v>996</v>
      </c>
      <c r="I280" s="797">
        <f t="shared" si="16"/>
        <v>20400</v>
      </c>
      <c r="J280" s="600"/>
      <c r="K280" s="1055">
        <f>32400-12000</f>
        <v>20400</v>
      </c>
      <c r="L280" s="442"/>
      <c r="M280" s="442"/>
      <c r="N280" s="450"/>
      <c r="O280" s="944"/>
      <c r="P280" s="445"/>
    </row>
    <row r="281" spans="1:20" hidden="1" x14ac:dyDescent="0.2">
      <c r="A281" s="790">
        <v>2</v>
      </c>
      <c r="B281" s="343"/>
      <c r="C281" s="440"/>
      <c r="D281" s="440"/>
      <c r="E281" s="440"/>
      <c r="F281" s="448" t="s">
        <v>245</v>
      </c>
      <c r="G281" s="440" t="s">
        <v>246</v>
      </c>
      <c r="H281" s="449" t="s">
        <v>997</v>
      </c>
      <c r="I281" s="442">
        <f t="shared" si="16"/>
        <v>6000</v>
      </c>
      <c r="J281" s="600"/>
      <c r="K281" s="1045">
        <f>9000-3000</f>
        <v>6000</v>
      </c>
      <c r="L281" s="442"/>
      <c r="M281" s="442"/>
      <c r="N281" s="450"/>
      <c r="O281" s="944"/>
      <c r="P281" s="445"/>
    </row>
    <row r="282" spans="1:20" ht="24" hidden="1" x14ac:dyDescent="0.2">
      <c r="A282" s="790">
        <v>2</v>
      </c>
      <c r="B282" s="343"/>
      <c r="C282" s="440"/>
      <c r="D282" s="440"/>
      <c r="E282" s="440"/>
      <c r="F282" s="448" t="s">
        <v>493</v>
      </c>
      <c r="G282" s="452" t="s">
        <v>246</v>
      </c>
      <c r="H282" s="449" t="s">
        <v>998</v>
      </c>
      <c r="I282" s="442">
        <f t="shared" si="16"/>
        <v>390000</v>
      </c>
      <c r="J282" s="600"/>
      <c r="K282" s="461">
        <v>390000</v>
      </c>
      <c r="L282" s="461"/>
      <c r="M282" s="461"/>
      <c r="N282" s="450"/>
      <c r="O282" s="450"/>
      <c r="Q282" s="329"/>
      <c r="R282" s="329"/>
      <c r="S282" s="329"/>
      <c r="T282" s="329"/>
    </row>
    <row r="283" spans="1:20" ht="25.5" hidden="1" customHeight="1" x14ac:dyDescent="0.2">
      <c r="A283" s="790">
        <v>2</v>
      </c>
      <c r="B283" s="343"/>
      <c r="C283" s="440"/>
      <c r="D283" s="440"/>
      <c r="E283" s="440"/>
      <c r="F283" s="448" t="s">
        <v>493</v>
      </c>
      <c r="G283" s="452" t="s">
        <v>246</v>
      </c>
      <c r="H283" s="449" t="s">
        <v>999</v>
      </c>
      <c r="I283" s="442">
        <f t="shared" si="16"/>
        <v>27000</v>
      </c>
      <c r="J283" s="600"/>
      <c r="K283" s="461">
        <v>27000</v>
      </c>
      <c r="L283" s="442"/>
      <c r="M283" s="442"/>
      <c r="N283" s="450"/>
      <c r="O283" s="944"/>
      <c r="Q283" s="329"/>
      <c r="R283" s="329"/>
      <c r="S283" s="329"/>
      <c r="T283" s="329"/>
    </row>
    <row r="284" spans="1:20" ht="24" x14ac:dyDescent="0.2">
      <c r="A284" s="790">
        <v>1</v>
      </c>
      <c r="B284" s="343"/>
      <c r="C284" s="440"/>
      <c r="D284" s="440"/>
      <c r="E284" s="440"/>
      <c r="F284" s="448" t="s">
        <v>493</v>
      </c>
      <c r="G284" s="452" t="s">
        <v>246</v>
      </c>
      <c r="H284" s="449" t="s">
        <v>1000</v>
      </c>
      <c r="I284" s="797">
        <f t="shared" si="16"/>
        <v>65000</v>
      </c>
      <c r="J284" s="600"/>
      <c r="K284" s="1055">
        <v>65000</v>
      </c>
      <c r="L284" s="442"/>
      <c r="M284" s="442"/>
      <c r="N284" s="450"/>
      <c r="O284" s="944"/>
      <c r="Q284" s="329"/>
      <c r="R284" s="329"/>
      <c r="S284" s="329"/>
      <c r="T284" s="329"/>
    </row>
    <row r="285" spans="1:20" ht="13.9" customHeight="1" x14ac:dyDescent="0.2">
      <c r="A285" s="790">
        <v>1</v>
      </c>
      <c r="B285" s="343"/>
      <c r="C285" s="440"/>
      <c r="D285" s="440"/>
      <c r="E285" s="440"/>
      <c r="F285" s="448" t="s">
        <v>493</v>
      </c>
      <c r="G285" s="452" t="s">
        <v>246</v>
      </c>
      <c r="H285" s="449" t="s">
        <v>500</v>
      </c>
      <c r="I285" s="797">
        <f t="shared" si="16"/>
        <v>30000</v>
      </c>
      <c r="J285" s="600"/>
      <c r="K285" s="1055">
        <v>30000</v>
      </c>
      <c r="L285" s="442"/>
      <c r="M285" s="442"/>
      <c r="N285" s="450"/>
      <c r="O285" s="944"/>
      <c r="Q285" s="329"/>
      <c r="R285" s="329"/>
      <c r="S285" s="329"/>
      <c r="T285" s="329"/>
    </row>
    <row r="286" spans="1:20" hidden="1" x14ac:dyDescent="0.2">
      <c r="A286" s="790">
        <v>2</v>
      </c>
      <c r="B286" s="343"/>
      <c r="C286" s="440"/>
      <c r="D286" s="440"/>
      <c r="E286" s="440"/>
      <c r="F286" s="448" t="s">
        <v>493</v>
      </c>
      <c r="G286" s="452" t="s">
        <v>246</v>
      </c>
      <c r="H286" s="449" t="s">
        <v>1001</v>
      </c>
      <c r="I286" s="442">
        <f t="shared" si="16"/>
        <v>30000</v>
      </c>
      <c r="J286" s="600"/>
      <c r="K286" s="461">
        <v>30000</v>
      </c>
      <c r="L286" s="442"/>
      <c r="M286" s="442"/>
      <c r="N286" s="450"/>
      <c r="O286" s="944"/>
      <c r="P286" s="329" t="s">
        <v>1002</v>
      </c>
      <c r="Q286" s="329"/>
      <c r="R286" s="329"/>
      <c r="S286" s="329"/>
      <c r="T286" s="329"/>
    </row>
    <row r="287" spans="1:20" ht="14.25" customHeight="1" x14ac:dyDescent="0.2">
      <c r="A287" s="790">
        <v>1</v>
      </c>
      <c r="B287" s="343"/>
      <c r="C287" s="440"/>
      <c r="D287" s="440"/>
      <c r="E287" s="440"/>
      <c r="F287" s="448" t="s">
        <v>493</v>
      </c>
      <c r="G287" s="452" t="s">
        <v>246</v>
      </c>
      <c r="H287" s="449" t="s">
        <v>1003</v>
      </c>
      <c r="I287" s="797">
        <f t="shared" si="16"/>
        <v>11000</v>
      </c>
      <c r="J287" s="600"/>
      <c r="K287" s="1055">
        <v>11000</v>
      </c>
      <c r="L287" s="442"/>
      <c r="M287" s="442"/>
      <c r="N287" s="450"/>
      <c r="O287" s="944"/>
      <c r="P287" s="329" t="s">
        <v>1004</v>
      </c>
      <c r="Q287" s="329"/>
      <c r="R287" s="329"/>
      <c r="S287" s="329"/>
      <c r="T287" s="329"/>
    </row>
    <row r="288" spans="1:20" ht="14.25" customHeight="1" x14ac:dyDescent="0.2">
      <c r="A288" s="790">
        <v>1</v>
      </c>
      <c r="B288" s="343"/>
      <c r="C288" s="440"/>
      <c r="D288" s="440"/>
      <c r="E288" s="440"/>
      <c r="F288" s="448" t="s">
        <v>493</v>
      </c>
      <c r="G288" s="452" t="s">
        <v>246</v>
      </c>
      <c r="H288" s="449" t="s">
        <v>1005</v>
      </c>
      <c r="I288" s="797">
        <f t="shared" si="16"/>
        <v>25000</v>
      </c>
      <c r="J288" s="600"/>
      <c r="K288" s="1055">
        <v>25000</v>
      </c>
      <c r="L288" s="442"/>
      <c r="M288" s="442"/>
      <c r="N288" s="450"/>
      <c r="O288" s="944"/>
      <c r="P288" s="519"/>
      <c r="Q288" s="380"/>
      <c r="R288" s="380"/>
      <c r="S288" s="380"/>
      <c r="T288" s="380"/>
    </row>
    <row r="289" spans="1:23" s="343" customFormat="1" ht="36.6" hidden="1" customHeight="1" x14ac:dyDescent="0.2">
      <c r="A289" s="816">
        <v>2</v>
      </c>
      <c r="B289" s="343" t="s">
        <v>261</v>
      </c>
      <c r="C289" s="453"/>
      <c r="D289" s="458"/>
      <c r="E289" s="459"/>
      <c r="F289" s="439" t="s">
        <v>237</v>
      </c>
      <c r="G289" s="452" t="s">
        <v>201</v>
      </c>
      <c r="H289" s="558" t="s">
        <v>1006</v>
      </c>
      <c r="I289" s="455">
        <f t="shared" si="16"/>
        <v>850000</v>
      </c>
      <c r="J289" s="885"/>
      <c r="K289" s="414">
        <v>850000</v>
      </c>
      <c r="L289" s="442">
        <v>0</v>
      </c>
      <c r="M289" s="414">
        <v>0</v>
      </c>
      <c r="N289" s="450"/>
      <c r="O289" s="1056"/>
      <c r="P289" s="445"/>
      <c r="Q289" s="462"/>
      <c r="R289" s="360"/>
      <c r="S289" s="360"/>
      <c r="T289" s="360"/>
      <c r="U289" s="360"/>
      <c r="V289" s="360"/>
      <c r="W289" s="360"/>
    </row>
    <row r="290" spans="1:23" s="343" customFormat="1" ht="15" customHeight="1" x14ac:dyDescent="0.2">
      <c r="A290" s="816">
        <v>1</v>
      </c>
      <c r="C290" s="453"/>
      <c r="D290" s="458"/>
      <c r="E290" s="459"/>
      <c r="F290" s="448" t="s">
        <v>501</v>
      </c>
      <c r="G290" s="440" t="s">
        <v>502</v>
      </c>
      <c r="H290" s="449" t="s">
        <v>981</v>
      </c>
      <c r="I290" s="812">
        <f t="shared" si="16"/>
        <v>29177.199999999997</v>
      </c>
      <c r="J290" s="676"/>
      <c r="K290" s="414">
        <v>29177.199999999997</v>
      </c>
      <c r="L290" s="442"/>
      <c r="M290" s="414"/>
      <c r="N290" s="450"/>
      <c r="O290" s="1056"/>
      <c r="P290" s="445"/>
      <c r="Q290" s="462"/>
      <c r="R290" s="360"/>
      <c r="S290" s="360"/>
      <c r="T290" s="360"/>
      <c r="U290" s="360"/>
      <c r="V290" s="360"/>
      <c r="W290" s="360"/>
    </row>
    <row r="291" spans="1:23" x14ac:dyDescent="0.2">
      <c r="A291" s="790">
        <v>1</v>
      </c>
      <c r="B291" s="343"/>
      <c r="C291" s="440"/>
      <c r="D291" s="440"/>
      <c r="E291" s="440"/>
      <c r="F291" s="448" t="s">
        <v>501</v>
      </c>
      <c r="G291" s="440" t="s">
        <v>502</v>
      </c>
      <c r="H291" s="449" t="s">
        <v>1007</v>
      </c>
      <c r="I291" s="797">
        <f t="shared" si="16"/>
        <v>1680</v>
      </c>
      <c r="J291" s="601"/>
      <c r="K291" s="461">
        <v>1680</v>
      </c>
      <c r="L291" s="579"/>
      <c r="M291" s="579"/>
      <c r="N291" s="450"/>
      <c r="O291" s="890"/>
      <c r="P291" s="1057"/>
    </row>
    <row r="292" spans="1:23" x14ac:dyDescent="0.2">
      <c r="A292" s="790">
        <v>1</v>
      </c>
      <c r="B292" s="343"/>
      <c r="C292" s="440"/>
      <c r="D292" s="440"/>
      <c r="E292" s="440"/>
      <c r="F292" s="448" t="s">
        <v>501</v>
      </c>
      <c r="G292" s="440" t="s">
        <v>502</v>
      </c>
      <c r="H292" s="449" t="s">
        <v>1008</v>
      </c>
      <c r="I292" s="797">
        <f t="shared" si="16"/>
        <v>600</v>
      </c>
      <c r="J292" s="601"/>
      <c r="K292" s="461">
        <v>600</v>
      </c>
      <c r="L292" s="579"/>
      <c r="M292" s="579"/>
      <c r="N292" s="450"/>
      <c r="O292" s="890"/>
      <c r="P292" s="445"/>
      <c r="Q292"/>
    </row>
    <row r="293" spans="1:23" x14ac:dyDescent="0.2">
      <c r="A293" s="790">
        <v>1</v>
      </c>
      <c r="B293" s="343"/>
      <c r="C293" s="440"/>
      <c r="D293" s="440"/>
      <c r="E293" s="440"/>
      <c r="F293" s="448" t="s">
        <v>501</v>
      </c>
      <c r="G293" s="440" t="s">
        <v>502</v>
      </c>
      <c r="H293" s="449" t="s">
        <v>1009</v>
      </c>
      <c r="I293" s="797">
        <f t="shared" si="16"/>
        <v>600</v>
      </c>
      <c r="J293" s="601"/>
      <c r="K293" s="461">
        <v>600</v>
      </c>
      <c r="L293" s="579"/>
      <c r="M293" s="579"/>
      <c r="N293" s="450"/>
      <c r="O293" s="890"/>
      <c r="P293" s="445"/>
    </row>
    <row r="294" spans="1:23" x14ac:dyDescent="0.2">
      <c r="A294" s="790">
        <v>1</v>
      </c>
      <c r="B294" s="343"/>
      <c r="C294" s="440"/>
      <c r="D294" s="440"/>
      <c r="E294" s="440"/>
      <c r="F294" s="448" t="s">
        <v>501</v>
      </c>
      <c r="G294" s="440" t="s">
        <v>502</v>
      </c>
      <c r="H294" s="449" t="s">
        <v>1010</v>
      </c>
      <c r="I294" s="797">
        <f t="shared" si="16"/>
        <v>2150</v>
      </c>
      <c r="J294" s="601"/>
      <c r="K294" s="461">
        <v>2150</v>
      </c>
      <c r="L294" s="579"/>
      <c r="M294" s="579"/>
      <c r="N294" s="450"/>
      <c r="O294" s="890"/>
      <c r="P294" s="445"/>
    </row>
    <row r="295" spans="1:23" ht="78.75" hidden="1" x14ac:dyDescent="0.2">
      <c r="A295" s="790">
        <v>2</v>
      </c>
      <c r="B295" s="343"/>
      <c r="C295" s="440"/>
      <c r="D295" s="440"/>
      <c r="E295" s="440"/>
      <c r="F295" s="448" t="s">
        <v>501</v>
      </c>
      <c r="G295" s="440" t="s">
        <v>502</v>
      </c>
      <c r="H295" s="449" t="s">
        <v>1011</v>
      </c>
      <c r="I295" s="442">
        <f t="shared" si="16"/>
        <v>4000</v>
      </c>
      <c r="J295" s="601"/>
      <c r="K295" s="461">
        <v>4000</v>
      </c>
      <c r="L295" s="579"/>
      <c r="M295" s="579"/>
      <c r="N295" s="450"/>
      <c r="O295" s="890"/>
      <c r="P295" s="572" t="s">
        <v>1012</v>
      </c>
      <c r="Q295"/>
    </row>
    <row r="296" spans="1:23" ht="22.5" x14ac:dyDescent="0.2">
      <c r="A296" s="790">
        <v>1</v>
      </c>
      <c r="B296" s="343"/>
      <c r="C296" s="440"/>
      <c r="D296" s="440"/>
      <c r="E296" s="440"/>
      <c r="F296" s="448" t="s">
        <v>501</v>
      </c>
      <c r="G296" s="440" t="s">
        <v>502</v>
      </c>
      <c r="H296" s="449" t="s">
        <v>1013</v>
      </c>
      <c r="I296" s="797">
        <f t="shared" si="16"/>
        <v>10000</v>
      </c>
      <c r="J296" s="601"/>
      <c r="K296" s="817">
        <v>10000</v>
      </c>
      <c r="L296" s="579"/>
      <c r="M296" s="579"/>
      <c r="N296" s="450"/>
      <c r="O296" s="890"/>
      <c r="P296" s="519" t="s">
        <v>1014</v>
      </c>
    </row>
    <row r="297" spans="1:23" s="343" customFormat="1" ht="15" customHeight="1" x14ac:dyDescent="0.2">
      <c r="A297" s="816">
        <v>1</v>
      </c>
      <c r="C297" s="453"/>
      <c r="D297" s="458"/>
      <c r="E297" s="459"/>
      <c r="F297" s="448" t="s">
        <v>790</v>
      </c>
      <c r="G297" s="440" t="s">
        <v>791</v>
      </c>
      <c r="H297" s="449" t="s">
        <v>981</v>
      </c>
      <c r="I297" s="812">
        <f>SUM(K297:M297)</f>
        <v>13577.9</v>
      </c>
      <c r="J297" s="676"/>
      <c r="K297" s="414">
        <v>13577.9</v>
      </c>
      <c r="L297" s="442"/>
      <c r="M297" s="414"/>
      <c r="N297" s="450"/>
      <c r="O297" s="1056"/>
      <c r="P297" s="445"/>
      <c r="Q297" s="462"/>
      <c r="R297" s="360"/>
      <c r="S297" s="360"/>
      <c r="T297" s="360"/>
      <c r="U297" s="360"/>
      <c r="V297" s="360"/>
      <c r="W297" s="360"/>
    </row>
    <row r="298" spans="1:23" ht="72" x14ac:dyDescent="0.2">
      <c r="A298" s="790">
        <v>1</v>
      </c>
      <c r="B298" s="343"/>
      <c r="C298" s="440"/>
      <c r="D298" s="440"/>
      <c r="E298" s="440"/>
      <c r="F298" s="448" t="s">
        <v>790</v>
      </c>
      <c r="G298" s="440" t="s">
        <v>791</v>
      </c>
      <c r="H298" s="449" t="s">
        <v>1015</v>
      </c>
      <c r="I298" s="797">
        <f t="shared" si="16"/>
        <v>7950</v>
      </c>
      <c r="J298" s="601"/>
      <c r="K298" s="461">
        <v>7950</v>
      </c>
      <c r="L298" s="579"/>
      <c r="M298" s="579"/>
      <c r="N298" s="450"/>
      <c r="O298" s="890"/>
      <c r="P298" s="519" t="s">
        <v>1014</v>
      </c>
    </row>
    <row r="299" spans="1:23" hidden="1" x14ac:dyDescent="0.2">
      <c r="A299" s="790">
        <v>2</v>
      </c>
      <c r="B299" s="343"/>
      <c r="C299" s="440"/>
      <c r="D299" s="440"/>
      <c r="E299" s="440"/>
      <c r="F299" s="448" t="s">
        <v>510</v>
      </c>
      <c r="G299" s="440" t="s">
        <v>511</v>
      </c>
      <c r="H299" s="449" t="s">
        <v>1016</v>
      </c>
      <c r="I299" s="442">
        <f t="shared" si="16"/>
        <v>8889</v>
      </c>
      <c r="J299" s="600"/>
      <c r="K299" s="461">
        <v>8889</v>
      </c>
      <c r="L299" s="442"/>
      <c r="M299" s="442"/>
      <c r="N299" s="450"/>
      <c r="O299" s="944"/>
      <c r="Q299"/>
    </row>
    <row r="300" spans="1:23" ht="16.5" customHeight="1" x14ac:dyDescent="0.2">
      <c r="A300" s="790">
        <v>1</v>
      </c>
      <c r="B300" s="343"/>
      <c r="C300" s="440"/>
      <c r="D300" s="440"/>
      <c r="E300" s="440"/>
      <c r="F300" s="448" t="s">
        <v>510</v>
      </c>
      <c r="G300" s="440" t="s">
        <v>511</v>
      </c>
      <c r="H300" s="449" t="s">
        <v>513</v>
      </c>
      <c r="I300" s="797">
        <f t="shared" si="16"/>
        <v>5700</v>
      </c>
      <c r="J300" s="601"/>
      <c r="K300" s="461">
        <f>5700</f>
        <v>5700</v>
      </c>
      <c r="L300" s="579"/>
      <c r="M300" s="579"/>
      <c r="N300" s="450"/>
      <c r="O300" s="890"/>
      <c r="Q300"/>
    </row>
    <row r="301" spans="1:23" ht="16.5" customHeight="1" x14ac:dyDescent="0.2">
      <c r="A301" s="790">
        <v>1</v>
      </c>
      <c r="B301" s="343"/>
      <c r="C301" s="440"/>
      <c r="D301" s="440"/>
      <c r="E301" s="440"/>
      <c r="F301" s="448" t="s">
        <v>510</v>
      </c>
      <c r="G301" s="440" t="s">
        <v>511</v>
      </c>
      <c r="H301" s="449" t="s">
        <v>1017</v>
      </c>
      <c r="I301" s="797">
        <f t="shared" si="16"/>
        <v>1200</v>
      </c>
      <c r="J301" s="601"/>
      <c r="K301" s="461">
        <v>1200</v>
      </c>
      <c r="L301" s="579"/>
      <c r="M301" s="579"/>
      <c r="N301" s="450"/>
      <c r="O301" s="890"/>
      <c r="Q301"/>
    </row>
    <row r="302" spans="1:23" ht="16.5" customHeight="1" x14ac:dyDescent="0.2">
      <c r="A302" s="790">
        <v>1</v>
      </c>
      <c r="B302" s="343"/>
      <c r="C302" s="440"/>
      <c r="D302" s="440"/>
      <c r="E302" s="440"/>
      <c r="F302" s="448" t="s">
        <v>510</v>
      </c>
      <c r="G302" s="440" t="s">
        <v>511</v>
      </c>
      <c r="H302" s="449" t="s">
        <v>1018</v>
      </c>
      <c r="I302" s="797">
        <f t="shared" si="16"/>
        <v>500</v>
      </c>
      <c r="J302" s="601"/>
      <c r="K302" s="461">
        <v>500</v>
      </c>
      <c r="L302" s="579"/>
      <c r="M302" s="579"/>
      <c r="N302" s="450"/>
      <c r="O302" s="890"/>
      <c r="Q302"/>
    </row>
    <row r="303" spans="1:23" ht="16.5" customHeight="1" x14ac:dyDescent="0.2">
      <c r="A303" s="790">
        <v>1</v>
      </c>
      <c r="B303" s="343"/>
      <c r="C303" s="440"/>
      <c r="D303" s="440"/>
      <c r="E303" s="440"/>
      <c r="F303" s="448" t="s">
        <v>510</v>
      </c>
      <c r="G303" s="440" t="s">
        <v>511</v>
      </c>
      <c r="H303" s="449" t="s">
        <v>1019</v>
      </c>
      <c r="I303" s="797">
        <f t="shared" si="16"/>
        <v>1500</v>
      </c>
      <c r="J303" s="601"/>
      <c r="K303" s="461">
        <v>1500</v>
      </c>
      <c r="L303" s="579"/>
      <c r="M303" s="579"/>
      <c r="N303" s="450"/>
      <c r="O303" s="890"/>
      <c r="Q303"/>
    </row>
    <row r="304" spans="1:23" ht="16.5" customHeight="1" x14ac:dyDescent="0.2">
      <c r="A304" s="790">
        <v>1</v>
      </c>
      <c r="B304" s="343"/>
      <c r="C304" s="440"/>
      <c r="D304" s="440"/>
      <c r="E304" s="440"/>
      <c r="F304" s="448" t="s">
        <v>515</v>
      </c>
      <c r="G304" s="440" t="s">
        <v>511</v>
      </c>
      <c r="H304" s="449" t="s">
        <v>1020</v>
      </c>
      <c r="I304" s="797">
        <f t="shared" si="16"/>
        <v>8100</v>
      </c>
      <c r="J304" s="601"/>
      <c r="K304" s="461">
        <v>8100</v>
      </c>
      <c r="L304" s="579"/>
      <c r="M304" s="579"/>
      <c r="N304" s="450"/>
      <c r="O304" s="890"/>
      <c r="Q304"/>
    </row>
    <row r="305" spans="1:20" hidden="1" x14ac:dyDescent="0.2">
      <c r="A305" s="790">
        <v>3</v>
      </c>
      <c r="B305" s="343"/>
      <c r="C305" s="440"/>
      <c r="D305" s="440"/>
      <c r="E305" s="440"/>
      <c r="F305" s="448" t="s">
        <v>515</v>
      </c>
      <c r="G305" s="440" t="s">
        <v>511</v>
      </c>
      <c r="H305" s="449" t="s">
        <v>1021</v>
      </c>
      <c r="I305" s="442">
        <f t="shared" si="16"/>
        <v>20000</v>
      </c>
      <c r="J305" s="600"/>
      <c r="K305" s="442">
        <v>20000</v>
      </c>
      <c r="L305" s="442"/>
      <c r="M305" s="442"/>
      <c r="N305" s="450"/>
      <c r="O305" s="944"/>
      <c r="P305" s="602"/>
      <c r="Q305"/>
    </row>
    <row r="306" spans="1:20" x14ac:dyDescent="0.2">
      <c r="A306" s="790">
        <v>1</v>
      </c>
      <c r="B306" s="343"/>
      <c r="C306" s="440"/>
      <c r="D306" s="440"/>
      <c r="E306" s="440"/>
      <c r="F306" s="448" t="s">
        <v>518</v>
      </c>
      <c r="G306" s="452" t="s">
        <v>519</v>
      </c>
      <c r="H306" s="449" t="s">
        <v>981</v>
      </c>
      <c r="I306" s="797">
        <f t="shared" si="16"/>
        <v>30315.200000000001</v>
      </c>
      <c r="J306" s="600"/>
      <c r="K306" s="442">
        <v>30315.200000000001</v>
      </c>
      <c r="L306" s="442"/>
      <c r="M306" s="442"/>
      <c r="N306" s="450"/>
      <c r="O306" s="944"/>
      <c r="P306" s="329" t="s">
        <v>1022</v>
      </c>
      <c r="Q306"/>
    </row>
    <row r="307" spans="1:20" ht="24" x14ac:dyDescent="0.2">
      <c r="A307" s="790">
        <v>1</v>
      </c>
      <c r="B307" s="343"/>
      <c r="C307" s="440"/>
      <c r="D307" s="440"/>
      <c r="E307" s="440"/>
      <c r="F307" s="448" t="s">
        <v>518</v>
      </c>
      <c r="G307" s="452" t="s">
        <v>519</v>
      </c>
      <c r="H307" s="449" t="s">
        <v>1023</v>
      </c>
      <c r="I307" s="797">
        <f t="shared" si="16"/>
        <v>21096</v>
      </c>
      <c r="J307" s="600"/>
      <c r="K307" s="442">
        <v>21096</v>
      </c>
      <c r="L307" s="442"/>
      <c r="M307" s="442"/>
      <c r="N307" s="450"/>
      <c r="O307" s="944"/>
      <c r="P307" s="329" t="s">
        <v>1022</v>
      </c>
      <c r="Q307"/>
    </row>
    <row r="308" spans="1:20" ht="19.899999999999999" customHeight="1" x14ac:dyDescent="0.2">
      <c r="A308" s="790">
        <v>1</v>
      </c>
      <c r="B308" s="343"/>
      <c r="C308" s="440"/>
      <c r="D308" s="440"/>
      <c r="E308" s="440"/>
      <c r="F308" s="448" t="s">
        <v>518</v>
      </c>
      <c r="G308" s="452" t="s">
        <v>519</v>
      </c>
      <c r="H308" s="449" t="s">
        <v>1024</v>
      </c>
      <c r="I308" s="797">
        <f t="shared" si="16"/>
        <v>3404</v>
      </c>
      <c r="J308" s="600"/>
      <c r="K308" s="442">
        <v>3404</v>
      </c>
      <c r="L308" s="442"/>
      <c r="M308" s="442"/>
      <c r="N308" s="450"/>
      <c r="O308" s="944"/>
      <c r="P308" s="329" t="s">
        <v>1022</v>
      </c>
      <c r="Q308"/>
    </row>
    <row r="309" spans="1:20" x14ac:dyDescent="0.2">
      <c r="A309" s="790">
        <v>1</v>
      </c>
      <c r="B309" s="343"/>
      <c r="C309" s="440"/>
      <c r="D309" s="440"/>
      <c r="E309" s="440"/>
      <c r="F309" s="448" t="s">
        <v>518</v>
      </c>
      <c r="G309" s="452" t="s">
        <v>519</v>
      </c>
      <c r="H309" s="449" t="s">
        <v>1025</v>
      </c>
      <c r="I309" s="797">
        <f t="shared" si="16"/>
        <v>15293.600000000002</v>
      </c>
      <c r="J309" s="600"/>
      <c r="K309" s="442">
        <v>15293.600000000002</v>
      </c>
      <c r="L309" s="442"/>
      <c r="M309" s="442"/>
      <c r="N309" s="450"/>
      <c r="O309" s="944"/>
      <c r="P309" s="329" t="s">
        <v>1022</v>
      </c>
    </row>
    <row r="310" spans="1:20" hidden="1" x14ac:dyDescent="0.2">
      <c r="A310" s="790">
        <v>2</v>
      </c>
      <c r="B310" s="343"/>
      <c r="C310" s="440"/>
      <c r="D310" s="440"/>
      <c r="E310" s="440"/>
      <c r="F310" s="448" t="s">
        <v>518</v>
      </c>
      <c r="G310" s="452" t="s">
        <v>519</v>
      </c>
      <c r="H310" s="449" t="s">
        <v>1026</v>
      </c>
      <c r="I310" s="442">
        <f t="shared" si="16"/>
        <v>4162</v>
      </c>
      <c r="J310" s="600"/>
      <c r="K310" s="442">
        <v>4162</v>
      </c>
      <c r="L310" s="442"/>
      <c r="M310" s="442"/>
      <c r="N310" s="450"/>
      <c r="O310" s="944"/>
      <c r="P310" s="329" t="s">
        <v>1022</v>
      </c>
    </row>
    <row r="311" spans="1:20" hidden="1" x14ac:dyDescent="0.2">
      <c r="A311" s="790">
        <v>2</v>
      </c>
      <c r="B311" s="343"/>
      <c r="C311" s="440"/>
      <c r="D311" s="440"/>
      <c r="E311" s="440"/>
      <c r="F311" s="448" t="s">
        <v>518</v>
      </c>
      <c r="G311" s="452" t="s">
        <v>519</v>
      </c>
      <c r="H311" s="449" t="s">
        <v>1027</v>
      </c>
      <c r="I311" s="442">
        <f t="shared" si="16"/>
        <v>7000</v>
      </c>
      <c r="J311" s="600"/>
      <c r="K311" s="442">
        <v>7000</v>
      </c>
      <c r="L311" s="442"/>
      <c r="M311" s="442"/>
      <c r="N311" s="450"/>
      <c r="O311" s="944"/>
      <c r="P311" s="329" t="s">
        <v>1028</v>
      </c>
    </row>
    <row r="312" spans="1:20" ht="10.5" customHeight="1" x14ac:dyDescent="0.2">
      <c r="A312" s="790">
        <v>1</v>
      </c>
      <c r="B312" s="343"/>
      <c r="C312" s="440"/>
      <c r="D312" s="440"/>
      <c r="E312" s="440"/>
      <c r="F312" s="448" t="s">
        <v>518</v>
      </c>
      <c r="G312" s="452" t="s">
        <v>519</v>
      </c>
      <c r="H312" s="449" t="s">
        <v>1029</v>
      </c>
      <c r="I312" s="797">
        <f t="shared" si="16"/>
        <v>32618</v>
      </c>
      <c r="J312" s="600"/>
      <c r="K312" s="442">
        <v>32618</v>
      </c>
      <c r="L312" s="442"/>
      <c r="M312" s="442"/>
      <c r="N312" s="450"/>
      <c r="O312" s="944"/>
      <c r="P312" s="463" t="s">
        <v>1022</v>
      </c>
      <c r="Q312"/>
    </row>
    <row r="313" spans="1:20" ht="10.5" customHeight="1" x14ac:dyDescent="0.2">
      <c r="A313" s="790">
        <v>1</v>
      </c>
      <c r="B313" s="343"/>
      <c r="C313" s="440"/>
      <c r="D313" s="440"/>
      <c r="E313" s="440"/>
      <c r="F313" s="448" t="s">
        <v>518</v>
      </c>
      <c r="G313" s="452" t="s">
        <v>519</v>
      </c>
      <c r="H313" s="449" t="s">
        <v>1030</v>
      </c>
      <c r="I313" s="797">
        <f t="shared" si="16"/>
        <v>5465</v>
      </c>
      <c r="J313" s="600"/>
      <c r="K313" s="442">
        <v>5465</v>
      </c>
      <c r="L313" s="442"/>
      <c r="M313" s="442"/>
      <c r="N313" s="450"/>
      <c r="O313" s="944"/>
      <c r="P313" s="463" t="s">
        <v>1022</v>
      </c>
      <c r="Q313"/>
    </row>
    <row r="314" spans="1:20" ht="10.5" hidden="1" customHeight="1" x14ac:dyDescent="0.2">
      <c r="A314" s="790">
        <v>3</v>
      </c>
      <c r="B314" s="343"/>
      <c r="C314" s="440"/>
      <c r="D314" s="440"/>
      <c r="E314" s="440"/>
      <c r="F314" s="448" t="s">
        <v>518</v>
      </c>
      <c r="G314" s="452" t="s">
        <v>519</v>
      </c>
      <c r="H314" s="449" t="s">
        <v>1031</v>
      </c>
      <c r="I314" s="442">
        <f t="shared" si="16"/>
        <v>10916</v>
      </c>
      <c r="J314" s="600"/>
      <c r="K314" s="442">
        <v>10916</v>
      </c>
      <c r="L314" s="442"/>
      <c r="M314" s="442"/>
      <c r="N314" s="450"/>
      <c r="O314" s="944"/>
      <c r="P314" s="463" t="s">
        <v>1022</v>
      </c>
      <c r="Q314"/>
    </row>
    <row r="315" spans="1:20" ht="10.5" hidden="1" customHeight="1" x14ac:dyDescent="0.2">
      <c r="A315" s="790">
        <v>3</v>
      </c>
      <c r="B315" s="343"/>
      <c r="C315" s="440"/>
      <c r="D315" s="440"/>
      <c r="E315" s="440"/>
      <c r="F315" s="448" t="s">
        <v>518</v>
      </c>
      <c r="G315" s="452" t="s">
        <v>519</v>
      </c>
      <c r="H315" s="449" t="s">
        <v>1032</v>
      </c>
      <c r="I315" s="442">
        <f t="shared" si="16"/>
        <v>15947</v>
      </c>
      <c r="J315" s="600"/>
      <c r="K315" s="442">
        <v>15947</v>
      </c>
      <c r="L315" s="442"/>
      <c r="M315" s="442"/>
      <c r="N315" s="450"/>
      <c r="O315" s="944"/>
      <c r="P315" s="463" t="s">
        <v>1022</v>
      </c>
      <c r="Q315"/>
    </row>
    <row r="316" spans="1:20" ht="10.5" hidden="1" customHeight="1" x14ac:dyDescent="0.2">
      <c r="A316" s="790">
        <v>2</v>
      </c>
      <c r="B316" s="343"/>
      <c r="C316" s="440"/>
      <c r="D316" s="440"/>
      <c r="E316" s="440"/>
      <c r="F316" s="448" t="s">
        <v>518</v>
      </c>
      <c r="G316" s="452" t="s">
        <v>519</v>
      </c>
      <c r="H316" s="449" t="s">
        <v>1033</v>
      </c>
      <c r="I316" s="442">
        <f t="shared" si="16"/>
        <v>1200</v>
      </c>
      <c r="J316" s="600"/>
      <c r="K316" s="442">
        <v>1200</v>
      </c>
      <c r="L316" s="442"/>
      <c r="M316" s="442"/>
      <c r="N316" s="450"/>
      <c r="O316" s="944"/>
      <c r="P316" s="463" t="s">
        <v>1022</v>
      </c>
      <c r="Q316"/>
    </row>
    <row r="317" spans="1:20" ht="10.5" customHeight="1" x14ac:dyDescent="0.2">
      <c r="A317" s="790">
        <v>1</v>
      </c>
      <c r="B317" s="343"/>
      <c r="C317" s="440"/>
      <c r="D317" s="440"/>
      <c r="E317" s="440"/>
      <c r="F317" s="448" t="s">
        <v>518</v>
      </c>
      <c r="G317" s="452" t="s">
        <v>519</v>
      </c>
      <c r="H317" s="449" t="s">
        <v>1034</v>
      </c>
      <c r="I317" s="797">
        <f t="shared" si="16"/>
        <v>50000</v>
      </c>
      <c r="J317" s="600"/>
      <c r="K317" s="958">
        <v>50000</v>
      </c>
      <c r="L317" s="442"/>
      <c r="M317" s="442"/>
      <c r="N317" s="450"/>
      <c r="O317" s="944"/>
      <c r="P317" s="463"/>
      <c r="Q317"/>
    </row>
    <row r="318" spans="1:20" ht="10.5" customHeight="1" x14ac:dyDescent="0.2">
      <c r="A318" s="790">
        <v>1</v>
      </c>
      <c r="B318" s="343"/>
      <c r="C318" s="440"/>
      <c r="D318" s="440"/>
      <c r="E318" s="440"/>
      <c r="F318" s="448" t="s">
        <v>1035</v>
      </c>
      <c r="G318" s="452" t="s">
        <v>1036</v>
      </c>
      <c r="H318" s="449" t="s">
        <v>1037</v>
      </c>
      <c r="I318" s="797">
        <f t="shared" si="16"/>
        <v>6500</v>
      </c>
      <c r="J318" s="600"/>
      <c r="K318" s="442">
        <v>6500</v>
      </c>
      <c r="L318" s="442"/>
      <c r="M318" s="442"/>
      <c r="N318" s="450"/>
      <c r="O318" s="944"/>
      <c r="P318" s="463" t="s">
        <v>1038</v>
      </c>
      <c r="Q318"/>
    </row>
    <row r="319" spans="1:20" x14ac:dyDescent="0.2">
      <c r="B319" s="343"/>
      <c r="C319" s="509"/>
      <c r="D319" s="509"/>
      <c r="E319" s="509"/>
      <c r="F319" s="603"/>
      <c r="G319" s="603"/>
      <c r="H319" s="592" t="s">
        <v>527</v>
      </c>
      <c r="I319" s="593"/>
      <c r="J319" s="594"/>
      <c r="K319" s="960"/>
      <c r="L319" s="595"/>
      <c r="M319" s="595"/>
      <c r="N319" s="450"/>
      <c r="O319" s="944"/>
      <c r="Q319"/>
    </row>
    <row r="320" spans="1:20" s="343" customFormat="1" ht="12.75" thickBot="1" x14ac:dyDescent="0.25">
      <c r="A320" s="790">
        <v>1</v>
      </c>
      <c r="C320" s="604"/>
      <c r="D320" s="604"/>
      <c r="E320" s="604"/>
      <c r="F320" s="604" t="s">
        <v>1039</v>
      </c>
      <c r="G320" s="604" t="s">
        <v>529</v>
      </c>
      <c r="H320" s="605" t="s">
        <v>1040</v>
      </c>
      <c r="I320" s="1058">
        <f t="shared" ref="I320:I362" si="17">SUM(K320:M320)</f>
        <v>50000</v>
      </c>
      <c r="J320" s="971"/>
      <c r="K320" s="972">
        <v>50000</v>
      </c>
      <c r="L320" s="606"/>
      <c r="M320" s="606"/>
      <c r="N320" s="450"/>
      <c r="O320" s="1059"/>
      <c r="P320" s="463"/>
      <c r="T320"/>
    </row>
    <row r="321" spans="1:20" s="343" customFormat="1" ht="24.75" thickTop="1" x14ac:dyDescent="0.2">
      <c r="A321" s="816">
        <v>1</v>
      </c>
      <c r="C321" s="1060"/>
      <c r="D321" s="1060"/>
      <c r="E321" s="1060"/>
      <c r="F321" s="1060" t="s">
        <v>1039</v>
      </c>
      <c r="G321" s="1060" t="s">
        <v>1041</v>
      </c>
      <c r="H321" s="1061" t="s">
        <v>1042</v>
      </c>
      <c r="I321" s="1062">
        <f t="shared" si="17"/>
        <v>31400</v>
      </c>
      <c r="J321" s="1063"/>
      <c r="K321" s="1064">
        <v>31400</v>
      </c>
      <c r="L321" s="1065"/>
      <c r="M321" s="1065"/>
      <c r="N321" s="450"/>
      <c r="O321" s="1059"/>
      <c r="P321" s="463" t="s">
        <v>1043</v>
      </c>
      <c r="T321"/>
    </row>
    <row r="322" spans="1:20" s="343" customFormat="1" ht="24.75" thickBot="1" x14ac:dyDescent="0.25">
      <c r="A322" s="816">
        <v>1</v>
      </c>
      <c r="C322" s="623"/>
      <c r="D322" s="623"/>
      <c r="E322" s="623"/>
      <c r="F322" s="623" t="s">
        <v>1039</v>
      </c>
      <c r="G322" s="623" t="s">
        <v>1041</v>
      </c>
      <c r="H322" s="624" t="s">
        <v>1044</v>
      </c>
      <c r="I322" s="1066">
        <f t="shared" si="17"/>
        <v>8300</v>
      </c>
      <c r="J322" s="501"/>
      <c r="K322" s="526">
        <v>8300</v>
      </c>
      <c r="L322" s="625"/>
      <c r="M322" s="625"/>
      <c r="N322" s="450"/>
      <c r="O322" s="1059"/>
      <c r="P322" s="463" t="s">
        <v>1045</v>
      </c>
      <c r="T322"/>
    </row>
    <row r="323" spans="1:20" s="343" customFormat="1" ht="24.75" thickTop="1" x14ac:dyDescent="0.2">
      <c r="A323" s="816">
        <v>1</v>
      </c>
      <c r="C323" s="483"/>
      <c r="D323" s="483"/>
      <c r="E323" s="483"/>
      <c r="F323" s="483" t="s">
        <v>1046</v>
      </c>
      <c r="G323" s="483" t="s">
        <v>531</v>
      </c>
      <c r="H323" s="1067" t="s">
        <v>1047</v>
      </c>
      <c r="I323" s="1068">
        <f t="shared" si="17"/>
        <v>50000</v>
      </c>
      <c r="J323" s="517"/>
      <c r="K323" s="485">
        <v>50000</v>
      </c>
      <c r="L323" s="610"/>
      <c r="M323" s="610"/>
      <c r="N323" s="450"/>
      <c r="O323" s="929"/>
      <c r="P323" s="463"/>
      <c r="T323"/>
    </row>
    <row r="324" spans="1:20" s="343" customFormat="1" x14ac:dyDescent="0.2">
      <c r="A324" s="816">
        <v>1</v>
      </c>
      <c r="C324" s="483"/>
      <c r="D324" s="483"/>
      <c r="E324" s="483"/>
      <c r="F324" s="483" t="s">
        <v>1046</v>
      </c>
      <c r="G324" s="483" t="s">
        <v>531</v>
      </c>
      <c r="H324" s="1067" t="s">
        <v>1048</v>
      </c>
      <c r="I324" s="1068">
        <f t="shared" si="17"/>
        <v>195000</v>
      </c>
      <c r="J324" s="517"/>
      <c r="K324" s="461">
        <f>195000</f>
        <v>195000</v>
      </c>
      <c r="L324" s="610"/>
      <c r="M324" s="610"/>
      <c r="N324" s="450"/>
      <c r="O324" s="929"/>
      <c r="P324" s="463" t="s">
        <v>1049</v>
      </c>
      <c r="T324"/>
    </row>
    <row r="325" spans="1:20" s="343" customFormat="1" ht="24" x14ac:dyDescent="0.2">
      <c r="A325" s="816">
        <v>1</v>
      </c>
      <c r="C325" s="452"/>
      <c r="D325" s="452"/>
      <c r="E325" s="452"/>
      <c r="F325" s="452" t="s">
        <v>1046</v>
      </c>
      <c r="G325" s="452" t="s">
        <v>531</v>
      </c>
      <c r="H325" s="449" t="s">
        <v>1050</v>
      </c>
      <c r="I325" s="941">
        <f t="shared" si="17"/>
        <v>90000</v>
      </c>
      <c r="J325" s="600"/>
      <c r="K325" s="461">
        <v>90000</v>
      </c>
      <c r="L325" s="597"/>
      <c r="M325" s="597"/>
      <c r="N325" s="450"/>
      <c r="O325" s="929"/>
      <c r="P325" s="463"/>
      <c r="T325"/>
    </row>
    <row r="326" spans="1:20" s="343" customFormat="1" ht="24" hidden="1" x14ac:dyDescent="0.2">
      <c r="A326" s="816">
        <v>2</v>
      </c>
      <c r="C326" s="611"/>
      <c r="D326" s="611"/>
      <c r="E326" s="611"/>
      <c r="F326" s="611" t="s">
        <v>1046</v>
      </c>
      <c r="G326" s="611" t="s">
        <v>531</v>
      </c>
      <c r="H326" s="612" t="s">
        <v>1051</v>
      </c>
      <c r="I326" s="1069">
        <f t="shared" si="17"/>
        <v>142500</v>
      </c>
      <c r="J326" s="1070"/>
      <c r="K326" s="1069">
        <v>142500</v>
      </c>
      <c r="L326" s="615"/>
      <c r="M326" s="615"/>
      <c r="N326" s="450"/>
      <c r="O326" s="929"/>
      <c r="P326" s="463"/>
      <c r="T326"/>
    </row>
    <row r="327" spans="1:20" s="343" customFormat="1" ht="24" hidden="1" x14ac:dyDescent="0.2">
      <c r="A327" s="816">
        <v>2</v>
      </c>
      <c r="C327" s="1071"/>
      <c r="D327" s="1071"/>
      <c r="E327" s="1071"/>
      <c r="F327" s="1071" t="s">
        <v>1046</v>
      </c>
      <c r="G327" s="1071" t="s">
        <v>531</v>
      </c>
      <c r="H327" s="1072" t="s">
        <v>1052</v>
      </c>
      <c r="I327" s="1073">
        <f t="shared" si="17"/>
        <v>120000</v>
      </c>
      <c r="J327" s="1074"/>
      <c r="K327" s="1073">
        <v>120000</v>
      </c>
      <c r="L327" s="1075"/>
      <c r="M327" s="1075"/>
      <c r="N327" s="450"/>
      <c r="O327" s="929"/>
      <c r="P327" s="463"/>
      <c r="T327"/>
    </row>
    <row r="328" spans="1:20" s="343" customFormat="1" ht="24" hidden="1" x14ac:dyDescent="0.2">
      <c r="A328" s="816">
        <v>2</v>
      </c>
      <c r="C328" s="483"/>
      <c r="D328" s="483"/>
      <c r="E328" s="483"/>
      <c r="F328" s="483" t="s">
        <v>1046</v>
      </c>
      <c r="G328" s="483" t="s">
        <v>531</v>
      </c>
      <c r="H328" s="569" t="s">
        <v>1053</v>
      </c>
      <c r="I328" s="485">
        <f t="shared" si="17"/>
        <v>240000</v>
      </c>
      <c r="J328" s="517"/>
      <c r="K328" s="485">
        <v>240000</v>
      </c>
      <c r="L328" s="610"/>
      <c r="M328" s="610"/>
      <c r="N328" s="450"/>
      <c r="O328" s="929"/>
      <c r="P328" s="463"/>
      <c r="T328"/>
    </row>
    <row r="329" spans="1:20" s="343" customFormat="1" ht="24" hidden="1" x14ac:dyDescent="0.2">
      <c r="A329" s="816">
        <v>2</v>
      </c>
      <c r="C329" s="452"/>
      <c r="D329" s="452"/>
      <c r="E329" s="452"/>
      <c r="F329" s="452" t="s">
        <v>1046</v>
      </c>
      <c r="G329" s="452" t="s">
        <v>531</v>
      </c>
      <c r="H329" s="449" t="s">
        <v>1054</v>
      </c>
      <c r="I329" s="461">
        <f t="shared" si="17"/>
        <v>85000</v>
      </c>
      <c r="J329" s="600"/>
      <c r="K329" s="461">
        <v>85000</v>
      </c>
      <c r="L329" s="597"/>
      <c r="M329" s="597"/>
      <c r="N329" s="450"/>
      <c r="O329" s="929"/>
      <c r="P329" s="463"/>
      <c r="T329"/>
    </row>
    <row r="330" spans="1:20" s="343" customFormat="1" ht="24" hidden="1" x14ac:dyDescent="0.2">
      <c r="A330" s="816">
        <v>2</v>
      </c>
      <c r="C330" s="611"/>
      <c r="D330" s="611"/>
      <c r="E330" s="611"/>
      <c r="F330" s="611" t="s">
        <v>1046</v>
      </c>
      <c r="G330" s="611" t="s">
        <v>531</v>
      </c>
      <c r="H330" s="612" t="s">
        <v>1055</v>
      </c>
      <c r="I330" s="1069">
        <f t="shared" si="17"/>
        <v>35000</v>
      </c>
      <c r="J330" s="1070"/>
      <c r="K330" s="1069">
        <v>35000</v>
      </c>
      <c r="L330" s="615"/>
      <c r="M330" s="615"/>
      <c r="N330" s="450"/>
      <c r="O330" s="929"/>
      <c r="P330" s="463"/>
      <c r="T330"/>
    </row>
    <row r="331" spans="1:20" s="343" customFormat="1" ht="24" hidden="1" x14ac:dyDescent="0.2">
      <c r="A331" s="816">
        <v>2</v>
      </c>
      <c r="C331" s="1071"/>
      <c r="D331" s="1071"/>
      <c r="E331" s="1071"/>
      <c r="F331" s="1071" t="s">
        <v>1046</v>
      </c>
      <c r="G331" s="1071" t="s">
        <v>531</v>
      </c>
      <c r="H331" s="1072" t="s">
        <v>1056</v>
      </c>
      <c r="I331" s="1073">
        <f t="shared" si="17"/>
        <v>25000</v>
      </c>
      <c r="J331" s="1074"/>
      <c r="K331" s="1073">
        <v>25000</v>
      </c>
      <c r="L331" s="1075"/>
      <c r="M331" s="1075"/>
      <c r="N331" s="450"/>
      <c r="O331" s="929"/>
      <c r="P331" s="463"/>
      <c r="T331"/>
    </row>
    <row r="332" spans="1:20" s="343" customFormat="1" ht="24" x14ac:dyDescent="0.2">
      <c r="A332" s="816">
        <v>1</v>
      </c>
      <c r="C332" s="611"/>
      <c r="D332" s="611"/>
      <c r="E332" s="611"/>
      <c r="F332" s="1071" t="s">
        <v>1046</v>
      </c>
      <c r="G332" s="1071" t="s">
        <v>531</v>
      </c>
      <c r="H332" s="612" t="s">
        <v>1057</v>
      </c>
      <c r="I332" s="925">
        <f t="shared" si="17"/>
        <v>2833</v>
      </c>
      <c r="J332" s="1070"/>
      <c r="K332" s="1069">
        <v>2833</v>
      </c>
      <c r="L332" s="615"/>
      <c r="M332" s="615"/>
      <c r="N332" s="450"/>
      <c r="O332" s="929" t="s">
        <v>1058</v>
      </c>
      <c r="P332" s="463"/>
      <c r="T332"/>
    </row>
    <row r="333" spans="1:20" s="343" customFormat="1" ht="24" x14ac:dyDescent="0.2">
      <c r="A333" s="816">
        <v>1</v>
      </c>
      <c r="C333" s="611"/>
      <c r="D333" s="611"/>
      <c r="E333" s="611"/>
      <c r="F333" s="1071" t="s">
        <v>1046</v>
      </c>
      <c r="G333" s="1071" t="s">
        <v>531</v>
      </c>
      <c r="H333" s="612" t="s">
        <v>537</v>
      </c>
      <c r="I333" s="925">
        <f t="shared" si="17"/>
        <v>4000</v>
      </c>
      <c r="J333" s="1070"/>
      <c r="K333" s="1069">
        <v>4000</v>
      </c>
      <c r="L333" s="615"/>
      <c r="M333" s="615"/>
      <c r="N333" s="450"/>
      <c r="O333" s="929" t="s">
        <v>1059</v>
      </c>
      <c r="P333" s="463"/>
      <c r="T333"/>
    </row>
    <row r="334" spans="1:20" s="343" customFormat="1" ht="15" hidden="1" customHeight="1" x14ac:dyDescent="0.2">
      <c r="A334" s="816">
        <v>2</v>
      </c>
      <c r="C334" s="1071"/>
      <c r="D334" s="1071"/>
      <c r="E334" s="1071"/>
      <c r="F334" s="1071" t="s">
        <v>1046</v>
      </c>
      <c r="G334" s="1071" t="s">
        <v>531</v>
      </c>
      <c r="H334" s="1072" t="s">
        <v>1060</v>
      </c>
      <c r="I334" s="1073">
        <f>SUM(K334:M334)</f>
        <v>8000</v>
      </c>
      <c r="J334" s="1074"/>
      <c r="K334" s="1073">
        <v>8000</v>
      </c>
      <c r="L334" s="1075"/>
      <c r="M334" s="1075"/>
      <c r="N334" s="450"/>
      <c r="O334" s="929"/>
      <c r="P334" s="463"/>
      <c r="T334"/>
    </row>
    <row r="335" spans="1:20" s="343" customFormat="1" ht="15" customHeight="1" x14ac:dyDescent="0.2">
      <c r="A335" s="816">
        <v>1</v>
      </c>
      <c r="C335" s="611"/>
      <c r="D335" s="611"/>
      <c r="E335" s="611"/>
      <c r="F335" s="1071" t="s">
        <v>1046</v>
      </c>
      <c r="G335" s="1071" t="s">
        <v>531</v>
      </c>
      <c r="H335" s="612" t="s">
        <v>1061</v>
      </c>
      <c r="I335" s="1076">
        <f>SUM(K335:M335)</f>
        <v>15000</v>
      </c>
      <c r="J335" s="1070"/>
      <c r="K335" s="1077">
        <v>15000</v>
      </c>
      <c r="L335" s="615"/>
      <c r="M335" s="615"/>
      <c r="N335" s="450"/>
      <c r="O335" s="955" t="s">
        <v>905</v>
      </c>
      <c r="P335" s="463"/>
      <c r="T335"/>
    </row>
    <row r="336" spans="1:20" s="343" customFormat="1" ht="13.9" customHeight="1" x14ac:dyDescent="0.2">
      <c r="A336" s="1044">
        <v>1</v>
      </c>
      <c r="C336" s="1071"/>
      <c r="D336" s="1071"/>
      <c r="E336" s="1071"/>
      <c r="F336" s="1071" t="s">
        <v>1046</v>
      </c>
      <c r="G336" s="1071" t="s">
        <v>531</v>
      </c>
      <c r="H336" s="1072" t="s">
        <v>1062</v>
      </c>
      <c r="I336" s="1078">
        <f>SUM(K336:M336)</f>
        <v>0</v>
      </c>
      <c r="J336" s="1079"/>
      <c r="K336" s="1080">
        <f>113000-113000</f>
        <v>0</v>
      </c>
      <c r="L336" s="1081"/>
      <c r="M336" s="1081"/>
      <c r="N336" s="450"/>
      <c r="O336" s="955" t="s">
        <v>1063</v>
      </c>
      <c r="P336" s="463"/>
      <c r="T336"/>
    </row>
    <row r="337" spans="1:20" s="343" customFormat="1" ht="13.9" customHeight="1" thickBot="1" x14ac:dyDescent="0.25">
      <c r="A337" s="1044">
        <v>1</v>
      </c>
      <c r="C337" s="604"/>
      <c r="D337" s="604"/>
      <c r="E337" s="604"/>
      <c r="F337" s="604" t="s">
        <v>1046</v>
      </c>
      <c r="G337" s="604" t="s">
        <v>531</v>
      </c>
      <c r="H337" s="605" t="s">
        <v>1064</v>
      </c>
      <c r="I337" s="1058">
        <f>SUM(K337:M337)</f>
        <v>160000</v>
      </c>
      <c r="J337" s="1082"/>
      <c r="K337" s="1083">
        <f>100000+60000</f>
        <v>160000</v>
      </c>
      <c r="L337" s="606"/>
      <c r="M337" s="606"/>
      <c r="N337" s="450"/>
      <c r="O337" s="955"/>
      <c r="P337" s="463"/>
      <c r="T337"/>
    </row>
    <row r="338" spans="1:20" s="343" customFormat="1" ht="24.75" thickTop="1" x14ac:dyDescent="0.2">
      <c r="A338" s="816">
        <v>1</v>
      </c>
      <c r="C338" s="483"/>
      <c r="D338" s="483"/>
      <c r="E338" s="483"/>
      <c r="F338" s="483" t="s">
        <v>1039</v>
      </c>
      <c r="G338" s="483" t="s">
        <v>542</v>
      </c>
      <c r="H338" s="569" t="s">
        <v>1065</v>
      </c>
      <c r="I338" s="1084">
        <f t="shared" si="17"/>
        <v>30000</v>
      </c>
      <c r="J338" s="628"/>
      <c r="K338" s="481">
        <v>30000</v>
      </c>
      <c r="L338" s="627"/>
      <c r="M338" s="627"/>
      <c r="N338" s="450"/>
      <c r="O338" s="1059"/>
      <c r="P338" s="463"/>
      <c r="T338"/>
    </row>
    <row r="339" spans="1:20" s="343" customFormat="1" ht="24.6" hidden="1" customHeight="1" x14ac:dyDescent="0.2">
      <c r="A339" s="816">
        <v>2</v>
      </c>
      <c r="C339" s="452"/>
      <c r="D339" s="452"/>
      <c r="E339" s="452"/>
      <c r="F339" s="452" t="s">
        <v>1039</v>
      </c>
      <c r="G339" s="440" t="s">
        <v>542</v>
      </c>
      <c r="H339" s="449" t="s">
        <v>1066</v>
      </c>
      <c r="I339" s="442">
        <f>K339</f>
        <v>22000</v>
      </c>
      <c r="J339" s="630"/>
      <c r="K339" s="442">
        <v>22000</v>
      </c>
      <c r="L339" s="629"/>
      <c r="M339" s="629"/>
      <c r="N339" s="450"/>
      <c r="O339" s="1059"/>
      <c r="P339" s="463"/>
      <c r="T339"/>
    </row>
    <row r="340" spans="1:20" s="343" customFormat="1" ht="15.75" customHeight="1" x14ac:dyDescent="0.2">
      <c r="A340" s="816">
        <v>1</v>
      </c>
      <c r="C340" s="452"/>
      <c r="D340" s="452"/>
      <c r="E340" s="452"/>
      <c r="F340" s="452" t="s">
        <v>1039</v>
      </c>
      <c r="G340" s="440" t="s">
        <v>542</v>
      </c>
      <c r="H340" s="449" t="s">
        <v>1067</v>
      </c>
      <c r="I340" s="1085">
        <f>K340</f>
        <v>22000</v>
      </c>
      <c r="J340" s="630"/>
      <c r="K340" s="442">
        <v>22000</v>
      </c>
      <c r="L340" s="629"/>
      <c r="M340" s="629"/>
      <c r="N340" s="450"/>
      <c r="O340" s="1059"/>
      <c r="P340" s="463"/>
      <c r="T340"/>
    </row>
    <row r="341" spans="1:20" s="343" customFormat="1" x14ac:dyDescent="0.2">
      <c r="A341" s="816">
        <v>1</v>
      </c>
      <c r="C341" s="452"/>
      <c r="D341" s="452"/>
      <c r="E341" s="452"/>
      <c r="F341" s="452" t="s">
        <v>1039</v>
      </c>
      <c r="G341" s="440" t="s">
        <v>542</v>
      </c>
      <c r="H341" s="449" t="s">
        <v>1068</v>
      </c>
      <c r="I341" s="1085">
        <f t="shared" ref="I341:I346" si="18">K341</f>
        <v>15000</v>
      </c>
      <c r="J341" s="630"/>
      <c r="K341" s="442">
        <v>15000</v>
      </c>
      <c r="L341" s="629"/>
      <c r="M341" s="629"/>
      <c r="N341" s="450"/>
      <c r="O341" s="1059"/>
      <c r="P341" s="463"/>
      <c r="T341"/>
    </row>
    <row r="342" spans="1:20" s="343" customFormat="1" x14ac:dyDescent="0.2">
      <c r="A342" s="816">
        <v>1</v>
      </c>
      <c r="C342" s="452"/>
      <c r="D342" s="452"/>
      <c r="E342" s="452"/>
      <c r="F342" s="452" t="s">
        <v>1039</v>
      </c>
      <c r="G342" s="440" t="s">
        <v>542</v>
      </c>
      <c r="H342" s="449" t="s">
        <v>1069</v>
      </c>
      <c r="I342" s="1085">
        <f>K342</f>
        <v>15000</v>
      </c>
      <c r="J342" s="630"/>
      <c r="K342" s="442">
        <v>15000</v>
      </c>
      <c r="L342" s="629"/>
      <c r="M342" s="629"/>
      <c r="N342" s="450"/>
      <c r="O342" s="1059"/>
      <c r="P342" s="463"/>
      <c r="T342"/>
    </row>
    <row r="343" spans="1:20" s="343" customFormat="1" x14ac:dyDescent="0.2">
      <c r="A343" s="816">
        <v>1</v>
      </c>
      <c r="C343" s="452"/>
      <c r="D343" s="452"/>
      <c r="E343" s="452"/>
      <c r="F343" s="452" t="s">
        <v>1039</v>
      </c>
      <c r="G343" s="440" t="s">
        <v>542</v>
      </c>
      <c r="H343" s="449" t="s">
        <v>1070</v>
      </c>
      <c r="I343" s="1085">
        <f>K343</f>
        <v>4400</v>
      </c>
      <c r="J343" s="630"/>
      <c r="K343" s="442">
        <v>4400</v>
      </c>
      <c r="L343" s="629"/>
      <c r="M343" s="629"/>
      <c r="N343" s="450"/>
      <c r="O343" s="1059"/>
      <c r="P343" s="463"/>
      <c r="T343"/>
    </row>
    <row r="344" spans="1:20" s="343" customFormat="1" hidden="1" x14ac:dyDescent="0.2">
      <c r="A344" s="816">
        <v>2</v>
      </c>
      <c r="C344" s="452"/>
      <c r="D344" s="452"/>
      <c r="E344" s="452"/>
      <c r="F344" s="452" t="s">
        <v>1039</v>
      </c>
      <c r="G344" s="440" t="s">
        <v>542</v>
      </c>
      <c r="H344" s="449" t="s">
        <v>1071</v>
      </c>
      <c r="I344" s="442">
        <f t="shared" si="18"/>
        <v>30000</v>
      </c>
      <c r="J344" s="630"/>
      <c r="K344" s="442">
        <v>30000</v>
      </c>
      <c r="L344" s="629"/>
      <c r="M344" s="629"/>
      <c r="N344" s="450"/>
      <c r="O344" s="1059"/>
      <c r="P344" s="463"/>
      <c r="T344"/>
    </row>
    <row r="345" spans="1:20" s="343" customFormat="1" hidden="1" x14ac:dyDescent="0.2">
      <c r="A345" s="816">
        <v>2</v>
      </c>
      <c r="C345" s="452">
        <v>1</v>
      </c>
      <c r="D345" s="452"/>
      <c r="E345" s="452"/>
      <c r="F345" s="452" t="s">
        <v>1039</v>
      </c>
      <c r="G345" s="440" t="s">
        <v>542</v>
      </c>
      <c r="H345" s="449" t="s">
        <v>1072</v>
      </c>
      <c r="I345" s="442">
        <f t="shared" si="18"/>
        <v>50000</v>
      </c>
      <c r="J345" s="630"/>
      <c r="K345" s="442">
        <v>50000</v>
      </c>
      <c r="L345" s="629"/>
      <c r="M345" s="629"/>
      <c r="N345" s="450"/>
      <c r="O345" s="1059"/>
      <c r="P345" s="463"/>
      <c r="T345"/>
    </row>
    <row r="346" spans="1:20" s="343" customFormat="1" ht="24" x14ac:dyDescent="0.2">
      <c r="A346" s="816">
        <v>1</v>
      </c>
      <c r="C346" s="452"/>
      <c r="D346" s="452"/>
      <c r="E346" s="452"/>
      <c r="F346" s="452" t="s">
        <v>1039</v>
      </c>
      <c r="G346" s="440" t="s">
        <v>542</v>
      </c>
      <c r="H346" s="449" t="s">
        <v>1073</v>
      </c>
      <c r="I346" s="1085">
        <f t="shared" si="18"/>
        <v>40000</v>
      </c>
      <c r="J346" s="630"/>
      <c r="K346" s="442">
        <v>40000</v>
      </c>
      <c r="L346" s="629"/>
      <c r="M346" s="629"/>
      <c r="N346" s="450"/>
      <c r="O346" s="1059"/>
      <c r="P346" s="463"/>
      <c r="T346"/>
    </row>
    <row r="347" spans="1:20" s="343" customFormat="1" ht="24" hidden="1" x14ac:dyDescent="0.2">
      <c r="A347" s="816">
        <v>2</v>
      </c>
      <c r="C347" s="452"/>
      <c r="D347" s="452"/>
      <c r="E347" s="452"/>
      <c r="F347" s="452" t="s">
        <v>1039</v>
      </c>
      <c r="G347" s="440" t="s">
        <v>542</v>
      </c>
      <c r="H347" s="449" t="s">
        <v>1074</v>
      </c>
      <c r="I347" s="442">
        <f t="shared" si="17"/>
        <v>30000</v>
      </c>
      <c r="J347" s="630"/>
      <c r="K347" s="442">
        <v>30000</v>
      </c>
      <c r="L347" s="629"/>
      <c r="M347" s="629"/>
      <c r="N347" s="450"/>
      <c r="O347" s="1059"/>
      <c r="P347" s="463"/>
      <c r="T347"/>
    </row>
    <row r="348" spans="1:20" s="343" customFormat="1" hidden="1" x14ac:dyDescent="0.2">
      <c r="A348" s="816">
        <v>2</v>
      </c>
      <c r="C348" s="452">
        <v>1</v>
      </c>
      <c r="D348" s="452"/>
      <c r="E348" s="452"/>
      <c r="F348" s="452" t="s">
        <v>1039</v>
      </c>
      <c r="G348" s="440" t="s">
        <v>542</v>
      </c>
      <c r="H348" s="449" t="s">
        <v>1075</v>
      </c>
      <c r="I348" s="442">
        <f t="shared" si="17"/>
        <v>16000</v>
      </c>
      <c r="J348" s="630"/>
      <c r="K348" s="442">
        <v>16000</v>
      </c>
      <c r="L348" s="629"/>
      <c r="M348" s="629"/>
      <c r="N348" s="450"/>
      <c r="O348" s="1059"/>
      <c r="P348" s="463"/>
      <c r="T348"/>
    </row>
    <row r="349" spans="1:20" s="343" customFormat="1" x14ac:dyDescent="0.2">
      <c r="A349" s="816">
        <v>1</v>
      </c>
      <c r="C349" s="452"/>
      <c r="D349" s="452"/>
      <c r="E349" s="452"/>
      <c r="F349" s="452" t="s">
        <v>1039</v>
      </c>
      <c r="G349" s="440" t="s">
        <v>542</v>
      </c>
      <c r="H349" s="449" t="s">
        <v>1076</v>
      </c>
      <c r="I349" s="1085">
        <f t="shared" si="17"/>
        <v>8000</v>
      </c>
      <c r="J349" s="630"/>
      <c r="K349" s="442">
        <v>8000</v>
      </c>
      <c r="L349" s="629"/>
      <c r="M349" s="629"/>
      <c r="N349" s="450"/>
      <c r="O349" s="1059"/>
      <c r="P349" s="463"/>
      <c r="T349"/>
    </row>
    <row r="350" spans="1:20" s="343" customFormat="1" x14ac:dyDescent="0.2">
      <c r="A350" s="816">
        <v>1</v>
      </c>
      <c r="C350" s="452"/>
      <c r="D350" s="452"/>
      <c r="E350" s="452"/>
      <c r="F350" s="452" t="s">
        <v>1039</v>
      </c>
      <c r="G350" s="440" t="s">
        <v>542</v>
      </c>
      <c r="H350" s="454" t="s">
        <v>1077</v>
      </c>
      <c r="I350" s="1085">
        <f t="shared" si="17"/>
        <v>12500</v>
      </c>
      <c r="J350" s="630"/>
      <c r="K350" s="442">
        <v>12500</v>
      </c>
      <c r="L350" s="629"/>
      <c r="M350" s="629"/>
      <c r="N350" s="450"/>
      <c r="O350" s="1059"/>
      <c r="P350" s="463"/>
      <c r="T350"/>
    </row>
    <row r="351" spans="1:20" s="343" customFormat="1" x14ac:dyDescent="0.2">
      <c r="A351" s="816">
        <v>1</v>
      </c>
      <c r="C351" s="452"/>
      <c r="D351" s="452"/>
      <c r="E351" s="452"/>
      <c r="F351" s="452" t="s">
        <v>1039</v>
      </c>
      <c r="G351" s="440" t="s">
        <v>542</v>
      </c>
      <c r="H351" s="454" t="s">
        <v>1078</v>
      </c>
      <c r="I351" s="1085">
        <f t="shared" si="17"/>
        <v>7000</v>
      </c>
      <c r="J351" s="630"/>
      <c r="K351" s="442">
        <v>7000</v>
      </c>
      <c r="L351" s="629"/>
      <c r="M351" s="629"/>
      <c r="N351" s="450"/>
      <c r="O351" s="1059"/>
      <c r="P351" s="463"/>
      <c r="T351"/>
    </row>
    <row r="352" spans="1:20" s="343" customFormat="1" x14ac:dyDescent="0.2">
      <c r="A352" s="816">
        <v>1</v>
      </c>
      <c r="C352" s="587"/>
      <c r="D352" s="587"/>
      <c r="E352" s="587"/>
      <c r="F352" s="587" t="s">
        <v>1039</v>
      </c>
      <c r="G352" s="494" t="s">
        <v>542</v>
      </c>
      <c r="H352" s="1086" t="s">
        <v>1079</v>
      </c>
      <c r="I352" s="1085">
        <f t="shared" si="17"/>
        <v>5200</v>
      </c>
      <c r="J352" s="632"/>
      <c r="K352" s="491">
        <v>5200</v>
      </c>
      <c r="L352" s="631"/>
      <c r="M352" s="631"/>
      <c r="N352" s="450"/>
      <c r="O352" s="1059"/>
      <c r="P352" s="463"/>
      <c r="T352"/>
    </row>
    <row r="353" spans="1:20" s="343" customFormat="1" x14ac:dyDescent="0.2">
      <c r="A353" s="816">
        <v>1</v>
      </c>
      <c r="C353" s="587"/>
      <c r="D353" s="587"/>
      <c r="E353" s="587"/>
      <c r="F353" s="587" t="s">
        <v>1039</v>
      </c>
      <c r="G353" s="494" t="s">
        <v>542</v>
      </c>
      <c r="H353" s="561" t="s">
        <v>1080</v>
      </c>
      <c r="I353" s="797">
        <f t="shared" si="17"/>
        <v>190000</v>
      </c>
      <c r="J353" s="632"/>
      <c r="K353" s="1087">
        <v>190000</v>
      </c>
      <c r="L353" s="631"/>
      <c r="M353" s="631"/>
      <c r="N353" s="450"/>
      <c r="O353" s="955" t="s">
        <v>905</v>
      </c>
      <c r="P353" s="463"/>
      <c r="T353"/>
    </row>
    <row r="354" spans="1:20" s="343" customFormat="1" x14ac:dyDescent="0.2">
      <c r="A354" s="816">
        <v>1</v>
      </c>
      <c r="B354" s="587"/>
      <c r="C354" s="587"/>
      <c r="D354" s="587"/>
      <c r="E354" s="587"/>
      <c r="F354" s="587" t="s">
        <v>1039</v>
      </c>
      <c r="G354" s="494" t="s">
        <v>542</v>
      </c>
      <c r="H354" s="561" t="s">
        <v>1081</v>
      </c>
      <c r="I354" s="797">
        <f t="shared" si="17"/>
        <v>10000</v>
      </c>
      <c r="J354" s="632"/>
      <c r="K354" s="1088">
        <f>75000-10000-55000</f>
        <v>10000</v>
      </c>
      <c r="L354" s="631"/>
      <c r="M354" s="631"/>
      <c r="N354" s="450"/>
      <c r="O354" s="955" t="s">
        <v>1082</v>
      </c>
      <c r="P354" s="463"/>
      <c r="T354"/>
    </row>
    <row r="355" spans="1:20" s="343" customFormat="1" x14ac:dyDescent="0.2">
      <c r="A355" s="816">
        <v>1</v>
      </c>
      <c r="C355" s="587"/>
      <c r="D355" s="587"/>
      <c r="E355" s="587"/>
      <c r="F355" s="1089" t="s">
        <v>206</v>
      </c>
      <c r="G355" s="1089" t="s">
        <v>206</v>
      </c>
      <c r="H355" s="449" t="s">
        <v>1083</v>
      </c>
      <c r="I355" s="797">
        <f t="shared" si="17"/>
        <v>50000</v>
      </c>
      <c r="J355" s="632"/>
      <c r="K355" s="1087">
        <v>50000</v>
      </c>
      <c r="L355" s="631"/>
      <c r="M355" s="631"/>
      <c r="N355" s="450"/>
      <c r="O355" s="955" t="s">
        <v>905</v>
      </c>
      <c r="P355" s="463"/>
      <c r="T355"/>
    </row>
    <row r="356" spans="1:20" s="343" customFormat="1" ht="24" x14ac:dyDescent="0.2">
      <c r="A356" s="816">
        <v>1</v>
      </c>
      <c r="C356" s="587"/>
      <c r="D356" s="587"/>
      <c r="E356" s="587"/>
      <c r="F356" s="587" t="s">
        <v>1039</v>
      </c>
      <c r="G356" s="494" t="s">
        <v>542</v>
      </c>
      <c r="H356" s="449" t="s">
        <v>1084</v>
      </c>
      <c r="I356" s="797">
        <f t="shared" si="17"/>
        <v>25000</v>
      </c>
      <c r="J356" s="632"/>
      <c r="K356" s="1087">
        <f>10000+15000</f>
        <v>25000</v>
      </c>
      <c r="L356" s="631"/>
      <c r="M356" s="631"/>
      <c r="N356" s="450"/>
      <c r="O356" s="955" t="s">
        <v>905</v>
      </c>
      <c r="P356" s="463"/>
      <c r="T356"/>
    </row>
    <row r="357" spans="1:20" s="343" customFormat="1" x14ac:dyDescent="0.2">
      <c r="A357" s="816">
        <v>1</v>
      </c>
      <c r="C357" s="587"/>
      <c r="D357" s="587"/>
      <c r="E357" s="587"/>
      <c r="F357" s="587" t="s">
        <v>1039</v>
      </c>
      <c r="G357" s="494" t="s">
        <v>542</v>
      </c>
      <c r="H357" s="449" t="s">
        <v>1085</v>
      </c>
      <c r="I357" s="797">
        <f t="shared" si="17"/>
        <v>20000</v>
      </c>
      <c r="J357" s="632"/>
      <c r="K357" s="1087">
        <v>20000</v>
      </c>
      <c r="L357" s="631"/>
      <c r="M357" s="631"/>
      <c r="N357" s="450"/>
      <c r="O357" s="955" t="s">
        <v>905</v>
      </c>
      <c r="P357" s="463"/>
      <c r="T357"/>
    </row>
    <row r="358" spans="1:20" s="343" customFormat="1" x14ac:dyDescent="0.2">
      <c r="A358" s="816">
        <v>1</v>
      </c>
      <c r="C358" s="587"/>
      <c r="D358" s="587"/>
      <c r="E358" s="587"/>
      <c r="F358" s="1090" t="s">
        <v>296</v>
      </c>
      <c r="G358" s="1090" t="s">
        <v>296</v>
      </c>
      <c r="H358" s="449" t="s">
        <v>1086</v>
      </c>
      <c r="I358" s="797">
        <f t="shared" si="17"/>
        <v>25000</v>
      </c>
      <c r="J358" s="632"/>
      <c r="K358" s="1087">
        <v>25000</v>
      </c>
      <c r="L358" s="631"/>
      <c r="M358" s="631"/>
      <c r="N358" s="450"/>
      <c r="O358" s="955" t="s">
        <v>905</v>
      </c>
      <c r="P358" s="463"/>
      <c r="T358"/>
    </row>
    <row r="359" spans="1:20" s="343" customFormat="1" hidden="1" x14ac:dyDescent="0.2">
      <c r="A359" s="816">
        <v>2</v>
      </c>
      <c r="C359" s="452"/>
      <c r="D359" s="452"/>
      <c r="E359" s="452"/>
      <c r="F359" s="452" t="s">
        <v>528</v>
      </c>
      <c r="G359" s="440" t="s">
        <v>542</v>
      </c>
      <c r="H359" s="449" t="s">
        <v>1087</v>
      </c>
      <c r="I359" s="442">
        <f t="shared" si="17"/>
        <v>80000</v>
      </c>
      <c r="J359" s="630"/>
      <c r="K359" s="442">
        <v>80000</v>
      </c>
      <c r="L359" s="629"/>
      <c r="M359" s="629"/>
      <c r="N359" s="450"/>
      <c r="O359" s="1059"/>
      <c r="P359" s="463"/>
      <c r="T359"/>
    </row>
    <row r="360" spans="1:20" s="343" customFormat="1" ht="24.75" hidden="1" thickBot="1" x14ac:dyDescent="0.25">
      <c r="A360" s="816">
        <v>2</v>
      </c>
      <c r="C360" s="633"/>
      <c r="D360" s="633"/>
      <c r="E360" s="633"/>
      <c r="F360" s="633" t="s">
        <v>528</v>
      </c>
      <c r="G360" s="497" t="s">
        <v>542</v>
      </c>
      <c r="H360" s="634" t="s">
        <v>1088</v>
      </c>
      <c r="I360" s="500">
        <f t="shared" si="17"/>
        <v>16000</v>
      </c>
      <c r="J360" s="636"/>
      <c r="K360" s="500">
        <v>16000</v>
      </c>
      <c r="L360" s="1091"/>
      <c r="M360" s="1091"/>
      <c r="N360" s="450"/>
      <c r="O360" s="1059"/>
      <c r="P360" s="463"/>
      <c r="T360"/>
    </row>
    <row r="361" spans="1:20" s="343" customFormat="1" ht="22.5" x14ac:dyDescent="0.2">
      <c r="A361" s="816">
        <v>1</v>
      </c>
      <c r="C361" s="483"/>
      <c r="D361" s="483"/>
      <c r="E361" s="483"/>
      <c r="F361" s="483" t="s">
        <v>804</v>
      </c>
      <c r="G361" s="477" t="s">
        <v>805</v>
      </c>
      <c r="H361" s="569" t="s">
        <v>577</v>
      </c>
      <c r="I361" s="1068">
        <f t="shared" si="17"/>
        <v>25000</v>
      </c>
      <c r="J361" s="517"/>
      <c r="K361" s="485">
        <v>25000</v>
      </c>
      <c r="L361" s="608"/>
      <c r="M361" s="608"/>
      <c r="N361" s="450"/>
      <c r="O361" s="429"/>
      <c r="P361" s="464" t="s">
        <v>1089</v>
      </c>
      <c r="T361"/>
    </row>
    <row r="362" spans="1:20" s="343" customFormat="1" ht="22.5" x14ac:dyDescent="0.2">
      <c r="A362" s="816">
        <v>1</v>
      </c>
      <c r="C362" s="452"/>
      <c r="D362" s="643"/>
      <c r="E362" s="644"/>
      <c r="F362" s="644" t="s">
        <v>804</v>
      </c>
      <c r="G362" s="824" t="s">
        <v>805</v>
      </c>
      <c r="H362" s="645" t="s">
        <v>1090</v>
      </c>
      <c r="I362" s="1092">
        <f t="shared" si="17"/>
        <v>25000</v>
      </c>
      <c r="J362" s="1001"/>
      <c r="K362" s="1002">
        <v>25000</v>
      </c>
      <c r="L362" s="425"/>
      <c r="M362" s="597"/>
      <c r="N362" s="450"/>
      <c r="O362" s="929"/>
      <c r="P362" s="464" t="s">
        <v>1091</v>
      </c>
      <c r="T362"/>
    </row>
    <row r="363" spans="1:20" x14ac:dyDescent="0.2">
      <c r="A363" s="816"/>
      <c r="B363" s="343"/>
      <c r="C363" s="509"/>
      <c r="D363" s="509"/>
      <c r="E363" s="509"/>
      <c r="F363" s="648"/>
      <c r="G363" s="603"/>
      <c r="H363" s="592" t="s">
        <v>583</v>
      </c>
      <c r="I363" s="593"/>
      <c r="J363" s="649"/>
      <c r="K363" s="960"/>
      <c r="L363" s="595"/>
      <c r="M363" s="595"/>
      <c r="N363" s="450"/>
      <c r="O363" s="929"/>
      <c r="P363" s="463"/>
      <c r="Q363"/>
    </row>
    <row r="364" spans="1:20" x14ac:dyDescent="0.2">
      <c r="A364" s="816">
        <v>1</v>
      </c>
      <c r="B364" s="343"/>
      <c r="C364" s="343"/>
      <c r="D364" s="440"/>
      <c r="E364" s="440"/>
      <c r="F364" s="452" t="s">
        <v>800</v>
      </c>
      <c r="G364" s="440" t="s">
        <v>528</v>
      </c>
      <c r="H364" s="1093" t="s">
        <v>1092</v>
      </c>
      <c r="I364" s="980">
        <f t="shared" ref="I364:I387" si="19">SUM(K364:M364)</f>
        <v>34000</v>
      </c>
      <c r="J364" s="450"/>
      <c r="K364" s="442">
        <v>34000</v>
      </c>
      <c r="L364" s="597"/>
      <c r="M364" s="597"/>
      <c r="N364" s="450"/>
      <c r="O364" s="929"/>
      <c r="P364" s="463" t="s">
        <v>1093</v>
      </c>
      <c r="Q364"/>
    </row>
    <row r="365" spans="1:20" x14ac:dyDescent="0.2">
      <c r="A365" s="816">
        <v>1</v>
      </c>
      <c r="B365" s="343"/>
      <c r="C365" s="343"/>
      <c r="D365" s="440"/>
      <c r="E365" s="440"/>
      <c r="F365" s="452" t="s">
        <v>800</v>
      </c>
      <c r="G365" s="440" t="s">
        <v>528</v>
      </c>
      <c r="H365" s="931" t="s">
        <v>1094</v>
      </c>
      <c r="I365" s="980">
        <f t="shared" si="19"/>
        <v>65000</v>
      </c>
      <c r="J365" s="450"/>
      <c r="K365" s="442">
        <v>65000</v>
      </c>
      <c r="L365" s="597"/>
      <c r="M365" s="597"/>
      <c r="N365" s="450"/>
      <c r="O365" s="929"/>
      <c r="P365" s="463" t="s">
        <v>1093</v>
      </c>
      <c r="Q365"/>
    </row>
    <row r="366" spans="1:20" x14ac:dyDescent="0.2">
      <c r="A366" s="816">
        <v>1</v>
      </c>
      <c r="B366" s="343"/>
      <c r="C366" s="343"/>
      <c r="D366" s="440"/>
      <c r="E366" s="440"/>
      <c r="F366" s="452" t="s">
        <v>800</v>
      </c>
      <c r="G366" s="440" t="s">
        <v>528</v>
      </c>
      <c r="H366" s="931" t="s">
        <v>1095</v>
      </c>
      <c r="I366" s="980">
        <f t="shared" si="19"/>
        <v>34000</v>
      </c>
      <c r="J366" s="450"/>
      <c r="K366" s="442">
        <v>34000</v>
      </c>
      <c r="L366" s="597"/>
      <c r="M366" s="597"/>
      <c r="N366" s="450"/>
      <c r="O366" s="929"/>
      <c r="P366" s="463" t="s">
        <v>1093</v>
      </c>
      <c r="Q366"/>
    </row>
    <row r="367" spans="1:20" x14ac:dyDescent="0.2">
      <c r="A367" s="816">
        <v>1</v>
      </c>
      <c r="B367" s="343"/>
      <c r="C367" s="343"/>
      <c r="D367" s="440"/>
      <c r="E367" s="440"/>
      <c r="F367" s="452" t="s">
        <v>800</v>
      </c>
      <c r="G367" s="440" t="s">
        <v>528</v>
      </c>
      <c r="H367" s="1093" t="s">
        <v>1096</v>
      </c>
      <c r="I367" s="980">
        <f t="shared" si="19"/>
        <v>33000</v>
      </c>
      <c r="J367" s="450"/>
      <c r="K367" s="442">
        <v>33000</v>
      </c>
      <c r="L367" s="597"/>
      <c r="M367" s="597"/>
      <c r="N367" s="450"/>
      <c r="O367" s="929"/>
      <c r="P367" s="463" t="s">
        <v>1093</v>
      </c>
      <c r="Q367"/>
    </row>
    <row r="368" spans="1:20" ht="22.5" x14ac:dyDescent="0.2">
      <c r="A368" s="816">
        <v>1</v>
      </c>
      <c r="B368" s="343"/>
      <c r="C368" s="343"/>
      <c r="D368" s="440"/>
      <c r="E368" s="440"/>
      <c r="F368" s="452" t="s">
        <v>800</v>
      </c>
      <c r="G368" s="440" t="s">
        <v>528</v>
      </c>
      <c r="H368" s="665" t="s">
        <v>1097</v>
      </c>
      <c r="I368" s="980">
        <f t="shared" si="19"/>
        <v>40000</v>
      </c>
      <c r="J368" s="450"/>
      <c r="K368" s="442">
        <v>40000</v>
      </c>
      <c r="L368" s="597"/>
      <c r="M368" s="597"/>
      <c r="N368" s="450"/>
      <c r="O368" s="929"/>
      <c r="P368" s="463" t="s">
        <v>1093</v>
      </c>
      <c r="Q368"/>
    </row>
    <row r="369" spans="1:20" ht="21" customHeight="1" x14ac:dyDescent="0.2">
      <c r="A369" s="816">
        <v>1</v>
      </c>
      <c r="B369" s="343"/>
      <c r="C369" s="343"/>
      <c r="D369" s="440"/>
      <c r="E369" s="440"/>
      <c r="F369" s="452" t="s">
        <v>800</v>
      </c>
      <c r="G369" s="440" t="s">
        <v>528</v>
      </c>
      <c r="H369" s="659" t="s">
        <v>1098</v>
      </c>
      <c r="I369" s="980">
        <f t="shared" si="19"/>
        <v>20000</v>
      </c>
      <c r="J369" s="450"/>
      <c r="K369" s="442">
        <v>20000</v>
      </c>
      <c r="L369" s="597"/>
      <c r="M369" s="597"/>
      <c r="N369" s="450"/>
      <c r="O369" s="929"/>
      <c r="P369" s="463" t="s">
        <v>1093</v>
      </c>
      <c r="Q369"/>
    </row>
    <row r="370" spans="1:20" ht="20.45" customHeight="1" x14ac:dyDescent="0.2">
      <c r="A370" s="816">
        <v>1</v>
      </c>
      <c r="B370" s="343"/>
      <c r="C370" s="440"/>
      <c r="D370" s="440"/>
      <c r="E370" s="440"/>
      <c r="F370" s="448" t="s">
        <v>800</v>
      </c>
      <c r="G370" s="440" t="s">
        <v>528</v>
      </c>
      <c r="H370" s="659" t="s">
        <v>1099</v>
      </c>
      <c r="I370" s="980">
        <f t="shared" si="19"/>
        <v>175000</v>
      </c>
      <c r="J370" s="450"/>
      <c r="K370" s="892">
        <f>550000-375000</f>
        <v>175000</v>
      </c>
      <c r="L370" s="442"/>
      <c r="M370" s="597"/>
      <c r="N370" s="450"/>
      <c r="O370" s="929"/>
      <c r="P370" s="1094" t="s">
        <v>1100</v>
      </c>
    </row>
    <row r="371" spans="1:20" ht="12.75" customHeight="1" x14ac:dyDescent="0.2">
      <c r="A371" s="816">
        <v>1</v>
      </c>
      <c r="B371" s="343"/>
      <c r="C371" s="440"/>
      <c r="D371" s="440"/>
      <c r="E371" s="440"/>
      <c r="F371" s="448" t="s">
        <v>800</v>
      </c>
      <c r="G371" s="440" t="s">
        <v>528</v>
      </c>
      <c r="H371" s="665" t="s">
        <v>1101</v>
      </c>
      <c r="I371" s="980">
        <f t="shared" si="19"/>
        <v>350000</v>
      </c>
      <c r="J371" s="450"/>
      <c r="K371" s="461">
        <f>1000000/2-150000</f>
        <v>350000</v>
      </c>
      <c r="L371" s="442"/>
      <c r="M371" s="597"/>
      <c r="N371" s="450"/>
      <c r="O371" s="929"/>
      <c r="P371" s="463" t="s">
        <v>323</v>
      </c>
    </row>
    <row r="372" spans="1:20" ht="23.45" customHeight="1" x14ac:dyDescent="0.2">
      <c r="A372" s="816">
        <v>1</v>
      </c>
      <c r="B372" s="343"/>
      <c r="C372" s="440"/>
      <c r="D372" s="440"/>
      <c r="E372" s="440"/>
      <c r="F372" s="448" t="s">
        <v>800</v>
      </c>
      <c r="G372" s="440" t="s">
        <v>528</v>
      </c>
      <c r="H372" s="665" t="s">
        <v>1102</v>
      </c>
      <c r="I372" s="980">
        <f t="shared" si="19"/>
        <v>150000</v>
      </c>
      <c r="J372" s="450"/>
      <c r="K372" s="461">
        <v>150000</v>
      </c>
      <c r="L372" s="442"/>
      <c r="M372" s="539"/>
      <c r="N372" s="450"/>
      <c r="O372" s="794"/>
      <c r="P372" s="463" t="s">
        <v>1103</v>
      </c>
    </row>
    <row r="373" spans="1:20" ht="25.15" customHeight="1" x14ac:dyDescent="0.2">
      <c r="A373" s="816">
        <v>1</v>
      </c>
      <c r="B373" s="343"/>
      <c r="C373" s="440"/>
      <c r="D373" s="440"/>
      <c r="E373" s="440"/>
      <c r="F373" s="448" t="s">
        <v>800</v>
      </c>
      <c r="G373" s="440" t="s">
        <v>528</v>
      </c>
      <c r="H373" s="665" t="s">
        <v>1104</v>
      </c>
      <c r="I373" s="980">
        <f t="shared" si="19"/>
        <v>130000</v>
      </c>
      <c r="J373" s="450"/>
      <c r="K373" s="461">
        <v>130000</v>
      </c>
      <c r="L373" s="442"/>
      <c r="M373" s="579"/>
      <c r="N373" s="450"/>
      <c r="O373" s="890"/>
      <c r="P373" s="463" t="s">
        <v>1103</v>
      </c>
    </row>
    <row r="374" spans="1:20" ht="23.45" customHeight="1" x14ac:dyDescent="0.2">
      <c r="A374" s="816">
        <v>1</v>
      </c>
      <c r="B374" s="343"/>
      <c r="C374" s="440"/>
      <c r="D374" s="440"/>
      <c r="E374" s="440"/>
      <c r="F374" s="448" t="s">
        <v>800</v>
      </c>
      <c r="G374" s="440" t="s">
        <v>528</v>
      </c>
      <c r="H374" s="665" t="s">
        <v>1105</v>
      </c>
      <c r="I374" s="980">
        <f t="shared" si="19"/>
        <v>60000</v>
      </c>
      <c r="J374" s="450"/>
      <c r="K374" s="461">
        <v>60000</v>
      </c>
      <c r="L374" s="442"/>
      <c r="M374" s="579"/>
      <c r="N374" s="450"/>
      <c r="O374" s="890"/>
      <c r="P374" s="463" t="s">
        <v>1106</v>
      </c>
    </row>
    <row r="375" spans="1:20" ht="12" customHeight="1" x14ac:dyDescent="0.2">
      <c r="A375" s="816">
        <v>1</v>
      </c>
      <c r="B375" s="343"/>
      <c r="C375" s="440"/>
      <c r="D375" s="440"/>
      <c r="E375" s="440"/>
      <c r="F375" s="448" t="s">
        <v>800</v>
      </c>
      <c r="G375" s="440" t="s">
        <v>528</v>
      </c>
      <c r="H375" s="665" t="s">
        <v>1107</v>
      </c>
      <c r="I375" s="980">
        <f t="shared" si="19"/>
        <v>30000</v>
      </c>
      <c r="J375" s="450"/>
      <c r="K375" s="461">
        <v>30000</v>
      </c>
      <c r="L375" s="442"/>
      <c r="M375" s="579"/>
      <c r="N375" s="450"/>
      <c r="O375" s="890"/>
      <c r="P375" s="463" t="s">
        <v>1108</v>
      </c>
    </row>
    <row r="376" spans="1:20" ht="27" customHeight="1" x14ac:dyDescent="0.2">
      <c r="A376" s="816">
        <v>1</v>
      </c>
      <c r="B376" s="343"/>
      <c r="C376" s="440"/>
      <c r="D376" s="440"/>
      <c r="E376" s="440"/>
      <c r="F376" s="448" t="s">
        <v>800</v>
      </c>
      <c r="G376" s="440" t="s">
        <v>528</v>
      </c>
      <c r="H376" s="665" t="s">
        <v>1109</v>
      </c>
      <c r="I376" s="980">
        <f t="shared" si="19"/>
        <v>160000</v>
      </c>
      <c r="J376" s="450"/>
      <c r="K376" s="461">
        <v>160000</v>
      </c>
      <c r="L376" s="442"/>
      <c r="M376" s="579"/>
      <c r="N376" s="450"/>
      <c r="O376" s="890"/>
      <c r="P376" s="463" t="s">
        <v>1110</v>
      </c>
    </row>
    <row r="377" spans="1:20" ht="16.149999999999999" customHeight="1" x14ac:dyDescent="0.2">
      <c r="A377" s="816">
        <v>1</v>
      </c>
      <c r="B377" s="343"/>
      <c r="C377" s="440"/>
      <c r="D377" s="440"/>
      <c r="E377" s="440"/>
      <c r="F377" s="448" t="s">
        <v>800</v>
      </c>
      <c r="G377" s="440" t="s">
        <v>528</v>
      </c>
      <c r="H377" s="669" t="s">
        <v>1111</v>
      </c>
      <c r="I377" s="797">
        <f t="shared" si="19"/>
        <v>50000</v>
      </c>
      <c r="J377" s="450"/>
      <c r="K377" s="892">
        <v>50000</v>
      </c>
      <c r="L377" s="442"/>
      <c r="M377" s="579"/>
      <c r="N377" s="450"/>
      <c r="O377" s="955" t="s">
        <v>905</v>
      </c>
      <c r="P377" s="463"/>
    </row>
    <row r="378" spans="1:20" ht="25.15" customHeight="1" x14ac:dyDescent="0.2">
      <c r="A378" s="816">
        <v>1</v>
      </c>
      <c r="B378" s="343"/>
      <c r="C378" s="494"/>
      <c r="D378" s="494"/>
      <c r="E378" s="494"/>
      <c r="F378" s="1095" t="s">
        <v>226</v>
      </c>
      <c r="G378" s="1095" t="s">
        <v>226</v>
      </c>
      <c r="H378" s="669" t="s">
        <v>1112</v>
      </c>
      <c r="I378" s="797">
        <f t="shared" si="19"/>
        <v>5000</v>
      </c>
      <c r="J378" s="450"/>
      <c r="K378" s="1087">
        <v>5000</v>
      </c>
      <c r="L378" s="491"/>
      <c r="M378" s="581"/>
      <c r="N378" s="450"/>
      <c r="O378" s="955" t="s">
        <v>905</v>
      </c>
      <c r="P378" s="463"/>
    </row>
    <row r="379" spans="1:20" s="343" customFormat="1" ht="22.5" x14ac:dyDescent="0.2">
      <c r="A379" s="816">
        <v>1</v>
      </c>
      <c r="C379" s="587"/>
      <c r="D379" s="587"/>
      <c r="E379" s="587"/>
      <c r="F379" s="587" t="s">
        <v>800</v>
      </c>
      <c r="G379" s="494" t="s">
        <v>542</v>
      </c>
      <c r="H379" s="665" t="s">
        <v>1113</v>
      </c>
      <c r="I379" s="797">
        <f t="shared" si="19"/>
        <v>30000</v>
      </c>
      <c r="J379" s="632"/>
      <c r="K379" s="1087">
        <f>10000+20000</f>
        <v>30000</v>
      </c>
      <c r="L379" s="631"/>
      <c r="M379" s="631"/>
      <c r="N379" s="450"/>
      <c r="O379" s="955" t="s">
        <v>905</v>
      </c>
      <c r="P379" s="463"/>
      <c r="T379"/>
    </row>
    <row r="380" spans="1:20" ht="25.5" hidden="1" customHeight="1" x14ac:dyDescent="0.2">
      <c r="A380" s="816">
        <v>2</v>
      </c>
      <c r="B380" s="343"/>
      <c r="C380" s="440"/>
      <c r="D380" s="440"/>
      <c r="E380" s="440"/>
      <c r="F380" s="448" t="s">
        <v>528</v>
      </c>
      <c r="G380" s="440" t="s">
        <v>528</v>
      </c>
      <c r="H380" s="669" t="s">
        <v>1114</v>
      </c>
      <c r="I380" s="442">
        <f t="shared" si="19"/>
        <v>95000</v>
      </c>
      <c r="J380" s="450"/>
      <c r="K380" s="461">
        <v>95000</v>
      </c>
      <c r="L380" s="442"/>
      <c r="M380" s="539"/>
      <c r="N380" s="450"/>
      <c r="O380" s="794"/>
      <c r="P380" s="463" t="s">
        <v>1115</v>
      </c>
    </row>
    <row r="381" spans="1:20" ht="27.6" hidden="1" customHeight="1" x14ac:dyDescent="0.2">
      <c r="A381" s="816">
        <v>2</v>
      </c>
      <c r="B381" s="343"/>
      <c r="C381" s="440"/>
      <c r="D381" s="440"/>
      <c r="E381" s="440"/>
      <c r="F381" s="448" t="s">
        <v>528</v>
      </c>
      <c r="G381" s="440" t="s">
        <v>528</v>
      </c>
      <c r="H381" s="665" t="s">
        <v>1116</v>
      </c>
      <c r="I381" s="442">
        <f t="shared" si="19"/>
        <v>250000</v>
      </c>
      <c r="J381" s="450"/>
      <c r="K381" s="461">
        <v>250000</v>
      </c>
      <c r="L381" s="442"/>
      <c r="M381" s="597"/>
      <c r="N381" s="450"/>
      <c r="O381" s="929"/>
      <c r="P381" s="463" t="s">
        <v>1117</v>
      </c>
    </row>
    <row r="382" spans="1:20" ht="18" hidden="1" customHeight="1" x14ac:dyDescent="0.2">
      <c r="A382" s="816">
        <v>2</v>
      </c>
      <c r="B382" s="343"/>
      <c r="C382" s="440"/>
      <c r="D382" s="440"/>
      <c r="E382" s="440"/>
      <c r="F382" s="448" t="s">
        <v>528</v>
      </c>
      <c r="G382" s="440" t="s">
        <v>528</v>
      </c>
      <c r="H382" s="1096" t="s">
        <v>1118</v>
      </c>
      <c r="I382" s="442">
        <f t="shared" si="19"/>
        <v>20000</v>
      </c>
      <c r="J382" s="450"/>
      <c r="K382" s="442">
        <v>20000</v>
      </c>
      <c r="L382" s="442"/>
      <c r="M382" s="597"/>
      <c r="N382" s="450"/>
      <c r="O382" s="929"/>
      <c r="P382" s="463" t="s">
        <v>1093</v>
      </c>
      <c r="Q382"/>
    </row>
    <row r="383" spans="1:20" x14ac:dyDescent="0.2">
      <c r="A383" s="816">
        <v>1</v>
      </c>
      <c r="B383" s="343"/>
      <c r="C383" s="440"/>
      <c r="D383" s="440"/>
      <c r="E383" s="440"/>
      <c r="F383" s="448" t="s">
        <v>800</v>
      </c>
      <c r="G383" s="440" t="s">
        <v>528</v>
      </c>
      <c r="H383" s="1097" t="s">
        <v>1119</v>
      </c>
      <c r="I383" s="980">
        <f t="shared" si="19"/>
        <v>50000</v>
      </c>
      <c r="J383" s="450"/>
      <c r="K383" s="461">
        <v>50000</v>
      </c>
      <c r="L383" s="442"/>
      <c r="M383" s="579"/>
      <c r="N383" s="450"/>
      <c r="O383" s="890"/>
      <c r="P383" s="463" t="s">
        <v>1093</v>
      </c>
    </row>
    <row r="384" spans="1:20" ht="22.5" x14ac:dyDescent="0.2">
      <c r="A384" s="816">
        <v>1</v>
      </c>
      <c r="B384" s="343"/>
      <c r="C384" s="440"/>
      <c r="D384" s="440"/>
      <c r="E384" s="440"/>
      <c r="F384" s="448" t="s">
        <v>800</v>
      </c>
      <c r="G384" s="440" t="s">
        <v>528</v>
      </c>
      <c r="H384" s="1097" t="s">
        <v>1120</v>
      </c>
      <c r="I384" s="980">
        <f t="shared" si="19"/>
        <v>96000</v>
      </c>
      <c r="J384" s="450"/>
      <c r="K384" s="461">
        <f>100000-4000</f>
        <v>96000</v>
      </c>
      <c r="L384" s="442"/>
      <c r="M384" s="579"/>
      <c r="N384" s="450"/>
      <c r="O384" s="890"/>
      <c r="P384" s="463" t="s">
        <v>1093</v>
      </c>
    </row>
    <row r="385" spans="1:17" ht="22.5" x14ac:dyDescent="0.2">
      <c r="A385" s="816">
        <v>1</v>
      </c>
      <c r="B385" s="343"/>
      <c r="C385" s="440"/>
      <c r="D385" s="440"/>
      <c r="E385" s="440"/>
      <c r="F385" s="448" t="s">
        <v>800</v>
      </c>
      <c r="G385" s="440" t="s">
        <v>528</v>
      </c>
      <c r="H385" s="1098" t="s">
        <v>1121</v>
      </c>
      <c r="I385" s="980">
        <f t="shared" si="19"/>
        <v>45000</v>
      </c>
      <c r="J385" s="450"/>
      <c r="K385" s="442">
        <v>45000</v>
      </c>
      <c r="L385" s="442"/>
      <c r="M385" s="579"/>
      <c r="N385" s="450"/>
      <c r="O385" s="890"/>
      <c r="P385" s="463" t="s">
        <v>1093</v>
      </c>
    </row>
    <row r="386" spans="1:17" ht="28.15" customHeight="1" x14ac:dyDescent="0.2">
      <c r="A386" s="816">
        <v>1</v>
      </c>
      <c r="B386" s="343"/>
      <c r="C386" s="440"/>
      <c r="D386" s="440"/>
      <c r="E386" s="440"/>
      <c r="F386" s="448" t="s">
        <v>528</v>
      </c>
      <c r="G386" s="440" t="s">
        <v>528</v>
      </c>
      <c r="H386" s="1099" t="s">
        <v>615</v>
      </c>
      <c r="I386" s="539">
        <f t="shared" si="19"/>
        <v>0</v>
      </c>
      <c r="J386" s="450"/>
      <c r="K386" s="461"/>
      <c r="L386" s="1045">
        <f>1100000-1100000</f>
        <v>0</v>
      </c>
      <c r="M386" s="579"/>
      <c r="N386" s="450"/>
      <c r="O386" s="890"/>
      <c r="P386" s="463" t="s">
        <v>616</v>
      </c>
      <c r="Q386"/>
    </row>
    <row r="387" spans="1:17" x14ac:dyDescent="0.2">
      <c r="A387" s="816">
        <v>1</v>
      </c>
      <c r="B387" s="343"/>
      <c r="C387" s="440"/>
      <c r="D387" s="440"/>
      <c r="E387" s="440"/>
      <c r="F387" s="448" t="s">
        <v>528</v>
      </c>
      <c r="G387" s="440" t="s">
        <v>528</v>
      </c>
      <c r="H387" s="1100" t="s">
        <v>1122</v>
      </c>
      <c r="I387" s="539">
        <f t="shared" si="19"/>
        <v>0</v>
      </c>
      <c r="J387" s="450"/>
      <c r="K387" s="442"/>
      <c r="L387" s="1045">
        <f>2000000-2000000</f>
        <v>0</v>
      </c>
      <c r="M387" s="597"/>
      <c r="N387" s="450"/>
      <c r="O387" s="929"/>
      <c r="P387" s="463" t="s">
        <v>616</v>
      </c>
    </row>
    <row r="388" spans="1:17" x14ac:dyDescent="0.2">
      <c r="A388" s="816"/>
      <c r="C388" s="440"/>
      <c r="D388" s="440"/>
      <c r="E388" s="440"/>
      <c r="F388" s="448" t="s">
        <v>528</v>
      </c>
      <c r="G388" s="648" t="s">
        <v>528</v>
      </c>
      <c r="H388" s="1101"/>
      <c r="I388" s="442">
        <f>SUM(K388:M388)</f>
        <v>0</v>
      </c>
      <c r="J388" s="429"/>
      <c r="K388" s="442"/>
      <c r="L388" s="597"/>
      <c r="M388" s="597"/>
      <c r="N388" s="450"/>
      <c r="O388" s="929"/>
      <c r="P388" s="463"/>
      <c r="Q388"/>
    </row>
    <row r="389" spans="1:17" x14ac:dyDescent="0.2">
      <c r="A389" s="816"/>
      <c r="C389" s="440"/>
      <c r="D389" s="440"/>
      <c r="E389" s="440"/>
      <c r="F389" s="448" t="s">
        <v>528</v>
      </c>
      <c r="G389" s="648" t="s">
        <v>528</v>
      </c>
      <c r="H389" s="1102"/>
      <c r="I389" s="442">
        <f>SUM(K389:M389)</f>
        <v>0</v>
      </c>
      <c r="J389" s="429"/>
      <c r="K389" s="442"/>
      <c r="L389" s="597"/>
      <c r="M389" s="597"/>
      <c r="N389" s="450"/>
      <c r="O389" s="929"/>
      <c r="P389" s="463"/>
    </row>
    <row r="390" spans="1:17" x14ac:dyDescent="0.2">
      <c r="A390" s="816"/>
      <c r="C390" s="440"/>
      <c r="D390" s="440"/>
      <c r="E390" s="440"/>
      <c r="F390" s="448" t="s">
        <v>528</v>
      </c>
      <c r="G390" s="648" t="s">
        <v>528</v>
      </c>
      <c r="H390" s="1102"/>
      <c r="I390" s="442">
        <f>SUM(K390:M390)</f>
        <v>0</v>
      </c>
      <c r="J390" s="429"/>
      <c r="K390" s="442"/>
      <c r="L390" s="597"/>
      <c r="M390" s="597"/>
      <c r="N390" s="450"/>
      <c r="O390" s="929"/>
      <c r="P390" s="463"/>
      <c r="Q390"/>
    </row>
    <row r="391" spans="1:17" x14ac:dyDescent="0.2">
      <c r="A391" s="816"/>
      <c r="C391" s="440"/>
      <c r="D391" s="440"/>
      <c r="E391" s="440"/>
      <c r="F391" s="448" t="s">
        <v>528</v>
      </c>
      <c r="G391" s="648" t="s">
        <v>528</v>
      </c>
      <c r="H391" s="665"/>
      <c r="I391" s="442">
        <f>SUM(K391:M391)</f>
        <v>0</v>
      </c>
      <c r="J391" s="575"/>
      <c r="K391" s="461"/>
      <c r="L391" s="589"/>
      <c r="M391" s="589"/>
      <c r="N391" s="450"/>
      <c r="O391" s="575"/>
      <c r="P391" s="463"/>
      <c r="Q391"/>
    </row>
    <row r="392" spans="1:17" x14ac:dyDescent="0.2">
      <c r="C392" s="440"/>
      <c r="D392" s="440"/>
      <c r="E392" s="440"/>
      <c r="F392" s="452" t="s">
        <v>528</v>
      </c>
      <c r="G392" s="648" t="s">
        <v>528</v>
      </c>
      <c r="H392" s="675"/>
      <c r="I392" s="442">
        <f>SUM(K392:M392)</f>
        <v>0</v>
      </c>
      <c r="J392" s="676"/>
      <c r="K392" s="442"/>
      <c r="L392" s="539"/>
      <c r="M392" s="539"/>
      <c r="N392" s="450"/>
      <c r="O392" s="575"/>
      <c r="P392" s="463"/>
      <c r="Q392"/>
    </row>
    <row r="393" spans="1:17" x14ac:dyDescent="0.2">
      <c r="H393" s="677" t="s">
        <v>627</v>
      </c>
      <c r="I393" s="678">
        <f>SUM(I209:I392)</f>
        <v>7844418.1733333338</v>
      </c>
      <c r="J393" s="450">
        <f>SUM(J209:J390)</f>
        <v>0</v>
      </c>
      <c r="K393" s="678">
        <f>SUM(K209:K392)</f>
        <v>7844418.1733333338</v>
      </c>
      <c r="L393" s="678">
        <f>SUM(L209:L392)</f>
        <v>0</v>
      </c>
      <c r="M393" s="470">
        <f>SUM(M209:M392)</f>
        <v>0</v>
      </c>
      <c r="N393" s="450"/>
      <c r="O393" s="575"/>
      <c r="P393" s="463"/>
      <c r="Q393"/>
    </row>
    <row r="394" spans="1:17" x14ac:dyDescent="0.2">
      <c r="H394" s="679"/>
      <c r="I394" s="353"/>
      <c r="J394" s="450"/>
      <c r="K394" s="353"/>
      <c r="L394" s="353"/>
      <c r="M394" s="471"/>
      <c r="N394" s="450"/>
      <c r="O394" s="575"/>
      <c r="P394" s="463"/>
    </row>
    <row r="395" spans="1:17" ht="24" x14ac:dyDescent="0.2">
      <c r="H395" s="679" t="s">
        <v>628</v>
      </c>
      <c r="I395" s="408" t="s">
        <v>183</v>
      </c>
      <c r="J395" s="450"/>
      <c r="K395" s="408" t="s">
        <v>78</v>
      </c>
      <c r="L395" s="408" t="s">
        <v>184</v>
      </c>
      <c r="M395" s="409" t="s">
        <v>185</v>
      </c>
      <c r="N395" s="450"/>
      <c r="O395" s="575"/>
      <c r="P395" s="463"/>
    </row>
    <row r="396" spans="1:17" x14ac:dyDescent="0.2">
      <c r="A396" s="790">
        <v>1</v>
      </c>
      <c r="H396" s="679">
        <v>1</v>
      </c>
      <c r="I396" s="680">
        <f>SUMIF($A$209:$A$392,$A396,I$209:I$392)</f>
        <v>3923667.7333333334</v>
      </c>
      <c r="J396" s="450"/>
      <c r="K396" s="680">
        <f t="shared" ref="K396:M397" si="20">SUMIF($A$209:$A$392,$A396,K$209:K$392)</f>
        <v>3923667.7333333334</v>
      </c>
      <c r="L396" s="680">
        <f t="shared" si="20"/>
        <v>0</v>
      </c>
      <c r="M396" s="680">
        <f t="shared" si="20"/>
        <v>0</v>
      </c>
      <c r="N396" s="450"/>
      <c r="O396" s="575"/>
      <c r="P396" s="463"/>
    </row>
    <row r="397" spans="1:17" x14ac:dyDescent="0.2">
      <c r="A397" s="790">
        <v>2</v>
      </c>
      <c r="H397" s="679">
        <v>2</v>
      </c>
      <c r="I397" s="681">
        <f>SUMIF($A$209:$A$392,$A397,I$209:I$392)</f>
        <v>3873887.44</v>
      </c>
      <c r="J397" s="450"/>
      <c r="K397" s="681">
        <f t="shared" si="20"/>
        <v>3873887.44</v>
      </c>
      <c r="L397" s="681">
        <f t="shared" si="20"/>
        <v>0</v>
      </c>
      <c r="M397" s="681">
        <f t="shared" si="20"/>
        <v>0</v>
      </c>
      <c r="N397" s="450"/>
      <c r="O397" s="575"/>
      <c r="P397" s="463"/>
    </row>
    <row r="398" spans="1:17" x14ac:dyDescent="0.2">
      <c r="H398">
        <v>3</v>
      </c>
      <c r="I398" s="1103">
        <f>I393-I396-I397</f>
        <v>46863.000000000466</v>
      </c>
      <c r="K398" s="682">
        <f>K393-K396-K397</f>
        <v>46863.000000000466</v>
      </c>
      <c r="L398" s="682">
        <f>L393-L396-L397</f>
        <v>0</v>
      </c>
      <c r="M398" s="682">
        <f>M393-M396-M397</f>
        <v>0</v>
      </c>
      <c r="N398" s="450"/>
      <c r="O398" s="575"/>
      <c r="P398" s="463"/>
    </row>
    <row r="399" spans="1:17" x14ac:dyDescent="0.2">
      <c r="I399" s="1103"/>
      <c r="K399" s="682"/>
      <c r="L399" s="682"/>
      <c r="M399" s="682"/>
      <c r="N399" s="450"/>
      <c r="O399" s="575"/>
      <c r="P399" s="463"/>
    </row>
    <row r="400" spans="1:17" x14ac:dyDescent="0.2">
      <c r="A400" s="816">
        <v>1</v>
      </c>
      <c r="B400" s="440"/>
      <c r="C400" s="440"/>
      <c r="D400" s="440"/>
      <c r="E400" s="448"/>
      <c r="F400" s="448" t="s">
        <v>528</v>
      </c>
      <c r="G400" s="440" t="s">
        <v>528</v>
      </c>
      <c r="H400" s="1099" t="s">
        <v>615</v>
      </c>
      <c r="I400" s="539">
        <v>1100000</v>
      </c>
      <c r="J400" s="450"/>
      <c r="K400" s="461"/>
      <c r="L400" s="442">
        <v>1100000</v>
      </c>
      <c r="M400" s="579"/>
      <c r="N400" s="450"/>
      <c r="O400" s="575"/>
      <c r="P400" s="463"/>
    </row>
    <row r="401" spans="1:16" x14ac:dyDescent="0.2">
      <c r="A401" s="816">
        <v>1</v>
      </c>
      <c r="B401" s="440"/>
      <c r="C401" s="440"/>
      <c r="D401" s="440"/>
      <c r="E401" s="448"/>
      <c r="F401" s="448" t="s">
        <v>528</v>
      </c>
      <c r="G401" s="440" t="s">
        <v>528</v>
      </c>
      <c r="H401" s="1100" t="s">
        <v>1122</v>
      </c>
      <c r="I401" s="539">
        <v>2000000</v>
      </c>
      <c r="J401" s="450"/>
      <c r="K401" s="442"/>
      <c r="L401" s="442">
        <v>2000000</v>
      </c>
      <c r="M401" s="597"/>
      <c r="N401" s="450"/>
      <c r="O401" s="575"/>
      <c r="P401" s="463"/>
    </row>
    <row r="402" spans="1:16" x14ac:dyDescent="0.2">
      <c r="I402" s="1103"/>
      <c r="K402" s="682"/>
      <c r="L402" s="682"/>
      <c r="M402" s="682"/>
      <c r="N402" s="450"/>
      <c r="O402" s="575"/>
      <c r="P402" s="463"/>
    </row>
    <row r="403" spans="1:16" ht="22.5" x14ac:dyDescent="0.2">
      <c r="F403" s="334" t="s">
        <v>1123</v>
      </c>
      <c r="I403" s="1103" t="s">
        <v>1124</v>
      </c>
      <c r="K403" s="1104" t="s">
        <v>1125</v>
      </c>
      <c r="L403" s="1103" t="s">
        <v>1126</v>
      </c>
      <c r="M403" s="682"/>
      <c r="N403" s="450"/>
      <c r="O403" s="575"/>
      <c r="P403" s="463"/>
    </row>
    <row r="404" spans="1:16" x14ac:dyDescent="0.2">
      <c r="C404">
        <v>1</v>
      </c>
      <c r="F404" s="343" t="s">
        <v>1127</v>
      </c>
      <c r="H404" t="s">
        <v>1128</v>
      </c>
      <c r="I404" s="1103">
        <v>50000</v>
      </c>
      <c r="K404" s="1103">
        <v>50000</v>
      </c>
      <c r="L404" s="1103">
        <f>I404-K404</f>
        <v>0</v>
      </c>
      <c r="M404" s="682"/>
      <c r="N404" s="450"/>
      <c r="O404" s="575"/>
      <c r="P404" s="463"/>
    </row>
    <row r="405" spans="1:16" ht="45" x14ac:dyDescent="0.2">
      <c r="C405">
        <v>2</v>
      </c>
      <c r="F405" s="343" t="s">
        <v>201</v>
      </c>
      <c r="H405" t="s">
        <v>1129</v>
      </c>
      <c r="I405" s="1103">
        <v>0</v>
      </c>
      <c r="K405" s="1103">
        <v>321863</v>
      </c>
      <c r="L405" s="1103">
        <f>I405-K405</f>
        <v>-321863</v>
      </c>
      <c r="M405" s="682"/>
      <c r="N405" s="450"/>
      <c r="O405" s="575"/>
      <c r="P405" s="464" t="s">
        <v>1130</v>
      </c>
    </row>
    <row r="406" spans="1:16" x14ac:dyDescent="0.2">
      <c r="C406">
        <v>3</v>
      </c>
      <c r="F406" s="343" t="s">
        <v>1131</v>
      </c>
      <c r="H406" t="s">
        <v>1132</v>
      </c>
      <c r="I406" s="1103">
        <v>140000</v>
      </c>
      <c r="K406" s="1103">
        <v>168000</v>
      </c>
      <c r="L406" s="1103">
        <f t="shared" ref="L406:L429" si="21">I406-K406</f>
        <v>-28000</v>
      </c>
      <c r="M406" s="682"/>
      <c r="N406" s="450"/>
      <c r="O406" s="575"/>
      <c r="P406" s="463"/>
    </row>
    <row r="407" spans="1:16" x14ac:dyDescent="0.2">
      <c r="C407">
        <v>4</v>
      </c>
      <c r="F407" s="343" t="s">
        <v>1133</v>
      </c>
      <c r="H407" t="s">
        <v>1134</v>
      </c>
      <c r="I407" s="1103">
        <v>140000</v>
      </c>
      <c r="K407" s="1103">
        <v>168000</v>
      </c>
      <c r="L407" s="1103">
        <f t="shared" si="21"/>
        <v>-28000</v>
      </c>
      <c r="M407" s="682"/>
      <c r="N407" s="450"/>
      <c r="O407" s="575"/>
      <c r="P407" s="463"/>
    </row>
    <row r="408" spans="1:16" x14ac:dyDescent="0.2">
      <c r="C408">
        <v>5</v>
      </c>
      <c r="F408" s="343" t="s">
        <v>1135</v>
      </c>
      <c r="H408" t="s">
        <v>1136</v>
      </c>
      <c r="I408" s="1103">
        <v>0</v>
      </c>
      <c r="K408" s="1103">
        <v>25000</v>
      </c>
      <c r="L408" s="1103">
        <f t="shared" si="21"/>
        <v>-25000</v>
      </c>
      <c r="M408" s="682"/>
      <c r="N408" s="450"/>
      <c r="O408" s="575"/>
      <c r="P408" s="463"/>
    </row>
    <row r="409" spans="1:16" x14ac:dyDescent="0.2">
      <c r="C409">
        <v>6</v>
      </c>
      <c r="F409" s="343" t="s">
        <v>1137</v>
      </c>
      <c r="H409" t="s">
        <v>1138</v>
      </c>
      <c r="I409" s="1103">
        <v>200000</v>
      </c>
      <c r="K409" s="1103">
        <v>0</v>
      </c>
      <c r="L409" s="1103">
        <f t="shared" si="21"/>
        <v>200000</v>
      </c>
      <c r="M409" s="682"/>
      <c r="N409" s="450"/>
      <c r="O409" s="575"/>
      <c r="P409" s="463"/>
    </row>
    <row r="410" spans="1:16" x14ac:dyDescent="0.2">
      <c r="C410">
        <v>7</v>
      </c>
      <c r="F410" s="343" t="s">
        <v>1139</v>
      </c>
      <c r="H410" t="s">
        <v>1140</v>
      </c>
      <c r="I410" s="1103">
        <v>0</v>
      </c>
      <c r="K410" s="1103">
        <v>20000</v>
      </c>
      <c r="L410" s="1103">
        <f t="shared" si="21"/>
        <v>-20000</v>
      </c>
      <c r="M410" s="682"/>
      <c r="N410" s="450"/>
      <c r="O410" s="575"/>
      <c r="P410" s="463"/>
    </row>
    <row r="411" spans="1:16" x14ac:dyDescent="0.2">
      <c r="C411">
        <v>8</v>
      </c>
      <c r="F411" s="343" t="s">
        <v>528</v>
      </c>
      <c r="H411" t="s">
        <v>1141</v>
      </c>
      <c r="I411" s="1103">
        <v>0</v>
      </c>
      <c r="K411" s="1103">
        <v>210000</v>
      </c>
      <c r="L411" s="1103">
        <f t="shared" si="21"/>
        <v>-210000</v>
      </c>
      <c r="M411" s="682"/>
      <c r="N411" s="450"/>
      <c r="O411" s="575"/>
      <c r="P411" s="463"/>
    </row>
    <row r="412" spans="1:16" ht="105" customHeight="1" x14ac:dyDescent="0.2">
      <c r="C412">
        <v>9</v>
      </c>
      <c r="F412" s="343" t="s">
        <v>1142</v>
      </c>
      <c r="H412" s="380" t="s">
        <v>1143</v>
      </c>
      <c r="I412" s="1103">
        <v>0</v>
      </c>
      <c r="K412" s="1103">
        <v>113000</v>
      </c>
      <c r="L412" s="1103">
        <f t="shared" si="21"/>
        <v>-113000</v>
      </c>
      <c r="M412" s="682"/>
      <c r="N412" s="450"/>
      <c r="O412" s="575"/>
      <c r="P412" s="464" t="s">
        <v>1144</v>
      </c>
    </row>
    <row r="413" spans="1:16" ht="24" x14ac:dyDescent="0.2">
      <c r="C413">
        <v>10</v>
      </c>
      <c r="F413" s="343" t="s">
        <v>528</v>
      </c>
      <c r="H413" s="380" t="s">
        <v>1145</v>
      </c>
      <c r="I413" s="1103">
        <v>175000</v>
      </c>
      <c r="K413" s="1103">
        <v>550000</v>
      </c>
      <c r="L413" s="1103">
        <f t="shared" si="21"/>
        <v>-375000</v>
      </c>
      <c r="M413" s="682"/>
      <c r="N413" s="450"/>
      <c r="O413" s="575"/>
      <c r="P413" s="463"/>
    </row>
    <row r="414" spans="1:16" x14ac:dyDescent="0.2">
      <c r="C414">
        <v>11</v>
      </c>
      <c r="F414" s="343" t="s">
        <v>1146</v>
      </c>
      <c r="H414" t="s">
        <v>1147</v>
      </c>
      <c r="I414" s="1103">
        <v>124488</v>
      </c>
      <c r="K414" s="1103">
        <v>114488</v>
      </c>
      <c r="L414" s="1103">
        <f t="shared" si="21"/>
        <v>10000</v>
      </c>
      <c r="M414" s="682"/>
      <c r="N414" s="450"/>
      <c r="O414" s="575"/>
      <c r="P414" s="463"/>
    </row>
    <row r="415" spans="1:16" ht="56.25" x14ac:dyDescent="0.2">
      <c r="C415">
        <v>12</v>
      </c>
      <c r="F415" s="343" t="s">
        <v>201</v>
      </c>
      <c r="H415" t="s">
        <v>1148</v>
      </c>
      <c r="I415" s="1103">
        <v>20000</v>
      </c>
      <c r="K415" s="1103"/>
      <c r="L415" s="1103">
        <f t="shared" si="21"/>
        <v>20000</v>
      </c>
      <c r="M415" s="682"/>
      <c r="N415" s="450"/>
      <c r="O415" s="575"/>
      <c r="P415" s="464" t="s">
        <v>1149</v>
      </c>
    </row>
    <row r="416" spans="1:16" x14ac:dyDescent="0.2">
      <c r="C416">
        <v>13</v>
      </c>
      <c r="F416" s="343" t="s">
        <v>1150</v>
      </c>
      <c r="H416" t="s">
        <v>1151</v>
      </c>
      <c r="I416" s="1103">
        <v>6000</v>
      </c>
      <c r="K416" s="1103">
        <v>4000</v>
      </c>
      <c r="L416" s="1103">
        <f t="shared" si="21"/>
        <v>2000</v>
      </c>
      <c r="M416" s="682"/>
      <c r="N416" s="450"/>
      <c r="O416" s="575"/>
      <c r="P416" s="463"/>
    </row>
    <row r="417" spans="3:16" ht="33.75" x14ac:dyDescent="0.2">
      <c r="C417">
        <v>14</v>
      </c>
      <c r="F417" s="343" t="s">
        <v>1152</v>
      </c>
      <c r="H417" t="s">
        <v>1153</v>
      </c>
      <c r="I417" s="1105">
        <f>50000+30000</f>
        <v>80000</v>
      </c>
      <c r="K417" s="1103">
        <v>0</v>
      </c>
      <c r="L417" s="1103">
        <f t="shared" si="21"/>
        <v>80000</v>
      </c>
      <c r="M417" s="682"/>
      <c r="N417" s="450"/>
      <c r="O417" s="575"/>
      <c r="P417" s="464" t="s">
        <v>1154</v>
      </c>
    </row>
    <row r="418" spans="3:16" ht="33.75" x14ac:dyDescent="0.2">
      <c r="C418">
        <v>15</v>
      </c>
      <c r="F418" s="343" t="s">
        <v>528</v>
      </c>
      <c r="H418" t="s">
        <v>1080</v>
      </c>
      <c r="I418" s="1105">
        <f>90000+100000</f>
        <v>190000</v>
      </c>
      <c r="K418" s="1103"/>
      <c r="L418" s="1103">
        <f t="shared" si="21"/>
        <v>190000</v>
      </c>
      <c r="M418" s="682"/>
      <c r="N418" s="450"/>
      <c r="O418" s="575"/>
      <c r="P418" s="464" t="s">
        <v>1155</v>
      </c>
    </row>
    <row r="419" spans="3:16" ht="45" x14ac:dyDescent="0.2">
      <c r="C419">
        <v>16</v>
      </c>
      <c r="F419" s="343" t="s">
        <v>1156</v>
      </c>
      <c r="H419" t="s">
        <v>1083</v>
      </c>
      <c r="I419" s="1103">
        <v>50000</v>
      </c>
      <c r="K419" s="1103"/>
      <c r="L419" s="1103">
        <f t="shared" si="21"/>
        <v>50000</v>
      </c>
      <c r="M419" s="682"/>
      <c r="N419" s="450"/>
      <c r="O419" s="575"/>
      <c r="P419" s="464" t="s">
        <v>1157</v>
      </c>
    </row>
    <row r="420" spans="3:16" ht="22.5" x14ac:dyDescent="0.2">
      <c r="C420">
        <v>17</v>
      </c>
      <c r="F420" s="343" t="s">
        <v>528</v>
      </c>
      <c r="H420" t="s">
        <v>1081</v>
      </c>
      <c r="I420" s="1105">
        <f>75000-10000-55000</f>
        <v>10000</v>
      </c>
      <c r="K420" s="1103"/>
      <c r="L420" s="1103">
        <f>I420-K420</f>
        <v>10000</v>
      </c>
      <c r="M420" s="682"/>
      <c r="N420" s="450"/>
      <c r="O420" s="575"/>
      <c r="P420" s="464" t="s">
        <v>1158</v>
      </c>
    </row>
    <row r="421" spans="3:16" ht="90" x14ac:dyDescent="0.2">
      <c r="C421">
        <v>18</v>
      </c>
      <c r="F421" s="343" t="s">
        <v>201</v>
      </c>
      <c r="H421" s="380" t="s">
        <v>1084</v>
      </c>
      <c r="I421" s="1103">
        <v>10000</v>
      </c>
      <c r="K421" s="1103"/>
      <c r="L421" s="1103">
        <f t="shared" si="21"/>
        <v>10000</v>
      </c>
      <c r="M421" s="682"/>
      <c r="N421" s="450"/>
      <c r="O421" s="575"/>
      <c r="P421" s="464" t="s">
        <v>1159</v>
      </c>
    </row>
    <row r="422" spans="3:16" ht="45" x14ac:dyDescent="0.2">
      <c r="C422">
        <v>19</v>
      </c>
      <c r="F422" s="343" t="s">
        <v>1160</v>
      </c>
      <c r="H422" t="s">
        <v>1085</v>
      </c>
      <c r="I422" s="1103">
        <v>20000</v>
      </c>
      <c r="K422" s="1103"/>
      <c r="L422" s="1103">
        <f t="shared" si="21"/>
        <v>20000</v>
      </c>
      <c r="M422" s="682"/>
      <c r="N422" s="450"/>
      <c r="O422" s="575"/>
      <c r="P422" s="464" t="s">
        <v>1161</v>
      </c>
    </row>
    <row r="423" spans="3:16" x14ac:dyDescent="0.2">
      <c r="C423">
        <v>20</v>
      </c>
      <c r="F423" s="343" t="s">
        <v>528</v>
      </c>
      <c r="H423" t="s">
        <v>1162</v>
      </c>
      <c r="I423" s="1103">
        <v>50000</v>
      </c>
      <c r="K423" s="1103"/>
      <c r="L423" s="1103">
        <f t="shared" si="21"/>
        <v>50000</v>
      </c>
      <c r="M423" s="682"/>
      <c r="N423" s="450"/>
      <c r="O423" s="575"/>
      <c r="P423" s="463"/>
    </row>
    <row r="424" spans="3:16" x14ac:dyDescent="0.2">
      <c r="C424">
        <v>21</v>
      </c>
      <c r="F424" s="343" t="s">
        <v>1146</v>
      </c>
      <c r="H424" t="s">
        <v>1163</v>
      </c>
      <c r="I424" s="1103">
        <v>50000</v>
      </c>
      <c r="K424" s="1103"/>
      <c r="L424" s="1103">
        <f t="shared" si="21"/>
        <v>50000</v>
      </c>
      <c r="M424" s="682"/>
      <c r="N424" s="450"/>
      <c r="O424" s="575"/>
      <c r="P424" s="464" t="s">
        <v>1164</v>
      </c>
    </row>
    <row r="425" spans="3:16" ht="24" x14ac:dyDescent="0.2">
      <c r="C425">
        <v>22</v>
      </c>
      <c r="F425" s="343" t="s">
        <v>528</v>
      </c>
      <c r="H425" s="380" t="s">
        <v>1165</v>
      </c>
      <c r="I425" s="1105">
        <f>10000+20000</f>
        <v>30000</v>
      </c>
      <c r="K425" s="1103"/>
      <c r="L425" s="1103">
        <f t="shared" si="21"/>
        <v>30000</v>
      </c>
      <c r="M425" s="682"/>
      <c r="N425" s="450"/>
      <c r="O425" s="575"/>
      <c r="P425" s="464" t="s">
        <v>1166</v>
      </c>
    </row>
    <row r="426" spans="3:16" ht="56.25" x14ac:dyDescent="0.2">
      <c r="C426">
        <v>23</v>
      </c>
      <c r="F426" s="343" t="s">
        <v>1167</v>
      </c>
      <c r="H426" t="s">
        <v>1086</v>
      </c>
      <c r="I426" s="1103">
        <v>25000</v>
      </c>
      <c r="K426" s="1103"/>
      <c r="L426" s="1103">
        <f t="shared" si="21"/>
        <v>25000</v>
      </c>
      <c r="M426" s="682"/>
      <c r="N426" s="450"/>
      <c r="O426" s="575"/>
      <c r="P426" s="464" t="s">
        <v>1168</v>
      </c>
    </row>
    <row r="427" spans="3:16" ht="22.5" x14ac:dyDescent="0.2">
      <c r="C427">
        <v>24</v>
      </c>
      <c r="F427" s="343" t="s">
        <v>528</v>
      </c>
      <c r="H427" t="s">
        <v>1061</v>
      </c>
      <c r="I427" s="1103">
        <v>15000</v>
      </c>
      <c r="K427" s="1103"/>
      <c r="L427" s="1103">
        <f t="shared" si="21"/>
        <v>15000</v>
      </c>
      <c r="M427" s="682"/>
      <c r="N427" s="450"/>
      <c r="O427" s="575"/>
      <c r="P427" s="464" t="s">
        <v>1169</v>
      </c>
    </row>
    <row r="428" spans="3:16" x14ac:dyDescent="0.2">
      <c r="C428">
        <v>25</v>
      </c>
      <c r="F428" s="343" t="s">
        <v>377</v>
      </c>
      <c r="H428" t="s">
        <v>904</v>
      </c>
      <c r="I428" s="1103">
        <v>20000</v>
      </c>
      <c r="K428" s="1103"/>
      <c r="L428" s="1103">
        <f t="shared" si="21"/>
        <v>20000</v>
      </c>
      <c r="M428" s="682"/>
      <c r="N428" s="450"/>
      <c r="O428" s="575"/>
      <c r="P428" s="463"/>
    </row>
    <row r="429" spans="3:16" x14ac:dyDescent="0.2">
      <c r="C429">
        <v>26</v>
      </c>
      <c r="F429" s="343" t="s">
        <v>1170</v>
      </c>
      <c r="H429" t="s">
        <v>1171</v>
      </c>
      <c r="I429" s="1105">
        <f>61803-2499</f>
        <v>59304</v>
      </c>
      <c r="K429" s="1103"/>
      <c r="L429" s="1103">
        <f t="shared" si="21"/>
        <v>59304</v>
      </c>
      <c r="M429" s="682"/>
      <c r="N429" s="450"/>
      <c r="O429" s="575"/>
      <c r="P429" s="386" t="s">
        <v>1172</v>
      </c>
    </row>
    <row r="430" spans="3:16" x14ac:dyDescent="0.2">
      <c r="F430" s="343"/>
      <c r="I430" s="1106"/>
      <c r="K430" s="1106"/>
      <c r="L430" s="1106">
        <f>SUM(L404:L429)</f>
        <v>-279559</v>
      </c>
      <c r="M430" s="682"/>
      <c r="N430" s="450"/>
      <c r="O430" s="575"/>
      <c r="P430" s="463"/>
    </row>
    <row r="431" spans="3:16" ht="12.75" thickBot="1" x14ac:dyDescent="0.25">
      <c r="F431" s="343"/>
      <c r="I431" s="1103"/>
      <c r="K431" s="1103"/>
      <c r="L431" s="1103"/>
      <c r="M431" s="682"/>
      <c r="N431" s="450"/>
      <c r="O431" s="575"/>
      <c r="P431" s="463"/>
    </row>
    <row r="432" spans="3:16" ht="12.75" thickBot="1" x14ac:dyDescent="0.25">
      <c r="G432" s="1107" t="s">
        <v>192</v>
      </c>
      <c r="H432" s="1108" t="s">
        <v>1173</v>
      </c>
      <c r="I432" s="1109" t="s">
        <v>1174</v>
      </c>
      <c r="N432" s="450"/>
      <c r="O432" s="575"/>
      <c r="P432" s="463"/>
    </row>
    <row r="433" spans="1:25" s="329" customFormat="1" ht="60" x14ac:dyDescent="0.2">
      <c r="A433" s="959"/>
      <c r="B433" s="387"/>
      <c r="C433"/>
      <c r="D433"/>
      <c r="E433"/>
      <c r="F433" s="388"/>
      <c r="G433" s="1110">
        <v>1</v>
      </c>
      <c r="H433" s="1111" t="s">
        <v>1175</v>
      </c>
      <c r="I433" s="1112" t="s">
        <v>1176</v>
      </c>
      <c r="J433"/>
      <c r="K433" s="341"/>
      <c r="L433"/>
      <c r="M433" s="363"/>
      <c r="N433" s="450"/>
      <c r="O433" s="363"/>
      <c r="P433" s="463"/>
      <c r="Q433" s="330"/>
      <c r="R433"/>
      <c r="S433"/>
      <c r="T433"/>
      <c r="U433"/>
      <c r="V433"/>
      <c r="W433"/>
      <c r="X433"/>
      <c r="Y433"/>
    </row>
    <row r="434" spans="1:25" ht="48" x14ac:dyDescent="0.2">
      <c r="G434" s="1113">
        <v>2</v>
      </c>
      <c r="H434" s="1114" t="s">
        <v>1177</v>
      </c>
      <c r="I434" s="1115" t="s">
        <v>1178</v>
      </c>
      <c r="N434" s="450"/>
      <c r="P434" s="463"/>
    </row>
    <row r="435" spans="1:25" x14ac:dyDescent="0.2">
      <c r="G435" s="1113">
        <v>3</v>
      </c>
      <c r="H435" s="1114" t="s">
        <v>1179</v>
      </c>
      <c r="I435" s="1116" t="s">
        <v>1180</v>
      </c>
      <c r="N435" s="450"/>
      <c r="P435" s="463"/>
    </row>
    <row r="436" spans="1:25" ht="96" x14ac:dyDescent="0.2">
      <c r="G436" s="1113">
        <v>4</v>
      </c>
      <c r="H436" s="1114" t="s">
        <v>1181</v>
      </c>
      <c r="I436" s="1117" t="s">
        <v>1182</v>
      </c>
      <c r="N436" s="450"/>
      <c r="P436" s="463"/>
    </row>
    <row r="437" spans="1:25" ht="72" x14ac:dyDescent="0.2">
      <c r="G437" s="1113">
        <v>5</v>
      </c>
      <c r="H437" s="1114" t="s">
        <v>1183</v>
      </c>
      <c r="I437" s="1117" t="s">
        <v>1184</v>
      </c>
      <c r="N437" s="450"/>
      <c r="P437" s="463"/>
    </row>
    <row r="438" spans="1:25" ht="24" x14ac:dyDescent="0.2">
      <c r="G438" s="1113">
        <v>6</v>
      </c>
      <c r="H438" s="1114" t="s">
        <v>1185</v>
      </c>
      <c r="I438" s="1115" t="s">
        <v>1186</v>
      </c>
      <c r="N438" s="450"/>
      <c r="P438" s="463"/>
    </row>
    <row r="439" spans="1:25" ht="24" x14ac:dyDescent="0.2">
      <c r="G439" s="1113">
        <v>7</v>
      </c>
      <c r="H439" s="1114" t="s">
        <v>1187</v>
      </c>
      <c r="I439" s="888" t="s">
        <v>1188</v>
      </c>
      <c r="N439" s="450"/>
      <c r="P439" s="463"/>
    </row>
    <row r="440" spans="1:25" ht="24" x14ac:dyDescent="0.2">
      <c r="G440" s="1113">
        <v>8</v>
      </c>
      <c r="H440" s="1114" t="s">
        <v>1189</v>
      </c>
      <c r="I440" s="888" t="s">
        <v>1188</v>
      </c>
      <c r="N440" s="450"/>
      <c r="P440" s="463"/>
    </row>
    <row r="441" spans="1:25" ht="24" x14ac:dyDescent="0.2">
      <c r="G441" s="1113">
        <v>9</v>
      </c>
      <c r="H441" s="1114" t="s">
        <v>1190</v>
      </c>
      <c r="I441" s="888" t="s">
        <v>1188</v>
      </c>
      <c r="N441" s="450"/>
      <c r="P441" s="463"/>
    </row>
    <row r="442" spans="1:25" ht="36" x14ac:dyDescent="0.2">
      <c r="G442" s="1113">
        <v>10</v>
      </c>
      <c r="H442" s="1114" t="s">
        <v>1191</v>
      </c>
      <c r="I442" s="888" t="s">
        <v>1188</v>
      </c>
      <c r="N442" s="450"/>
      <c r="P442" s="463"/>
    </row>
    <row r="443" spans="1:25" ht="24" x14ac:dyDescent="0.2">
      <c r="G443" s="1113">
        <v>11</v>
      </c>
      <c r="H443" s="1114" t="s">
        <v>1192</v>
      </c>
      <c r="I443" s="824"/>
      <c r="N443" s="450"/>
      <c r="P443" s="463"/>
    </row>
    <row r="444" spans="1:25" ht="24" x14ac:dyDescent="0.2">
      <c r="G444" s="1113">
        <v>12</v>
      </c>
      <c r="H444" s="1114" t="s">
        <v>1193</v>
      </c>
      <c r="I444" s="888" t="s">
        <v>1188</v>
      </c>
      <c r="N444" s="450"/>
    </row>
    <row r="445" spans="1:25" ht="24" x14ac:dyDescent="0.2">
      <c r="G445" s="1113">
        <v>13</v>
      </c>
      <c r="H445" s="1114" t="s">
        <v>1194</v>
      </c>
      <c r="I445" s="888" t="s">
        <v>1188</v>
      </c>
      <c r="N445" s="450"/>
    </row>
    <row r="446" spans="1:25" ht="48" x14ac:dyDescent="0.2">
      <c r="G446" s="1113">
        <v>14</v>
      </c>
      <c r="H446" s="1114" t="s">
        <v>1195</v>
      </c>
      <c r="I446" s="1116" t="s">
        <v>1180</v>
      </c>
      <c r="N446" s="450"/>
    </row>
    <row r="447" spans="1:25" ht="24" x14ac:dyDescent="0.2">
      <c r="G447" s="1113">
        <v>15</v>
      </c>
      <c r="H447" s="1114" t="s">
        <v>1196</v>
      </c>
      <c r="I447" s="888" t="s">
        <v>1188</v>
      </c>
    </row>
    <row r="448" spans="1:25" ht="24" x14ac:dyDescent="0.2">
      <c r="G448" s="1113">
        <v>16</v>
      </c>
      <c r="H448" s="1114" t="s">
        <v>1197</v>
      </c>
      <c r="I448" s="888" t="s">
        <v>1188</v>
      </c>
    </row>
    <row r="449" spans="1:17" ht="24" x14ac:dyDescent="0.2">
      <c r="G449" s="1113">
        <v>17</v>
      </c>
      <c r="H449" s="1114" t="s">
        <v>1198</v>
      </c>
      <c r="I449" s="1115" t="s">
        <v>1186</v>
      </c>
    </row>
    <row r="450" spans="1:17" ht="36" x14ac:dyDescent="0.2">
      <c r="G450" s="1113">
        <v>18</v>
      </c>
      <c r="H450" s="1114" t="s">
        <v>1199</v>
      </c>
      <c r="I450" s="1116" t="s">
        <v>1200</v>
      </c>
    </row>
    <row r="451" spans="1:17" ht="120" x14ac:dyDescent="0.2">
      <c r="G451" s="1113">
        <v>19</v>
      </c>
      <c r="H451" s="1114" t="s">
        <v>1201</v>
      </c>
      <c r="I451" s="1117" t="s">
        <v>1202</v>
      </c>
    </row>
    <row r="452" spans="1:17" x14ac:dyDescent="0.2">
      <c r="G452" s="1113">
        <v>20</v>
      </c>
      <c r="H452" s="1114" t="s">
        <v>1203</v>
      </c>
      <c r="I452" s="1118" t="s">
        <v>1204</v>
      </c>
    </row>
    <row r="453" spans="1:17" ht="36" x14ac:dyDescent="0.2">
      <c r="G453" s="1113">
        <v>21</v>
      </c>
      <c r="H453" s="1114" t="s">
        <v>1205</v>
      </c>
      <c r="I453" s="1115" t="s">
        <v>1206</v>
      </c>
    </row>
    <row r="454" spans="1:17" ht="24" x14ac:dyDescent="0.2">
      <c r="G454" s="1113">
        <v>22</v>
      </c>
      <c r="H454" s="1114" t="s">
        <v>1207</v>
      </c>
      <c r="I454" s="1116" t="s">
        <v>1180</v>
      </c>
    </row>
    <row r="455" spans="1:17" ht="24" x14ac:dyDescent="0.2">
      <c r="G455" s="1113">
        <v>23</v>
      </c>
      <c r="H455" s="1114" t="s">
        <v>1208</v>
      </c>
      <c r="I455" s="888" t="s">
        <v>1188</v>
      </c>
    </row>
    <row r="456" spans="1:17" ht="24" x14ac:dyDescent="0.2">
      <c r="G456" s="1113">
        <v>24</v>
      </c>
      <c r="H456" s="1114" t="s">
        <v>1209</v>
      </c>
      <c r="I456" s="888" t="s">
        <v>1188</v>
      </c>
    </row>
    <row r="457" spans="1:17" ht="24" x14ac:dyDescent="0.2">
      <c r="G457" s="1113">
        <v>25</v>
      </c>
      <c r="H457" s="1114" t="s">
        <v>1210</v>
      </c>
      <c r="I457" s="888" t="s">
        <v>1188</v>
      </c>
    </row>
    <row r="458" spans="1:17" ht="24" x14ac:dyDescent="0.2">
      <c r="G458" s="1113">
        <v>26</v>
      </c>
      <c r="H458" s="1114" t="s">
        <v>1211</v>
      </c>
      <c r="I458" s="888" t="s">
        <v>1188</v>
      </c>
    </row>
    <row r="459" spans="1:17" ht="24" x14ac:dyDescent="0.2">
      <c r="G459" s="1113">
        <v>27</v>
      </c>
      <c r="H459" s="1114" t="s">
        <v>1212</v>
      </c>
      <c r="I459" s="888" t="s">
        <v>1188</v>
      </c>
    </row>
    <row r="460" spans="1:17" ht="60" x14ac:dyDescent="0.2">
      <c r="G460" s="1113">
        <v>28</v>
      </c>
      <c r="H460" s="1114" t="s">
        <v>1213</v>
      </c>
      <c r="I460" s="1117" t="s">
        <v>1214</v>
      </c>
    </row>
    <row r="462" spans="1:17" x14ac:dyDescent="0.2">
      <c r="I462" s="1103"/>
      <c r="K462" s="682"/>
      <c r="L462" s="682"/>
      <c r="M462" s="682"/>
      <c r="N462" s="450"/>
      <c r="O462" s="575"/>
      <c r="P462" s="463"/>
    </row>
    <row r="463" spans="1:17" s="683" customFormat="1" ht="3.6" customHeight="1" x14ac:dyDescent="0.2">
      <c r="A463" s="790"/>
      <c r="B463" s="684"/>
      <c r="F463" s="388"/>
      <c r="I463" s="1119"/>
      <c r="M463" s="685"/>
      <c r="N463" s="450"/>
      <c r="O463" s="575"/>
      <c r="P463" s="463"/>
      <c r="Q463" s="330"/>
    </row>
    <row r="464" spans="1:17" x14ac:dyDescent="0.2">
      <c r="F464" s="334" t="s">
        <v>629</v>
      </c>
      <c r="I464" s="343"/>
      <c r="N464" s="450"/>
      <c r="O464" s="575"/>
      <c r="P464" s="463"/>
    </row>
    <row r="465" spans="1:20" ht="24" customHeight="1" x14ac:dyDescent="0.2">
      <c r="C465" s="1177" t="s">
        <v>192</v>
      </c>
      <c r="D465" s="1177" t="s">
        <v>193</v>
      </c>
      <c r="E465" s="1177" t="s">
        <v>194</v>
      </c>
      <c r="F465" s="1178" t="s">
        <v>195</v>
      </c>
      <c r="G465" s="1177" t="s">
        <v>196</v>
      </c>
      <c r="H465" s="1179" t="s">
        <v>375</v>
      </c>
      <c r="I465" s="1175" t="s">
        <v>183</v>
      </c>
      <c r="J465" s="476"/>
      <c r="K465" s="1176" t="s">
        <v>198</v>
      </c>
      <c r="L465" s="1176"/>
      <c r="M465" s="1176"/>
      <c r="N465" s="450"/>
      <c r="O465" s="575"/>
      <c r="P465" s="463"/>
    </row>
    <row r="466" spans="1:20" ht="29.25" customHeight="1" x14ac:dyDescent="0.2">
      <c r="C466" s="1177"/>
      <c r="D466" s="1177"/>
      <c r="E466" s="1177"/>
      <c r="F466" s="1178"/>
      <c r="G466" s="1177"/>
      <c r="H466" s="1180"/>
      <c r="I466" s="1175"/>
      <c r="J466" s="476"/>
      <c r="K466" s="686" t="s">
        <v>78</v>
      </c>
      <c r="L466" s="686" t="s">
        <v>184</v>
      </c>
      <c r="M466" s="687" t="s">
        <v>185</v>
      </c>
      <c r="N466" s="450"/>
      <c r="O466" s="575"/>
      <c r="P466" s="463"/>
    </row>
    <row r="467" spans="1:20" s="343" customFormat="1" ht="12.75" thickBot="1" x14ac:dyDescent="0.25">
      <c r="A467" s="816"/>
      <c r="C467" s="633"/>
      <c r="D467" s="633"/>
      <c r="E467" s="633"/>
      <c r="F467" s="633"/>
      <c r="G467" s="633"/>
      <c r="H467" s="634"/>
      <c r="I467" s="1120">
        <f>SUM(K467:M467)</f>
        <v>0</v>
      </c>
      <c r="J467" s="636"/>
      <c r="K467" s="504"/>
      <c r="L467" s="635"/>
      <c r="M467" s="635"/>
      <c r="N467" s="450"/>
      <c r="O467" s="575"/>
      <c r="P467" s="463"/>
      <c r="T467"/>
    </row>
    <row r="468" spans="1:20" s="343" customFormat="1" ht="12.75" thickTop="1" x14ac:dyDescent="0.2">
      <c r="A468" s="816"/>
      <c r="B468" s="387" t="s">
        <v>261</v>
      </c>
      <c r="C468" s="452"/>
      <c r="D468" s="452"/>
      <c r="E468" s="452"/>
      <c r="F468" s="648"/>
      <c r="G468" s="452"/>
      <c r="H468" s="449"/>
      <c r="I468" s="461">
        <f>SUM(K468:M468)</f>
        <v>0</v>
      </c>
      <c r="J468" s="450"/>
      <c r="K468" s="461"/>
      <c r="L468" s="442"/>
      <c r="M468" s="442"/>
      <c r="N468" s="450"/>
      <c r="O468" s="575"/>
      <c r="P468" s="463"/>
      <c r="Q468" s="342"/>
      <c r="T468"/>
    </row>
    <row r="469" spans="1:20" x14ac:dyDescent="0.2">
      <c r="I469" s="678">
        <f>SUM(I467:I468)</f>
        <v>0</v>
      </c>
      <c r="J469" s="450"/>
      <c r="K469" s="678">
        <f>SUM(K467:K468)</f>
        <v>0</v>
      </c>
      <c r="L469" s="678"/>
      <c r="M469" s="678"/>
      <c r="N469" s="450"/>
      <c r="O469" s="575"/>
      <c r="P469" s="463"/>
    </row>
    <row r="470" spans="1:20" x14ac:dyDescent="0.2">
      <c r="A470" s="790" t="s">
        <v>261</v>
      </c>
      <c r="I470" s="353"/>
      <c r="J470" s="450"/>
      <c r="K470" s="353"/>
      <c r="L470" s="353"/>
      <c r="M470" s="353"/>
      <c r="N470" s="450"/>
      <c r="O470" s="575"/>
      <c r="P470" s="463"/>
    </row>
  </sheetData>
  <autoFilter ref="A208:Y393" xr:uid="{34A192B1-81F0-4FC0-97F9-946F07D61EF1}">
    <filterColumn colId="0">
      <filters blank="1">
        <filter val="1"/>
      </filters>
    </filterColumn>
  </autoFilter>
  <mergeCells count="39">
    <mergeCell ref="C97:C98"/>
    <mergeCell ref="O97:O98"/>
    <mergeCell ref="B38:B39"/>
    <mergeCell ref="C38:C39"/>
    <mergeCell ref="D38:D39"/>
    <mergeCell ref="E38:E39"/>
    <mergeCell ref="F38:F39"/>
    <mergeCell ref="G38:G39"/>
    <mergeCell ref="H38:H39"/>
    <mergeCell ref="I38:I39"/>
    <mergeCell ref="K38:M38"/>
    <mergeCell ref="O38:O39"/>
    <mergeCell ref="O58:O59"/>
    <mergeCell ref="O105:O111"/>
    <mergeCell ref="B128:B129"/>
    <mergeCell ref="C128:C129"/>
    <mergeCell ref="D128:D129"/>
    <mergeCell ref="E128:E129"/>
    <mergeCell ref="F128:F129"/>
    <mergeCell ref="G128:G129"/>
    <mergeCell ref="H128:H129"/>
    <mergeCell ref="I128:I129"/>
    <mergeCell ref="K128:M128"/>
    <mergeCell ref="I207:I208"/>
    <mergeCell ref="K207:M207"/>
    <mergeCell ref="C465:C466"/>
    <mergeCell ref="D465:D466"/>
    <mergeCell ref="E465:E466"/>
    <mergeCell ref="F465:F466"/>
    <mergeCell ref="G465:G466"/>
    <mergeCell ref="H465:H466"/>
    <mergeCell ref="I465:I466"/>
    <mergeCell ref="K465:M465"/>
    <mergeCell ref="C207:C208"/>
    <mergeCell ref="D207:D208"/>
    <mergeCell ref="E207:E208"/>
    <mergeCell ref="F207:F208"/>
    <mergeCell ref="G207:G208"/>
    <mergeCell ref="H207:H208"/>
  </mergeCells>
  <pageMargins left="0.25" right="0.25" top="0.75" bottom="0.75" header="0.3" footer="0.3"/>
  <pageSetup paperSize="9" scale="10" orientation="portrait" r:id="rId1"/>
  <rowBreaks count="3" manualBreakCount="3">
    <brk id="37" max="16383" man="1"/>
    <brk id="126" max="16383" man="1"/>
    <brk id="397" max="16383"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4CC6D-B0BF-4812-ADE4-591BEFF35727}">
  <sheetPr>
    <tabColor rgb="FF7030A0"/>
    <pageSetUpPr fitToPage="1"/>
  </sheetPr>
  <dimension ref="A1:XEF473"/>
  <sheetViews>
    <sheetView tabSelected="1" zoomScaleNormal="100" workbookViewId="0">
      <pane ySplit="1" topLeftCell="A17" activePane="bottomLeft" state="frozen"/>
      <selection pane="bottomLeft" activeCell="M50" sqref="M50"/>
    </sheetView>
  </sheetViews>
  <sheetFormatPr defaultColWidth="9.140625" defaultRowHeight="12.75" outlineLevelRow="1" outlineLevelCol="2" x14ac:dyDescent="0.2"/>
  <cols>
    <col min="1" max="1" width="4.140625" style="181" customWidth="1"/>
    <col min="2" max="2" width="47.42578125" style="37" customWidth="1"/>
    <col min="3" max="3" width="1.42578125" style="37" customWidth="1"/>
    <col min="4" max="4" width="13.42578125" style="179" hidden="1" customWidth="1" outlineLevel="2"/>
    <col min="5" max="5" width="12.28515625" style="37" hidden="1" customWidth="1" outlineLevel="2"/>
    <col min="6" max="6" width="12.28515625" style="181" hidden="1" customWidth="1" outlineLevel="2"/>
    <col min="7" max="7" width="12.28515625" style="181" hidden="1" customWidth="1" outlineLevel="1"/>
    <col min="8" max="8" width="12.28515625" style="156" customWidth="1" collapsed="1"/>
    <col min="9" max="12" width="12.28515625" style="181" customWidth="1"/>
    <col min="13" max="13" width="11.7109375" style="37" customWidth="1"/>
    <col min="14" max="14" width="10.28515625" style="37" customWidth="1"/>
    <col min="15" max="15" width="12.7109375" style="37" customWidth="1"/>
    <col min="16" max="23" width="8.42578125" style="37" customWidth="1"/>
    <col min="24" max="24" width="9.140625" style="37" customWidth="1" collapsed="1"/>
    <col min="25" max="27" width="9.140625" style="37" customWidth="1"/>
    <col min="28" max="16384" width="9.140625" style="37"/>
  </cols>
  <sheetData>
    <row r="1" spans="1:27" s="11" customFormat="1" ht="25.9" customHeight="1" x14ac:dyDescent="0.2">
      <c r="A1" s="730"/>
      <c r="B1" s="1"/>
      <c r="C1" s="2"/>
      <c r="D1" s="3" t="s">
        <v>0</v>
      </c>
      <c r="E1" s="4">
        <v>2023</v>
      </c>
      <c r="F1" s="5">
        <v>2024</v>
      </c>
      <c r="G1" s="6">
        <v>2025</v>
      </c>
      <c r="H1" s="5">
        <v>2026</v>
      </c>
      <c r="I1" s="5">
        <v>2027</v>
      </c>
      <c r="J1" s="5">
        <v>2028</v>
      </c>
      <c r="K1" s="5">
        <v>2029</v>
      </c>
      <c r="L1" s="5">
        <v>2030</v>
      </c>
      <c r="M1" s="7"/>
      <c r="N1" s="7"/>
      <c r="O1" s="8">
        <v>2022</v>
      </c>
      <c r="P1" s="9">
        <v>2023</v>
      </c>
      <c r="Q1" s="9">
        <v>2024</v>
      </c>
      <c r="R1" s="6">
        <v>2025</v>
      </c>
      <c r="S1" s="9">
        <v>2026</v>
      </c>
      <c r="T1" s="10">
        <v>2027</v>
      </c>
      <c r="U1" s="10">
        <v>2028</v>
      </c>
      <c r="V1" s="10">
        <v>2029</v>
      </c>
      <c r="W1" s="10">
        <v>2030</v>
      </c>
    </row>
    <row r="2" spans="1:27" s="11" customFormat="1" ht="20.45" hidden="1" customHeight="1" outlineLevel="1" x14ac:dyDescent="0.2">
      <c r="A2" s="731"/>
      <c r="B2" s="12" t="s">
        <v>1</v>
      </c>
      <c r="C2" s="13"/>
      <c r="D2" s="14"/>
      <c r="E2" s="15"/>
      <c r="F2" s="16"/>
      <c r="G2" s="17"/>
      <c r="H2" s="16"/>
      <c r="I2" s="16"/>
      <c r="J2" s="16"/>
      <c r="K2" s="16"/>
      <c r="L2" s="16"/>
      <c r="O2" s="18"/>
      <c r="P2" s="19"/>
      <c r="Q2" s="19"/>
      <c r="R2" s="17"/>
      <c r="S2" s="19"/>
      <c r="T2" s="19"/>
      <c r="U2" s="19"/>
      <c r="V2" s="19"/>
      <c r="W2" s="19"/>
    </row>
    <row r="3" spans="1:27" s="26" customFormat="1" ht="13.5" hidden="1" outlineLevel="1" x14ac:dyDescent="0.25">
      <c r="A3" s="732"/>
      <c r="B3" s="21" t="s">
        <v>2</v>
      </c>
      <c r="C3" s="22"/>
      <c r="D3" s="23"/>
      <c r="E3" s="23"/>
      <c r="F3" s="23"/>
      <c r="G3" s="23">
        <f>1+R3</f>
        <v>1.026</v>
      </c>
      <c r="H3" s="1131">
        <f>1+(H5-G5)/G5</f>
        <v>1.0801387089843135</v>
      </c>
      <c r="I3" s="23">
        <f>1+T3</f>
        <v>1.05</v>
      </c>
      <c r="J3" s="23">
        <f t="shared" ref="J3:L3" si="0">1+U3</f>
        <v>1.05</v>
      </c>
      <c r="K3" s="23">
        <f t="shared" si="0"/>
        <v>1.04</v>
      </c>
      <c r="L3" s="23">
        <f t="shared" si="0"/>
        <v>1.04</v>
      </c>
      <c r="M3" s="24"/>
      <c r="N3" s="24"/>
      <c r="O3" s="20"/>
      <c r="P3" s="22"/>
      <c r="Q3" s="25"/>
      <c r="R3" s="25">
        <v>2.5999999999999999E-2</v>
      </c>
      <c r="S3" s="764">
        <v>0.06</v>
      </c>
      <c r="T3" s="765">
        <v>0.05</v>
      </c>
      <c r="U3" s="765">
        <v>0.05</v>
      </c>
      <c r="V3" s="765">
        <v>0.04</v>
      </c>
      <c r="W3" s="765">
        <v>0.04</v>
      </c>
      <c r="X3" s="26" t="s">
        <v>3</v>
      </c>
    </row>
    <row r="4" spans="1:27" s="26" customFormat="1" ht="13.5" hidden="1" outlineLevel="1" x14ac:dyDescent="0.25">
      <c r="A4" s="732"/>
      <c r="B4" s="21" t="s">
        <v>4</v>
      </c>
      <c r="C4" s="22"/>
      <c r="D4" s="27"/>
      <c r="E4" s="324">
        <f>P4/O4</f>
        <v>1.0077721295635005</v>
      </c>
      <c r="F4" s="324">
        <f>Q4/P4</f>
        <v>1.0199266299816574</v>
      </c>
      <c r="G4" s="324">
        <f>R4/Q4</f>
        <v>1.0116488187689039</v>
      </c>
      <c r="H4" s="1132">
        <f>AVERAGE(E4:G4)</f>
        <v>1.0131158594380205</v>
      </c>
      <c r="I4" s="324">
        <f>AVERAGE(F4:H4)</f>
        <v>1.0148971027295273</v>
      </c>
      <c r="J4" s="324">
        <f>AVERAGE(G4:I4)</f>
        <v>1.0132205936454841</v>
      </c>
      <c r="K4" s="324">
        <f t="shared" ref="K4:L4" si="1">AVERAGE(H4:J4)</f>
        <v>1.0137445186043441</v>
      </c>
      <c r="L4" s="324">
        <f t="shared" si="1"/>
        <v>1.013954071659785</v>
      </c>
      <c r="M4" s="28"/>
      <c r="N4" s="28"/>
      <c r="O4" s="323">
        <v>23803</v>
      </c>
      <c r="P4" s="323">
        <v>23988</v>
      </c>
      <c r="Q4" s="323">
        <v>24466</v>
      </c>
      <c r="R4" s="323">
        <v>24751</v>
      </c>
      <c r="S4" s="326">
        <f>R4*H4</f>
        <v>25075.630636950445</v>
      </c>
      <c r="T4" s="327">
        <f>S4*I4</f>
        <v>25449.184882556776</v>
      </c>
      <c r="U4" s="327">
        <f t="shared" ref="U4:W4" si="2">T4*J4</f>
        <v>25785.638214497856</v>
      </c>
      <c r="V4" s="327">
        <f t="shared" si="2"/>
        <v>26140.049398661908</v>
      </c>
      <c r="W4" s="327">
        <f t="shared" si="2"/>
        <v>26504.809521161154</v>
      </c>
      <c r="X4" s="26" t="s">
        <v>160</v>
      </c>
    </row>
    <row r="5" spans="1:27" hidden="1" outlineLevel="1" x14ac:dyDescent="0.2">
      <c r="A5" s="733" t="s">
        <v>5</v>
      </c>
      <c r="B5" s="29" t="s">
        <v>6</v>
      </c>
      <c r="C5" s="30"/>
      <c r="D5" s="31">
        <f>27602472+1733516</f>
        <v>29335988</v>
      </c>
      <c r="E5" s="32">
        <v>30345932</v>
      </c>
      <c r="F5" s="33">
        <v>35276996</v>
      </c>
      <c r="G5" s="33">
        <v>39439118</v>
      </c>
      <c r="H5" s="33">
        <f>41652563+947155</f>
        <v>42599718</v>
      </c>
      <c r="I5" s="33">
        <f>H5*I3*I4</f>
        <v>45396046.894059636</v>
      </c>
      <c r="J5" s="33">
        <f>I5*J3*J4</f>
        <v>48296020.062315203</v>
      </c>
      <c r="K5" s="33">
        <f t="shared" ref="K5:L5" si="3">J5*K3*K4</f>
        <v>50918218.632920571</v>
      </c>
      <c r="L5" s="33">
        <f t="shared" si="3"/>
        <v>53693884.508693464</v>
      </c>
      <c r="M5" s="7"/>
      <c r="N5" s="7"/>
      <c r="O5" s="34"/>
      <c r="P5" s="35">
        <f>IFERROR(E5/D5-1, "-")</f>
        <v>3.4426793466100447E-2</v>
      </c>
      <c r="Q5" s="35">
        <f t="shared" ref="Q5:T17" si="4">IFERROR(F5/E5-1, "-")</f>
        <v>0.16249505864575187</v>
      </c>
      <c r="R5" s="35">
        <f t="shared" si="4"/>
        <v>0.11798402562395061</v>
      </c>
      <c r="S5" s="35">
        <f t="shared" si="4"/>
        <v>8.0138708984313523E-2</v>
      </c>
      <c r="T5" s="36">
        <f t="shared" si="4"/>
        <v>6.5641957866003686E-2</v>
      </c>
      <c r="U5" s="36">
        <f t="shared" ref="U5:U17" si="5">IFERROR(J5/I5-1, "-")</f>
        <v>6.3881623327758152E-2</v>
      </c>
      <c r="V5" s="36">
        <f t="shared" ref="V5:V17" si="6">IFERROR(K5/J5-1, "-")</f>
        <v>5.4294299348517816E-2</v>
      </c>
      <c r="W5" s="36">
        <f t="shared" ref="W5:W17" si="7">IFERROR(L5/K5-1, "-")</f>
        <v>5.4512234526176373E-2</v>
      </c>
      <c r="Y5" s="325"/>
      <c r="Z5" s="325"/>
      <c r="AA5" s="325"/>
    </row>
    <row r="6" spans="1:27" hidden="1" outlineLevel="1" x14ac:dyDescent="0.2">
      <c r="A6" s="734" t="s">
        <v>7</v>
      </c>
      <c r="B6" s="38" t="s">
        <v>8</v>
      </c>
      <c r="C6" s="38"/>
      <c r="D6" s="39">
        <v>2181936</v>
      </c>
      <c r="E6" s="40">
        <v>1998295</v>
      </c>
      <c r="F6" s="41">
        <v>2040018</v>
      </c>
      <c r="G6" s="41">
        <v>2082625</v>
      </c>
      <c r="H6" s="41">
        <v>2046793</v>
      </c>
      <c r="I6" s="41">
        <f>H6*I3</f>
        <v>2149132.65</v>
      </c>
      <c r="J6" s="41">
        <f t="shared" ref="J6:L6" si="8">I6*J3</f>
        <v>2256589.2825000002</v>
      </c>
      <c r="K6" s="41">
        <f t="shared" si="8"/>
        <v>2346852.8538000002</v>
      </c>
      <c r="L6" s="41">
        <f t="shared" si="8"/>
        <v>2440726.9679520004</v>
      </c>
      <c r="M6" s="11"/>
      <c r="N6" s="11"/>
      <c r="O6" s="34"/>
      <c r="P6" s="35">
        <f t="shared" ref="P6:P16" si="9">IFERROR(E6/D6-1, "-")</f>
        <v>-8.4164246797339581E-2</v>
      </c>
      <c r="Q6" s="35">
        <f t="shared" si="4"/>
        <v>2.0879299602911461E-2</v>
      </c>
      <c r="R6" s="35">
        <f t="shared" si="4"/>
        <v>2.0885600029019402E-2</v>
      </c>
      <c r="S6" s="35">
        <f t="shared" si="4"/>
        <v>-1.7205209771322227E-2</v>
      </c>
      <c r="T6" s="36">
        <f t="shared" si="4"/>
        <v>5.0000000000000044E-2</v>
      </c>
      <c r="U6" s="36">
        <f t="shared" si="5"/>
        <v>5.0000000000000044E-2</v>
      </c>
      <c r="V6" s="36">
        <f t="shared" si="6"/>
        <v>4.0000000000000036E-2</v>
      </c>
      <c r="W6" s="36">
        <f t="shared" si="7"/>
        <v>4.0000000000000036E-2</v>
      </c>
    </row>
    <row r="7" spans="1:27" hidden="1" outlineLevel="1" x14ac:dyDescent="0.2">
      <c r="A7" s="734" t="s">
        <v>9</v>
      </c>
      <c r="B7" s="38" t="s">
        <v>10</v>
      </c>
      <c r="C7" s="38"/>
      <c r="D7" s="39">
        <v>351937</v>
      </c>
      <c r="E7" s="40">
        <v>412472</v>
      </c>
      <c r="F7" s="41">
        <v>410967</v>
      </c>
      <c r="G7" s="41">
        <v>392228</v>
      </c>
      <c r="H7" s="41">
        <v>446928</v>
      </c>
      <c r="I7" s="41">
        <f>H7*I3</f>
        <v>469274.4</v>
      </c>
      <c r="J7" s="41">
        <f t="shared" ref="J7:L7" si="10">I7*J3</f>
        <v>492738.12000000005</v>
      </c>
      <c r="K7" s="41">
        <f t="shared" si="10"/>
        <v>512447.64480000007</v>
      </c>
      <c r="L7" s="41">
        <f t="shared" si="10"/>
        <v>532945.55059200013</v>
      </c>
      <c r="M7" s="11"/>
      <c r="N7" s="11"/>
      <c r="O7" s="34"/>
      <c r="P7" s="35">
        <f t="shared" si="9"/>
        <v>0.17200521684278725</v>
      </c>
      <c r="Q7" s="35">
        <f t="shared" si="4"/>
        <v>-3.6487325200256215E-3</v>
      </c>
      <c r="R7" s="35">
        <f t="shared" si="4"/>
        <v>-4.5597335065832523E-2</v>
      </c>
      <c r="S7" s="35">
        <f t="shared" si="4"/>
        <v>0.13945970201005542</v>
      </c>
      <c r="T7" s="36">
        <f t="shared" si="4"/>
        <v>5.0000000000000044E-2</v>
      </c>
      <c r="U7" s="36">
        <f t="shared" si="5"/>
        <v>5.0000000000000044E-2</v>
      </c>
      <c r="V7" s="36">
        <f t="shared" si="6"/>
        <v>4.0000000000000036E-2</v>
      </c>
      <c r="W7" s="36">
        <f t="shared" si="7"/>
        <v>4.0000000000000036E-2</v>
      </c>
    </row>
    <row r="8" spans="1:27" hidden="1" outlineLevel="1" x14ac:dyDescent="0.2">
      <c r="A8" s="734" t="s">
        <v>11</v>
      </c>
      <c r="B8" s="38" t="s">
        <v>12</v>
      </c>
      <c r="C8" s="38"/>
      <c r="D8" s="39">
        <v>572807</v>
      </c>
      <c r="E8" s="40">
        <v>492545</v>
      </c>
      <c r="F8" s="41">
        <v>721866</v>
      </c>
      <c r="G8" s="41">
        <v>736487</v>
      </c>
      <c r="H8" s="41">
        <v>730284</v>
      </c>
      <c r="I8" s="41">
        <f>H8*I3</f>
        <v>766798.20000000007</v>
      </c>
      <c r="J8" s="41">
        <f t="shared" ref="J8:L8" si="11">I8*J3</f>
        <v>805138.1100000001</v>
      </c>
      <c r="K8" s="41">
        <f t="shared" si="11"/>
        <v>837343.6344000001</v>
      </c>
      <c r="L8" s="41">
        <f t="shared" si="11"/>
        <v>870837.37977600016</v>
      </c>
      <c r="M8" s="11"/>
      <c r="N8" s="11"/>
      <c r="O8" s="34"/>
      <c r="P8" s="35">
        <f t="shared" si="9"/>
        <v>-0.14012049433753426</v>
      </c>
      <c r="Q8" s="35">
        <f t="shared" si="4"/>
        <v>0.46558385528225843</v>
      </c>
      <c r="R8" s="35">
        <f t="shared" si="4"/>
        <v>2.0254451657232719E-2</v>
      </c>
      <c r="S8" s="35">
        <f t="shared" si="4"/>
        <v>-8.422416145838274E-3</v>
      </c>
      <c r="T8" s="36">
        <f t="shared" si="4"/>
        <v>5.0000000000000044E-2</v>
      </c>
      <c r="U8" s="36">
        <f t="shared" si="5"/>
        <v>5.0000000000000044E-2</v>
      </c>
      <c r="V8" s="36">
        <f t="shared" si="6"/>
        <v>4.0000000000000036E-2</v>
      </c>
      <c r="W8" s="36">
        <f t="shared" si="7"/>
        <v>4.0000000000000036E-2</v>
      </c>
    </row>
    <row r="9" spans="1:27" hidden="1" outlineLevel="1" x14ac:dyDescent="0.2">
      <c r="A9" s="734" t="s">
        <v>13</v>
      </c>
      <c r="B9" s="38" t="s">
        <v>14</v>
      </c>
      <c r="C9" s="38"/>
      <c r="D9" s="39">
        <v>49000</v>
      </c>
      <c r="E9" s="40">
        <v>0</v>
      </c>
      <c r="F9" s="41">
        <f>E9</f>
        <v>0</v>
      </c>
      <c r="G9" s="41">
        <f>F9</f>
        <v>0</v>
      </c>
      <c r="H9" s="41">
        <f>G9</f>
        <v>0</v>
      </c>
      <c r="I9" s="41">
        <f>H9</f>
        <v>0</v>
      </c>
      <c r="J9" s="41">
        <f t="shared" ref="J9:L9" si="12">I9</f>
        <v>0</v>
      </c>
      <c r="K9" s="41">
        <f t="shared" si="12"/>
        <v>0</v>
      </c>
      <c r="L9" s="41">
        <f t="shared" si="12"/>
        <v>0</v>
      </c>
      <c r="M9" s="11"/>
      <c r="N9" s="11"/>
      <c r="O9" s="34"/>
      <c r="P9" s="35"/>
      <c r="Q9" s="35" t="str">
        <f t="shared" si="4"/>
        <v>-</v>
      </c>
      <c r="R9" s="35" t="str">
        <f t="shared" si="4"/>
        <v>-</v>
      </c>
      <c r="S9" s="35" t="str">
        <f t="shared" si="4"/>
        <v>-</v>
      </c>
      <c r="T9" s="36" t="str">
        <f t="shared" si="4"/>
        <v>-</v>
      </c>
      <c r="U9" s="36" t="str">
        <f t="shared" si="5"/>
        <v>-</v>
      </c>
      <c r="V9" s="36" t="str">
        <f t="shared" si="6"/>
        <v>-</v>
      </c>
      <c r="W9" s="36" t="str">
        <f t="shared" si="7"/>
        <v>-</v>
      </c>
    </row>
    <row r="10" spans="1:27" hidden="1" outlineLevel="1" x14ac:dyDescent="0.2">
      <c r="A10" s="734" t="s">
        <v>15</v>
      </c>
      <c r="B10" s="38" t="s">
        <v>16</v>
      </c>
      <c r="C10" s="38"/>
      <c r="D10" s="39">
        <v>90320</v>
      </c>
      <c r="E10" s="40">
        <v>160000</v>
      </c>
      <c r="F10" s="41">
        <v>167000</v>
      </c>
      <c r="G10" s="41">
        <v>144060</v>
      </c>
      <c r="H10" s="41">
        <f>144300+5000</f>
        <v>149300</v>
      </c>
      <c r="I10" s="41">
        <f t="shared" ref="F10:I12" si="13">H10*1.01</f>
        <v>150793</v>
      </c>
      <c r="J10" s="41">
        <f t="shared" ref="J10:J12" si="14">I10*1.01</f>
        <v>152300.93</v>
      </c>
      <c r="K10" s="41">
        <f t="shared" ref="K10:K12" si="15">J10*1.01</f>
        <v>153823.9393</v>
      </c>
      <c r="L10" s="41">
        <f t="shared" ref="L10:L12" si="16">K10*1.01</f>
        <v>155362.17869299999</v>
      </c>
      <c r="M10" s="11"/>
      <c r="N10" s="11"/>
      <c r="O10" s="34"/>
      <c r="P10" s="35">
        <f t="shared" si="9"/>
        <v>0.77147918511957481</v>
      </c>
      <c r="Q10" s="35">
        <f t="shared" si="4"/>
        <v>4.3749999999999956E-2</v>
      </c>
      <c r="R10" s="35">
        <f t="shared" si="4"/>
        <v>-0.13736526946107785</v>
      </c>
      <c r="S10" s="35">
        <f t="shared" si="4"/>
        <v>3.6373733166735978E-2</v>
      </c>
      <c r="T10" s="36">
        <f t="shared" si="4"/>
        <v>1.0000000000000009E-2</v>
      </c>
      <c r="U10" s="36">
        <f t="shared" si="5"/>
        <v>1.0000000000000009E-2</v>
      </c>
      <c r="V10" s="36">
        <f t="shared" si="6"/>
        <v>1.0000000000000009E-2</v>
      </c>
      <c r="W10" s="36">
        <f t="shared" si="7"/>
        <v>1.0000000000000009E-2</v>
      </c>
    </row>
    <row r="11" spans="1:27" hidden="1" outlineLevel="1" x14ac:dyDescent="0.2">
      <c r="A11" s="735" t="s">
        <v>17</v>
      </c>
      <c r="B11" s="38" t="s">
        <v>18</v>
      </c>
      <c r="C11" s="38"/>
      <c r="D11" s="39">
        <v>59000</v>
      </c>
      <c r="E11" s="40">
        <v>65000</v>
      </c>
      <c r="F11" s="41">
        <v>65000</v>
      </c>
      <c r="G11" s="41">
        <v>130000</v>
      </c>
      <c r="H11" s="41">
        <v>130000</v>
      </c>
      <c r="I11" s="41">
        <f t="shared" si="13"/>
        <v>131300</v>
      </c>
      <c r="J11" s="41">
        <f t="shared" si="14"/>
        <v>132613</v>
      </c>
      <c r="K11" s="41">
        <f t="shared" si="15"/>
        <v>133939.13</v>
      </c>
      <c r="L11" s="41">
        <f t="shared" si="16"/>
        <v>135278.52129999999</v>
      </c>
      <c r="M11" s="11"/>
      <c r="N11" s="11"/>
      <c r="O11" s="34"/>
      <c r="P11" s="35">
        <f t="shared" si="9"/>
        <v>0.10169491525423724</v>
      </c>
      <c r="Q11" s="35">
        <f t="shared" si="4"/>
        <v>0</v>
      </c>
      <c r="R11" s="35">
        <f t="shared" si="4"/>
        <v>1</v>
      </c>
      <c r="S11" s="35">
        <f t="shared" si="4"/>
        <v>0</v>
      </c>
      <c r="T11" s="36">
        <f t="shared" si="4"/>
        <v>1.0000000000000009E-2</v>
      </c>
      <c r="U11" s="36">
        <f t="shared" si="5"/>
        <v>1.0000000000000009E-2</v>
      </c>
      <c r="V11" s="36">
        <f t="shared" si="6"/>
        <v>1.0000000000000009E-2</v>
      </c>
      <c r="W11" s="36">
        <f t="shared" si="7"/>
        <v>1.0000000000000009E-2</v>
      </c>
    </row>
    <row r="12" spans="1:27" hidden="1" outlineLevel="1" x14ac:dyDescent="0.2">
      <c r="A12" s="734" t="s">
        <v>19</v>
      </c>
      <c r="B12" s="38" t="s">
        <v>20</v>
      </c>
      <c r="C12" s="38"/>
      <c r="D12" s="39">
        <v>66891</v>
      </c>
      <c r="E12" s="40">
        <v>6453</v>
      </c>
      <c r="F12" s="41">
        <f t="shared" si="13"/>
        <v>6517.53</v>
      </c>
      <c r="G12" s="41">
        <f>35728+5000</f>
        <v>40728</v>
      </c>
      <c r="H12" s="41">
        <v>38728</v>
      </c>
      <c r="I12" s="41">
        <f t="shared" si="13"/>
        <v>39115.279999999999</v>
      </c>
      <c r="J12" s="41">
        <f t="shared" si="14"/>
        <v>39506.432800000002</v>
      </c>
      <c r="K12" s="41">
        <f t="shared" si="15"/>
        <v>39901.497128000003</v>
      </c>
      <c r="L12" s="41">
        <f t="shared" si="16"/>
        <v>40300.51209928</v>
      </c>
      <c r="M12" s="11"/>
      <c r="N12" s="11"/>
      <c r="O12" s="34"/>
      <c r="P12" s="35">
        <f t="shared" si="9"/>
        <v>-0.90352962281921334</v>
      </c>
      <c r="Q12" s="35">
        <f t="shared" si="4"/>
        <v>1.0000000000000009E-2</v>
      </c>
      <c r="R12" s="35">
        <f t="shared" si="4"/>
        <v>5.2489931001468353</v>
      </c>
      <c r="S12" s="35">
        <f t="shared" si="4"/>
        <v>-4.9106265959536488E-2</v>
      </c>
      <c r="T12" s="36">
        <f t="shared" si="4"/>
        <v>1.0000000000000009E-2</v>
      </c>
      <c r="U12" s="36">
        <f t="shared" si="5"/>
        <v>1.0000000000000009E-2</v>
      </c>
      <c r="V12" s="36">
        <f t="shared" si="6"/>
        <v>1.0000000000000009E-2</v>
      </c>
      <c r="W12" s="36">
        <f t="shared" si="7"/>
        <v>1.0000000000000009E-2</v>
      </c>
    </row>
    <row r="13" spans="1:27" hidden="1" outlineLevel="1" x14ac:dyDescent="0.2">
      <c r="A13" s="734" t="s">
        <v>21</v>
      </c>
      <c r="B13" s="38" t="s">
        <v>22</v>
      </c>
      <c r="C13" s="38"/>
      <c r="D13" s="39">
        <v>595756</v>
      </c>
      <c r="E13" s="40">
        <v>433856</v>
      </c>
      <c r="F13" s="41"/>
      <c r="G13" s="41">
        <v>0</v>
      </c>
      <c r="H13" s="41">
        <v>0</v>
      </c>
      <c r="I13" s="41">
        <v>0</v>
      </c>
      <c r="J13" s="41">
        <v>0</v>
      </c>
      <c r="K13" s="41">
        <v>0</v>
      </c>
      <c r="L13" s="41">
        <v>0</v>
      </c>
      <c r="M13" s="11"/>
      <c r="N13" s="11"/>
      <c r="O13" s="34"/>
      <c r="P13" s="35">
        <f t="shared" si="9"/>
        <v>-0.27175555093024661</v>
      </c>
      <c r="Q13" s="35">
        <f t="shared" si="4"/>
        <v>-1</v>
      </c>
      <c r="R13" s="35" t="str">
        <f t="shared" si="4"/>
        <v>-</v>
      </c>
      <c r="S13" s="35" t="str">
        <f t="shared" si="4"/>
        <v>-</v>
      </c>
      <c r="T13" s="36" t="str">
        <f t="shared" si="4"/>
        <v>-</v>
      </c>
      <c r="U13" s="36" t="str">
        <f t="shared" si="5"/>
        <v>-</v>
      </c>
      <c r="V13" s="36" t="str">
        <f t="shared" si="6"/>
        <v>-</v>
      </c>
      <c r="W13" s="36" t="str">
        <f t="shared" si="7"/>
        <v>-</v>
      </c>
    </row>
    <row r="14" spans="1:27" hidden="1" outlineLevel="1" x14ac:dyDescent="0.2">
      <c r="A14" s="734" t="s">
        <v>23</v>
      </c>
      <c r="B14" s="1160" t="s">
        <v>24</v>
      </c>
      <c r="C14" s="1160"/>
      <c r="D14" s="41">
        <v>0</v>
      </c>
      <c r="E14" s="41">
        <v>0</v>
      </c>
      <c r="F14" s="41">
        <v>0</v>
      </c>
      <c r="G14" s="41">
        <v>0</v>
      </c>
      <c r="H14" s="41">
        <v>0</v>
      </c>
      <c r="I14" s="41">
        <v>0</v>
      </c>
      <c r="J14" s="41">
        <v>0</v>
      </c>
      <c r="K14" s="41">
        <v>0</v>
      </c>
      <c r="L14" s="41">
        <v>0</v>
      </c>
      <c r="M14" s="11"/>
      <c r="N14" s="11"/>
      <c r="O14" s="34"/>
      <c r="P14" s="35" t="str">
        <f t="shared" si="9"/>
        <v>-</v>
      </c>
      <c r="Q14" s="35" t="str">
        <f t="shared" si="4"/>
        <v>-</v>
      </c>
      <c r="R14" s="35" t="str">
        <f t="shared" si="4"/>
        <v>-</v>
      </c>
      <c r="S14" s="35" t="str">
        <f t="shared" si="4"/>
        <v>-</v>
      </c>
      <c r="T14" s="36" t="str">
        <f t="shared" si="4"/>
        <v>-</v>
      </c>
      <c r="U14" s="36" t="str">
        <f t="shared" si="5"/>
        <v>-</v>
      </c>
      <c r="V14" s="36" t="str">
        <f t="shared" si="6"/>
        <v>-</v>
      </c>
      <c r="W14" s="36" t="str">
        <f t="shared" si="7"/>
        <v>-</v>
      </c>
    </row>
    <row r="15" spans="1:27" hidden="1" outlineLevel="1" x14ac:dyDescent="0.2">
      <c r="A15" s="734" t="s">
        <v>25</v>
      </c>
      <c r="B15" s="1160" t="s">
        <v>26</v>
      </c>
      <c r="C15" s="1160"/>
      <c r="D15" s="41">
        <v>235000</v>
      </c>
      <c r="E15" s="41">
        <v>342100</v>
      </c>
      <c r="F15" s="41">
        <v>295000</v>
      </c>
      <c r="G15" s="41">
        <v>350000</v>
      </c>
      <c r="H15" s="41">
        <v>355000</v>
      </c>
      <c r="I15" s="41">
        <f>H15*1.01</f>
        <v>358550</v>
      </c>
      <c r="J15" s="41">
        <f t="shared" ref="J15:L15" si="17">I15*1.01</f>
        <v>362135.5</v>
      </c>
      <c r="K15" s="41">
        <f t="shared" si="17"/>
        <v>365756.85499999998</v>
      </c>
      <c r="L15" s="41">
        <f t="shared" si="17"/>
        <v>369414.42355000001</v>
      </c>
      <c r="M15" s="11" t="s">
        <v>696</v>
      </c>
      <c r="N15" s="11"/>
      <c r="O15" s="34"/>
      <c r="P15" s="35">
        <f t="shared" si="9"/>
        <v>0.4557446808510639</v>
      </c>
      <c r="Q15" s="35">
        <f t="shared" si="4"/>
        <v>-0.1376790412160187</v>
      </c>
      <c r="R15" s="35">
        <f t="shared" si="4"/>
        <v>0.18644067796610164</v>
      </c>
      <c r="S15" s="35">
        <f t="shared" si="4"/>
        <v>1.4285714285714235E-2</v>
      </c>
      <c r="T15" s="36">
        <f t="shared" si="4"/>
        <v>1.0000000000000009E-2</v>
      </c>
      <c r="U15" s="36">
        <f t="shared" si="5"/>
        <v>1.0000000000000009E-2</v>
      </c>
      <c r="V15" s="36">
        <f t="shared" si="6"/>
        <v>1.0000000000000009E-2</v>
      </c>
      <c r="W15" s="36">
        <f t="shared" si="7"/>
        <v>1.0000000000000009E-2</v>
      </c>
    </row>
    <row r="16" spans="1:27" hidden="1" outlineLevel="1" x14ac:dyDescent="0.2">
      <c r="A16" s="734" t="s">
        <v>27</v>
      </c>
      <c r="B16" s="38" t="s">
        <v>28</v>
      </c>
      <c r="C16" s="38"/>
      <c r="D16" s="39">
        <v>1681103</v>
      </c>
      <c r="E16" s="40">
        <v>2474853</v>
      </c>
      <c r="F16" s="41">
        <v>2675467</v>
      </c>
      <c r="G16" s="41">
        <f>640519+90000</f>
        <v>730519</v>
      </c>
      <c r="H16" s="41">
        <f>733037-17472</f>
        <v>715565</v>
      </c>
      <c r="I16" s="41">
        <f>H16*I3</f>
        <v>751343.25</v>
      </c>
      <c r="J16" s="41">
        <f t="shared" ref="J16:L16" si="18">I16*J3</f>
        <v>788910.41249999998</v>
      </c>
      <c r="K16" s="41">
        <f t="shared" si="18"/>
        <v>820466.82900000003</v>
      </c>
      <c r="L16" s="41">
        <f t="shared" si="18"/>
        <v>853285.50216000003</v>
      </c>
      <c r="M16" s="11"/>
      <c r="N16" s="11"/>
      <c r="O16" s="34"/>
      <c r="P16" s="35">
        <f t="shared" si="9"/>
        <v>0.47216024241227328</v>
      </c>
      <c r="Q16" s="35">
        <f t="shared" si="4"/>
        <v>8.1060976146866137E-2</v>
      </c>
      <c r="R16" s="35">
        <f t="shared" si="4"/>
        <v>-0.72695645283608434</v>
      </c>
      <c r="S16" s="35">
        <f t="shared" si="4"/>
        <v>-2.0470377909404092E-2</v>
      </c>
      <c r="T16" s="36">
        <f t="shared" si="4"/>
        <v>5.0000000000000044E-2</v>
      </c>
      <c r="U16" s="36">
        <f t="shared" si="5"/>
        <v>5.0000000000000044E-2</v>
      </c>
      <c r="V16" s="36">
        <f t="shared" si="6"/>
        <v>4.0000000000000036E-2</v>
      </c>
      <c r="W16" s="36">
        <f t="shared" si="7"/>
        <v>4.0000000000000036E-2</v>
      </c>
    </row>
    <row r="17" spans="1:24" s="50" customFormat="1" collapsed="1" x14ac:dyDescent="0.2">
      <c r="A17" s="736"/>
      <c r="B17" s="42" t="s">
        <v>29</v>
      </c>
      <c r="C17" s="42"/>
      <c r="D17" s="43">
        <f t="shared" ref="D17:L17" si="19">SUM(D5:D16)</f>
        <v>35219738</v>
      </c>
      <c r="E17" s="44">
        <f t="shared" si="19"/>
        <v>36731506</v>
      </c>
      <c r="F17" s="45">
        <f t="shared" si="19"/>
        <v>41658831.530000001</v>
      </c>
      <c r="G17" s="45">
        <f t="shared" si="19"/>
        <v>44045765</v>
      </c>
      <c r="H17" s="45">
        <f t="shared" si="19"/>
        <v>47212316</v>
      </c>
      <c r="I17" s="45">
        <f t="shared" si="19"/>
        <v>50212353.674059637</v>
      </c>
      <c r="J17" s="45">
        <f t="shared" si="19"/>
        <v>53325951.850115202</v>
      </c>
      <c r="K17" s="45">
        <f t="shared" si="19"/>
        <v>56128751.016348578</v>
      </c>
      <c r="L17" s="45">
        <f t="shared" si="19"/>
        <v>59092035.544815741</v>
      </c>
      <c r="M17" s="46"/>
      <c r="N17" s="46"/>
      <c r="O17" s="47"/>
      <c r="P17" s="48">
        <f>IFERROR(E17/D17-1, "-")</f>
        <v>4.2923885464451805E-2</v>
      </c>
      <c r="Q17" s="48">
        <f t="shared" si="4"/>
        <v>0.13414439173825321</v>
      </c>
      <c r="R17" s="48">
        <f t="shared" si="4"/>
        <v>5.7297177629216156E-2</v>
      </c>
      <c r="S17" s="48">
        <f t="shared" si="4"/>
        <v>7.1892292028529869E-2</v>
      </c>
      <c r="T17" s="49">
        <f t="shared" si="4"/>
        <v>6.3543539657313852E-2</v>
      </c>
      <c r="U17" s="49">
        <f t="shared" si="5"/>
        <v>6.2008608404749754E-2</v>
      </c>
      <c r="V17" s="49">
        <f t="shared" si="6"/>
        <v>5.2559758785202471E-2</v>
      </c>
      <c r="W17" s="49">
        <f t="shared" si="7"/>
        <v>5.2794414178289006E-2</v>
      </c>
    </row>
    <row r="18" spans="1:24" s="50" customFormat="1" hidden="1" outlineLevel="1" x14ac:dyDescent="0.2">
      <c r="A18" s="737"/>
      <c r="B18" s="51"/>
      <c r="C18" s="51"/>
      <c r="D18" s="52"/>
      <c r="E18" s="53"/>
      <c r="F18" s="54"/>
      <c r="G18" s="55">
        <v>9.176471084356308E-2</v>
      </c>
      <c r="H18" s="1121"/>
      <c r="I18" s="54"/>
      <c r="J18" s="54"/>
      <c r="K18" s="54"/>
      <c r="L18" s="54"/>
      <c r="M18" s="56"/>
      <c r="N18" s="56"/>
      <c r="O18" s="57"/>
      <c r="P18" s="58"/>
      <c r="Q18" s="58"/>
      <c r="R18" s="58"/>
      <c r="S18" s="58"/>
      <c r="T18" s="58"/>
      <c r="U18" s="58"/>
      <c r="V18" s="58"/>
      <c r="W18" s="58"/>
    </row>
    <row r="19" spans="1:24" s="11" customFormat="1" ht="24.6" hidden="1" customHeight="1" outlineLevel="1" x14ac:dyDescent="0.2">
      <c r="A19" s="738"/>
      <c r="B19" s="59" t="s">
        <v>30</v>
      </c>
      <c r="C19" s="60"/>
      <c r="D19" s="61" t="s">
        <v>0</v>
      </c>
      <c r="E19" s="62">
        <v>2023</v>
      </c>
      <c r="F19" s="63">
        <v>2024</v>
      </c>
      <c r="G19" s="64">
        <v>2025</v>
      </c>
      <c r="H19" s="63">
        <v>2026</v>
      </c>
      <c r="I19" s="63">
        <v>2027</v>
      </c>
      <c r="J19" s="63">
        <v>2028</v>
      </c>
      <c r="K19" s="63">
        <v>2029</v>
      </c>
      <c r="L19" s="63">
        <v>2030</v>
      </c>
      <c r="O19" s="65">
        <v>2022</v>
      </c>
      <c r="P19" s="66">
        <v>2023</v>
      </c>
      <c r="Q19" s="66">
        <v>2024</v>
      </c>
      <c r="R19" s="64">
        <v>2025</v>
      </c>
      <c r="S19" s="66">
        <v>2026</v>
      </c>
      <c r="T19" s="67">
        <v>2027</v>
      </c>
      <c r="U19" s="67">
        <v>2028</v>
      </c>
      <c r="V19" s="67">
        <v>2029</v>
      </c>
      <c r="W19" s="67">
        <v>2030</v>
      </c>
    </row>
    <row r="20" spans="1:24" s="26" customFormat="1" ht="13.5" hidden="1" outlineLevel="1" x14ac:dyDescent="0.25">
      <c r="A20" s="739"/>
      <c r="B20" s="21" t="s">
        <v>31</v>
      </c>
      <c r="C20" s="22"/>
      <c r="D20" s="23"/>
      <c r="E20" s="23"/>
      <c r="F20" s="23"/>
      <c r="G20" s="23">
        <f>1+R20</f>
        <v>1.0149999999999999</v>
      </c>
      <c r="H20" s="23">
        <f>1+S20</f>
        <v>1.016</v>
      </c>
      <c r="I20" s="23">
        <f>1+T20</f>
        <v>1.02</v>
      </c>
      <c r="J20" s="23">
        <f t="shared" ref="J20:L20" si="20">1+U20</f>
        <v>1.02</v>
      </c>
      <c r="K20" s="23">
        <f t="shared" si="20"/>
        <v>1.02</v>
      </c>
      <c r="L20" s="23">
        <f t="shared" si="20"/>
        <v>1.02</v>
      </c>
      <c r="M20" s="28"/>
      <c r="N20" s="28"/>
      <c r="O20" s="68"/>
      <c r="P20" s="22"/>
      <c r="Q20" s="25"/>
      <c r="R20" s="25">
        <v>1.4999999999999999E-2</v>
      </c>
      <c r="S20" s="25">
        <v>1.6E-2</v>
      </c>
      <c r="T20" s="69">
        <v>0.02</v>
      </c>
      <c r="U20" s="69">
        <v>0.02</v>
      </c>
      <c r="V20" s="69">
        <v>0.02</v>
      </c>
      <c r="W20" s="69">
        <v>0.02</v>
      </c>
      <c r="X20" s="26" t="s">
        <v>3</v>
      </c>
    </row>
    <row r="21" spans="1:24" hidden="1" outlineLevel="1" collapsed="1" x14ac:dyDescent="0.2">
      <c r="A21" s="740" t="s">
        <v>5</v>
      </c>
      <c r="B21" s="29" t="s">
        <v>32</v>
      </c>
      <c r="C21" s="30"/>
      <c r="D21" s="31">
        <v>8654250</v>
      </c>
      <c r="E21" s="32">
        <f>SUM(E22:E24)</f>
        <v>8663510</v>
      </c>
      <c r="F21" s="33">
        <f>SUM(F22:F24)</f>
        <v>11592172</v>
      </c>
      <c r="G21" s="33">
        <v>12140037</v>
      </c>
      <c r="H21" s="33">
        <f>SUM(H22:H24)</f>
        <v>11917308</v>
      </c>
      <c r="I21" s="33">
        <f>SUM(I22:I24)</f>
        <v>12441579.15221205</v>
      </c>
      <c r="J21" s="33">
        <f t="shared" ref="J21:L21" si="21">SUM(J22:J24)</f>
        <v>12884581.185569717</v>
      </c>
      <c r="K21" s="33">
        <f t="shared" si="21"/>
        <v>13401211.706671551</v>
      </c>
      <c r="L21" s="33">
        <f t="shared" si="21"/>
        <v>14282852.535530074</v>
      </c>
      <c r="M21" s="11"/>
      <c r="N21" s="11"/>
      <c r="O21" s="70"/>
      <c r="P21" s="71">
        <f>IFERROR(E21/D21-1, "-")</f>
        <v>1.0699945113672449E-3</v>
      </c>
      <c r="Q21" s="71">
        <f t="shared" ref="Q21:T35" si="22">IFERROR(F21/E21-1, "-")</f>
        <v>0.33804566509417078</v>
      </c>
      <c r="R21" s="71">
        <f t="shared" si="22"/>
        <v>4.726163483426582E-2</v>
      </c>
      <c r="S21" s="71">
        <f t="shared" si="22"/>
        <v>-1.8346649190607911E-2</v>
      </c>
      <c r="T21" s="72">
        <f t="shared" si="22"/>
        <v>4.3992414412050929E-2</v>
      </c>
      <c r="U21" s="72">
        <f t="shared" ref="U21" si="23">IFERROR(J21/I21-1, "-")</f>
        <v>3.560657597704564E-2</v>
      </c>
      <c r="V21" s="72">
        <f t="shared" ref="V21" si="24">IFERROR(K21/J21-1, "-")</f>
        <v>4.0096803587255314E-2</v>
      </c>
      <c r="W21" s="72">
        <f t="shared" ref="W21" si="25">IFERROR(L21/K21-1, "-")</f>
        <v>6.5788142755748957E-2</v>
      </c>
    </row>
    <row r="22" spans="1:24" ht="13.5" hidden="1" outlineLevel="1" x14ac:dyDescent="0.25">
      <c r="A22" s="741"/>
      <c r="B22" s="73" t="s">
        <v>33</v>
      </c>
      <c r="C22" s="74"/>
      <c r="D22" s="75">
        <v>5842912</v>
      </c>
      <c r="E22" s="76">
        <v>4689606</v>
      </c>
      <c r="F22" s="76">
        <v>6498116</v>
      </c>
      <c r="G22" s="76">
        <v>6917724</v>
      </c>
      <c r="H22" s="76">
        <v>7376681</v>
      </c>
      <c r="I22" s="76">
        <f>I5*T22</f>
        <v>7860900.78339295</v>
      </c>
      <c r="J22" s="76">
        <f>J5*U22</f>
        <v>8363067.8862545379</v>
      </c>
      <c r="K22" s="76">
        <f t="shared" ref="K22:L22" si="26">K5*V22</f>
        <v>8817134.7975428179</v>
      </c>
      <c r="L22" s="76">
        <f t="shared" si="26"/>
        <v>9297776.5174753834</v>
      </c>
      <c r="M22" s="77" t="s">
        <v>34</v>
      </c>
      <c r="N22" s="77"/>
      <c r="O22" s="78">
        <f>D22/D5</f>
        <v>0.19917215673799704</v>
      </c>
      <c r="P22" s="79">
        <f>E22/E5</f>
        <v>0.15453820960252596</v>
      </c>
      <c r="Q22" s="79">
        <f>F22/F5</f>
        <v>0.18420264582619222</v>
      </c>
      <c r="R22" s="79">
        <f>G22/G5</f>
        <v>0.17540260408460454</v>
      </c>
      <c r="S22" s="79">
        <f>H22/H5</f>
        <v>0.1731626721097074</v>
      </c>
      <c r="T22" s="80">
        <f>S22</f>
        <v>0.1731626721097074</v>
      </c>
      <c r="U22" s="80">
        <f t="shared" ref="U22:W22" si="27">T22</f>
        <v>0.1731626721097074</v>
      </c>
      <c r="V22" s="80">
        <f t="shared" si="27"/>
        <v>0.1731626721097074</v>
      </c>
      <c r="W22" s="80">
        <f t="shared" si="27"/>
        <v>0.1731626721097074</v>
      </c>
    </row>
    <row r="23" spans="1:24" hidden="1" outlineLevel="1" x14ac:dyDescent="0.2">
      <c r="A23" s="741"/>
      <c r="B23" s="73" t="s">
        <v>35</v>
      </c>
      <c r="C23" s="74"/>
      <c r="D23" s="75">
        <v>159369</v>
      </c>
      <c r="E23" s="76">
        <v>1224463</v>
      </c>
      <c r="F23" s="76">
        <v>2178615</v>
      </c>
      <c r="G23" s="76">
        <f>G457</f>
        <v>2145868.120505</v>
      </c>
      <c r="H23" s="76">
        <v>1402431</v>
      </c>
      <c r="I23" s="76">
        <f>I457</f>
        <v>1379718.4488190997</v>
      </c>
      <c r="J23" s="76">
        <f t="shared" ref="J23:L23" si="28">J457</f>
        <v>1256534.180915178</v>
      </c>
      <c r="K23" s="76">
        <f t="shared" si="28"/>
        <v>1253798.2083607337</v>
      </c>
      <c r="L23" s="76">
        <f t="shared" si="28"/>
        <v>1588191.7432713299</v>
      </c>
      <c r="M23" s="11"/>
      <c r="N23" s="11"/>
      <c r="O23" s="81"/>
      <c r="P23" s="35">
        <f>IFERROR(E23/D23-1, "-")</f>
        <v>6.6831943477087767</v>
      </c>
      <c r="Q23" s="35">
        <f t="shared" ref="Q23:T24" si="29">IFERROR(F23/E23-1, "-")</f>
        <v>0.77924118572794776</v>
      </c>
      <c r="R23" s="35">
        <f t="shared" si="29"/>
        <v>-1.5031053901217062E-2</v>
      </c>
      <c r="S23" s="35">
        <f t="shared" si="29"/>
        <v>-0.34645051734588539</v>
      </c>
      <c r="T23" s="82">
        <f t="shared" si="29"/>
        <v>-1.6195129158511401E-2</v>
      </c>
      <c r="U23" s="82">
        <f t="shared" ref="U23:U37" si="30">IFERROR(J23/I23-1, "-")</f>
        <v>-8.9282177830813936E-2</v>
      </c>
      <c r="V23" s="82">
        <f t="shared" ref="V23:V37" si="31">IFERROR(K23/J23-1, "-")</f>
        <v>-2.17739604381606E-3</v>
      </c>
      <c r="W23" s="82">
        <f t="shared" ref="W23:W37" si="32">IFERROR(L23/K23-1, "-")</f>
        <v>0.26670442873562239</v>
      </c>
    </row>
    <row r="24" spans="1:24" hidden="1" outlineLevel="1" x14ac:dyDescent="0.2">
      <c r="A24" s="741"/>
      <c r="B24" s="73" t="s">
        <v>36</v>
      </c>
      <c r="C24" s="74"/>
      <c r="D24" s="75">
        <f>D21-D22-D23</f>
        <v>2651969</v>
      </c>
      <c r="E24" s="76">
        <v>2749441</v>
      </c>
      <c r="F24" s="76">
        <v>2915441</v>
      </c>
      <c r="G24" s="76">
        <f>G21-G22-G23</f>
        <v>3076444.879495</v>
      </c>
      <c r="H24" s="76">
        <v>3138196</v>
      </c>
      <c r="I24" s="76">
        <f>H24*I20</f>
        <v>3200959.92</v>
      </c>
      <c r="J24" s="76">
        <f t="shared" ref="J24:L24" si="33">I24*J20</f>
        <v>3264979.1184</v>
      </c>
      <c r="K24" s="76">
        <f t="shared" si="33"/>
        <v>3330278.700768</v>
      </c>
      <c r="L24" s="76">
        <f t="shared" si="33"/>
        <v>3396884.2747833598</v>
      </c>
      <c r="M24" s="11"/>
      <c r="N24" s="11"/>
      <c r="O24" s="81"/>
      <c r="P24" s="35">
        <f t="shared" ref="P24:T46" si="34">IFERROR(E24/D24-1, "-")</f>
        <v>3.6754577447926318E-2</v>
      </c>
      <c r="Q24" s="35">
        <f t="shared" si="29"/>
        <v>6.037590913934876E-2</v>
      </c>
      <c r="R24" s="35">
        <f t="shared" si="29"/>
        <v>5.5224537040879929E-2</v>
      </c>
      <c r="S24" s="35">
        <f t="shared" si="29"/>
        <v>2.0072233673543494E-2</v>
      </c>
      <c r="T24" s="82">
        <f t="shared" si="29"/>
        <v>2.0000000000000018E-2</v>
      </c>
      <c r="U24" s="82">
        <f t="shared" si="30"/>
        <v>2.0000000000000018E-2</v>
      </c>
      <c r="V24" s="82">
        <f t="shared" si="31"/>
        <v>2.0000000000000018E-2</v>
      </c>
      <c r="W24" s="82">
        <f t="shared" si="32"/>
        <v>2.0000000000000018E-2</v>
      </c>
    </row>
    <row r="25" spans="1:24" hidden="1" outlineLevel="1" x14ac:dyDescent="0.2">
      <c r="A25" s="742" t="s">
        <v>7</v>
      </c>
      <c r="B25" s="38" t="s">
        <v>37</v>
      </c>
      <c r="C25" s="74"/>
      <c r="D25" s="39">
        <v>854522</v>
      </c>
      <c r="E25" s="83">
        <v>935058</v>
      </c>
      <c r="F25" s="41">
        <v>1022263</v>
      </c>
      <c r="G25" s="41">
        <v>1104054</v>
      </c>
      <c r="H25" s="41">
        <v>1176625.0002102957</v>
      </c>
      <c r="I25" s="41">
        <f>H25*I20</f>
        <v>1200157.5002145015</v>
      </c>
      <c r="J25" s="41">
        <f t="shared" ref="J25:L25" si="35">I25*J20</f>
        <v>1224160.6502187916</v>
      </c>
      <c r="K25" s="41">
        <f t="shared" si="35"/>
        <v>1248643.8632231674</v>
      </c>
      <c r="L25" s="41">
        <f t="shared" si="35"/>
        <v>1273616.7404876307</v>
      </c>
      <c r="M25" s="1161"/>
      <c r="N25" s="11"/>
      <c r="O25" s="81"/>
      <c r="P25" s="35">
        <f t="shared" si="34"/>
        <v>9.4246842094176664E-2</v>
      </c>
      <c r="Q25" s="35">
        <f t="shared" si="22"/>
        <v>9.3261594467936693E-2</v>
      </c>
      <c r="R25" s="35">
        <f t="shared" si="22"/>
        <v>8.0009743089596297E-2</v>
      </c>
      <c r="S25" s="35">
        <f t="shared" si="22"/>
        <v>6.5731386517593915E-2</v>
      </c>
      <c r="T25" s="82">
        <f t="shared" si="22"/>
        <v>2.0000000000000018E-2</v>
      </c>
      <c r="U25" s="82">
        <f t="shared" si="30"/>
        <v>2.0000000000000018E-2</v>
      </c>
      <c r="V25" s="82">
        <f t="shared" si="31"/>
        <v>2.0000000000000018E-2</v>
      </c>
      <c r="W25" s="82">
        <f t="shared" si="32"/>
        <v>2.0000000000000018E-2</v>
      </c>
    </row>
    <row r="26" spans="1:24" hidden="1" outlineLevel="1" x14ac:dyDescent="0.2">
      <c r="A26" s="742" t="s">
        <v>9</v>
      </c>
      <c r="B26" s="38" t="s">
        <v>38</v>
      </c>
      <c r="C26" s="74"/>
      <c r="D26" s="39">
        <v>173946</v>
      </c>
      <c r="E26" s="83">
        <v>204693</v>
      </c>
      <c r="F26" s="41">
        <v>177452</v>
      </c>
      <c r="G26" s="41">
        <v>200531.42849160003</v>
      </c>
      <c r="H26" s="41">
        <v>196188.00003630001</v>
      </c>
      <c r="I26" s="41">
        <f>H26*I20</f>
        <v>200111.76003702602</v>
      </c>
      <c r="J26" s="41">
        <f t="shared" ref="J26:L26" si="36">I26*J20</f>
        <v>204113.99523776653</v>
      </c>
      <c r="K26" s="41">
        <f t="shared" si="36"/>
        <v>208196.27514252186</v>
      </c>
      <c r="L26" s="41">
        <f t="shared" si="36"/>
        <v>212360.2006453723</v>
      </c>
      <c r="M26" s="1161"/>
      <c r="N26" s="11"/>
      <c r="O26" s="81"/>
      <c r="P26" s="35">
        <f t="shared" si="34"/>
        <v>0.17676175364768376</v>
      </c>
      <c r="Q26" s="35">
        <f t="shared" si="22"/>
        <v>-0.13308222557683946</v>
      </c>
      <c r="R26" s="35">
        <f t="shared" si="22"/>
        <v>0.13006012043594906</v>
      </c>
      <c r="S26" s="35">
        <f t="shared" si="22"/>
        <v>-2.1659589661188527E-2</v>
      </c>
      <c r="T26" s="82">
        <f t="shared" si="22"/>
        <v>2.0000000000000018E-2</v>
      </c>
      <c r="U26" s="82">
        <f t="shared" si="30"/>
        <v>2.0000000000000018E-2</v>
      </c>
      <c r="V26" s="82">
        <f t="shared" si="31"/>
        <v>2.0000000000000018E-2</v>
      </c>
      <c r="W26" s="82">
        <f t="shared" si="32"/>
        <v>2.0000000000000018E-2</v>
      </c>
    </row>
    <row r="27" spans="1:24" ht="12" hidden="1" customHeight="1" outlineLevel="1" x14ac:dyDescent="0.2">
      <c r="A27" s="742" t="s">
        <v>11</v>
      </c>
      <c r="B27" s="38" t="s">
        <v>39</v>
      </c>
      <c r="C27" s="74"/>
      <c r="D27" s="84">
        <v>6238826.8145316662</v>
      </c>
      <c r="E27" s="40">
        <f>1586897+4036036+1844353</f>
        <v>7467286</v>
      </c>
      <c r="F27" s="41">
        <f>1593224+4276272+2254379</f>
        <v>8123875</v>
      </c>
      <c r="G27" s="41">
        <f>1595027+5107951-G47</f>
        <v>6650410</v>
      </c>
      <c r="H27" s="41">
        <f>7307515-H47</f>
        <v>7225987</v>
      </c>
      <c r="I27" s="41">
        <f>H27*I20</f>
        <v>7370506.7400000002</v>
      </c>
      <c r="J27" s="41">
        <f t="shared" ref="J27:L27" si="37">I27*J20</f>
        <v>7517916.8748000003</v>
      </c>
      <c r="K27" s="41">
        <f t="shared" si="37"/>
        <v>7668275.2122960007</v>
      </c>
      <c r="L27" s="41">
        <f t="shared" si="37"/>
        <v>7821640.7165419208</v>
      </c>
      <c r="M27" s="1162"/>
      <c r="N27" s="46"/>
      <c r="O27" s="81"/>
      <c r="P27" s="35">
        <f t="shared" si="34"/>
        <v>0.19690547950569304</v>
      </c>
      <c r="Q27" s="35">
        <f t="shared" si="22"/>
        <v>8.7928733411309024E-2</v>
      </c>
      <c r="R27" s="35">
        <f t="shared" si="22"/>
        <v>-0.181374651874875</v>
      </c>
      <c r="S27" s="35">
        <f t="shared" si="22"/>
        <v>8.6547596313610642E-2</v>
      </c>
      <c r="T27" s="82">
        <f t="shared" si="22"/>
        <v>2.0000000000000018E-2</v>
      </c>
      <c r="U27" s="82">
        <f t="shared" si="30"/>
        <v>2.0000000000000018E-2</v>
      </c>
      <c r="V27" s="82">
        <f t="shared" si="31"/>
        <v>2.0000000000000018E-2</v>
      </c>
      <c r="W27" s="82">
        <f t="shared" si="32"/>
        <v>2.0000000000000018E-2</v>
      </c>
    </row>
    <row r="28" spans="1:24" hidden="1" outlineLevel="1" x14ac:dyDescent="0.2">
      <c r="A28" s="742" t="s">
        <v>13</v>
      </c>
      <c r="B28" s="38" t="s">
        <v>40</v>
      </c>
      <c r="C28" s="74"/>
      <c r="D28" s="39">
        <f>1818628+16388</f>
        <v>1835016</v>
      </c>
      <c r="E28" s="40">
        <f>2131588</f>
        <v>2131588</v>
      </c>
      <c r="F28" s="41">
        <f>2168958</f>
        <v>2168958</v>
      </c>
      <c r="G28" s="41">
        <f>1761188-G343</f>
        <v>1761188</v>
      </c>
      <c r="H28" s="41">
        <f>1585360.02464025+324250</f>
        <v>1909610.02464025</v>
      </c>
      <c r="I28" s="41">
        <f>H28*I20</f>
        <v>1947802.2251330551</v>
      </c>
      <c r="J28" s="41">
        <f t="shared" ref="J28:L28" si="38">I28*J20</f>
        <v>1986758.2696357162</v>
      </c>
      <c r="K28" s="41">
        <f t="shared" si="38"/>
        <v>2026493.4350284305</v>
      </c>
      <c r="L28" s="41">
        <f t="shared" si="38"/>
        <v>2067023.3037289991</v>
      </c>
      <c r="M28" s="1162">
        <v>683468</v>
      </c>
      <c r="N28" s="46"/>
      <c r="O28" s="81"/>
      <c r="P28" s="35">
        <f t="shared" si="34"/>
        <v>0.16161820932351545</v>
      </c>
      <c r="Q28" s="35">
        <f t="shared" si="22"/>
        <v>1.7531530483376745E-2</v>
      </c>
      <c r="R28" s="35">
        <f t="shared" si="22"/>
        <v>-0.18800271835600324</v>
      </c>
      <c r="S28" s="35">
        <f t="shared" si="22"/>
        <v>8.4273810995901588E-2</v>
      </c>
      <c r="T28" s="82">
        <f t="shared" si="22"/>
        <v>2.0000000000000018E-2</v>
      </c>
      <c r="U28" s="82">
        <f t="shared" si="30"/>
        <v>2.0000000000000018E-2</v>
      </c>
      <c r="V28" s="82">
        <f t="shared" si="31"/>
        <v>2.0000000000000018E-2</v>
      </c>
      <c r="W28" s="82">
        <f t="shared" si="32"/>
        <v>2.0000000000000018E-2</v>
      </c>
    </row>
    <row r="29" spans="1:24" hidden="1" outlineLevel="1" x14ac:dyDescent="0.2">
      <c r="A29" s="742" t="s">
        <v>15</v>
      </c>
      <c r="B29" s="38" t="s">
        <v>41</v>
      </c>
      <c r="C29" s="74"/>
      <c r="D29" s="39">
        <v>2004829</v>
      </c>
      <c r="E29" s="40">
        <f>2743659-218350</f>
        <v>2525309</v>
      </c>
      <c r="F29" s="41">
        <f>2979978-208583</f>
        <v>2771395</v>
      </c>
      <c r="G29" s="41">
        <f>2259596</f>
        <v>2259596</v>
      </c>
      <c r="H29" s="41">
        <f>2540684.88154229+13416</f>
        <v>2554100.8815422901</v>
      </c>
      <c r="I29" s="41">
        <f>H29*I20</f>
        <v>2605182.8991731359</v>
      </c>
      <c r="J29" s="41">
        <f t="shared" ref="J29:L29" si="39">I29*J20</f>
        <v>2657286.5571565987</v>
      </c>
      <c r="K29" s="41">
        <f t="shared" si="39"/>
        <v>2710432.2882997305</v>
      </c>
      <c r="L29" s="41">
        <f t="shared" si="39"/>
        <v>2764640.9340657252</v>
      </c>
      <c r="M29" s="1162">
        <v>449010</v>
      </c>
      <c r="N29" s="46"/>
      <c r="O29" s="81"/>
      <c r="P29" s="35">
        <f t="shared" si="34"/>
        <v>0.25961316401548462</v>
      </c>
      <c r="Q29" s="35">
        <f t="shared" si="22"/>
        <v>9.7447876675686107E-2</v>
      </c>
      <c r="R29" s="35">
        <f t="shared" si="22"/>
        <v>-0.18467197927397572</v>
      </c>
      <c r="S29" s="35">
        <f t="shared" si="22"/>
        <v>0.13033519334531052</v>
      </c>
      <c r="T29" s="82">
        <f t="shared" si="22"/>
        <v>2.0000000000000018E-2</v>
      </c>
      <c r="U29" s="82">
        <f t="shared" si="30"/>
        <v>2.0000000000000018E-2</v>
      </c>
      <c r="V29" s="82">
        <f t="shared" si="31"/>
        <v>2.0000000000000018E-2</v>
      </c>
      <c r="W29" s="82">
        <f t="shared" si="32"/>
        <v>2.0000000000000018E-2</v>
      </c>
    </row>
    <row r="30" spans="1:24" s="89" customFormat="1" ht="13.9" hidden="1" customHeight="1" outlineLevel="1" x14ac:dyDescent="0.2">
      <c r="A30" s="741"/>
      <c r="B30" s="85" t="s">
        <v>42</v>
      </c>
      <c r="C30" s="86"/>
      <c r="D30" s="87">
        <v>211480</v>
      </c>
      <c r="E30" s="88">
        <v>327297</v>
      </c>
      <c r="F30" s="76">
        <v>373980</v>
      </c>
      <c r="G30" s="76">
        <v>444938</v>
      </c>
      <c r="H30" s="76">
        <f>413236.00452181+11649</f>
        <v>424885.00452180998</v>
      </c>
      <c r="I30" s="76">
        <f>H30*I20</f>
        <v>433382.70461224619</v>
      </c>
      <c r="J30" s="76">
        <f t="shared" ref="J30:L30" si="40">I30*J20</f>
        <v>442050.35870449111</v>
      </c>
      <c r="K30" s="76">
        <f t="shared" si="40"/>
        <v>450891.36587858095</v>
      </c>
      <c r="L30" s="76">
        <f t="shared" si="40"/>
        <v>459909.19319615257</v>
      </c>
      <c r="M30" s="1162"/>
      <c r="N30" s="46"/>
      <c r="O30" s="81"/>
      <c r="P30" s="35">
        <f t="shared" si="34"/>
        <v>0.54764989597125013</v>
      </c>
      <c r="Q30" s="35">
        <f t="shared" si="22"/>
        <v>0.14263192146582471</v>
      </c>
      <c r="R30" s="35">
        <f t="shared" si="22"/>
        <v>0.18973741911332165</v>
      </c>
      <c r="S30" s="35">
        <f t="shared" si="22"/>
        <v>-4.5069190489888555E-2</v>
      </c>
      <c r="T30" s="82">
        <f t="shared" si="22"/>
        <v>2.0000000000000018E-2</v>
      </c>
      <c r="U30" s="82">
        <f t="shared" si="30"/>
        <v>2.0000000000000018E-2</v>
      </c>
      <c r="V30" s="82">
        <f t="shared" si="31"/>
        <v>2.0000000000000018E-2</v>
      </c>
      <c r="W30" s="82">
        <f t="shared" si="32"/>
        <v>2.0000000000000018E-2</v>
      </c>
    </row>
    <row r="31" spans="1:24" hidden="1" outlineLevel="1" x14ac:dyDescent="0.2">
      <c r="A31" s="741" t="s">
        <v>17</v>
      </c>
      <c r="B31" s="38" t="s">
        <v>43</v>
      </c>
      <c r="C31" s="74"/>
      <c r="D31" s="39">
        <f t="shared" ref="D31:I31" si="41">SUM(D32:D46)</f>
        <v>12208543</v>
      </c>
      <c r="E31" s="40">
        <f t="shared" si="41"/>
        <v>13226474.280342601</v>
      </c>
      <c r="F31" s="41">
        <f>SUM(F32:F46)</f>
        <v>14664276</v>
      </c>
      <c r="G31" s="41">
        <f t="shared" si="41"/>
        <v>16503963.555</v>
      </c>
      <c r="H31" s="41">
        <f t="shared" si="41"/>
        <v>16159916.158831393</v>
      </c>
      <c r="I31" s="41">
        <f t="shared" si="41"/>
        <v>17208175.122008018</v>
      </c>
      <c r="J31" s="41">
        <f t="shared" ref="J31:L31" si="42">SUM(J32:J46)</f>
        <v>18293833.846448183</v>
      </c>
      <c r="K31" s="41">
        <f t="shared" si="42"/>
        <v>18659710.523377147</v>
      </c>
      <c r="L31" s="41">
        <f t="shared" si="42"/>
        <v>19762639.600744665</v>
      </c>
      <c r="M31" s="1162"/>
      <c r="N31" s="46"/>
      <c r="O31" s="81"/>
      <c r="P31" s="35">
        <f t="shared" si="34"/>
        <v>8.3378604665814926E-2</v>
      </c>
      <c r="Q31" s="35">
        <f t="shared" si="22"/>
        <v>0.10870634828166437</v>
      </c>
      <c r="R31" s="35">
        <f t="shared" si="22"/>
        <v>0.12545369133805173</v>
      </c>
      <c r="S31" s="35">
        <f t="shared" si="22"/>
        <v>-2.0846349728176339E-2</v>
      </c>
      <c r="T31" s="82">
        <f t="shared" si="22"/>
        <v>6.4867846644349747E-2</v>
      </c>
      <c r="U31" s="82">
        <f t="shared" si="30"/>
        <v>6.3089706883078245E-2</v>
      </c>
      <c r="V31" s="82">
        <f t="shared" si="31"/>
        <v>2.0000000000000018E-2</v>
      </c>
      <c r="W31" s="82">
        <f t="shared" si="32"/>
        <v>5.9107512733691747E-2</v>
      </c>
    </row>
    <row r="32" spans="1:24" s="92" customFormat="1" hidden="1" outlineLevel="1" x14ac:dyDescent="0.2">
      <c r="A32" s="743"/>
      <c r="B32" s="90" t="s">
        <v>44</v>
      </c>
      <c r="C32" s="91"/>
      <c r="D32" s="87">
        <v>760600</v>
      </c>
      <c r="E32" s="88">
        <v>1009440</v>
      </c>
      <c r="F32" s="76">
        <v>750000</v>
      </c>
      <c r="G32" s="76">
        <v>851975</v>
      </c>
      <c r="H32" s="76">
        <v>800000</v>
      </c>
      <c r="I32" s="76">
        <f>H32*I20</f>
        <v>816000</v>
      </c>
      <c r="J32" s="76">
        <f t="shared" ref="J32:L32" si="43">I32*J20</f>
        <v>832320</v>
      </c>
      <c r="K32" s="76">
        <f t="shared" si="43"/>
        <v>848966.4</v>
      </c>
      <c r="L32" s="76">
        <f t="shared" si="43"/>
        <v>865945.728</v>
      </c>
      <c r="M32" s="11"/>
      <c r="N32" s="11"/>
      <c r="O32" s="81"/>
      <c r="P32" s="35">
        <f t="shared" si="34"/>
        <v>0.32716276623718121</v>
      </c>
      <c r="Q32" s="35">
        <f t="shared" si="22"/>
        <v>-0.25701378982406087</v>
      </c>
      <c r="R32" s="35">
        <f t="shared" si="22"/>
        <v>0.13596666666666657</v>
      </c>
      <c r="S32" s="35">
        <f t="shared" si="22"/>
        <v>-6.1005311188708555E-2</v>
      </c>
      <c r="T32" s="82">
        <f t="shared" si="22"/>
        <v>2.0000000000000018E-2</v>
      </c>
      <c r="U32" s="82">
        <f t="shared" si="30"/>
        <v>2.0000000000000018E-2</v>
      </c>
      <c r="V32" s="82">
        <f t="shared" si="31"/>
        <v>2.0000000000000018E-2</v>
      </c>
      <c r="W32" s="82">
        <f t="shared" si="32"/>
        <v>2.0000000000000018E-2</v>
      </c>
    </row>
    <row r="33" spans="1:16360" s="92" customFormat="1" hidden="1" outlineLevel="1" x14ac:dyDescent="0.2">
      <c r="A33" s="743"/>
      <c r="B33" s="73" t="s">
        <v>157</v>
      </c>
      <c r="C33" s="91"/>
      <c r="D33" s="87">
        <v>1385501</v>
      </c>
      <c r="E33" s="88">
        <v>1579981</v>
      </c>
      <c r="F33" s="76">
        <v>1860192</v>
      </c>
      <c r="G33" s="76">
        <v>1954845</v>
      </c>
      <c r="H33" s="76">
        <f>1691794.99541777+337000</f>
        <v>2028794.99541777</v>
      </c>
      <c r="I33" s="76">
        <f>H33*I20</f>
        <v>2069370.8953261254</v>
      </c>
      <c r="J33" s="76">
        <f t="shared" ref="J33:L33" si="44">I33*J20</f>
        <v>2110758.3132326482</v>
      </c>
      <c r="K33" s="76">
        <f t="shared" si="44"/>
        <v>2152973.4794973014</v>
      </c>
      <c r="L33" s="76">
        <f t="shared" si="44"/>
        <v>2196032.9490872473</v>
      </c>
      <c r="M33" s="11"/>
      <c r="N33" s="11"/>
      <c r="O33" s="81"/>
      <c r="P33" s="35">
        <f t="shared" si="34"/>
        <v>0.14036799684734991</v>
      </c>
      <c r="Q33" s="35">
        <f t="shared" si="22"/>
        <v>0.177350866877513</v>
      </c>
      <c r="R33" s="35">
        <f t="shared" si="22"/>
        <v>5.0883457191515769E-2</v>
      </c>
      <c r="S33" s="35">
        <f t="shared" si="22"/>
        <v>3.7829083849497014E-2</v>
      </c>
      <c r="T33" s="82">
        <f t="shared" si="22"/>
        <v>2.0000000000000018E-2</v>
      </c>
      <c r="U33" s="82">
        <f t="shared" si="30"/>
        <v>2.0000000000000018E-2</v>
      </c>
      <c r="V33" s="82">
        <f t="shared" si="31"/>
        <v>2.0000000000000018E-2</v>
      </c>
      <c r="W33" s="82">
        <f t="shared" si="32"/>
        <v>2.0000000000000018E-2</v>
      </c>
    </row>
    <row r="34" spans="1:16360" s="92" customFormat="1" hidden="1" outlineLevel="1" x14ac:dyDescent="0.2">
      <c r="A34" s="743"/>
      <c r="B34" s="90" t="s">
        <v>158</v>
      </c>
      <c r="C34" s="91"/>
      <c r="D34" s="87">
        <v>959583</v>
      </c>
      <c r="E34" s="88">
        <v>1116834</v>
      </c>
      <c r="F34" s="76">
        <v>1263935</v>
      </c>
      <c r="G34" s="76">
        <v>1336716</v>
      </c>
      <c r="H34" s="76">
        <f>1061813.99840098+229039</f>
        <v>1290852.9984009799</v>
      </c>
      <c r="I34" s="76">
        <f>H34*I20</f>
        <v>1316670.0583689995</v>
      </c>
      <c r="J34" s="76">
        <f t="shared" ref="J34:L34" si="45">I34*J20</f>
        <v>1343003.4595363794</v>
      </c>
      <c r="K34" s="76">
        <f t="shared" si="45"/>
        <v>1369863.528727107</v>
      </c>
      <c r="L34" s="76">
        <f t="shared" si="45"/>
        <v>1397260.7993016492</v>
      </c>
      <c r="M34" s="11"/>
      <c r="N34" s="11"/>
      <c r="O34" s="81"/>
      <c r="P34" s="35">
        <f t="shared" si="34"/>
        <v>0.16387430790249513</v>
      </c>
      <c r="Q34" s="35">
        <f t="shared" si="22"/>
        <v>0.13171250158931413</v>
      </c>
      <c r="R34" s="35">
        <f t="shared" si="22"/>
        <v>5.7582866207518624E-2</v>
      </c>
      <c r="S34" s="35">
        <f t="shared" si="22"/>
        <v>-3.4310206206120131E-2</v>
      </c>
      <c r="T34" s="82">
        <f t="shared" si="22"/>
        <v>2.0000000000000018E-2</v>
      </c>
      <c r="U34" s="82">
        <f t="shared" si="30"/>
        <v>2.0000000000000018E-2</v>
      </c>
      <c r="V34" s="82">
        <f t="shared" si="31"/>
        <v>2.0000000000000018E-2</v>
      </c>
      <c r="W34" s="82">
        <f t="shared" si="32"/>
        <v>2.0000000000000018E-2</v>
      </c>
    </row>
    <row r="35" spans="1:16360" s="92" customFormat="1" hidden="1" outlineLevel="1" x14ac:dyDescent="0.2">
      <c r="A35" s="743"/>
      <c r="B35" s="90" t="s">
        <v>45</v>
      </c>
      <c r="C35" s="91"/>
      <c r="D35" s="87">
        <v>991478</v>
      </c>
      <c r="E35" s="88">
        <v>1130510</v>
      </c>
      <c r="F35" s="76">
        <v>1348215</v>
      </c>
      <c r="G35" s="76">
        <v>1544969</v>
      </c>
      <c r="H35" s="76">
        <f>1322431.00475285+228960</f>
        <v>1551391.0047528499</v>
      </c>
      <c r="I35" s="76">
        <f>H35*I20</f>
        <v>1582418.8248479071</v>
      </c>
      <c r="J35" s="76">
        <f t="shared" ref="J35:L35" si="46">I35*J20</f>
        <v>1614067.2013448651</v>
      </c>
      <c r="K35" s="76">
        <f t="shared" si="46"/>
        <v>1646348.5453717625</v>
      </c>
      <c r="L35" s="76">
        <f t="shared" si="46"/>
        <v>1679275.5162791978</v>
      </c>
      <c r="M35" s="11"/>
      <c r="N35" s="11"/>
      <c r="O35" s="81"/>
      <c r="P35" s="35">
        <f t="shared" si="34"/>
        <v>0.14022701461857956</v>
      </c>
      <c r="Q35" s="35">
        <f t="shared" si="22"/>
        <v>0.19257237883786971</v>
      </c>
      <c r="R35" s="35">
        <f t="shared" si="22"/>
        <v>0.14593666440441622</v>
      </c>
      <c r="S35" s="35">
        <f t="shared" si="22"/>
        <v>4.1567207839445786E-3</v>
      </c>
      <c r="T35" s="82">
        <f t="shared" si="22"/>
        <v>2.0000000000000018E-2</v>
      </c>
      <c r="U35" s="82">
        <f t="shared" si="30"/>
        <v>2.0000000000000018E-2</v>
      </c>
      <c r="V35" s="82">
        <f t="shared" si="31"/>
        <v>2.0000000000000018E-2</v>
      </c>
      <c r="W35" s="82">
        <f t="shared" si="32"/>
        <v>2.0000000000000018E-2</v>
      </c>
    </row>
    <row r="36" spans="1:16360" s="94" customFormat="1" hidden="1" outlineLevel="1" x14ac:dyDescent="0.2">
      <c r="A36" s="743"/>
      <c r="B36" s="90" t="s">
        <v>46</v>
      </c>
      <c r="C36" s="93"/>
      <c r="D36" s="87">
        <v>1002535</v>
      </c>
      <c r="E36" s="88">
        <v>1149015</v>
      </c>
      <c r="F36" s="76">
        <v>1294628</v>
      </c>
      <c r="G36" s="76">
        <v>1307515</v>
      </c>
      <c r="H36" s="76">
        <f>1201964.17229462+176322</f>
        <v>1378286.17229462</v>
      </c>
      <c r="I36" s="76">
        <f>H36*I20</f>
        <v>1405851.8957405123</v>
      </c>
      <c r="J36" s="76">
        <f t="shared" ref="J36:L36" si="47">I36*J20</f>
        <v>1433968.9336553225</v>
      </c>
      <c r="K36" s="76">
        <f t="shared" si="47"/>
        <v>1462648.312328429</v>
      </c>
      <c r="L36" s="76">
        <f t="shared" si="47"/>
        <v>1491901.2785749976</v>
      </c>
      <c r="M36" s="11"/>
      <c r="N36" s="11"/>
      <c r="O36" s="81"/>
      <c r="P36" s="35">
        <f t="shared" si="34"/>
        <v>0.14610961213324214</v>
      </c>
      <c r="Q36" s="35">
        <f t="shared" si="34"/>
        <v>0.12672854575440695</v>
      </c>
      <c r="R36" s="35">
        <f t="shared" si="34"/>
        <v>9.954210784874018E-3</v>
      </c>
      <c r="S36" s="35">
        <f t="shared" si="34"/>
        <v>5.412647066734988E-2</v>
      </c>
      <c r="T36" s="82">
        <f t="shared" si="34"/>
        <v>2.0000000000000018E-2</v>
      </c>
      <c r="U36" s="82">
        <f t="shared" si="30"/>
        <v>2.0000000000000018E-2</v>
      </c>
      <c r="V36" s="82">
        <f t="shared" si="31"/>
        <v>2.0000000000000018E-2</v>
      </c>
      <c r="W36" s="82">
        <f t="shared" si="32"/>
        <v>2.0000000000000018E-2</v>
      </c>
    </row>
    <row r="37" spans="1:16360" s="92" customFormat="1" hidden="1" outlineLevel="1" x14ac:dyDescent="0.2">
      <c r="A37" s="743"/>
      <c r="B37" s="90" t="s">
        <v>47</v>
      </c>
      <c r="C37" s="91"/>
      <c r="D37" s="87">
        <v>303133</v>
      </c>
      <c r="E37" s="88">
        <v>311541.28034260002</v>
      </c>
      <c r="F37" s="76">
        <v>374005</v>
      </c>
      <c r="G37" s="76">
        <v>247845</v>
      </c>
      <c r="H37" s="76">
        <f>170322+17871</f>
        <v>188193</v>
      </c>
      <c r="I37" s="322"/>
      <c r="J37" s="76"/>
      <c r="K37" s="76"/>
      <c r="L37" s="76"/>
      <c r="M37" s="11"/>
      <c r="N37" s="11"/>
      <c r="O37" s="81"/>
      <c r="P37" s="35">
        <f t="shared" si="34"/>
        <v>2.7737924747883058E-2</v>
      </c>
      <c r="Q37" s="35">
        <f t="shared" si="34"/>
        <v>0.2004990144121801</v>
      </c>
      <c r="R37" s="35">
        <f t="shared" si="34"/>
        <v>-0.33732169356024655</v>
      </c>
      <c r="S37" s="35">
        <f t="shared" si="34"/>
        <v>-0.24068268474248022</v>
      </c>
      <c r="T37" s="82">
        <f t="shared" si="34"/>
        <v>-1</v>
      </c>
      <c r="U37" s="82" t="str">
        <f t="shared" si="30"/>
        <v>-</v>
      </c>
      <c r="V37" s="82" t="str">
        <f t="shared" si="31"/>
        <v>-</v>
      </c>
      <c r="W37" s="82" t="str">
        <f t="shared" si="32"/>
        <v>-</v>
      </c>
    </row>
    <row r="38" spans="1:16360" s="92" customFormat="1" hidden="1" outlineLevel="1" x14ac:dyDescent="0.2">
      <c r="A38" s="743"/>
      <c r="B38" s="321" t="s">
        <v>159</v>
      </c>
      <c r="C38" s="91"/>
      <c r="D38" s="87"/>
      <c r="E38" s="88"/>
      <c r="F38" s="76"/>
      <c r="G38" s="76"/>
      <c r="H38" s="320"/>
      <c r="I38" s="76">
        <f>95030+1643975/2</f>
        <v>917017.5</v>
      </c>
      <c r="J38" s="76">
        <f>1643973.6*J20</f>
        <v>1676853.0720000002</v>
      </c>
      <c r="K38" s="76">
        <f>J38*K20</f>
        <v>1710390.1334400002</v>
      </c>
      <c r="L38" s="76">
        <f>K38*L20</f>
        <v>1744597.9361088003</v>
      </c>
      <c r="M38" s="11"/>
      <c r="N38" s="11"/>
      <c r="O38" s="81"/>
      <c r="P38" s="35"/>
      <c r="Q38" s="35"/>
      <c r="R38" s="35"/>
      <c r="S38" s="35"/>
      <c r="T38" s="82"/>
      <c r="U38" s="82"/>
      <c r="V38" s="82"/>
      <c r="W38" s="82"/>
    </row>
    <row r="39" spans="1:16360" s="92" customFormat="1" hidden="1" outlineLevel="1" x14ac:dyDescent="0.2">
      <c r="A39" s="743"/>
      <c r="B39" s="90" t="s">
        <v>48</v>
      </c>
      <c r="C39" s="91"/>
      <c r="D39" s="87">
        <v>2158299</v>
      </c>
      <c r="E39" s="88">
        <v>2397852</v>
      </c>
      <c r="F39" s="76">
        <v>2783811</v>
      </c>
      <c r="G39" s="76">
        <v>3736800.0750000002</v>
      </c>
      <c r="H39" s="76">
        <v>3297848</v>
      </c>
      <c r="I39" s="322">
        <f>H39*I20</f>
        <v>3363804.96</v>
      </c>
      <c r="J39" s="322">
        <f t="shared" ref="J39:L39" si="48">I39*J20</f>
        <v>3431081.0592</v>
      </c>
      <c r="K39" s="322">
        <f t="shared" si="48"/>
        <v>3499702.6803840003</v>
      </c>
      <c r="L39" s="322">
        <f t="shared" si="48"/>
        <v>3569696.7339916802</v>
      </c>
      <c r="M39" s="11"/>
      <c r="N39" s="11"/>
      <c r="O39" s="81"/>
      <c r="P39" s="35">
        <f t="shared" si="34"/>
        <v>0.11099157253003411</v>
      </c>
      <c r="Q39" s="35">
        <f t="shared" si="34"/>
        <v>0.16096030947698181</v>
      </c>
      <c r="R39" s="35">
        <f t="shared" si="34"/>
        <v>0.34233253442852263</v>
      </c>
      <c r="S39" s="35">
        <f t="shared" si="34"/>
        <v>-0.11746736945781078</v>
      </c>
      <c r="T39" s="82">
        <f t="shared" si="34"/>
        <v>2.0000000000000018E-2</v>
      </c>
      <c r="U39" s="82">
        <f t="shared" ref="U39:U42" si="49">IFERROR(J39/I39-1, "-")</f>
        <v>2.0000000000000018E-2</v>
      </c>
      <c r="V39" s="82">
        <f t="shared" ref="V39:V42" si="50">IFERROR(K39/J39-1, "-")</f>
        <v>2.0000000000000018E-2</v>
      </c>
      <c r="W39" s="82">
        <f t="shared" ref="W39:W42" si="51">IFERROR(L39/K39-1, "-")</f>
        <v>2.0000000000000018E-2</v>
      </c>
    </row>
    <row r="40" spans="1:16360" s="92" customFormat="1" hidden="1" outlineLevel="1" x14ac:dyDescent="0.2">
      <c r="A40" s="743"/>
      <c r="B40" s="90" t="s">
        <v>49</v>
      </c>
      <c r="C40" s="91"/>
      <c r="D40" s="87">
        <v>663634</v>
      </c>
      <c r="E40" s="88">
        <v>840097</v>
      </c>
      <c r="F40" s="76">
        <v>959683</v>
      </c>
      <c r="G40" s="76">
        <v>1122136</v>
      </c>
      <c r="H40" s="76">
        <f>693401+385101</f>
        <v>1078502</v>
      </c>
      <c r="I40" s="76">
        <f>H40*I20</f>
        <v>1100072.04</v>
      </c>
      <c r="J40" s="76">
        <f t="shared" ref="J40:L40" si="52">I40*J20</f>
        <v>1122073.4808</v>
      </c>
      <c r="K40" s="76">
        <f t="shared" si="52"/>
        <v>1144514.9504160001</v>
      </c>
      <c r="L40" s="76">
        <f t="shared" si="52"/>
        <v>1167405.2494243202</v>
      </c>
      <c r="M40" s="11"/>
      <c r="N40" s="11"/>
      <c r="O40" s="81"/>
      <c r="P40" s="35">
        <f t="shared" si="34"/>
        <v>0.26590409774062218</v>
      </c>
      <c r="Q40" s="35">
        <f t="shared" si="34"/>
        <v>0.14234784792708455</v>
      </c>
      <c r="R40" s="35">
        <f t="shared" si="34"/>
        <v>0.16927777193093974</v>
      </c>
      <c r="S40" s="35">
        <f t="shared" si="34"/>
        <v>-3.8884769760528126E-2</v>
      </c>
      <c r="T40" s="82">
        <f t="shared" si="34"/>
        <v>2.0000000000000018E-2</v>
      </c>
      <c r="U40" s="82">
        <f t="shared" si="49"/>
        <v>2.0000000000000018E-2</v>
      </c>
      <c r="V40" s="82">
        <f t="shared" si="50"/>
        <v>2.0000000000000018E-2</v>
      </c>
      <c r="W40" s="82">
        <f t="shared" si="51"/>
        <v>2.0000000000000018E-2</v>
      </c>
    </row>
    <row r="41" spans="1:16360" s="92" customFormat="1" hidden="1" outlineLevel="1" x14ac:dyDescent="0.2">
      <c r="A41" s="743"/>
      <c r="B41" s="90" t="s">
        <v>50</v>
      </c>
      <c r="C41" s="91"/>
      <c r="D41" s="87">
        <v>768054</v>
      </c>
      <c r="E41" s="88">
        <v>914056</v>
      </c>
      <c r="F41" s="76">
        <v>790621</v>
      </c>
      <c r="G41" s="76">
        <v>1008739</v>
      </c>
      <c r="H41" s="76">
        <f>709218.995547317+329532</f>
        <v>1038750.995547317</v>
      </c>
      <c r="I41" s="76">
        <f>H41*I20</f>
        <v>1059526.0154582632</v>
      </c>
      <c r="J41" s="76">
        <f t="shared" ref="J41:L41" si="53">I41*J20</f>
        <v>1080716.5357674286</v>
      </c>
      <c r="K41" s="76">
        <f t="shared" si="53"/>
        <v>1102330.8664827771</v>
      </c>
      <c r="L41" s="76">
        <f t="shared" si="53"/>
        <v>1124377.4838124325</v>
      </c>
      <c r="M41" s="11"/>
      <c r="N41" s="11"/>
      <c r="O41" s="81"/>
      <c r="P41" s="35">
        <f t="shared" si="34"/>
        <v>0.19009340489080184</v>
      </c>
      <c r="Q41" s="35">
        <f t="shared" si="34"/>
        <v>-0.13504096029127322</v>
      </c>
      <c r="R41" s="35">
        <f t="shared" si="34"/>
        <v>0.27588187007428333</v>
      </c>
      <c r="S41" s="35">
        <f t="shared" si="34"/>
        <v>2.9751992881525302E-2</v>
      </c>
      <c r="T41" s="82">
        <f t="shared" si="34"/>
        <v>2.0000000000000018E-2</v>
      </c>
      <c r="U41" s="82">
        <f t="shared" si="49"/>
        <v>2.0000000000000018E-2</v>
      </c>
      <c r="V41" s="82">
        <f t="shared" si="50"/>
        <v>2.0000000000000018E-2</v>
      </c>
      <c r="W41" s="82">
        <f t="shared" si="51"/>
        <v>2.0000000000000018E-2</v>
      </c>
    </row>
    <row r="42" spans="1:16360" s="92" customFormat="1" hidden="1" outlineLevel="1" x14ac:dyDescent="0.2">
      <c r="A42" s="743"/>
      <c r="B42" s="90" t="s">
        <v>51</v>
      </c>
      <c r="C42" s="91"/>
      <c r="D42" s="87">
        <v>1495423</v>
      </c>
      <c r="E42" s="88">
        <v>1341303</v>
      </c>
      <c r="F42" s="76">
        <v>1405436</v>
      </c>
      <c r="G42" s="76">
        <v>1442300</v>
      </c>
      <c r="H42" s="76">
        <f>876108.9950306+611254</f>
        <v>1487362.9950306001</v>
      </c>
      <c r="I42" s="76">
        <f>H42*I20</f>
        <v>1517110.2549312122</v>
      </c>
      <c r="J42" s="76">
        <f t="shared" ref="J42:L42" si="54">I42*J20</f>
        <v>1547452.4600298365</v>
      </c>
      <c r="K42" s="76">
        <f t="shared" si="54"/>
        <v>1578401.5092304333</v>
      </c>
      <c r="L42" s="76">
        <f t="shared" si="54"/>
        <v>1609969.5394150419</v>
      </c>
      <c r="M42" s="11"/>
      <c r="N42" s="11"/>
      <c r="O42" s="81"/>
      <c r="P42" s="35">
        <f t="shared" si="34"/>
        <v>-0.10306114056022941</v>
      </c>
      <c r="Q42" s="35">
        <f t="shared" si="34"/>
        <v>4.7813954043195217E-2</v>
      </c>
      <c r="R42" s="35">
        <f t="shared" si="34"/>
        <v>2.6229582848311894E-2</v>
      </c>
      <c r="S42" s="35">
        <f t="shared" si="34"/>
        <v>3.1243843188379694E-2</v>
      </c>
      <c r="T42" s="82">
        <f t="shared" si="34"/>
        <v>2.0000000000000018E-2</v>
      </c>
      <c r="U42" s="82">
        <f t="shared" si="49"/>
        <v>2.0000000000000018E-2</v>
      </c>
      <c r="V42" s="82">
        <f t="shared" si="50"/>
        <v>2.0000000000000018E-2</v>
      </c>
      <c r="W42" s="82">
        <f t="shared" si="51"/>
        <v>2.0000000000000018E-2</v>
      </c>
    </row>
    <row r="43" spans="1:16360" s="92" customFormat="1" hidden="1" outlineLevel="1" x14ac:dyDescent="0.2">
      <c r="A43" s="743"/>
      <c r="B43" s="321" t="s">
        <v>708</v>
      </c>
      <c r="C43" s="91"/>
      <c r="D43" s="87"/>
      <c r="E43" s="88"/>
      <c r="F43" s="76"/>
      <c r="G43" s="76"/>
      <c r="H43" s="320"/>
      <c r="I43" s="76"/>
      <c r="J43" s="76"/>
      <c r="K43" s="76"/>
      <c r="L43" s="76">
        <f>429734.866899976+300000</f>
        <v>729734.86689997604</v>
      </c>
      <c r="M43" s="11"/>
      <c r="N43" s="11"/>
      <c r="O43" s="81"/>
      <c r="P43" s="35"/>
      <c r="Q43" s="35"/>
      <c r="R43" s="35"/>
      <c r="S43" s="35"/>
      <c r="T43" s="82"/>
      <c r="U43" s="82"/>
      <c r="V43" s="82"/>
      <c r="W43" s="82"/>
    </row>
    <row r="44" spans="1:16360" s="92" customFormat="1" hidden="1" outlineLevel="1" x14ac:dyDescent="0.2">
      <c r="A44" s="743"/>
      <c r="B44" s="90" t="s">
        <v>52</v>
      </c>
      <c r="C44" s="91"/>
      <c r="D44" s="87">
        <v>860429</v>
      </c>
      <c r="E44" s="88">
        <v>853552</v>
      </c>
      <c r="F44" s="76">
        <v>1049272</v>
      </c>
      <c r="G44" s="76">
        <v>1073069</v>
      </c>
      <c r="H44" s="76">
        <v>1102719.9991771204</v>
      </c>
      <c r="I44" s="76">
        <f>H44*I20</f>
        <v>1124774.3991606629</v>
      </c>
      <c r="J44" s="76">
        <f t="shared" ref="J44:L44" si="55">I44*J20</f>
        <v>1147269.8871438762</v>
      </c>
      <c r="K44" s="76">
        <f t="shared" si="55"/>
        <v>1170215.2848867537</v>
      </c>
      <c r="L44" s="76">
        <f t="shared" si="55"/>
        <v>1193619.5905844888</v>
      </c>
      <c r="M44" s="11"/>
      <c r="N44" s="11"/>
      <c r="O44" s="81"/>
      <c r="P44" s="35">
        <f t="shared" si="34"/>
        <v>-7.9925246592107424E-3</v>
      </c>
      <c r="Q44" s="35">
        <f t="shared" si="34"/>
        <v>0.22930061671696622</v>
      </c>
      <c r="R44" s="35">
        <f t="shared" si="34"/>
        <v>2.267953400071665E-2</v>
      </c>
      <c r="S44" s="35">
        <f t="shared" si="34"/>
        <v>2.763195952648001E-2</v>
      </c>
      <c r="T44" s="82">
        <f t="shared" si="34"/>
        <v>2.0000000000000018E-2</v>
      </c>
      <c r="U44" s="82">
        <f t="shared" ref="U44:U50" si="56">IFERROR(J44/I44-1, "-")</f>
        <v>2.0000000000000018E-2</v>
      </c>
      <c r="V44" s="82">
        <f t="shared" ref="V44:V50" si="57">IFERROR(K44/J44-1, "-")</f>
        <v>2.0000000000000018E-2</v>
      </c>
      <c r="W44" s="82">
        <f t="shared" ref="W44:W50" si="58">IFERROR(L44/K44-1, "-")</f>
        <v>2.0000000000000018E-2</v>
      </c>
    </row>
    <row r="45" spans="1:16360" s="92" customFormat="1" hidden="1" outlineLevel="1" x14ac:dyDescent="0.2">
      <c r="A45" s="743"/>
      <c r="B45" s="90" t="s">
        <v>53</v>
      </c>
      <c r="C45" s="91"/>
      <c r="D45" s="87">
        <v>580108</v>
      </c>
      <c r="E45" s="88">
        <v>345379</v>
      </c>
      <c r="F45" s="76">
        <v>449050</v>
      </c>
      <c r="G45" s="76">
        <v>532664</v>
      </c>
      <c r="H45" s="76">
        <v>544211.99812243588</v>
      </c>
      <c r="I45" s="76">
        <f>H45*I20</f>
        <v>555096.23808488459</v>
      </c>
      <c r="J45" s="76">
        <f t="shared" ref="J45:L45" si="59">I45*J20</f>
        <v>566198.16284658224</v>
      </c>
      <c r="K45" s="76">
        <f t="shared" si="59"/>
        <v>577522.12610351387</v>
      </c>
      <c r="L45" s="76">
        <f t="shared" si="59"/>
        <v>589072.56862558413</v>
      </c>
      <c r="M45" s="11"/>
      <c r="N45" s="11"/>
      <c r="O45" s="81"/>
      <c r="P45" s="35">
        <f t="shared" si="34"/>
        <v>-0.40462982754935284</v>
      </c>
      <c r="Q45" s="35">
        <f t="shared" si="34"/>
        <v>0.30016590470179128</v>
      </c>
      <c r="R45" s="35">
        <f t="shared" si="34"/>
        <v>0.18620198196191962</v>
      </c>
      <c r="S45" s="35">
        <f t="shared" si="34"/>
        <v>2.1679704508725806E-2</v>
      </c>
      <c r="T45" s="82">
        <f t="shared" si="34"/>
        <v>2.0000000000000018E-2</v>
      </c>
      <c r="U45" s="82">
        <f t="shared" si="56"/>
        <v>2.0000000000000018E-2</v>
      </c>
      <c r="V45" s="82">
        <f t="shared" si="57"/>
        <v>2.0000000000000018E-2</v>
      </c>
      <c r="W45" s="82">
        <f t="shared" si="58"/>
        <v>2.0000000000000018E-2</v>
      </c>
      <c r="GB45" s="92" t="s">
        <v>54</v>
      </c>
      <c r="GC45" s="92" t="s">
        <v>54</v>
      </c>
      <c r="GD45" s="92" t="s">
        <v>54</v>
      </c>
      <c r="GE45" s="92" t="s">
        <v>54</v>
      </c>
      <c r="GF45" s="92" t="s">
        <v>54</v>
      </c>
      <c r="GG45" s="92" t="s">
        <v>54</v>
      </c>
      <c r="GH45" s="92" t="s">
        <v>54</v>
      </c>
      <c r="GI45" s="92" t="s">
        <v>54</v>
      </c>
      <c r="GJ45" s="92" t="s">
        <v>54</v>
      </c>
      <c r="GK45" s="92" t="s">
        <v>54</v>
      </c>
      <c r="GL45" s="92" t="s">
        <v>54</v>
      </c>
      <c r="GM45" s="92" t="s">
        <v>54</v>
      </c>
      <c r="GN45" s="92" t="s">
        <v>54</v>
      </c>
      <c r="GO45" s="92" t="s">
        <v>54</v>
      </c>
      <c r="GP45" s="92" t="s">
        <v>54</v>
      </c>
      <c r="GQ45" s="92" t="s">
        <v>54</v>
      </c>
      <c r="GR45" s="92" t="s">
        <v>54</v>
      </c>
      <c r="GS45" s="92" t="s">
        <v>54</v>
      </c>
      <c r="GT45" s="92" t="s">
        <v>54</v>
      </c>
      <c r="GU45" s="92" t="s">
        <v>54</v>
      </c>
      <c r="GV45" s="92" t="s">
        <v>54</v>
      </c>
      <c r="GW45" s="92" t="s">
        <v>54</v>
      </c>
      <c r="GX45" s="92" t="s">
        <v>54</v>
      </c>
      <c r="GY45" s="92" t="s">
        <v>54</v>
      </c>
      <c r="GZ45" s="92" t="s">
        <v>54</v>
      </c>
      <c r="HA45" s="92" t="s">
        <v>54</v>
      </c>
      <c r="HB45" s="92" t="s">
        <v>54</v>
      </c>
      <c r="HC45" s="92" t="s">
        <v>54</v>
      </c>
      <c r="HD45" s="92" t="s">
        <v>54</v>
      </c>
      <c r="HE45" s="92" t="s">
        <v>54</v>
      </c>
      <c r="HF45" s="92" t="s">
        <v>54</v>
      </c>
      <c r="HG45" s="92" t="s">
        <v>54</v>
      </c>
      <c r="HH45" s="92" t="s">
        <v>54</v>
      </c>
      <c r="HI45" s="92" t="s">
        <v>54</v>
      </c>
      <c r="HJ45" s="92" t="s">
        <v>54</v>
      </c>
      <c r="HK45" s="92" t="s">
        <v>54</v>
      </c>
      <c r="HL45" s="92" t="s">
        <v>54</v>
      </c>
      <c r="HM45" s="92" t="s">
        <v>54</v>
      </c>
      <c r="HN45" s="92" t="s">
        <v>54</v>
      </c>
      <c r="HO45" s="92" t="s">
        <v>54</v>
      </c>
      <c r="HP45" s="92" t="s">
        <v>54</v>
      </c>
      <c r="HQ45" s="92" t="s">
        <v>54</v>
      </c>
      <c r="HR45" s="92" t="s">
        <v>54</v>
      </c>
      <c r="HS45" s="92" t="s">
        <v>54</v>
      </c>
      <c r="HT45" s="92" t="s">
        <v>54</v>
      </c>
      <c r="HU45" s="92" t="s">
        <v>54</v>
      </c>
      <c r="HV45" s="92" t="s">
        <v>54</v>
      </c>
      <c r="HW45" s="92" t="s">
        <v>54</v>
      </c>
      <c r="HX45" s="92" t="s">
        <v>54</v>
      </c>
      <c r="HY45" s="92" t="s">
        <v>54</v>
      </c>
      <c r="HZ45" s="92" t="s">
        <v>54</v>
      </c>
      <c r="IA45" s="92" t="s">
        <v>54</v>
      </c>
      <c r="IB45" s="92" t="s">
        <v>54</v>
      </c>
      <c r="IC45" s="92" t="s">
        <v>54</v>
      </c>
      <c r="ID45" s="92" t="s">
        <v>54</v>
      </c>
      <c r="IE45" s="92" t="s">
        <v>54</v>
      </c>
      <c r="IF45" s="92" t="s">
        <v>54</v>
      </c>
      <c r="IG45" s="92" t="s">
        <v>54</v>
      </c>
      <c r="IH45" s="92" t="s">
        <v>54</v>
      </c>
      <c r="II45" s="92" t="s">
        <v>54</v>
      </c>
      <c r="IJ45" s="92" t="s">
        <v>54</v>
      </c>
      <c r="IK45" s="92" t="s">
        <v>54</v>
      </c>
      <c r="IL45" s="92" t="s">
        <v>54</v>
      </c>
      <c r="IM45" s="92" t="s">
        <v>54</v>
      </c>
      <c r="IN45" s="92" t="s">
        <v>54</v>
      </c>
      <c r="IO45" s="92" t="s">
        <v>54</v>
      </c>
      <c r="IP45" s="92" t="s">
        <v>54</v>
      </c>
      <c r="IQ45" s="92" t="s">
        <v>54</v>
      </c>
      <c r="IR45" s="92" t="s">
        <v>54</v>
      </c>
      <c r="IS45" s="92" t="s">
        <v>54</v>
      </c>
      <c r="IT45" s="92" t="s">
        <v>54</v>
      </c>
      <c r="IU45" s="92" t="s">
        <v>54</v>
      </c>
      <c r="IV45" s="92" t="s">
        <v>54</v>
      </c>
      <c r="IW45" s="92" t="s">
        <v>54</v>
      </c>
      <c r="IX45" s="92" t="s">
        <v>54</v>
      </c>
      <c r="IY45" s="92" t="s">
        <v>54</v>
      </c>
      <c r="IZ45" s="92" t="s">
        <v>54</v>
      </c>
      <c r="JA45" s="92" t="s">
        <v>54</v>
      </c>
      <c r="JB45" s="92" t="s">
        <v>54</v>
      </c>
      <c r="JC45" s="92" t="s">
        <v>54</v>
      </c>
      <c r="JD45" s="92" t="s">
        <v>54</v>
      </c>
      <c r="JE45" s="92" t="s">
        <v>54</v>
      </c>
      <c r="JF45" s="92" t="s">
        <v>54</v>
      </c>
      <c r="JG45" s="92" t="s">
        <v>54</v>
      </c>
      <c r="JH45" s="92" t="s">
        <v>54</v>
      </c>
      <c r="JI45" s="92" t="s">
        <v>54</v>
      </c>
      <c r="JJ45" s="92" t="s">
        <v>54</v>
      </c>
      <c r="JK45" s="92" t="s">
        <v>54</v>
      </c>
      <c r="JL45" s="92" t="s">
        <v>54</v>
      </c>
      <c r="JM45" s="92" t="s">
        <v>54</v>
      </c>
      <c r="JN45" s="92" t="s">
        <v>54</v>
      </c>
      <c r="JO45" s="92" t="s">
        <v>54</v>
      </c>
      <c r="JP45" s="92" t="s">
        <v>54</v>
      </c>
      <c r="JQ45" s="92" t="s">
        <v>54</v>
      </c>
      <c r="JR45" s="92" t="s">
        <v>54</v>
      </c>
      <c r="JS45" s="92" t="s">
        <v>54</v>
      </c>
      <c r="JT45" s="92" t="s">
        <v>54</v>
      </c>
      <c r="JU45" s="92" t="s">
        <v>54</v>
      </c>
      <c r="JV45" s="92" t="s">
        <v>54</v>
      </c>
      <c r="JW45" s="92" t="s">
        <v>54</v>
      </c>
      <c r="JX45" s="92" t="s">
        <v>54</v>
      </c>
      <c r="JY45" s="92" t="s">
        <v>54</v>
      </c>
      <c r="JZ45" s="92" t="s">
        <v>54</v>
      </c>
      <c r="KA45" s="92" t="s">
        <v>54</v>
      </c>
      <c r="KB45" s="92" t="s">
        <v>54</v>
      </c>
      <c r="KC45" s="92" t="s">
        <v>54</v>
      </c>
      <c r="KD45" s="92" t="s">
        <v>54</v>
      </c>
      <c r="KE45" s="92" t="s">
        <v>54</v>
      </c>
      <c r="KF45" s="92" t="s">
        <v>54</v>
      </c>
      <c r="KG45" s="92" t="s">
        <v>54</v>
      </c>
      <c r="KH45" s="92" t="s">
        <v>54</v>
      </c>
      <c r="KI45" s="92" t="s">
        <v>54</v>
      </c>
      <c r="KJ45" s="92" t="s">
        <v>54</v>
      </c>
      <c r="KK45" s="92" t="s">
        <v>54</v>
      </c>
      <c r="KL45" s="92" t="s">
        <v>54</v>
      </c>
      <c r="KM45" s="92" t="s">
        <v>54</v>
      </c>
      <c r="KN45" s="92" t="s">
        <v>54</v>
      </c>
      <c r="KO45" s="92" t="s">
        <v>54</v>
      </c>
      <c r="KP45" s="92" t="s">
        <v>54</v>
      </c>
      <c r="KQ45" s="92" t="s">
        <v>54</v>
      </c>
      <c r="KR45" s="92" t="s">
        <v>54</v>
      </c>
      <c r="KS45" s="92" t="s">
        <v>54</v>
      </c>
      <c r="KT45" s="92" t="s">
        <v>54</v>
      </c>
      <c r="KU45" s="92" t="s">
        <v>54</v>
      </c>
      <c r="KV45" s="92" t="s">
        <v>54</v>
      </c>
      <c r="KW45" s="92" t="s">
        <v>54</v>
      </c>
      <c r="KX45" s="92" t="s">
        <v>54</v>
      </c>
      <c r="KY45" s="92" t="s">
        <v>54</v>
      </c>
      <c r="KZ45" s="92" t="s">
        <v>54</v>
      </c>
      <c r="LA45" s="92" t="s">
        <v>54</v>
      </c>
      <c r="LB45" s="92" t="s">
        <v>54</v>
      </c>
      <c r="LC45" s="92" t="s">
        <v>54</v>
      </c>
      <c r="LD45" s="92" t="s">
        <v>54</v>
      </c>
      <c r="LE45" s="92" t="s">
        <v>54</v>
      </c>
      <c r="LF45" s="92" t="s">
        <v>54</v>
      </c>
      <c r="LG45" s="92" t="s">
        <v>54</v>
      </c>
      <c r="LH45" s="92" t="s">
        <v>54</v>
      </c>
      <c r="LI45" s="92" t="s">
        <v>54</v>
      </c>
      <c r="LJ45" s="92" t="s">
        <v>54</v>
      </c>
      <c r="LK45" s="92" t="s">
        <v>54</v>
      </c>
      <c r="LL45" s="92" t="s">
        <v>54</v>
      </c>
      <c r="LM45" s="92" t="s">
        <v>54</v>
      </c>
      <c r="LN45" s="92" t="s">
        <v>54</v>
      </c>
      <c r="LO45" s="92" t="s">
        <v>54</v>
      </c>
      <c r="LP45" s="92" t="s">
        <v>54</v>
      </c>
      <c r="LQ45" s="92" t="s">
        <v>54</v>
      </c>
      <c r="LR45" s="92" t="s">
        <v>54</v>
      </c>
      <c r="LS45" s="92" t="s">
        <v>54</v>
      </c>
      <c r="LT45" s="92" t="s">
        <v>54</v>
      </c>
      <c r="LU45" s="92" t="s">
        <v>54</v>
      </c>
      <c r="LV45" s="92" t="s">
        <v>54</v>
      </c>
      <c r="LW45" s="92" t="s">
        <v>54</v>
      </c>
      <c r="LX45" s="92" t="s">
        <v>54</v>
      </c>
      <c r="LY45" s="92" t="s">
        <v>54</v>
      </c>
      <c r="LZ45" s="92" t="s">
        <v>54</v>
      </c>
      <c r="MA45" s="92" t="s">
        <v>54</v>
      </c>
      <c r="MB45" s="92" t="s">
        <v>54</v>
      </c>
      <c r="MC45" s="92" t="s">
        <v>54</v>
      </c>
      <c r="MD45" s="92" t="s">
        <v>54</v>
      </c>
      <c r="ME45" s="92" t="s">
        <v>54</v>
      </c>
      <c r="MF45" s="92" t="s">
        <v>54</v>
      </c>
      <c r="MG45" s="92" t="s">
        <v>54</v>
      </c>
      <c r="MH45" s="92" t="s">
        <v>54</v>
      </c>
      <c r="MI45" s="92" t="s">
        <v>54</v>
      </c>
      <c r="MJ45" s="92" t="s">
        <v>54</v>
      </c>
      <c r="MK45" s="92" t="s">
        <v>54</v>
      </c>
      <c r="ML45" s="92" t="s">
        <v>54</v>
      </c>
      <c r="MM45" s="92" t="s">
        <v>54</v>
      </c>
      <c r="MN45" s="92" t="s">
        <v>54</v>
      </c>
      <c r="MO45" s="92" t="s">
        <v>54</v>
      </c>
      <c r="MP45" s="92" t="s">
        <v>54</v>
      </c>
      <c r="MQ45" s="92" t="s">
        <v>54</v>
      </c>
      <c r="MR45" s="92" t="s">
        <v>54</v>
      </c>
      <c r="MS45" s="92" t="s">
        <v>54</v>
      </c>
      <c r="MT45" s="92" t="s">
        <v>54</v>
      </c>
      <c r="MU45" s="92" t="s">
        <v>54</v>
      </c>
      <c r="MV45" s="92" t="s">
        <v>54</v>
      </c>
      <c r="MW45" s="92" t="s">
        <v>54</v>
      </c>
      <c r="MX45" s="92" t="s">
        <v>54</v>
      </c>
      <c r="MY45" s="92" t="s">
        <v>54</v>
      </c>
      <c r="MZ45" s="92" t="s">
        <v>54</v>
      </c>
      <c r="NA45" s="92" t="s">
        <v>54</v>
      </c>
      <c r="NB45" s="92" t="s">
        <v>54</v>
      </c>
      <c r="NC45" s="92" t="s">
        <v>54</v>
      </c>
      <c r="ND45" s="92" t="s">
        <v>54</v>
      </c>
      <c r="NE45" s="92" t="s">
        <v>54</v>
      </c>
      <c r="NF45" s="92" t="s">
        <v>54</v>
      </c>
      <c r="NG45" s="92" t="s">
        <v>54</v>
      </c>
      <c r="NH45" s="92" t="s">
        <v>54</v>
      </c>
      <c r="NI45" s="92" t="s">
        <v>54</v>
      </c>
      <c r="NJ45" s="92" t="s">
        <v>54</v>
      </c>
      <c r="NK45" s="92" t="s">
        <v>54</v>
      </c>
      <c r="NL45" s="92" t="s">
        <v>54</v>
      </c>
      <c r="NM45" s="92" t="s">
        <v>54</v>
      </c>
      <c r="NN45" s="92" t="s">
        <v>54</v>
      </c>
      <c r="NO45" s="92" t="s">
        <v>54</v>
      </c>
      <c r="NP45" s="92" t="s">
        <v>54</v>
      </c>
      <c r="NQ45" s="92" t="s">
        <v>54</v>
      </c>
      <c r="NR45" s="92" t="s">
        <v>54</v>
      </c>
      <c r="NS45" s="92" t="s">
        <v>54</v>
      </c>
      <c r="NT45" s="92" t="s">
        <v>54</v>
      </c>
      <c r="NU45" s="92" t="s">
        <v>54</v>
      </c>
      <c r="NV45" s="92" t="s">
        <v>54</v>
      </c>
      <c r="NW45" s="92" t="s">
        <v>54</v>
      </c>
      <c r="NX45" s="92" t="s">
        <v>54</v>
      </c>
      <c r="NY45" s="92" t="s">
        <v>54</v>
      </c>
      <c r="NZ45" s="92" t="s">
        <v>54</v>
      </c>
      <c r="OA45" s="92" t="s">
        <v>54</v>
      </c>
      <c r="OB45" s="92" t="s">
        <v>54</v>
      </c>
      <c r="OC45" s="92" t="s">
        <v>54</v>
      </c>
      <c r="OD45" s="92" t="s">
        <v>54</v>
      </c>
      <c r="OE45" s="92" t="s">
        <v>54</v>
      </c>
      <c r="OF45" s="92" t="s">
        <v>54</v>
      </c>
      <c r="OG45" s="92" t="s">
        <v>54</v>
      </c>
      <c r="OH45" s="92" t="s">
        <v>54</v>
      </c>
      <c r="OI45" s="92" t="s">
        <v>54</v>
      </c>
      <c r="OJ45" s="92" t="s">
        <v>54</v>
      </c>
      <c r="OK45" s="92" t="s">
        <v>54</v>
      </c>
      <c r="OL45" s="92" t="s">
        <v>54</v>
      </c>
      <c r="OM45" s="92" t="s">
        <v>54</v>
      </c>
      <c r="ON45" s="92" t="s">
        <v>54</v>
      </c>
      <c r="OO45" s="92" t="s">
        <v>54</v>
      </c>
      <c r="OP45" s="92" t="s">
        <v>54</v>
      </c>
      <c r="OQ45" s="92" t="s">
        <v>54</v>
      </c>
      <c r="OR45" s="92" t="s">
        <v>54</v>
      </c>
      <c r="OS45" s="92" t="s">
        <v>54</v>
      </c>
      <c r="OT45" s="92" t="s">
        <v>54</v>
      </c>
      <c r="OU45" s="92" t="s">
        <v>54</v>
      </c>
      <c r="OV45" s="92" t="s">
        <v>54</v>
      </c>
      <c r="OW45" s="92" t="s">
        <v>54</v>
      </c>
      <c r="OX45" s="92" t="s">
        <v>54</v>
      </c>
      <c r="OY45" s="92" t="s">
        <v>54</v>
      </c>
      <c r="OZ45" s="92" t="s">
        <v>54</v>
      </c>
      <c r="PA45" s="92" t="s">
        <v>54</v>
      </c>
      <c r="PB45" s="92" t="s">
        <v>54</v>
      </c>
      <c r="PC45" s="92" t="s">
        <v>54</v>
      </c>
      <c r="PD45" s="92" t="s">
        <v>54</v>
      </c>
      <c r="PE45" s="92" t="s">
        <v>54</v>
      </c>
      <c r="PF45" s="92" t="s">
        <v>54</v>
      </c>
      <c r="PG45" s="92" t="s">
        <v>54</v>
      </c>
      <c r="PH45" s="92" t="s">
        <v>54</v>
      </c>
      <c r="PI45" s="92" t="s">
        <v>54</v>
      </c>
      <c r="PJ45" s="92" t="s">
        <v>54</v>
      </c>
      <c r="PK45" s="92" t="s">
        <v>54</v>
      </c>
      <c r="PL45" s="92" t="s">
        <v>54</v>
      </c>
      <c r="PM45" s="92" t="s">
        <v>54</v>
      </c>
      <c r="PN45" s="92" t="s">
        <v>54</v>
      </c>
      <c r="PO45" s="92" t="s">
        <v>54</v>
      </c>
      <c r="PP45" s="92" t="s">
        <v>54</v>
      </c>
      <c r="PQ45" s="92" t="s">
        <v>54</v>
      </c>
      <c r="PR45" s="92" t="s">
        <v>54</v>
      </c>
      <c r="PS45" s="92" t="s">
        <v>54</v>
      </c>
      <c r="PT45" s="92" t="s">
        <v>54</v>
      </c>
      <c r="PU45" s="92" t="s">
        <v>54</v>
      </c>
      <c r="PV45" s="92" t="s">
        <v>54</v>
      </c>
      <c r="PW45" s="92" t="s">
        <v>54</v>
      </c>
      <c r="PX45" s="92" t="s">
        <v>54</v>
      </c>
      <c r="PY45" s="92" t="s">
        <v>54</v>
      </c>
      <c r="PZ45" s="92" t="s">
        <v>54</v>
      </c>
      <c r="QA45" s="92" t="s">
        <v>54</v>
      </c>
      <c r="QB45" s="92" t="s">
        <v>54</v>
      </c>
      <c r="QC45" s="92" t="s">
        <v>54</v>
      </c>
      <c r="QD45" s="92" t="s">
        <v>54</v>
      </c>
      <c r="QE45" s="92" t="s">
        <v>54</v>
      </c>
      <c r="QF45" s="92" t="s">
        <v>54</v>
      </c>
      <c r="QG45" s="92" t="s">
        <v>54</v>
      </c>
      <c r="QH45" s="92" t="s">
        <v>54</v>
      </c>
      <c r="QI45" s="92" t="s">
        <v>54</v>
      </c>
      <c r="QJ45" s="92" t="s">
        <v>54</v>
      </c>
      <c r="QK45" s="92" t="s">
        <v>54</v>
      </c>
      <c r="QL45" s="92" t="s">
        <v>54</v>
      </c>
      <c r="QM45" s="92" t="s">
        <v>54</v>
      </c>
      <c r="QN45" s="92" t="s">
        <v>54</v>
      </c>
      <c r="QO45" s="92" t="s">
        <v>54</v>
      </c>
      <c r="QP45" s="92" t="s">
        <v>54</v>
      </c>
      <c r="QQ45" s="92" t="s">
        <v>54</v>
      </c>
      <c r="QR45" s="92" t="s">
        <v>54</v>
      </c>
      <c r="QS45" s="92" t="s">
        <v>54</v>
      </c>
      <c r="QT45" s="92" t="s">
        <v>54</v>
      </c>
      <c r="QU45" s="92" t="s">
        <v>54</v>
      </c>
      <c r="QV45" s="92" t="s">
        <v>54</v>
      </c>
      <c r="QW45" s="92" t="s">
        <v>54</v>
      </c>
      <c r="QX45" s="92" t="s">
        <v>54</v>
      </c>
      <c r="QY45" s="92" t="s">
        <v>54</v>
      </c>
      <c r="QZ45" s="92" t="s">
        <v>54</v>
      </c>
      <c r="RA45" s="92" t="s">
        <v>54</v>
      </c>
      <c r="RB45" s="92" t="s">
        <v>54</v>
      </c>
      <c r="RC45" s="92" t="s">
        <v>54</v>
      </c>
      <c r="RD45" s="92" t="s">
        <v>54</v>
      </c>
      <c r="RE45" s="92" t="s">
        <v>54</v>
      </c>
      <c r="RF45" s="92" t="s">
        <v>54</v>
      </c>
      <c r="RG45" s="92" t="s">
        <v>54</v>
      </c>
      <c r="RH45" s="92" t="s">
        <v>54</v>
      </c>
      <c r="RI45" s="92" t="s">
        <v>54</v>
      </c>
      <c r="RJ45" s="92" t="s">
        <v>54</v>
      </c>
      <c r="RK45" s="92" t="s">
        <v>54</v>
      </c>
      <c r="RL45" s="92" t="s">
        <v>54</v>
      </c>
      <c r="RM45" s="92" t="s">
        <v>54</v>
      </c>
      <c r="RN45" s="92" t="s">
        <v>54</v>
      </c>
      <c r="RO45" s="92" t="s">
        <v>54</v>
      </c>
      <c r="RP45" s="92" t="s">
        <v>54</v>
      </c>
      <c r="RQ45" s="92" t="s">
        <v>54</v>
      </c>
      <c r="RR45" s="92" t="s">
        <v>54</v>
      </c>
      <c r="RS45" s="92" t="s">
        <v>54</v>
      </c>
      <c r="RT45" s="92" t="s">
        <v>54</v>
      </c>
      <c r="RU45" s="92" t="s">
        <v>54</v>
      </c>
      <c r="RV45" s="92" t="s">
        <v>54</v>
      </c>
      <c r="RW45" s="92" t="s">
        <v>54</v>
      </c>
      <c r="RX45" s="92" t="s">
        <v>54</v>
      </c>
      <c r="RY45" s="92" t="s">
        <v>54</v>
      </c>
      <c r="RZ45" s="92" t="s">
        <v>54</v>
      </c>
      <c r="SA45" s="92" t="s">
        <v>54</v>
      </c>
      <c r="SB45" s="92" t="s">
        <v>54</v>
      </c>
      <c r="SC45" s="92" t="s">
        <v>54</v>
      </c>
      <c r="SD45" s="92" t="s">
        <v>54</v>
      </c>
      <c r="SE45" s="92" t="s">
        <v>54</v>
      </c>
      <c r="SF45" s="92" t="s">
        <v>54</v>
      </c>
      <c r="SG45" s="92" t="s">
        <v>54</v>
      </c>
      <c r="SH45" s="92" t="s">
        <v>54</v>
      </c>
      <c r="SI45" s="92" t="s">
        <v>54</v>
      </c>
      <c r="SJ45" s="92" t="s">
        <v>54</v>
      </c>
      <c r="SK45" s="92" t="s">
        <v>54</v>
      </c>
      <c r="SL45" s="92" t="s">
        <v>54</v>
      </c>
      <c r="SM45" s="92" t="s">
        <v>54</v>
      </c>
      <c r="SN45" s="92" t="s">
        <v>54</v>
      </c>
      <c r="SO45" s="92" t="s">
        <v>54</v>
      </c>
      <c r="SP45" s="92" t="s">
        <v>54</v>
      </c>
      <c r="SQ45" s="92" t="s">
        <v>54</v>
      </c>
      <c r="SR45" s="92" t="s">
        <v>54</v>
      </c>
      <c r="SS45" s="92" t="s">
        <v>54</v>
      </c>
      <c r="ST45" s="92" t="s">
        <v>54</v>
      </c>
      <c r="SU45" s="92" t="s">
        <v>54</v>
      </c>
      <c r="SV45" s="92" t="s">
        <v>54</v>
      </c>
      <c r="SW45" s="92" t="s">
        <v>54</v>
      </c>
      <c r="SX45" s="92" t="s">
        <v>54</v>
      </c>
      <c r="SY45" s="92" t="s">
        <v>54</v>
      </c>
      <c r="SZ45" s="92" t="s">
        <v>54</v>
      </c>
      <c r="TA45" s="92" t="s">
        <v>54</v>
      </c>
      <c r="TB45" s="92" t="s">
        <v>54</v>
      </c>
      <c r="TC45" s="92" t="s">
        <v>54</v>
      </c>
      <c r="TD45" s="92" t="s">
        <v>54</v>
      </c>
      <c r="TE45" s="92" t="s">
        <v>54</v>
      </c>
      <c r="TF45" s="92" t="s">
        <v>54</v>
      </c>
      <c r="TG45" s="92" t="s">
        <v>54</v>
      </c>
      <c r="TH45" s="92" t="s">
        <v>54</v>
      </c>
      <c r="TI45" s="92" t="s">
        <v>54</v>
      </c>
      <c r="TJ45" s="92" t="s">
        <v>54</v>
      </c>
      <c r="TK45" s="92" t="s">
        <v>54</v>
      </c>
      <c r="TL45" s="92" t="s">
        <v>54</v>
      </c>
      <c r="TM45" s="92" t="s">
        <v>54</v>
      </c>
      <c r="TN45" s="92" t="s">
        <v>54</v>
      </c>
      <c r="TO45" s="92" t="s">
        <v>54</v>
      </c>
      <c r="TP45" s="92" t="s">
        <v>54</v>
      </c>
      <c r="TQ45" s="92" t="s">
        <v>54</v>
      </c>
      <c r="TR45" s="92" t="s">
        <v>54</v>
      </c>
      <c r="TS45" s="92" t="s">
        <v>54</v>
      </c>
      <c r="TT45" s="92" t="s">
        <v>54</v>
      </c>
      <c r="TU45" s="92" t="s">
        <v>54</v>
      </c>
      <c r="TV45" s="92" t="s">
        <v>54</v>
      </c>
      <c r="TW45" s="92" t="s">
        <v>54</v>
      </c>
      <c r="TX45" s="92" t="s">
        <v>54</v>
      </c>
      <c r="TY45" s="92" t="s">
        <v>54</v>
      </c>
      <c r="TZ45" s="92" t="s">
        <v>54</v>
      </c>
      <c r="UA45" s="92" t="s">
        <v>54</v>
      </c>
      <c r="UB45" s="92" t="s">
        <v>54</v>
      </c>
      <c r="UC45" s="92" t="s">
        <v>54</v>
      </c>
      <c r="UD45" s="92" t="s">
        <v>54</v>
      </c>
      <c r="UE45" s="92" t="s">
        <v>54</v>
      </c>
      <c r="UF45" s="92" t="s">
        <v>54</v>
      </c>
      <c r="UG45" s="92" t="s">
        <v>54</v>
      </c>
      <c r="UH45" s="92" t="s">
        <v>54</v>
      </c>
      <c r="UI45" s="92" t="s">
        <v>54</v>
      </c>
      <c r="UJ45" s="92" t="s">
        <v>54</v>
      </c>
      <c r="UK45" s="92" t="s">
        <v>54</v>
      </c>
      <c r="UL45" s="92" t="s">
        <v>54</v>
      </c>
      <c r="UM45" s="92" t="s">
        <v>54</v>
      </c>
      <c r="UN45" s="92" t="s">
        <v>54</v>
      </c>
      <c r="UO45" s="92" t="s">
        <v>54</v>
      </c>
      <c r="UP45" s="92" t="s">
        <v>54</v>
      </c>
      <c r="UQ45" s="92" t="s">
        <v>54</v>
      </c>
      <c r="UR45" s="92" t="s">
        <v>54</v>
      </c>
      <c r="US45" s="92" t="s">
        <v>54</v>
      </c>
      <c r="UT45" s="92" t="s">
        <v>54</v>
      </c>
      <c r="UU45" s="92" t="s">
        <v>54</v>
      </c>
      <c r="UV45" s="92" t="s">
        <v>54</v>
      </c>
      <c r="UW45" s="92" t="s">
        <v>54</v>
      </c>
      <c r="UX45" s="92" t="s">
        <v>54</v>
      </c>
      <c r="UY45" s="92" t="s">
        <v>54</v>
      </c>
      <c r="UZ45" s="92" t="s">
        <v>54</v>
      </c>
      <c r="VA45" s="92" t="s">
        <v>54</v>
      </c>
      <c r="VB45" s="92" t="s">
        <v>54</v>
      </c>
      <c r="VC45" s="92" t="s">
        <v>54</v>
      </c>
      <c r="VD45" s="92" t="s">
        <v>54</v>
      </c>
      <c r="VE45" s="92" t="s">
        <v>54</v>
      </c>
      <c r="VF45" s="92" t="s">
        <v>54</v>
      </c>
      <c r="VG45" s="92" t="s">
        <v>54</v>
      </c>
      <c r="VH45" s="92" t="s">
        <v>54</v>
      </c>
      <c r="VI45" s="92" t="s">
        <v>54</v>
      </c>
      <c r="VJ45" s="92" t="s">
        <v>54</v>
      </c>
      <c r="VK45" s="92" t="s">
        <v>54</v>
      </c>
      <c r="VL45" s="92" t="s">
        <v>54</v>
      </c>
      <c r="VM45" s="92" t="s">
        <v>54</v>
      </c>
      <c r="VN45" s="92" t="s">
        <v>54</v>
      </c>
      <c r="VO45" s="92" t="s">
        <v>54</v>
      </c>
      <c r="VP45" s="92" t="s">
        <v>54</v>
      </c>
      <c r="VQ45" s="92" t="s">
        <v>54</v>
      </c>
      <c r="VR45" s="92" t="s">
        <v>54</v>
      </c>
      <c r="VS45" s="92" t="s">
        <v>54</v>
      </c>
      <c r="VT45" s="92" t="s">
        <v>54</v>
      </c>
      <c r="VU45" s="92" t="s">
        <v>54</v>
      </c>
      <c r="VV45" s="92" t="s">
        <v>54</v>
      </c>
      <c r="VW45" s="92" t="s">
        <v>54</v>
      </c>
      <c r="VX45" s="92" t="s">
        <v>54</v>
      </c>
      <c r="VY45" s="92" t="s">
        <v>54</v>
      </c>
      <c r="VZ45" s="92" t="s">
        <v>54</v>
      </c>
      <c r="WA45" s="92" t="s">
        <v>54</v>
      </c>
      <c r="WB45" s="92" t="s">
        <v>54</v>
      </c>
      <c r="WC45" s="92" t="s">
        <v>54</v>
      </c>
      <c r="WD45" s="92" t="s">
        <v>54</v>
      </c>
      <c r="WE45" s="92" t="s">
        <v>54</v>
      </c>
      <c r="WF45" s="92" t="s">
        <v>54</v>
      </c>
      <c r="WG45" s="92" t="s">
        <v>54</v>
      </c>
      <c r="WH45" s="92" t="s">
        <v>54</v>
      </c>
      <c r="WI45" s="92" t="s">
        <v>54</v>
      </c>
      <c r="WJ45" s="92" t="s">
        <v>54</v>
      </c>
      <c r="WK45" s="92" t="s">
        <v>54</v>
      </c>
      <c r="WL45" s="92" t="s">
        <v>54</v>
      </c>
      <c r="WM45" s="92" t="s">
        <v>54</v>
      </c>
      <c r="WN45" s="92" t="s">
        <v>54</v>
      </c>
      <c r="WO45" s="92" t="s">
        <v>54</v>
      </c>
      <c r="WP45" s="92" t="s">
        <v>54</v>
      </c>
      <c r="WQ45" s="92" t="s">
        <v>54</v>
      </c>
      <c r="WR45" s="92" t="s">
        <v>54</v>
      </c>
      <c r="WS45" s="92" t="s">
        <v>54</v>
      </c>
      <c r="WT45" s="92" t="s">
        <v>54</v>
      </c>
      <c r="WU45" s="92" t="s">
        <v>54</v>
      </c>
      <c r="WV45" s="92" t="s">
        <v>54</v>
      </c>
      <c r="WW45" s="92" t="s">
        <v>54</v>
      </c>
      <c r="WX45" s="92" t="s">
        <v>54</v>
      </c>
      <c r="WY45" s="92" t="s">
        <v>54</v>
      </c>
      <c r="WZ45" s="92" t="s">
        <v>54</v>
      </c>
      <c r="XA45" s="92" t="s">
        <v>54</v>
      </c>
      <c r="XB45" s="92" t="s">
        <v>54</v>
      </c>
      <c r="XC45" s="92" t="s">
        <v>54</v>
      </c>
      <c r="XD45" s="92" t="s">
        <v>54</v>
      </c>
      <c r="XE45" s="92" t="s">
        <v>54</v>
      </c>
      <c r="XF45" s="92" t="s">
        <v>54</v>
      </c>
      <c r="XG45" s="92" t="s">
        <v>54</v>
      </c>
      <c r="XH45" s="92" t="s">
        <v>54</v>
      </c>
      <c r="XI45" s="92" t="s">
        <v>54</v>
      </c>
      <c r="XJ45" s="92" t="s">
        <v>54</v>
      </c>
      <c r="XK45" s="92" t="s">
        <v>54</v>
      </c>
      <c r="XL45" s="92" t="s">
        <v>54</v>
      </c>
      <c r="XM45" s="92" t="s">
        <v>54</v>
      </c>
      <c r="XN45" s="92" t="s">
        <v>54</v>
      </c>
      <c r="XO45" s="92" t="s">
        <v>54</v>
      </c>
      <c r="XP45" s="92" t="s">
        <v>54</v>
      </c>
      <c r="XQ45" s="92" t="s">
        <v>54</v>
      </c>
      <c r="XR45" s="92" t="s">
        <v>54</v>
      </c>
      <c r="XS45" s="92" t="s">
        <v>54</v>
      </c>
      <c r="XT45" s="92" t="s">
        <v>54</v>
      </c>
      <c r="XU45" s="92" t="s">
        <v>54</v>
      </c>
      <c r="XV45" s="92" t="s">
        <v>54</v>
      </c>
      <c r="XW45" s="92" t="s">
        <v>54</v>
      </c>
      <c r="XX45" s="92" t="s">
        <v>54</v>
      </c>
      <c r="XY45" s="92" t="s">
        <v>54</v>
      </c>
      <c r="XZ45" s="92" t="s">
        <v>54</v>
      </c>
      <c r="YA45" s="92" t="s">
        <v>54</v>
      </c>
      <c r="YB45" s="92" t="s">
        <v>54</v>
      </c>
      <c r="YC45" s="92" t="s">
        <v>54</v>
      </c>
      <c r="YD45" s="92" t="s">
        <v>54</v>
      </c>
      <c r="YE45" s="92" t="s">
        <v>54</v>
      </c>
      <c r="YF45" s="92" t="s">
        <v>54</v>
      </c>
      <c r="YG45" s="92" t="s">
        <v>54</v>
      </c>
      <c r="YH45" s="92" t="s">
        <v>54</v>
      </c>
      <c r="YI45" s="92" t="s">
        <v>54</v>
      </c>
      <c r="YJ45" s="92" t="s">
        <v>54</v>
      </c>
      <c r="YK45" s="92" t="s">
        <v>54</v>
      </c>
      <c r="YL45" s="92" t="s">
        <v>54</v>
      </c>
      <c r="YM45" s="92" t="s">
        <v>54</v>
      </c>
      <c r="YN45" s="92" t="s">
        <v>54</v>
      </c>
      <c r="YO45" s="92" t="s">
        <v>54</v>
      </c>
      <c r="YP45" s="92" t="s">
        <v>54</v>
      </c>
      <c r="YQ45" s="92" t="s">
        <v>54</v>
      </c>
      <c r="YR45" s="92" t="s">
        <v>54</v>
      </c>
      <c r="YS45" s="92" t="s">
        <v>54</v>
      </c>
      <c r="YT45" s="92" t="s">
        <v>54</v>
      </c>
      <c r="YU45" s="92" t="s">
        <v>54</v>
      </c>
      <c r="YV45" s="92" t="s">
        <v>54</v>
      </c>
      <c r="YW45" s="92" t="s">
        <v>54</v>
      </c>
      <c r="YX45" s="92" t="s">
        <v>54</v>
      </c>
      <c r="YY45" s="92" t="s">
        <v>54</v>
      </c>
      <c r="YZ45" s="92" t="s">
        <v>54</v>
      </c>
      <c r="ZA45" s="92" t="s">
        <v>54</v>
      </c>
      <c r="ZB45" s="92" t="s">
        <v>54</v>
      </c>
      <c r="ZC45" s="92" t="s">
        <v>54</v>
      </c>
      <c r="ZD45" s="92" t="s">
        <v>54</v>
      </c>
      <c r="ZE45" s="92" t="s">
        <v>54</v>
      </c>
      <c r="ZF45" s="92" t="s">
        <v>54</v>
      </c>
      <c r="ZG45" s="92" t="s">
        <v>54</v>
      </c>
      <c r="ZH45" s="92" t="s">
        <v>54</v>
      </c>
      <c r="ZI45" s="92" t="s">
        <v>54</v>
      </c>
      <c r="ZJ45" s="92" t="s">
        <v>54</v>
      </c>
      <c r="ZK45" s="92" t="s">
        <v>54</v>
      </c>
      <c r="ZL45" s="92" t="s">
        <v>54</v>
      </c>
      <c r="ZM45" s="92" t="s">
        <v>54</v>
      </c>
      <c r="ZN45" s="92" t="s">
        <v>54</v>
      </c>
      <c r="ZO45" s="92" t="s">
        <v>54</v>
      </c>
      <c r="ZP45" s="92" t="s">
        <v>54</v>
      </c>
      <c r="ZQ45" s="92" t="s">
        <v>54</v>
      </c>
      <c r="ZR45" s="92" t="s">
        <v>54</v>
      </c>
      <c r="ZS45" s="92" t="s">
        <v>54</v>
      </c>
      <c r="ZT45" s="92" t="s">
        <v>54</v>
      </c>
      <c r="ZU45" s="92" t="s">
        <v>54</v>
      </c>
      <c r="ZV45" s="92" t="s">
        <v>54</v>
      </c>
      <c r="ZW45" s="92" t="s">
        <v>54</v>
      </c>
      <c r="ZX45" s="92" t="s">
        <v>54</v>
      </c>
      <c r="ZY45" s="92" t="s">
        <v>54</v>
      </c>
      <c r="ZZ45" s="92" t="s">
        <v>54</v>
      </c>
      <c r="AAA45" s="92" t="s">
        <v>54</v>
      </c>
      <c r="AAB45" s="92" t="s">
        <v>54</v>
      </c>
      <c r="AAC45" s="92" t="s">
        <v>54</v>
      </c>
      <c r="AAD45" s="92" t="s">
        <v>54</v>
      </c>
      <c r="AAE45" s="92" t="s">
        <v>54</v>
      </c>
      <c r="AAF45" s="92" t="s">
        <v>54</v>
      </c>
      <c r="AAG45" s="92" t="s">
        <v>54</v>
      </c>
      <c r="AAH45" s="92" t="s">
        <v>54</v>
      </c>
      <c r="AAI45" s="92" t="s">
        <v>54</v>
      </c>
      <c r="AAJ45" s="92" t="s">
        <v>54</v>
      </c>
      <c r="AAK45" s="92" t="s">
        <v>54</v>
      </c>
      <c r="AAL45" s="92" t="s">
        <v>54</v>
      </c>
      <c r="AAM45" s="92" t="s">
        <v>54</v>
      </c>
      <c r="AAN45" s="92" t="s">
        <v>54</v>
      </c>
      <c r="AAO45" s="92" t="s">
        <v>54</v>
      </c>
      <c r="AAP45" s="92" t="s">
        <v>54</v>
      </c>
      <c r="AAQ45" s="92" t="s">
        <v>54</v>
      </c>
      <c r="AAR45" s="92" t="s">
        <v>54</v>
      </c>
      <c r="AAS45" s="92" t="s">
        <v>54</v>
      </c>
      <c r="AAT45" s="92" t="s">
        <v>54</v>
      </c>
      <c r="AAU45" s="92" t="s">
        <v>54</v>
      </c>
      <c r="AAV45" s="92" t="s">
        <v>54</v>
      </c>
      <c r="AAW45" s="92" t="s">
        <v>54</v>
      </c>
      <c r="AAX45" s="92" t="s">
        <v>54</v>
      </c>
      <c r="AAY45" s="92" t="s">
        <v>54</v>
      </c>
      <c r="AAZ45" s="92" t="s">
        <v>54</v>
      </c>
      <c r="ABA45" s="92" t="s">
        <v>54</v>
      </c>
      <c r="ABB45" s="92" t="s">
        <v>54</v>
      </c>
      <c r="ABC45" s="92" t="s">
        <v>54</v>
      </c>
      <c r="ABD45" s="92" t="s">
        <v>54</v>
      </c>
      <c r="ABE45" s="92" t="s">
        <v>54</v>
      </c>
      <c r="ABF45" s="92" t="s">
        <v>54</v>
      </c>
      <c r="ABG45" s="92" t="s">
        <v>54</v>
      </c>
      <c r="ABH45" s="92" t="s">
        <v>54</v>
      </c>
      <c r="ABI45" s="92" t="s">
        <v>54</v>
      </c>
      <c r="ABJ45" s="92" t="s">
        <v>54</v>
      </c>
      <c r="ABK45" s="92" t="s">
        <v>54</v>
      </c>
      <c r="ABL45" s="92" t="s">
        <v>54</v>
      </c>
      <c r="ABM45" s="92" t="s">
        <v>54</v>
      </c>
      <c r="ABN45" s="92" t="s">
        <v>54</v>
      </c>
      <c r="ABO45" s="92" t="s">
        <v>54</v>
      </c>
      <c r="ABP45" s="92" t="s">
        <v>54</v>
      </c>
      <c r="ABQ45" s="92" t="s">
        <v>54</v>
      </c>
      <c r="ABR45" s="92" t="s">
        <v>54</v>
      </c>
      <c r="ABS45" s="92" t="s">
        <v>54</v>
      </c>
      <c r="ABT45" s="92" t="s">
        <v>54</v>
      </c>
      <c r="ABU45" s="92" t="s">
        <v>54</v>
      </c>
      <c r="ABV45" s="92" t="s">
        <v>54</v>
      </c>
      <c r="ABW45" s="92" t="s">
        <v>54</v>
      </c>
      <c r="ABX45" s="92" t="s">
        <v>54</v>
      </c>
      <c r="ABY45" s="92" t="s">
        <v>54</v>
      </c>
      <c r="ABZ45" s="92" t="s">
        <v>54</v>
      </c>
      <c r="ACA45" s="92" t="s">
        <v>54</v>
      </c>
      <c r="ACB45" s="92" t="s">
        <v>54</v>
      </c>
      <c r="ACC45" s="92" t="s">
        <v>54</v>
      </c>
      <c r="ACD45" s="92" t="s">
        <v>54</v>
      </c>
      <c r="ACE45" s="92" t="s">
        <v>54</v>
      </c>
      <c r="ACF45" s="92" t="s">
        <v>54</v>
      </c>
      <c r="ACG45" s="92" t="s">
        <v>54</v>
      </c>
      <c r="ACH45" s="92" t="s">
        <v>54</v>
      </c>
      <c r="ACI45" s="92" t="s">
        <v>54</v>
      </c>
      <c r="ACJ45" s="92" t="s">
        <v>54</v>
      </c>
      <c r="ACK45" s="92" t="s">
        <v>54</v>
      </c>
      <c r="ACL45" s="92" t="s">
        <v>54</v>
      </c>
      <c r="ACM45" s="92" t="s">
        <v>54</v>
      </c>
      <c r="ACN45" s="92" t="s">
        <v>54</v>
      </c>
      <c r="ACO45" s="92" t="s">
        <v>54</v>
      </c>
      <c r="ACP45" s="92" t="s">
        <v>54</v>
      </c>
      <c r="ACQ45" s="92" t="s">
        <v>54</v>
      </c>
      <c r="ACR45" s="92" t="s">
        <v>54</v>
      </c>
      <c r="ACS45" s="92" t="s">
        <v>54</v>
      </c>
      <c r="ACT45" s="92" t="s">
        <v>54</v>
      </c>
      <c r="ACU45" s="92" t="s">
        <v>54</v>
      </c>
      <c r="ACV45" s="92" t="s">
        <v>54</v>
      </c>
      <c r="ACW45" s="92" t="s">
        <v>54</v>
      </c>
      <c r="ACX45" s="92" t="s">
        <v>54</v>
      </c>
      <c r="ACY45" s="92" t="s">
        <v>54</v>
      </c>
      <c r="ACZ45" s="92" t="s">
        <v>54</v>
      </c>
      <c r="ADA45" s="92" t="s">
        <v>54</v>
      </c>
      <c r="ADB45" s="92" t="s">
        <v>54</v>
      </c>
      <c r="ADC45" s="92" t="s">
        <v>54</v>
      </c>
      <c r="ADD45" s="92" t="s">
        <v>54</v>
      </c>
      <c r="ADE45" s="92" t="s">
        <v>54</v>
      </c>
      <c r="ADF45" s="92" t="s">
        <v>54</v>
      </c>
      <c r="ADG45" s="92" t="s">
        <v>54</v>
      </c>
      <c r="ADH45" s="92" t="s">
        <v>54</v>
      </c>
      <c r="ADI45" s="92" t="s">
        <v>54</v>
      </c>
      <c r="ADJ45" s="92" t="s">
        <v>54</v>
      </c>
      <c r="ADK45" s="92" t="s">
        <v>54</v>
      </c>
      <c r="ADL45" s="92" t="s">
        <v>54</v>
      </c>
      <c r="ADM45" s="92" t="s">
        <v>54</v>
      </c>
      <c r="ADN45" s="92" t="s">
        <v>54</v>
      </c>
      <c r="ADO45" s="92" t="s">
        <v>54</v>
      </c>
      <c r="ADP45" s="92" t="s">
        <v>54</v>
      </c>
      <c r="ADQ45" s="92" t="s">
        <v>54</v>
      </c>
      <c r="ADR45" s="92" t="s">
        <v>54</v>
      </c>
      <c r="ADS45" s="92" t="s">
        <v>54</v>
      </c>
      <c r="ADT45" s="92" t="s">
        <v>54</v>
      </c>
      <c r="ADU45" s="92" t="s">
        <v>54</v>
      </c>
      <c r="ADV45" s="92" t="s">
        <v>54</v>
      </c>
      <c r="ADW45" s="92" t="s">
        <v>54</v>
      </c>
      <c r="ADX45" s="92" t="s">
        <v>54</v>
      </c>
      <c r="ADY45" s="92" t="s">
        <v>54</v>
      </c>
      <c r="ADZ45" s="92" t="s">
        <v>54</v>
      </c>
      <c r="AEA45" s="92" t="s">
        <v>54</v>
      </c>
      <c r="AEB45" s="92" t="s">
        <v>54</v>
      </c>
      <c r="AEC45" s="92" t="s">
        <v>54</v>
      </c>
      <c r="AED45" s="92" t="s">
        <v>54</v>
      </c>
      <c r="AEE45" s="92" t="s">
        <v>54</v>
      </c>
      <c r="AEF45" s="92" t="s">
        <v>54</v>
      </c>
      <c r="AEG45" s="92" t="s">
        <v>54</v>
      </c>
      <c r="AEH45" s="92" t="s">
        <v>54</v>
      </c>
      <c r="AEI45" s="92" t="s">
        <v>54</v>
      </c>
      <c r="AEJ45" s="92" t="s">
        <v>54</v>
      </c>
      <c r="AEK45" s="92" t="s">
        <v>54</v>
      </c>
      <c r="AEL45" s="92" t="s">
        <v>54</v>
      </c>
      <c r="AEM45" s="92" t="s">
        <v>54</v>
      </c>
      <c r="AEN45" s="92" t="s">
        <v>54</v>
      </c>
      <c r="AEO45" s="92" t="s">
        <v>54</v>
      </c>
      <c r="AEP45" s="92" t="s">
        <v>54</v>
      </c>
      <c r="AEQ45" s="92" t="s">
        <v>54</v>
      </c>
      <c r="AER45" s="92" t="s">
        <v>54</v>
      </c>
      <c r="AES45" s="92" t="s">
        <v>54</v>
      </c>
      <c r="AET45" s="92" t="s">
        <v>54</v>
      </c>
      <c r="AEU45" s="92" t="s">
        <v>54</v>
      </c>
      <c r="AEV45" s="92" t="s">
        <v>54</v>
      </c>
      <c r="AEW45" s="92" t="s">
        <v>54</v>
      </c>
      <c r="AEX45" s="92" t="s">
        <v>54</v>
      </c>
      <c r="AEY45" s="92" t="s">
        <v>54</v>
      </c>
      <c r="AEZ45" s="92" t="s">
        <v>54</v>
      </c>
      <c r="AFA45" s="92" t="s">
        <v>54</v>
      </c>
      <c r="AFB45" s="92" t="s">
        <v>54</v>
      </c>
      <c r="AFC45" s="92" t="s">
        <v>54</v>
      </c>
      <c r="AFD45" s="92" t="s">
        <v>54</v>
      </c>
      <c r="AFE45" s="92" t="s">
        <v>54</v>
      </c>
      <c r="AFF45" s="92" t="s">
        <v>54</v>
      </c>
      <c r="AFG45" s="92" t="s">
        <v>54</v>
      </c>
      <c r="AFH45" s="92" t="s">
        <v>54</v>
      </c>
      <c r="AFI45" s="92" t="s">
        <v>54</v>
      </c>
      <c r="AFJ45" s="92" t="s">
        <v>54</v>
      </c>
      <c r="AFK45" s="92" t="s">
        <v>54</v>
      </c>
      <c r="AFL45" s="92" t="s">
        <v>54</v>
      </c>
      <c r="AFM45" s="92" t="s">
        <v>54</v>
      </c>
      <c r="AFN45" s="92" t="s">
        <v>54</v>
      </c>
      <c r="AFO45" s="92" t="s">
        <v>54</v>
      </c>
      <c r="AFP45" s="92" t="s">
        <v>54</v>
      </c>
      <c r="AFQ45" s="92" t="s">
        <v>54</v>
      </c>
      <c r="AFR45" s="92" t="s">
        <v>54</v>
      </c>
      <c r="AFS45" s="92" t="s">
        <v>54</v>
      </c>
      <c r="AFT45" s="92" t="s">
        <v>54</v>
      </c>
      <c r="AFU45" s="92" t="s">
        <v>54</v>
      </c>
      <c r="AFV45" s="92" t="s">
        <v>54</v>
      </c>
      <c r="AFW45" s="92" t="s">
        <v>54</v>
      </c>
      <c r="AFX45" s="92" t="s">
        <v>54</v>
      </c>
      <c r="AFY45" s="92" t="s">
        <v>54</v>
      </c>
      <c r="AFZ45" s="92" t="s">
        <v>54</v>
      </c>
      <c r="AGA45" s="92" t="s">
        <v>54</v>
      </c>
      <c r="AGB45" s="92" t="s">
        <v>54</v>
      </c>
      <c r="AGC45" s="92" t="s">
        <v>54</v>
      </c>
      <c r="AGD45" s="92" t="s">
        <v>54</v>
      </c>
      <c r="AGE45" s="92" t="s">
        <v>54</v>
      </c>
      <c r="AGF45" s="92" t="s">
        <v>54</v>
      </c>
      <c r="AGG45" s="92" t="s">
        <v>54</v>
      </c>
      <c r="AGH45" s="92" t="s">
        <v>54</v>
      </c>
      <c r="AGI45" s="92" t="s">
        <v>54</v>
      </c>
      <c r="AGJ45" s="92" t="s">
        <v>54</v>
      </c>
      <c r="AGK45" s="92" t="s">
        <v>54</v>
      </c>
      <c r="AGL45" s="92" t="s">
        <v>54</v>
      </c>
      <c r="AGM45" s="92" t="s">
        <v>54</v>
      </c>
      <c r="AGN45" s="92" t="s">
        <v>54</v>
      </c>
      <c r="AGO45" s="92" t="s">
        <v>54</v>
      </c>
      <c r="AGP45" s="92" t="s">
        <v>54</v>
      </c>
      <c r="AGQ45" s="92" t="s">
        <v>54</v>
      </c>
      <c r="AGR45" s="92" t="s">
        <v>54</v>
      </c>
      <c r="AGS45" s="92" t="s">
        <v>54</v>
      </c>
      <c r="AGT45" s="92" t="s">
        <v>54</v>
      </c>
      <c r="AGU45" s="92" t="s">
        <v>54</v>
      </c>
      <c r="AGV45" s="92" t="s">
        <v>54</v>
      </c>
      <c r="AGW45" s="92" t="s">
        <v>54</v>
      </c>
      <c r="AGX45" s="92" t="s">
        <v>54</v>
      </c>
      <c r="AGY45" s="92" t="s">
        <v>54</v>
      </c>
      <c r="AGZ45" s="92" t="s">
        <v>54</v>
      </c>
      <c r="AHA45" s="92" t="s">
        <v>54</v>
      </c>
      <c r="AHB45" s="92" t="s">
        <v>54</v>
      </c>
      <c r="AHC45" s="92" t="s">
        <v>54</v>
      </c>
      <c r="AHD45" s="92" t="s">
        <v>54</v>
      </c>
      <c r="AHE45" s="92" t="s">
        <v>54</v>
      </c>
      <c r="AHF45" s="92" t="s">
        <v>54</v>
      </c>
      <c r="AHG45" s="92" t="s">
        <v>54</v>
      </c>
      <c r="AHH45" s="92" t="s">
        <v>54</v>
      </c>
      <c r="AHI45" s="92" t="s">
        <v>54</v>
      </c>
      <c r="AHJ45" s="92" t="s">
        <v>54</v>
      </c>
      <c r="AHK45" s="92" t="s">
        <v>54</v>
      </c>
      <c r="AHL45" s="92" t="s">
        <v>54</v>
      </c>
      <c r="AHM45" s="92" t="s">
        <v>54</v>
      </c>
      <c r="AHN45" s="92" t="s">
        <v>54</v>
      </c>
      <c r="AHO45" s="92" t="s">
        <v>54</v>
      </c>
      <c r="AHP45" s="92" t="s">
        <v>54</v>
      </c>
      <c r="AHQ45" s="92" t="s">
        <v>54</v>
      </c>
      <c r="AHR45" s="92" t="s">
        <v>54</v>
      </c>
      <c r="AHS45" s="92" t="s">
        <v>54</v>
      </c>
      <c r="AHT45" s="92" t="s">
        <v>54</v>
      </c>
      <c r="AHU45" s="92" t="s">
        <v>54</v>
      </c>
      <c r="AHV45" s="92" t="s">
        <v>54</v>
      </c>
      <c r="AHW45" s="92" t="s">
        <v>54</v>
      </c>
      <c r="AHX45" s="92" t="s">
        <v>54</v>
      </c>
      <c r="AHY45" s="92" t="s">
        <v>54</v>
      </c>
      <c r="AHZ45" s="92" t="s">
        <v>54</v>
      </c>
      <c r="AIA45" s="92" t="s">
        <v>54</v>
      </c>
      <c r="AIB45" s="92" t="s">
        <v>54</v>
      </c>
      <c r="AIC45" s="92" t="s">
        <v>54</v>
      </c>
      <c r="AID45" s="92" t="s">
        <v>54</v>
      </c>
      <c r="AIE45" s="92" t="s">
        <v>54</v>
      </c>
      <c r="AIF45" s="92" t="s">
        <v>54</v>
      </c>
      <c r="AIG45" s="92" t="s">
        <v>54</v>
      </c>
      <c r="AIH45" s="92" t="s">
        <v>54</v>
      </c>
      <c r="AII45" s="92" t="s">
        <v>54</v>
      </c>
      <c r="AIJ45" s="92" t="s">
        <v>54</v>
      </c>
      <c r="AIK45" s="92" t="s">
        <v>54</v>
      </c>
      <c r="AIL45" s="92" t="s">
        <v>54</v>
      </c>
      <c r="AIM45" s="92" t="s">
        <v>54</v>
      </c>
      <c r="AIN45" s="92" t="s">
        <v>54</v>
      </c>
      <c r="AIO45" s="92" t="s">
        <v>54</v>
      </c>
      <c r="AIP45" s="92" t="s">
        <v>54</v>
      </c>
      <c r="AIQ45" s="92" t="s">
        <v>54</v>
      </c>
      <c r="AIR45" s="92" t="s">
        <v>54</v>
      </c>
      <c r="AIS45" s="92" t="s">
        <v>54</v>
      </c>
      <c r="AIT45" s="92" t="s">
        <v>54</v>
      </c>
      <c r="AIU45" s="92" t="s">
        <v>54</v>
      </c>
      <c r="AIV45" s="92" t="s">
        <v>54</v>
      </c>
      <c r="AIW45" s="92" t="s">
        <v>54</v>
      </c>
      <c r="AIX45" s="92" t="s">
        <v>54</v>
      </c>
      <c r="AIY45" s="92" t="s">
        <v>54</v>
      </c>
      <c r="AIZ45" s="92" t="s">
        <v>54</v>
      </c>
      <c r="AJA45" s="92" t="s">
        <v>54</v>
      </c>
      <c r="AJB45" s="92" t="s">
        <v>54</v>
      </c>
      <c r="AJC45" s="92" t="s">
        <v>54</v>
      </c>
      <c r="AJD45" s="92" t="s">
        <v>54</v>
      </c>
      <c r="AJE45" s="92" t="s">
        <v>54</v>
      </c>
      <c r="AJF45" s="92" t="s">
        <v>54</v>
      </c>
      <c r="AJG45" s="92" t="s">
        <v>54</v>
      </c>
      <c r="AJH45" s="92" t="s">
        <v>54</v>
      </c>
      <c r="AJI45" s="92" t="s">
        <v>54</v>
      </c>
      <c r="AJJ45" s="92" t="s">
        <v>54</v>
      </c>
      <c r="AJK45" s="92" t="s">
        <v>54</v>
      </c>
      <c r="AJL45" s="92" t="s">
        <v>54</v>
      </c>
      <c r="AJM45" s="92" t="s">
        <v>54</v>
      </c>
      <c r="AJN45" s="92" t="s">
        <v>54</v>
      </c>
      <c r="AJO45" s="92" t="s">
        <v>54</v>
      </c>
      <c r="AJP45" s="92" t="s">
        <v>54</v>
      </c>
      <c r="AJQ45" s="92" t="s">
        <v>54</v>
      </c>
      <c r="AJR45" s="92" t="s">
        <v>54</v>
      </c>
      <c r="AJS45" s="92" t="s">
        <v>54</v>
      </c>
      <c r="AJT45" s="92" t="s">
        <v>54</v>
      </c>
      <c r="AJU45" s="92" t="s">
        <v>54</v>
      </c>
      <c r="AJV45" s="92" t="s">
        <v>54</v>
      </c>
      <c r="AJW45" s="92" t="s">
        <v>54</v>
      </c>
      <c r="AJX45" s="92" t="s">
        <v>54</v>
      </c>
      <c r="AJY45" s="92" t="s">
        <v>54</v>
      </c>
      <c r="AJZ45" s="92" t="s">
        <v>54</v>
      </c>
      <c r="AKA45" s="92" t="s">
        <v>54</v>
      </c>
      <c r="AKB45" s="92" t="s">
        <v>54</v>
      </c>
      <c r="AKC45" s="92" t="s">
        <v>54</v>
      </c>
      <c r="AKD45" s="92" t="s">
        <v>54</v>
      </c>
      <c r="AKE45" s="92" t="s">
        <v>54</v>
      </c>
      <c r="AKF45" s="92" t="s">
        <v>54</v>
      </c>
      <c r="AKG45" s="92" t="s">
        <v>54</v>
      </c>
      <c r="AKH45" s="92" t="s">
        <v>54</v>
      </c>
      <c r="AKI45" s="92" t="s">
        <v>54</v>
      </c>
      <c r="AKJ45" s="92" t="s">
        <v>54</v>
      </c>
      <c r="AKK45" s="92" t="s">
        <v>54</v>
      </c>
      <c r="AKL45" s="92" t="s">
        <v>54</v>
      </c>
      <c r="AKM45" s="92" t="s">
        <v>54</v>
      </c>
      <c r="AKN45" s="92" t="s">
        <v>54</v>
      </c>
      <c r="AKO45" s="92" t="s">
        <v>54</v>
      </c>
      <c r="AKP45" s="92" t="s">
        <v>54</v>
      </c>
      <c r="AKQ45" s="92" t="s">
        <v>54</v>
      </c>
      <c r="AKR45" s="92" t="s">
        <v>54</v>
      </c>
      <c r="AKS45" s="92" t="s">
        <v>54</v>
      </c>
      <c r="AKT45" s="92" t="s">
        <v>54</v>
      </c>
      <c r="AKU45" s="92" t="s">
        <v>54</v>
      </c>
      <c r="AKV45" s="92" t="s">
        <v>54</v>
      </c>
      <c r="AKW45" s="92" t="s">
        <v>54</v>
      </c>
      <c r="AKX45" s="92" t="s">
        <v>54</v>
      </c>
      <c r="AKY45" s="92" t="s">
        <v>54</v>
      </c>
      <c r="AKZ45" s="92" t="s">
        <v>54</v>
      </c>
      <c r="ALA45" s="92" t="s">
        <v>54</v>
      </c>
      <c r="ALB45" s="92" t="s">
        <v>54</v>
      </c>
      <c r="ALC45" s="92" t="s">
        <v>54</v>
      </c>
      <c r="ALD45" s="92" t="s">
        <v>54</v>
      </c>
      <c r="ALE45" s="92" t="s">
        <v>54</v>
      </c>
      <c r="ALF45" s="92" t="s">
        <v>54</v>
      </c>
      <c r="ALG45" s="92" t="s">
        <v>54</v>
      </c>
      <c r="ALH45" s="92" t="s">
        <v>54</v>
      </c>
      <c r="ALI45" s="92" t="s">
        <v>54</v>
      </c>
      <c r="ALJ45" s="92" t="s">
        <v>54</v>
      </c>
      <c r="ALK45" s="92" t="s">
        <v>54</v>
      </c>
      <c r="ALL45" s="92" t="s">
        <v>54</v>
      </c>
      <c r="ALM45" s="92" t="s">
        <v>54</v>
      </c>
      <c r="ALN45" s="92" t="s">
        <v>54</v>
      </c>
      <c r="ALO45" s="92" t="s">
        <v>54</v>
      </c>
      <c r="ALP45" s="92" t="s">
        <v>54</v>
      </c>
      <c r="ALQ45" s="92" t="s">
        <v>54</v>
      </c>
      <c r="ALR45" s="92" t="s">
        <v>54</v>
      </c>
      <c r="ALS45" s="92" t="s">
        <v>54</v>
      </c>
      <c r="ALT45" s="92" t="s">
        <v>54</v>
      </c>
      <c r="ALU45" s="92" t="s">
        <v>54</v>
      </c>
      <c r="ALV45" s="92" t="s">
        <v>54</v>
      </c>
      <c r="ALW45" s="92" t="s">
        <v>54</v>
      </c>
      <c r="ALX45" s="92" t="s">
        <v>54</v>
      </c>
      <c r="ALY45" s="92" t="s">
        <v>54</v>
      </c>
      <c r="ALZ45" s="92" t="s">
        <v>54</v>
      </c>
      <c r="AMA45" s="92" t="s">
        <v>54</v>
      </c>
      <c r="AMB45" s="92" t="s">
        <v>54</v>
      </c>
      <c r="AMC45" s="92" t="s">
        <v>54</v>
      </c>
      <c r="AMD45" s="92" t="s">
        <v>54</v>
      </c>
      <c r="AME45" s="92" t="s">
        <v>54</v>
      </c>
      <c r="AMF45" s="92" t="s">
        <v>54</v>
      </c>
      <c r="AMG45" s="92" t="s">
        <v>54</v>
      </c>
      <c r="AMH45" s="92" t="s">
        <v>54</v>
      </c>
      <c r="AMI45" s="92" t="s">
        <v>54</v>
      </c>
      <c r="AMJ45" s="92" t="s">
        <v>54</v>
      </c>
      <c r="AMK45" s="92" t="s">
        <v>54</v>
      </c>
      <c r="AML45" s="92" t="s">
        <v>54</v>
      </c>
      <c r="AMM45" s="92" t="s">
        <v>54</v>
      </c>
      <c r="AMN45" s="92" t="s">
        <v>54</v>
      </c>
      <c r="AMO45" s="92" t="s">
        <v>54</v>
      </c>
      <c r="AMP45" s="92" t="s">
        <v>54</v>
      </c>
      <c r="AMQ45" s="92" t="s">
        <v>54</v>
      </c>
      <c r="AMR45" s="92" t="s">
        <v>54</v>
      </c>
      <c r="AMS45" s="92" t="s">
        <v>54</v>
      </c>
      <c r="AMT45" s="92" t="s">
        <v>54</v>
      </c>
      <c r="AMU45" s="92" t="s">
        <v>54</v>
      </c>
      <c r="AMV45" s="92" t="s">
        <v>54</v>
      </c>
      <c r="AMW45" s="92" t="s">
        <v>54</v>
      </c>
      <c r="AMX45" s="92" t="s">
        <v>54</v>
      </c>
      <c r="AMY45" s="92" t="s">
        <v>54</v>
      </c>
      <c r="AMZ45" s="92" t="s">
        <v>54</v>
      </c>
      <c r="ANA45" s="92" t="s">
        <v>54</v>
      </c>
      <c r="ANB45" s="92" t="s">
        <v>54</v>
      </c>
      <c r="ANC45" s="92" t="s">
        <v>54</v>
      </c>
      <c r="AND45" s="92" t="s">
        <v>54</v>
      </c>
      <c r="ANE45" s="92" t="s">
        <v>54</v>
      </c>
      <c r="ANF45" s="92" t="s">
        <v>54</v>
      </c>
      <c r="ANG45" s="92" t="s">
        <v>54</v>
      </c>
      <c r="ANH45" s="92" t="s">
        <v>54</v>
      </c>
      <c r="ANI45" s="92" t="s">
        <v>54</v>
      </c>
      <c r="ANJ45" s="92" t="s">
        <v>54</v>
      </c>
      <c r="ANK45" s="92" t="s">
        <v>54</v>
      </c>
      <c r="ANL45" s="92" t="s">
        <v>54</v>
      </c>
      <c r="ANM45" s="92" t="s">
        <v>54</v>
      </c>
      <c r="ANN45" s="92" t="s">
        <v>54</v>
      </c>
      <c r="ANO45" s="92" t="s">
        <v>54</v>
      </c>
      <c r="ANP45" s="92" t="s">
        <v>54</v>
      </c>
      <c r="ANQ45" s="92" t="s">
        <v>54</v>
      </c>
      <c r="ANR45" s="92" t="s">
        <v>54</v>
      </c>
      <c r="ANS45" s="92" t="s">
        <v>54</v>
      </c>
      <c r="ANT45" s="92" t="s">
        <v>54</v>
      </c>
      <c r="ANU45" s="92" t="s">
        <v>54</v>
      </c>
      <c r="ANV45" s="92" t="s">
        <v>54</v>
      </c>
      <c r="ANW45" s="92" t="s">
        <v>54</v>
      </c>
      <c r="ANX45" s="92" t="s">
        <v>54</v>
      </c>
      <c r="ANY45" s="92" t="s">
        <v>54</v>
      </c>
      <c r="ANZ45" s="92" t="s">
        <v>54</v>
      </c>
      <c r="AOA45" s="92" t="s">
        <v>54</v>
      </c>
      <c r="AOB45" s="92" t="s">
        <v>54</v>
      </c>
      <c r="AOC45" s="92" t="s">
        <v>54</v>
      </c>
      <c r="AOD45" s="92" t="s">
        <v>54</v>
      </c>
      <c r="AOE45" s="92" t="s">
        <v>54</v>
      </c>
      <c r="AOF45" s="92" t="s">
        <v>54</v>
      </c>
      <c r="AOG45" s="92" t="s">
        <v>54</v>
      </c>
      <c r="AOH45" s="92" t="s">
        <v>54</v>
      </c>
      <c r="AOI45" s="92" t="s">
        <v>54</v>
      </c>
      <c r="AOJ45" s="92" t="s">
        <v>54</v>
      </c>
      <c r="AOK45" s="92" t="s">
        <v>54</v>
      </c>
      <c r="AOL45" s="92" t="s">
        <v>54</v>
      </c>
      <c r="AOM45" s="92" t="s">
        <v>54</v>
      </c>
      <c r="AON45" s="92" t="s">
        <v>54</v>
      </c>
      <c r="AOO45" s="92" t="s">
        <v>54</v>
      </c>
      <c r="AOP45" s="92" t="s">
        <v>54</v>
      </c>
      <c r="AOQ45" s="92" t="s">
        <v>54</v>
      </c>
      <c r="AOR45" s="92" t="s">
        <v>54</v>
      </c>
      <c r="AOS45" s="92" t="s">
        <v>54</v>
      </c>
      <c r="AOT45" s="92" t="s">
        <v>54</v>
      </c>
      <c r="AOU45" s="92" t="s">
        <v>54</v>
      </c>
      <c r="AOV45" s="92" t="s">
        <v>54</v>
      </c>
      <c r="AOW45" s="92" t="s">
        <v>54</v>
      </c>
      <c r="AOX45" s="92" t="s">
        <v>54</v>
      </c>
      <c r="AOY45" s="92" t="s">
        <v>54</v>
      </c>
      <c r="AOZ45" s="92" t="s">
        <v>54</v>
      </c>
      <c r="APA45" s="92" t="s">
        <v>54</v>
      </c>
      <c r="APB45" s="92" t="s">
        <v>54</v>
      </c>
      <c r="APC45" s="92" t="s">
        <v>54</v>
      </c>
      <c r="APD45" s="92" t="s">
        <v>54</v>
      </c>
      <c r="APE45" s="92" t="s">
        <v>54</v>
      </c>
      <c r="APF45" s="92" t="s">
        <v>54</v>
      </c>
      <c r="APG45" s="92" t="s">
        <v>54</v>
      </c>
      <c r="APH45" s="92" t="s">
        <v>54</v>
      </c>
      <c r="API45" s="92" t="s">
        <v>54</v>
      </c>
      <c r="APJ45" s="92" t="s">
        <v>54</v>
      </c>
      <c r="APK45" s="92" t="s">
        <v>54</v>
      </c>
      <c r="APL45" s="92" t="s">
        <v>54</v>
      </c>
      <c r="APM45" s="92" t="s">
        <v>54</v>
      </c>
      <c r="APN45" s="92" t="s">
        <v>54</v>
      </c>
      <c r="APO45" s="92" t="s">
        <v>54</v>
      </c>
      <c r="APP45" s="92" t="s">
        <v>54</v>
      </c>
      <c r="APQ45" s="92" t="s">
        <v>54</v>
      </c>
      <c r="APR45" s="92" t="s">
        <v>54</v>
      </c>
      <c r="APS45" s="92" t="s">
        <v>54</v>
      </c>
      <c r="APT45" s="92" t="s">
        <v>54</v>
      </c>
      <c r="APU45" s="92" t="s">
        <v>54</v>
      </c>
      <c r="APV45" s="92" t="s">
        <v>54</v>
      </c>
      <c r="APW45" s="92" t="s">
        <v>54</v>
      </c>
      <c r="APX45" s="92" t="s">
        <v>54</v>
      </c>
      <c r="APY45" s="92" t="s">
        <v>54</v>
      </c>
      <c r="APZ45" s="92" t="s">
        <v>54</v>
      </c>
      <c r="AQA45" s="92" t="s">
        <v>54</v>
      </c>
      <c r="AQB45" s="92" t="s">
        <v>54</v>
      </c>
      <c r="AQC45" s="92" t="s">
        <v>54</v>
      </c>
      <c r="AQD45" s="92" t="s">
        <v>54</v>
      </c>
      <c r="AQE45" s="92" t="s">
        <v>54</v>
      </c>
      <c r="AQF45" s="92" t="s">
        <v>54</v>
      </c>
      <c r="AQG45" s="92" t="s">
        <v>54</v>
      </c>
      <c r="AQH45" s="92" t="s">
        <v>54</v>
      </c>
      <c r="AQI45" s="92" t="s">
        <v>54</v>
      </c>
      <c r="AQJ45" s="92" t="s">
        <v>54</v>
      </c>
      <c r="AQK45" s="92" t="s">
        <v>54</v>
      </c>
      <c r="AQL45" s="92" t="s">
        <v>54</v>
      </c>
      <c r="AQM45" s="92" t="s">
        <v>54</v>
      </c>
      <c r="AQN45" s="92" t="s">
        <v>54</v>
      </c>
      <c r="AQO45" s="92" t="s">
        <v>54</v>
      </c>
      <c r="AQP45" s="92" t="s">
        <v>54</v>
      </c>
      <c r="AQQ45" s="92" t="s">
        <v>54</v>
      </c>
      <c r="AQR45" s="92" t="s">
        <v>54</v>
      </c>
      <c r="AQS45" s="92" t="s">
        <v>54</v>
      </c>
      <c r="AQT45" s="92" t="s">
        <v>54</v>
      </c>
      <c r="AQU45" s="92" t="s">
        <v>54</v>
      </c>
      <c r="AQV45" s="92" t="s">
        <v>54</v>
      </c>
      <c r="AQW45" s="92" t="s">
        <v>54</v>
      </c>
      <c r="AQX45" s="92" t="s">
        <v>54</v>
      </c>
      <c r="AQY45" s="92" t="s">
        <v>54</v>
      </c>
      <c r="AQZ45" s="92" t="s">
        <v>54</v>
      </c>
      <c r="ARA45" s="92" t="s">
        <v>54</v>
      </c>
      <c r="ARB45" s="92" t="s">
        <v>54</v>
      </c>
      <c r="ARC45" s="92" t="s">
        <v>54</v>
      </c>
      <c r="ARD45" s="92" t="s">
        <v>54</v>
      </c>
      <c r="ARE45" s="92" t="s">
        <v>54</v>
      </c>
      <c r="ARF45" s="92" t="s">
        <v>54</v>
      </c>
      <c r="ARG45" s="92" t="s">
        <v>54</v>
      </c>
      <c r="ARH45" s="92" t="s">
        <v>54</v>
      </c>
      <c r="ARI45" s="92" t="s">
        <v>54</v>
      </c>
      <c r="ARJ45" s="92" t="s">
        <v>54</v>
      </c>
      <c r="ARK45" s="92" t="s">
        <v>54</v>
      </c>
      <c r="ARL45" s="92" t="s">
        <v>54</v>
      </c>
      <c r="ARM45" s="92" t="s">
        <v>54</v>
      </c>
      <c r="ARN45" s="92" t="s">
        <v>54</v>
      </c>
      <c r="ARO45" s="92" t="s">
        <v>54</v>
      </c>
      <c r="ARP45" s="92" t="s">
        <v>54</v>
      </c>
      <c r="ARQ45" s="92" t="s">
        <v>54</v>
      </c>
      <c r="ARR45" s="92" t="s">
        <v>54</v>
      </c>
      <c r="ARS45" s="92" t="s">
        <v>54</v>
      </c>
      <c r="ART45" s="92" t="s">
        <v>54</v>
      </c>
      <c r="ARU45" s="92" t="s">
        <v>54</v>
      </c>
      <c r="ARV45" s="92" t="s">
        <v>54</v>
      </c>
      <c r="ARW45" s="92" t="s">
        <v>54</v>
      </c>
      <c r="ARX45" s="92" t="s">
        <v>54</v>
      </c>
      <c r="ARY45" s="92" t="s">
        <v>54</v>
      </c>
      <c r="ARZ45" s="92" t="s">
        <v>54</v>
      </c>
      <c r="ASA45" s="92" t="s">
        <v>54</v>
      </c>
      <c r="ASB45" s="92" t="s">
        <v>54</v>
      </c>
      <c r="ASC45" s="92" t="s">
        <v>54</v>
      </c>
      <c r="ASD45" s="92" t="s">
        <v>54</v>
      </c>
      <c r="ASE45" s="92" t="s">
        <v>54</v>
      </c>
      <c r="ASF45" s="92" t="s">
        <v>54</v>
      </c>
      <c r="ASG45" s="92" t="s">
        <v>54</v>
      </c>
      <c r="ASH45" s="92" t="s">
        <v>54</v>
      </c>
      <c r="ASI45" s="92" t="s">
        <v>54</v>
      </c>
      <c r="ASJ45" s="92" t="s">
        <v>54</v>
      </c>
      <c r="ASK45" s="92" t="s">
        <v>54</v>
      </c>
      <c r="ASL45" s="92" t="s">
        <v>54</v>
      </c>
      <c r="ASM45" s="92" t="s">
        <v>54</v>
      </c>
      <c r="ASN45" s="92" t="s">
        <v>54</v>
      </c>
      <c r="ASO45" s="92" t="s">
        <v>54</v>
      </c>
      <c r="ASP45" s="92" t="s">
        <v>54</v>
      </c>
      <c r="ASQ45" s="92" t="s">
        <v>54</v>
      </c>
      <c r="ASR45" s="92" t="s">
        <v>54</v>
      </c>
      <c r="ASS45" s="92" t="s">
        <v>54</v>
      </c>
      <c r="AST45" s="92" t="s">
        <v>54</v>
      </c>
      <c r="ASU45" s="92" t="s">
        <v>54</v>
      </c>
      <c r="ASV45" s="92" t="s">
        <v>54</v>
      </c>
      <c r="ASW45" s="92" t="s">
        <v>54</v>
      </c>
      <c r="ASX45" s="92" t="s">
        <v>54</v>
      </c>
      <c r="ASY45" s="92" t="s">
        <v>54</v>
      </c>
      <c r="ASZ45" s="92" t="s">
        <v>54</v>
      </c>
      <c r="ATA45" s="92" t="s">
        <v>54</v>
      </c>
      <c r="ATB45" s="92" t="s">
        <v>54</v>
      </c>
      <c r="ATC45" s="92" t="s">
        <v>54</v>
      </c>
      <c r="ATD45" s="92" t="s">
        <v>54</v>
      </c>
      <c r="ATE45" s="92" t="s">
        <v>54</v>
      </c>
      <c r="ATF45" s="92" t="s">
        <v>54</v>
      </c>
      <c r="ATG45" s="92" t="s">
        <v>54</v>
      </c>
      <c r="ATH45" s="92" t="s">
        <v>54</v>
      </c>
      <c r="ATI45" s="92" t="s">
        <v>54</v>
      </c>
      <c r="ATJ45" s="92" t="s">
        <v>54</v>
      </c>
      <c r="ATK45" s="92" t="s">
        <v>54</v>
      </c>
      <c r="ATL45" s="92" t="s">
        <v>54</v>
      </c>
      <c r="ATM45" s="92" t="s">
        <v>54</v>
      </c>
      <c r="ATN45" s="92" t="s">
        <v>54</v>
      </c>
      <c r="ATO45" s="92" t="s">
        <v>54</v>
      </c>
      <c r="ATP45" s="92" t="s">
        <v>54</v>
      </c>
      <c r="ATQ45" s="92" t="s">
        <v>54</v>
      </c>
      <c r="ATR45" s="92" t="s">
        <v>54</v>
      </c>
      <c r="ATS45" s="92" t="s">
        <v>54</v>
      </c>
      <c r="ATT45" s="92" t="s">
        <v>54</v>
      </c>
      <c r="ATU45" s="92" t="s">
        <v>54</v>
      </c>
      <c r="ATV45" s="92" t="s">
        <v>54</v>
      </c>
      <c r="ATW45" s="92" t="s">
        <v>54</v>
      </c>
      <c r="ATX45" s="92" t="s">
        <v>54</v>
      </c>
      <c r="ATY45" s="92" t="s">
        <v>54</v>
      </c>
      <c r="ATZ45" s="92" t="s">
        <v>54</v>
      </c>
      <c r="AUA45" s="92" t="s">
        <v>54</v>
      </c>
      <c r="AUB45" s="92" t="s">
        <v>54</v>
      </c>
      <c r="AUC45" s="92" t="s">
        <v>54</v>
      </c>
      <c r="AUD45" s="92" t="s">
        <v>54</v>
      </c>
      <c r="AUE45" s="92" t="s">
        <v>54</v>
      </c>
      <c r="AUF45" s="92" t="s">
        <v>54</v>
      </c>
      <c r="AUG45" s="92" t="s">
        <v>54</v>
      </c>
      <c r="AUH45" s="92" t="s">
        <v>54</v>
      </c>
      <c r="AUI45" s="92" t="s">
        <v>54</v>
      </c>
      <c r="AUJ45" s="92" t="s">
        <v>54</v>
      </c>
      <c r="AUK45" s="92" t="s">
        <v>54</v>
      </c>
      <c r="AUL45" s="92" t="s">
        <v>54</v>
      </c>
      <c r="AUM45" s="92" t="s">
        <v>54</v>
      </c>
      <c r="AUN45" s="92" t="s">
        <v>54</v>
      </c>
      <c r="AUO45" s="92" t="s">
        <v>54</v>
      </c>
      <c r="AUP45" s="92" t="s">
        <v>54</v>
      </c>
      <c r="AUQ45" s="92" t="s">
        <v>54</v>
      </c>
      <c r="AUR45" s="92" t="s">
        <v>54</v>
      </c>
      <c r="AUS45" s="92" t="s">
        <v>54</v>
      </c>
      <c r="AUT45" s="92" t="s">
        <v>54</v>
      </c>
      <c r="AUU45" s="92" t="s">
        <v>54</v>
      </c>
      <c r="AUV45" s="92" t="s">
        <v>54</v>
      </c>
      <c r="AUW45" s="92" t="s">
        <v>54</v>
      </c>
      <c r="AUX45" s="92" t="s">
        <v>54</v>
      </c>
      <c r="AUY45" s="92" t="s">
        <v>54</v>
      </c>
      <c r="AUZ45" s="92" t="s">
        <v>54</v>
      </c>
      <c r="AVA45" s="92" t="s">
        <v>54</v>
      </c>
      <c r="AVB45" s="92" t="s">
        <v>54</v>
      </c>
      <c r="AVC45" s="92" t="s">
        <v>54</v>
      </c>
      <c r="AVD45" s="92" t="s">
        <v>54</v>
      </c>
      <c r="AVE45" s="92" t="s">
        <v>54</v>
      </c>
      <c r="AVF45" s="92" t="s">
        <v>54</v>
      </c>
      <c r="AVG45" s="92" t="s">
        <v>54</v>
      </c>
      <c r="AVH45" s="92" t="s">
        <v>54</v>
      </c>
      <c r="AVI45" s="92" t="s">
        <v>54</v>
      </c>
      <c r="AVJ45" s="92" t="s">
        <v>54</v>
      </c>
      <c r="AVK45" s="92" t="s">
        <v>54</v>
      </c>
      <c r="AVL45" s="92" t="s">
        <v>54</v>
      </c>
      <c r="AVM45" s="92" t="s">
        <v>54</v>
      </c>
      <c r="AVN45" s="92" t="s">
        <v>54</v>
      </c>
      <c r="AVO45" s="92" t="s">
        <v>54</v>
      </c>
      <c r="AVP45" s="92" t="s">
        <v>54</v>
      </c>
      <c r="AVQ45" s="92" t="s">
        <v>54</v>
      </c>
      <c r="AVR45" s="92" t="s">
        <v>54</v>
      </c>
      <c r="AVS45" s="92" t="s">
        <v>54</v>
      </c>
      <c r="AVT45" s="92" t="s">
        <v>54</v>
      </c>
      <c r="AVU45" s="92" t="s">
        <v>54</v>
      </c>
      <c r="AVV45" s="92" t="s">
        <v>54</v>
      </c>
      <c r="AVW45" s="92" t="s">
        <v>54</v>
      </c>
      <c r="AVX45" s="92" t="s">
        <v>54</v>
      </c>
      <c r="AVY45" s="92" t="s">
        <v>54</v>
      </c>
      <c r="AVZ45" s="92" t="s">
        <v>54</v>
      </c>
      <c r="AWA45" s="92" t="s">
        <v>54</v>
      </c>
      <c r="AWB45" s="92" t="s">
        <v>54</v>
      </c>
      <c r="AWC45" s="92" t="s">
        <v>54</v>
      </c>
      <c r="AWD45" s="92" t="s">
        <v>54</v>
      </c>
      <c r="AWE45" s="92" t="s">
        <v>54</v>
      </c>
      <c r="AWF45" s="92" t="s">
        <v>54</v>
      </c>
      <c r="AWG45" s="92" t="s">
        <v>54</v>
      </c>
      <c r="AWH45" s="92" t="s">
        <v>54</v>
      </c>
      <c r="AWI45" s="92" t="s">
        <v>54</v>
      </c>
      <c r="AWJ45" s="92" t="s">
        <v>54</v>
      </c>
      <c r="AWK45" s="92" t="s">
        <v>54</v>
      </c>
      <c r="AWL45" s="92" t="s">
        <v>54</v>
      </c>
      <c r="AWM45" s="92" t="s">
        <v>54</v>
      </c>
      <c r="AWN45" s="92" t="s">
        <v>54</v>
      </c>
      <c r="AWO45" s="92" t="s">
        <v>54</v>
      </c>
      <c r="AWP45" s="92" t="s">
        <v>54</v>
      </c>
      <c r="AWQ45" s="92" t="s">
        <v>54</v>
      </c>
      <c r="AWR45" s="92" t="s">
        <v>54</v>
      </c>
      <c r="AWS45" s="92" t="s">
        <v>54</v>
      </c>
      <c r="AWT45" s="92" t="s">
        <v>54</v>
      </c>
      <c r="AWU45" s="92" t="s">
        <v>54</v>
      </c>
      <c r="AWV45" s="92" t="s">
        <v>54</v>
      </c>
      <c r="AWW45" s="92" t="s">
        <v>54</v>
      </c>
      <c r="AWX45" s="92" t="s">
        <v>54</v>
      </c>
      <c r="AWY45" s="92" t="s">
        <v>54</v>
      </c>
      <c r="AWZ45" s="92" t="s">
        <v>54</v>
      </c>
      <c r="AXA45" s="92" t="s">
        <v>54</v>
      </c>
      <c r="AXB45" s="92" t="s">
        <v>54</v>
      </c>
      <c r="AXC45" s="92" t="s">
        <v>54</v>
      </c>
      <c r="AXD45" s="92" t="s">
        <v>54</v>
      </c>
      <c r="AXE45" s="92" t="s">
        <v>54</v>
      </c>
      <c r="AXF45" s="92" t="s">
        <v>54</v>
      </c>
      <c r="AXG45" s="92" t="s">
        <v>54</v>
      </c>
      <c r="AXH45" s="92" t="s">
        <v>54</v>
      </c>
      <c r="AXI45" s="92" t="s">
        <v>54</v>
      </c>
      <c r="AXJ45" s="92" t="s">
        <v>54</v>
      </c>
      <c r="AXK45" s="92" t="s">
        <v>54</v>
      </c>
      <c r="AXL45" s="92" t="s">
        <v>54</v>
      </c>
      <c r="AXM45" s="92" t="s">
        <v>54</v>
      </c>
      <c r="AXN45" s="92" t="s">
        <v>54</v>
      </c>
      <c r="AXO45" s="92" t="s">
        <v>54</v>
      </c>
      <c r="AXP45" s="92" t="s">
        <v>54</v>
      </c>
      <c r="AXQ45" s="92" t="s">
        <v>54</v>
      </c>
      <c r="AXR45" s="92" t="s">
        <v>54</v>
      </c>
      <c r="AXS45" s="92" t="s">
        <v>54</v>
      </c>
      <c r="AXT45" s="92" t="s">
        <v>54</v>
      </c>
      <c r="AXU45" s="92" t="s">
        <v>54</v>
      </c>
      <c r="AXV45" s="92" t="s">
        <v>54</v>
      </c>
      <c r="AXW45" s="92" t="s">
        <v>54</v>
      </c>
      <c r="AXX45" s="92" t="s">
        <v>54</v>
      </c>
      <c r="AXY45" s="92" t="s">
        <v>54</v>
      </c>
      <c r="AXZ45" s="92" t="s">
        <v>54</v>
      </c>
      <c r="AYA45" s="92" t="s">
        <v>54</v>
      </c>
      <c r="AYB45" s="92" t="s">
        <v>54</v>
      </c>
      <c r="AYC45" s="92" t="s">
        <v>54</v>
      </c>
      <c r="AYD45" s="92" t="s">
        <v>54</v>
      </c>
      <c r="AYE45" s="92" t="s">
        <v>54</v>
      </c>
      <c r="AYF45" s="92" t="s">
        <v>54</v>
      </c>
      <c r="AYG45" s="92" t="s">
        <v>54</v>
      </c>
      <c r="AYH45" s="92" t="s">
        <v>54</v>
      </c>
      <c r="AYI45" s="92" t="s">
        <v>54</v>
      </c>
      <c r="AYJ45" s="92" t="s">
        <v>54</v>
      </c>
      <c r="AYK45" s="92" t="s">
        <v>54</v>
      </c>
      <c r="AYL45" s="92" t="s">
        <v>54</v>
      </c>
      <c r="AYM45" s="92" t="s">
        <v>54</v>
      </c>
      <c r="AYN45" s="92" t="s">
        <v>54</v>
      </c>
      <c r="AYO45" s="92" t="s">
        <v>54</v>
      </c>
      <c r="AYP45" s="92" t="s">
        <v>54</v>
      </c>
      <c r="AYQ45" s="92" t="s">
        <v>54</v>
      </c>
      <c r="AYR45" s="92" t="s">
        <v>54</v>
      </c>
      <c r="AYS45" s="92" t="s">
        <v>54</v>
      </c>
      <c r="AYT45" s="92" t="s">
        <v>54</v>
      </c>
      <c r="AYU45" s="92" t="s">
        <v>54</v>
      </c>
      <c r="AYV45" s="92" t="s">
        <v>54</v>
      </c>
      <c r="AYW45" s="92" t="s">
        <v>54</v>
      </c>
      <c r="AYX45" s="92" t="s">
        <v>54</v>
      </c>
      <c r="AYY45" s="92" t="s">
        <v>54</v>
      </c>
      <c r="AYZ45" s="92" t="s">
        <v>54</v>
      </c>
      <c r="AZA45" s="92" t="s">
        <v>54</v>
      </c>
      <c r="AZB45" s="92" t="s">
        <v>54</v>
      </c>
      <c r="AZC45" s="92" t="s">
        <v>54</v>
      </c>
      <c r="AZD45" s="92" t="s">
        <v>54</v>
      </c>
      <c r="AZE45" s="92" t="s">
        <v>54</v>
      </c>
      <c r="AZF45" s="92" t="s">
        <v>54</v>
      </c>
      <c r="AZG45" s="92" t="s">
        <v>54</v>
      </c>
      <c r="AZH45" s="92" t="s">
        <v>54</v>
      </c>
      <c r="AZI45" s="92" t="s">
        <v>54</v>
      </c>
      <c r="AZJ45" s="92" t="s">
        <v>54</v>
      </c>
      <c r="AZK45" s="92" t="s">
        <v>54</v>
      </c>
      <c r="AZL45" s="92" t="s">
        <v>54</v>
      </c>
      <c r="AZM45" s="92" t="s">
        <v>54</v>
      </c>
      <c r="AZN45" s="92" t="s">
        <v>54</v>
      </c>
      <c r="AZO45" s="92" t="s">
        <v>54</v>
      </c>
      <c r="AZP45" s="92" t="s">
        <v>54</v>
      </c>
      <c r="AZQ45" s="92" t="s">
        <v>54</v>
      </c>
      <c r="AZR45" s="92" t="s">
        <v>54</v>
      </c>
      <c r="AZS45" s="92" t="s">
        <v>54</v>
      </c>
      <c r="AZT45" s="92" t="s">
        <v>54</v>
      </c>
      <c r="AZU45" s="92" t="s">
        <v>54</v>
      </c>
      <c r="AZV45" s="92" t="s">
        <v>54</v>
      </c>
      <c r="AZW45" s="92" t="s">
        <v>54</v>
      </c>
      <c r="AZX45" s="92" t="s">
        <v>54</v>
      </c>
      <c r="AZY45" s="92" t="s">
        <v>54</v>
      </c>
      <c r="AZZ45" s="92" t="s">
        <v>54</v>
      </c>
      <c r="BAA45" s="92" t="s">
        <v>54</v>
      </c>
      <c r="BAB45" s="92" t="s">
        <v>54</v>
      </c>
      <c r="BAC45" s="92" t="s">
        <v>54</v>
      </c>
      <c r="BAD45" s="92" t="s">
        <v>54</v>
      </c>
      <c r="BAE45" s="92" t="s">
        <v>54</v>
      </c>
      <c r="BAF45" s="92" t="s">
        <v>54</v>
      </c>
      <c r="BAG45" s="92" t="s">
        <v>54</v>
      </c>
      <c r="BAH45" s="92" t="s">
        <v>54</v>
      </c>
      <c r="BAI45" s="92" t="s">
        <v>54</v>
      </c>
      <c r="BAJ45" s="92" t="s">
        <v>54</v>
      </c>
      <c r="BAK45" s="92" t="s">
        <v>54</v>
      </c>
      <c r="BAL45" s="92" t="s">
        <v>54</v>
      </c>
      <c r="BAM45" s="92" t="s">
        <v>54</v>
      </c>
      <c r="BAN45" s="92" t="s">
        <v>54</v>
      </c>
      <c r="BAO45" s="92" t="s">
        <v>54</v>
      </c>
      <c r="BAP45" s="92" t="s">
        <v>54</v>
      </c>
      <c r="BAQ45" s="92" t="s">
        <v>54</v>
      </c>
      <c r="BAR45" s="92" t="s">
        <v>54</v>
      </c>
      <c r="BAS45" s="92" t="s">
        <v>54</v>
      </c>
      <c r="BAT45" s="92" t="s">
        <v>54</v>
      </c>
      <c r="BAU45" s="92" t="s">
        <v>54</v>
      </c>
      <c r="BAV45" s="92" t="s">
        <v>54</v>
      </c>
      <c r="BAW45" s="92" t="s">
        <v>54</v>
      </c>
      <c r="BAX45" s="92" t="s">
        <v>54</v>
      </c>
      <c r="BAY45" s="92" t="s">
        <v>54</v>
      </c>
      <c r="BAZ45" s="92" t="s">
        <v>54</v>
      </c>
      <c r="BBA45" s="92" t="s">
        <v>54</v>
      </c>
      <c r="BBB45" s="92" t="s">
        <v>54</v>
      </c>
      <c r="BBC45" s="92" t="s">
        <v>54</v>
      </c>
      <c r="BBD45" s="92" t="s">
        <v>54</v>
      </c>
      <c r="BBE45" s="92" t="s">
        <v>54</v>
      </c>
      <c r="BBF45" s="92" t="s">
        <v>54</v>
      </c>
      <c r="BBG45" s="92" t="s">
        <v>54</v>
      </c>
      <c r="BBH45" s="92" t="s">
        <v>54</v>
      </c>
      <c r="BBI45" s="92" t="s">
        <v>54</v>
      </c>
      <c r="BBJ45" s="92" t="s">
        <v>54</v>
      </c>
      <c r="BBK45" s="92" t="s">
        <v>54</v>
      </c>
      <c r="BBL45" s="92" t="s">
        <v>54</v>
      </c>
      <c r="BBM45" s="92" t="s">
        <v>54</v>
      </c>
      <c r="BBN45" s="92" t="s">
        <v>54</v>
      </c>
      <c r="BBO45" s="92" t="s">
        <v>54</v>
      </c>
      <c r="BBP45" s="92" t="s">
        <v>54</v>
      </c>
      <c r="BBQ45" s="92" t="s">
        <v>54</v>
      </c>
      <c r="BBR45" s="92" t="s">
        <v>54</v>
      </c>
      <c r="BBS45" s="92" t="s">
        <v>54</v>
      </c>
      <c r="BBT45" s="92" t="s">
        <v>54</v>
      </c>
      <c r="BBU45" s="92" t="s">
        <v>54</v>
      </c>
      <c r="BBV45" s="92" t="s">
        <v>54</v>
      </c>
      <c r="BBW45" s="92" t="s">
        <v>54</v>
      </c>
      <c r="BBX45" s="92" t="s">
        <v>54</v>
      </c>
      <c r="BBY45" s="92" t="s">
        <v>54</v>
      </c>
      <c r="BBZ45" s="92" t="s">
        <v>54</v>
      </c>
      <c r="BCA45" s="92" t="s">
        <v>54</v>
      </c>
      <c r="BCB45" s="92" t="s">
        <v>54</v>
      </c>
      <c r="BCC45" s="92" t="s">
        <v>54</v>
      </c>
      <c r="BCD45" s="92" t="s">
        <v>54</v>
      </c>
      <c r="BCE45" s="92" t="s">
        <v>54</v>
      </c>
      <c r="BCF45" s="92" t="s">
        <v>54</v>
      </c>
      <c r="BCG45" s="92" t="s">
        <v>54</v>
      </c>
      <c r="BCH45" s="92" t="s">
        <v>54</v>
      </c>
      <c r="BCI45" s="92" t="s">
        <v>54</v>
      </c>
      <c r="BCJ45" s="92" t="s">
        <v>54</v>
      </c>
      <c r="BCK45" s="92" t="s">
        <v>54</v>
      </c>
      <c r="BCL45" s="92" t="s">
        <v>54</v>
      </c>
      <c r="BCM45" s="92" t="s">
        <v>54</v>
      </c>
      <c r="BCN45" s="92" t="s">
        <v>54</v>
      </c>
      <c r="BCO45" s="92" t="s">
        <v>54</v>
      </c>
      <c r="BCP45" s="92" t="s">
        <v>54</v>
      </c>
      <c r="BCQ45" s="92" t="s">
        <v>54</v>
      </c>
      <c r="BCR45" s="92" t="s">
        <v>54</v>
      </c>
      <c r="BCS45" s="92" t="s">
        <v>54</v>
      </c>
      <c r="BCT45" s="92" t="s">
        <v>54</v>
      </c>
      <c r="BCU45" s="92" t="s">
        <v>54</v>
      </c>
      <c r="BCV45" s="92" t="s">
        <v>54</v>
      </c>
      <c r="BCW45" s="92" t="s">
        <v>54</v>
      </c>
      <c r="BCX45" s="92" t="s">
        <v>54</v>
      </c>
      <c r="BCY45" s="92" t="s">
        <v>54</v>
      </c>
      <c r="BCZ45" s="92" t="s">
        <v>54</v>
      </c>
      <c r="BDA45" s="92" t="s">
        <v>54</v>
      </c>
      <c r="BDB45" s="92" t="s">
        <v>54</v>
      </c>
      <c r="BDC45" s="92" t="s">
        <v>54</v>
      </c>
      <c r="BDD45" s="92" t="s">
        <v>54</v>
      </c>
      <c r="BDE45" s="92" t="s">
        <v>54</v>
      </c>
      <c r="BDF45" s="92" t="s">
        <v>54</v>
      </c>
      <c r="BDG45" s="92" t="s">
        <v>54</v>
      </c>
      <c r="BDH45" s="92" t="s">
        <v>54</v>
      </c>
      <c r="BDI45" s="92" t="s">
        <v>54</v>
      </c>
      <c r="BDJ45" s="92" t="s">
        <v>54</v>
      </c>
      <c r="BDK45" s="92" t="s">
        <v>54</v>
      </c>
      <c r="BDL45" s="92" t="s">
        <v>54</v>
      </c>
      <c r="BDM45" s="92" t="s">
        <v>54</v>
      </c>
      <c r="BDN45" s="92" t="s">
        <v>54</v>
      </c>
      <c r="BDO45" s="92" t="s">
        <v>54</v>
      </c>
      <c r="BDP45" s="92" t="s">
        <v>54</v>
      </c>
      <c r="BDQ45" s="92" t="s">
        <v>54</v>
      </c>
      <c r="BDR45" s="92" t="s">
        <v>54</v>
      </c>
      <c r="BDS45" s="92" t="s">
        <v>54</v>
      </c>
      <c r="BDT45" s="92" t="s">
        <v>54</v>
      </c>
      <c r="BDU45" s="92" t="s">
        <v>54</v>
      </c>
      <c r="BDV45" s="92" t="s">
        <v>54</v>
      </c>
      <c r="BDW45" s="92" t="s">
        <v>54</v>
      </c>
      <c r="BDX45" s="92" t="s">
        <v>54</v>
      </c>
      <c r="BDY45" s="92" t="s">
        <v>54</v>
      </c>
      <c r="BDZ45" s="92" t="s">
        <v>54</v>
      </c>
      <c r="BEA45" s="92" t="s">
        <v>54</v>
      </c>
      <c r="BEB45" s="92" t="s">
        <v>54</v>
      </c>
      <c r="BEC45" s="92" t="s">
        <v>54</v>
      </c>
      <c r="BED45" s="92" t="s">
        <v>54</v>
      </c>
      <c r="BEE45" s="92" t="s">
        <v>54</v>
      </c>
      <c r="BEF45" s="92" t="s">
        <v>54</v>
      </c>
      <c r="BEG45" s="92" t="s">
        <v>54</v>
      </c>
      <c r="BEH45" s="92" t="s">
        <v>54</v>
      </c>
      <c r="BEI45" s="92" t="s">
        <v>54</v>
      </c>
      <c r="BEJ45" s="92" t="s">
        <v>54</v>
      </c>
      <c r="BEK45" s="92" t="s">
        <v>54</v>
      </c>
      <c r="BEL45" s="92" t="s">
        <v>54</v>
      </c>
      <c r="BEM45" s="92" t="s">
        <v>54</v>
      </c>
      <c r="BEN45" s="92" t="s">
        <v>54</v>
      </c>
      <c r="BEO45" s="92" t="s">
        <v>54</v>
      </c>
      <c r="BEP45" s="92" t="s">
        <v>54</v>
      </c>
      <c r="BEQ45" s="92" t="s">
        <v>54</v>
      </c>
      <c r="BER45" s="92" t="s">
        <v>54</v>
      </c>
      <c r="BES45" s="92" t="s">
        <v>54</v>
      </c>
      <c r="BET45" s="92" t="s">
        <v>54</v>
      </c>
      <c r="BEU45" s="92" t="s">
        <v>54</v>
      </c>
      <c r="BEV45" s="92" t="s">
        <v>54</v>
      </c>
      <c r="BEW45" s="92" t="s">
        <v>54</v>
      </c>
      <c r="BEX45" s="92" t="s">
        <v>54</v>
      </c>
      <c r="BEY45" s="92" t="s">
        <v>54</v>
      </c>
      <c r="BEZ45" s="92" t="s">
        <v>54</v>
      </c>
      <c r="BFA45" s="92" t="s">
        <v>54</v>
      </c>
      <c r="BFB45" s="92" t="s">
        <v>54</v>
      </c>
      <c r="BFC45" s="92" t="s">
        <v>54</v>
      </c>
      <c r="BFD45" s="92" t="s">
        <v>54</v>
      </c>
      <c r="BFE45" s="92" t="s">
        <v>54</v>
      </c>
      <c r="BFF45" s="92" t="s">
        <v>54</v>
      </c>
      <c r="BFG45" s="92" t="s">
        <v>54</v>
      </c>
      <c r="BFH45" s="92" t="s">
        <v>54</v>
      </c>
      <c r="BFI45" s="92" t="s">
        <v>54</v>
      </c>
      <c r="BFJ45" s="92" t="s">
        <v>54</v>
      </c>
      <c r="BFK45" s="92" t="s">
        <v>54</v>
      </c>
      <c r="BFL45" s="92" t="s">
        <v>54</v>
      </c>
      <c r="BFM45" s="92" t="s">
        <v>54</v>
      </c>
      <c r="BFN45" s="92" t="s">
        <v>54</v>
      </c>
      <c r="BFO45" s="92" t="s">
        <v>54</v>
      </c>
      <c r="BFP45" s="92" t="s">
        <v>54</v>
      </c>
      <c r="BFQ45" s="92" t="s">
        <v>54</v>
      </c>
      <c r="BFR45" s="92" t="s">
        <v>54</v>
      </c>
      <c r="BFS45" s="92" t="s">
        <v>54</v>
      </c>
      <c r="BFT45" s="92" t="s">
        <v>54</v>
      </c>
      <c r="BFU45" s="92" t="s">
        <v>54</v>
      </c>
      <c r="BFV45" s="92" t="s">
        <v>54</v>
      </c>
      <c r="BFW45" s="92" t="s">
        <v>54</v>
      </c>
      <c r="BFX45" s="92" t="s">
        <v>54</v>
      </c>
      <c r="BFY45" s="92" t="s">
        <v>54</v>
      </c>
      <c r="BFZ45" s="92" t="s">
        <v>54</v>
      </c>
      <c r="BGA45" s="92" t="s">
        <v>54</v>
      </c>
      <c r="BGB45" s="92" t="s">
        <v>54</v>
      </c>
      <c r="BGC45" s="92" t="s">
        <v>54</v>
      </c>
      <c r="BGD45" s="92" t="s">
        <v>54</v>
      </c>
      <c r="BGE45" s="92" t="s">
        <v>54</v>
      </c>
      <c r="BGF45" s="92" t="s">
        <v>54</v>
      </c>
      <c r="BGG45" s="92" t="s">
        <v>54</v>
      </c>
      <c r="BGH45" s="92" t="s">
        <v>54</v>
      </c>
      <c r="BGI45" s="92" t="s">
        <v>54</v>
      </c>
      <c r="BGJ45" s="92" t="s">
        <v>54</v>
      </c>
      <c r="BGK45" s="92" t="s">
        <v>54</v>
      </c>
      <c r="BGL45" s="92" t="s">
        <v>54</v>
      </c>
      <c r="BGM45" s="92" t="s">
        <v>54</v>
      </c>
      <c r="BGN45" s="92" t="s">
        <v>54</v>
      </c>
      <c r="BGO45" s="92" t="s">
        <v>54</v>
      </c>
      <c r="BGP45" s="92" t="s">
        <v>54</v>
      </c>
      <c r="BGQ45" s="92" t="s">
        <v>54</v>
      </c>
      <c r="BGR45" s="92" t="s">
        <v>54</v>
      </c>
      <c r="BGS45" s="92" t="s">
        <v>54</v>
      </c>
      <c r="BGT45" s="92" t="s">
        <v>54</v>
      </c>
      <c r="BGU45" s="92" t="s">
        <v>54</v>
      </c>
      <c r="BGV45" s="92" t="s">
        <v>54</v>
      </c>
      <c r="BGW45" s="92" t="s">
        <v>54</v>
      </c>
      <c r="BGX45" s="92" t="s">
        <v>54</v>
      </c>
      <c r="BGY45" s="92" t="s">
        <v>54</v>
      </c>
      <c r="BGZ45" s="92" t="s">
        <v>54</v>
      </c>
      <c r="BHA45" s="92" t="s">
        <v>54</v>
      </c>
      <c r="BHB45" s="92" t="s">
        <v>54</v>
      </c>
      <c r="BHC45" s="92" t="s">
        <v>54</v>
      </c>
      <c r="BHD45" s="92" t="s">
        <v>54</v>
      </c>
      <c r="BHE45" s="92" t="s">
        <v>54</v>
      </c>
      <c r="BHF45" s="92" t="s">
        <v>54</v>
      </c>
      <c r="BHG45" s="92" t="s">
        <v>54</v>
      </c>
      <c r="BHH45" s="92" t="s">
        <v>54</v>
      </c>
      <c r="BHI45" s="92" t="s">
        <v>54</v>
      </c>
      <c r="BHJ45" s="92" t="s">
        <v>54</v>
      </c>
      <c r="BHK45" s="92" t="s">
        <v>54</v>
      </c>
      <c r="BHL45" s="92" t="s">
        <v>54</v>
      </c>
      <c r="BHM45" s="92" t="s">
        <v>54</v>
      </c>
      <c r="BHN45" s="92" t="s">
        <v>54</v>
      </c>
      <c r="BHO45" s="92" t="s">
        <v>54</v>
      </c>
      <c r="BHP45" s="92" t="s">
        <v>54</v>
      </c>
      <c r="BHQ45" s="92" t="s">
        <v>54</v>
      </c>
      <c r="BHR45" s="92" t="s">
        <v>54</v>
      </c>
      <c r="BHS45" s="92" t="s">
        <v>54</v>
      </c>
      <c r="BHT45" s="92" t="s">
        <v>54</v>
      </c>
      <c r="BHU45" s="92" t="s">
        <v>54</v>
      </c>
      <c r="BHV45" s="92" t="s">
        <v>54</v>
      </c>
      <c r="BHW45" s="92" t="s">
        <v>54</v>
      </c>
      <c r="BHX45" s="92" t="s">
        <v>54</v>
      </c>
      <c r="BHY45" s="92" t="s">
        <v>54</v>
      </c>
      <c r="BHZ45" s="92" t="s">
        <v>54</v>
      </c>
      <c r="BIA45" s="92" t="s">
        <v>54</v>
      </c>
      <c r="BIB45" s="92" t="s">
        <v>54</v>
      </c>
      <c r="BIC45" s="92" t="s">
        <v>54</v>
      </c>
      <c r="BID45" s="92" t="s">
        <v>54</v>
      </c>
      <c r="BIE45" s="92" t="s">
        <v>54</v>
      </c>
      <c r="BIF45" s="92" t="s">
        <v>54</v>
      </c>
      <c r="BIG45" s="92" t="s">
        <v>54</v>
      </c>
      <c r="BIH45" s="92" t="s">
        <v>54</v>
      </c>
      <c r="BII45" s="92" t="s">
        <v>54</v>
      </c>
      <c r="BIJ45" s="92" t="s">
        <v>54</v>
      </c>
      <c r="BIK45" s="92" t="s">
        <v>54</v>
      </c>
      <c r="BIL45" s="92" t="s">
        <v>54</v>
      </c>
      <c r="BIM45" s="92" t="s">
        <v>54</v>
      </c>
      <c r="BIN45" s="92" t="s">
        <v>54</v>
      </c>
      <c r="BIO45" s="92" t="s">
        <v>54</v>
      </c>
      <c r="BIP45" s="92" t="s">
        <v>54</v>
      </c>
      <c r="BIQ45" s="92" t="s">
        <v>54</v>
      </c>
      <c r="BIR45" s="92" t="s">
        <v>54</v>
      </c>
      <c r="BIS45" s="92" t="s">
        <v>54</v>
      </c>
      <c r="BIT45" s="92" t="s">
        <v>54</v>
      </c>
      <c r="BIU45" s="92" t="s">
        <v>54</v>
      </c>
      <c r="BIV45" s="92" t="s">
        <v>54</v>
      </c>
      <c r="BIW45" s="92" t="s">
        <v>54</v>
      </c>
      <c r="BIX45" s="92" t="s">
        <v>54</v>
      </c>
      <c r="BIY45" s="92" t="s">
        <v>54</v>
      </c>
      <c r="BIZ45" s="92" t="s">
        <v>54</v>
      </c>
      <c r="BJA45" s="92" t="s">
        <v>54</v>
      </c>
      <c r="BJB45" s="92" t="s">
        <v>54</v>
      </c>
      <c r="BJC45" s="92" t="s">
        <v>54</v>
      </c>
      <c r="BJD45" s="92" t="s">
        <v>54</v>
      </c>
      <c r="BJE45" s="92" t="s">
        <v>54</v>
      </c>
      <c r="BJF45" s="92" t="s">
        <v>54</v>
      </c>
      <c r="BJG45" s="92" t="s">
        <v>54</v>
      </c>
      <c r="BJH45" s="92" t="s">
        <v>54</v>
      </c>
      <c r="BJI45" s="92" t="s">
        <v>54</v>
      </c>
      <c r="BJJ45" s="92" t="s">
        <v>54</v>
      </c>
      <c r="BJK45" s="92" t="s">
        <v>54</v>
      </c>
      <c r="BJL45" s="92" t="s">
        <v>54</v>
      </c>
      <c r="BJM45" s="92" t="s">
        <v>54</v>
      </c>
      <c r="BJN45" s="92" t="s">
        <v>54</v>
      </c>
      <c r="BJO45" s="92" t="s">
        <v>54</v>
      </c>
      <c r="BJP45" s="92" t="s">
        <v>54</v>
      </c>
      <c r="BJQ45" s="92" t="s">
        <v>54</v>
      </c>
      <c r="BJR45" s="92" t="s">
        <v>54</v>
      </c>
      <c r="BJS45" s="92" t="s">
        <v>54</v>
      </c>
      <c r="BJT45" s="92" t="s">
        <v>54</v>
      </c>
      <c r="BJU45" s="92" t="s">
        <v>54</v>
      </c>
      <c r="BJV45" s="92" t="s">
        <v>54</v>
      </c>
      <c r="BJW45" s="92" t="s">
        <v>54</v>
      </c>
      <c r="BJX45" s="92" t="s">
        <v>54</v>
      </c>
      <c r="BJY45" s="92" t="s">
        <v>54</v>
      </c>
      <c r="BJZ45" s="92" t="s">
        <v>54</v>
      </c>
      <c r="BKA45" s="92" t="s">
        <v>54</v>
      </c>
      <c r="BKB45" s="92" t="s">
        <v>54</v>
      </c>
      <c r="BKC45" s="92" t="s">
        <v>54</v>
      </c>
      <c r="BKD45" s="92" t="s">
        <v>54</v>
      </c>
      <c r="BKE45" s="92" t="s">
        <v>54</v>
      </c>
      <c r="BKF45" s="92" t="s">
        <v>54</v>
      </c>
      <c r="BKG45" s="92" t="s">
        <v>54</v>
      </c>
      <c r="BKH45" s="92" t="s">
        <v>54</v>
      </c>
      <c r="BKI45" s="92" t="s">
        <v>54</v>
      </c>
      <c r="BKJ45" s="92" t="s">
        <v>54</v>
      </c>
      <c r="BKK45" s="92" t="s">
        <v>54</v>
      </c>
      <c r="BKL45" s="92" t="s">
        <v>54</v>
      </c>
      <c r="BKM45" s="92" t="s">
        <v>54</v>
      </c>
      <c r="BKN45" s="92" t="s">
        <v>54</v>
      </c>
      <c r="BKO45" s="92" t="s">
        <v>54</v>
      </c>
      <c r="BKP45" s="92" t="s">
        <v>54</v>
      </c>
      <c r="BKQ45" s="92" t="s">
        <v>54</v>
      </c>
      <c r="BKR45" s="92" t="s">
        <v>54</v>
      </c>
      <c r="BKS45" s="92" t="s">
        <v>54</v>
      </c>
      <c r="BKT45" s="92" t="s">
        <v>54</v>
      </c>
      <c r="BKU45" s="92" t="s">
        <v>54</v>
      </c>
      <c r="BKV45" s="92" t="s">
        <v>54</v>
      </c>
      <c r="BKW45" s="92" t="s">
        <v>54</v>
      </c>
      <c r="BKX45" s="92" t="s">
        <v>54</v>
      </c>
      <c r="BKY45" s="92" t="s">
        <v>54</v>
      </c>
      <c r="BKZ45" s="92" t="s">
        <v>54</v>
      </c>
      <c r="BLA45" s="92" t="s">
        <v>54</v>
      </c>
      <c r="BLB45" s="92" t="s">
        <v>54</v>
      </c>
      <c r="BLC45" s="92" t="s">
        <v>54</v>
      </c>
      <c r="BLD45" s="92" t="s">
        <v>54</v>
      </c>
      <c r="BLE45" s="92" t="s">
        <v>54</v>
      </c>
      <c r="BLF45" s="92" t="s">
        <v>54</v>
      </c>
      <c r="BLG45" s="92" t="s">
        <v>54</v>
      </c>
      <c r="BLH45" s="92" t="s">
        <v>54</v>
      </c>
      <c r="BLI45" s="92" t="s">
        <v>54</v>
      </c>
      <c r="BLJ45" s="92" t="s">
        <v>54</v>
      </c>
      <c r="BLK45" s="92" t="s">
        <v>54</v>
      </c>
      <c r="BLL45" s="92" t="s">
        <v>54</v>
      </c>
      <c r="BLM45" s="92" t="s">
        <v>54</v>
      </c>
      <c r="BLN45" s="92" t="s">
        <v>54</v>
      </c>
      <c r="BLO45" s="92" t="s">
        <v>54</v>
      </c>
      <c r="BLP45" s="92" t="s">
        <v>54</v>
      </c>
      <c r="BLQ45" s="92" t="s">
        <v>54</v>
      </c>
      <c r="BLR45" s="92" t="s">
        <v>54</v>
      </c>
      <c r="BLS45" s="92" t="s">
        <v>54</v>
      </c>
      <c r="BLT45" s="92" t="s">
        <v>54</v>
      </c>
      <c r="BLU45" s="92" t="s">
        <v>54</v>
      </c>
      <c r="BLV45" s="92" t="s">
        <v>54</v>
      </c>
      <c r="BLW45" s="92" t="s">
        <v>54</v>
      </c>
      <c r="BLX45" s="92" t="s">
        <v>54</v>
      </c>
      <c r="BLY45" s="92" t="s">
        <v>54</v>
      </c>
      <c r="BLZ45" s="92" t="s">
        <v>54</v>
      </c>
      <c r="BMA45" s="92" t="s">
        <v>54</v>
      </c>
      <c r="BMB45" s="92" t="s">
        <v>54</v>
      </c>
      <c r="BMC45" s="92" t="s">
        <v>54</v>
      </c>
      <c r="BMD45" s="92" t="s">
        <v>54</v>
      </c>
      <c r="BME45" s="92" t="s">
        <v>54</v>
      </c>
      <c r="BMF45" s="92" t="s">
        <v>54</v>
      </c>
      <c r="BMG45" s="92" t="s">
        <v>54</v>
      </c>
      <c r="BMH45" s="92" t="s">
        <v>54</v>
      </c>
      <c r="BMI45" s="92" t="s">
        <v>54</v>
      </c>
      <c r="BMJ45" s="92" t="s">
        <v>54</v>
      </c>
      <c r="BMK45" s="92" t="s">
        <v>54</v>
      </c>
      <c r="BML45" s="92" t="s">
        <v>54</v>
      </c>
      <c r="BMM45" s="92" t="s">
        <v>54</v>
      </c>
      <c r="BMN45" s="92" t="s">
        <v>54</v>
      </c>
      <c r="BMO45" s="92" t="s">
        <v>54</v>
      </c>
      <c r="BMP45" s="92" t="s">
        <v>54</v>
      </c>
      <c r="BMQ45" s="92" t="s">
        <v>54</v>
      </c>
      <c r="BMR45" s="92" t="s">
        <v>54</v>
      </c>
      <c r="BMS45" s="92" t="s">
        <v>54</v>
      </c>
      <c r="BMT45" s="92" t="s">
        <v>54</v>
      </c>
      <c r="BMU45" s="92" t="s">
        <v>54</v>
      </c>
      <c r="BMV45" s="92" t="s">
        <v>54</v>
      </c>
      <c r="BMW45" s="92" t="s">
        <v>54</v>
      </c>
      <c r="BMX45" s="92" t="s">
        <v>54</v>
      </c>
      <c r="BMY45" s="92" t="s">
        <v>54</v>
      </c>
      <c r="BMZ45" s="92" t="s">
        <v>54</v>
      </c>
      <c r="BNA45" s="92" t="s">
        <v>54</v>
      </c>
      <c r="BNB45" s="92" t="s">
        <v>54</v>
      </c>
      <c r="BNC45" s="92" t="s">
        <v>54</v>
      </c>
      <c r="BND45" s="92" t="s">
        <v>54</v>
      </c>
      <c r="BNE45" s="92" t="s">
        <v>54</v>
      </c>
      <c r="BNF45" s="92" t="s">
        <v>54</v>
      </c>
      <c r="BNG45" s="92" t="s">
        <v>54</v>
      </c>
      <c r="BNH45" s="92" t="s">
        <v>54</v>
      </c>
      <c r="BNI45" s="92" t="s">
        <v>54</v>
      </c>
      <c r="BNJ45" s="92" t="s">
        <v>54</v>
      </c>
      <c r="BNK45" s="92" t="s">
        <v>54</v>
      </c>
      <c r="BNL45" s="92" t="s">
        <v>54</v>
      </c>
      <c r="BNM45" s="92" t="s">
        <v>54</v>
      </c>
      <c r="BNN45" s="92" t="s">
        <v>54</v>
      </c>
      <c r="BNO45" s="92" t="s">
        <v>54</v>
      </c>
      <c r="BNP45" s="92" t="s">
        <v>54</v>
      </c>
      <c r="BNQ45" s="92" t="s">
        <v>54</v>
      </c>
      <c r="BNR45" s="92" t="s">
        <v>54</v>
      </c>
      <c r="BNS45" s="92" t="s">
        <v>54</v>
      </c>
      <c r="BNT45" s="92" t="s">
        <v>54</v>
      </c>
      <c r="BNU45" s="92" t="s">
        <v>54</v>
      </c>
      <c r="BNV45" s="92" t="s">
        <v>54</v>
      </c>
      <c r="BNW45" s="92" t="s">
        <v>54</v>
      </c>
      <c r="BNX45" s="92" t="s">
        <v>54</v>
      </c>
      <c r="BNY45" s="92" t="s">
        <v>54</v>
      </c>
      <c r="BNZ45" s="92" t="s">
        <v>54</v>
      </c>
      <c r="BOA45" s="92" t="s">
        <v>54</v>
      </c>
      <c r="BOB45" s="92" t="s">
        <v>54</v>
      </c>
      <c r="BOC45" s="92" t="s">
        <v>54</v>
      </c>
      <c r="BOD45" s="92" t="s">
        <v>54</v>
      </c>
      <c r="BOE45" s="92" t="s">
        <v>54</v>
      </c>
      <c r="BOF45" s="92" t="s">
        <v>54</v>
      </c>
      <c r="BOG45" s="92" t="s">
        <v>54</v>
      </c>
      <c r="BOH45" s="92" t="s">
        <v>54</v>
      </c>
      <c r="BOI45" s="92" t="s">
        <v>54</v>
      </c>
      <c r="BOJ45" s="92" t="s">
        <v>54</v>
      </c>
      <c r="BOK45" s="92" t="s">
        <v>54</v>
      </c>
      <c r="BOL45" s="92" t="s">
        <v>54</v>
      </c>
      <c r="BOM45" s="92" t="s">
        <v>54</v>
      </c>
      <c r="BON45" s="92" t="s">
        <v>54</v>
      </c>
      <c r="BOO45" s="92" t="s">
        <v>54</v>
      </c>
      <c r="BOP45" s="92" t="s">
        <v>54</v>
      </c>
      <c r="BOQ45" s="92" t="s">
        <v>54</v>
      </c>
      <c r="BOR45" s="92" t="s">
        <v>54</v>
      </c>
      <c r="BOS45" s="92" t="s">
        <v>54</v>
      </c>
      <c r="BOT45" s="92" t="s">
        <v>54</v>
      </c>
      <c r="BOU45" s="92" t="s">
        <v>54</v>
      </c>
      <c r="BOV45" s="92" t="s">
        <v>54</v>
      </c>
      <c r="BOW45" s="92" t="s">
        <v>54</v>
      </c>
      <c r="BOX45" s="92" t="s">
        <v>54</v>
      </c>
      <c r="BOY45" s="92" t="s">
        <v>54</v>
      </c>
      <c r="BOZ45" s="92" t="s">
        <v>54</v>
      </c>
      <c r="BPA45" s="92" t="s">
        <v>54</v>
      </c>
      <c r="BPB45" s="92" t="s">
        <v>54</v>
      </c>
      <c r="BPC45" s="92" t="s">
        <v>54</v>
      </c>
      <c r="BPD45" s="92" t="s">
        <v>54</v>
      </c>
      <c r="BPE45" s="92" t="s">
        <v>54</v>
      </c>
      <c r="BPF45" s="92" t="s">
        <v>54</v>
      </c>
      <c r="BPG45" s="92" t="s">
        <v>54</v>
      </c>
      <c r="BPH45" s="92" t="s">
        <v>54</v>
      </c>
      <c r="BPI45" s="92" t="s">
        <v>54</v>
      </c>
      <c r="BPJ45" s="92" t="s">
        <v>54</v>
      </c>
      <c r="BPK45" s="92" t="s">
        <v>54</v>
      </c>
      <c r="BPL45" s="92" t="s">
        <v>54</v>
      </c>
      <c r="BPM45" s="92" t="s">
        <v>54</v>
      </c>
      <c r="BPN45" s="92" t="s">
        <v>54</v>
      </c>
      <c r="BPO45" s="92" t="s">
        <v>54</v>
      </c>
      <c r="BPP45" s="92" t="s">
        <v>54</v>
      </c>
      <c r="BPQ45" s="92" t="s">
        <v>54</v>
      </c>
      <c r="BPR45" s="92" t="s">
        <v>54</v>
      </c>
      <c r="BPS45" s="92" t="s">
        <v>54</v>
      </c>
      <c r="BPT45" s="92" t="s">
        <v>54</v>
      </c>
      <c r="BPU45" s="92" t="s">
        <v>54</v>
      </c>
      <c r="BPV45" s="92" t="s">
        <v>54</v>
      </c>
      <c r="BPW45" s="92" t="s">
        <v>54</v>
      </c>
      <c r="BPX45" s="92" t="s">
        <v>54</v>
      </c>
      <c r="BPY45" s="92" t="s">
        <v>54</v>
      </c>
      <c r="BPZ45" s="92" t="s">
        <v>54</v>
      </c>
      <c r="BQA45" s="92" t="s">
        <v>54</v>
      </c>
      <c r="BQB45" s="92" t="s">
        <v>54</v>
      </c>
      <c r="BQC45" s="92" t="s">
        <v>54</v>
      </c>
      <c r="BQD45" s="92" t="s">
        <v>54</v>
      </c>
      <c r="BQE45" s="92" t="s">
        <v>54</v>
      </c>
      <c r="BQF45" s="92" t="s">
        <v>54</v>
      </c>
      <c r="BQG45" s="92" t="s">
        <v>54</v>
      </c>
      <c r="BQH45" s="92" t="s">
        <v>54</v>
      </c>
      <c r="BQI45" s="92" t="s">
        <v>54</v>
      </c>
      <c r="BQJ45" s="92" t="s">
        <v>54</v>
      </c>
      <c r="BQK45" s="92" t="s">
        <v>54</v>
      </c>
      <c r="BQL45" s="92" t="s">
        <v>54</v>
      </c>
      <c r="BQM45" s="92" t="s">
        <v>54</v>
      </c>
      <c r="BQN45" s="92" t="s">
        <v>54</v>
      </c>
      <c r="BQO45" s="92" t="s">
        <v>54</v>
      </c>
      <c r="BQP45" s="92" t="s">
        <v>54</v>
      </c>
      <c r="BQQ45" s="92" t="s">
        <v>54</v>
      </c>
      <c r="BQR45" s="92" t="s">
        <v>54</v>
      </c>
      <c r="BQS45" s="92" t="s">
        <v>54</v>
      </c>
      <c r="BQT45" s="92" t="s">
        <v>54</v>
      </c>
      <c r="BQU45" s="92" t="s">
        <v>54</v>
      </c>
      <c r="BQV45" s="92" t="s">
        <v>54</v>
      </c>
      <c r="BQW45" s="92" t="s">
        <v>54</v>
      </c>
      <c r="BQX45" s="92" t="s">
        <v>54</v>
      </c>
      <c r="BQY45" s="92" t="s">
        <v>54</v>
      </c>
      <c r="BQZ45" s="92" t="s">
        <v>54</v>
      </c>
      <c r="BRA45" s="92" t="s">
        <v>54</v>
      </c>
      <c r="BRB45" s="92" t="s">
        <v>54</v>
      </c>
      <c r="BRC45" s="92" t="s">
        <v>54</v>
      </c>
      <c r="BRD45" s="92" t="s">
        <v>54</v>
      </c>
      <c r="BRE45" s="92" t="s">
        <v>54</v>
      </c>
      <c r="BRF45" s="92" t="s">
        <v>54</v>
      </c>
      <c r="BRG45" s="92" t="s">
        <v>54</v>
      </c>
      <c r="BRH45" s="92" t="s">
        <v>54</v>
      </c>
      <c r="BRI45" s="92" t="s">
        <v>54</v>
      </c>
      <c r="BRJ45" s="92" t="s">
        <v>54</v>
      </c>
      <c r="BRK45" s="92" t="s">
        <v>54</v>
      </c>
      <c r="BRL45" s="92" t="s">
        <v>54</v>
      </c>
      <c r="BRM45" s="92" t="s">
        <v>54</v>
      </c>
      <c r="BRN45" s="92" t="s">
        <v>54</v>
      </c>
      <c r="BRO45" s="92" t="s">
        <v>54</v>
      </c>
      <c r="BRP45" s="92" t="s">
        <v>54</v>
      </c>
      <c r="BRQ45" s="92" t="s">
        <v>54</v>
      </c>
      <c r="BRR45" s="92" t="s">
        <v>54</v>
      </c>
      <c r="BRS45" s="92" t="s">
        <v>54</v>
      </c>
      <c r="BRT45" s="92" t="s">
        <v>54</v>
      </c>
      <c r="BRU45" s="92" t="s">
        <v>54</v>
      </c>
      <c r="BRV45" s="92" t="s">
        <v>54</v>
      </c>
      <c r="BRW45" s="92" t="s">
        <v>54</v>
      </c>
      <c r="BRX45" s="92" t="s">
        <v>54</v>
      </c>
      <c r="BRY45" s="92" t="s">
        <v>54</v>
      </c>
      <c r="BRZ45" s="92" t="s">
        <v>54</v>
      </c>
      <c r="BSA45" s="92" t="s">
        <v>54</v>
      </c>
      <c r="BSB45" s="92" t="s">
        <v>54</v>
      </c>
      <c r="BSC45" s="92" t="s">
        <v>54</v>
      </c>
      <c r="BSD45" s="92" t="s">
        <v>54</v>
      </c>
      <c r="BSE45" s="92" t="s">
        <v>54</v>
      </c>
      <c r="BSF45" s="92" t="s">
        <v>54</v>
      </c>
      <c r="BSG45" s="92" t="s">
        <v>54</v>
      </c>
      <c r="BSH45" s="92" t="s">
        <v>54</v>
      </c>
      <c r="BSI45" s="92" t="s">
        <v>54</v>
      </c>
      <c r="BSJ45" s="92" t="s">
        <v>54</v>
      </c>
      <c r="BSK45" s="92" t="s">
        <v>54</v>
      </c>
      <c r="BSL45" s="92" t="s">
        <v>54</v>
      </c>
      <c r="BSM45" s="92" t="s">
        <v>54</v>
      </c>
      <c r="BSN45" s="92" t="s">
        <v>54</v>
      </c>
      <c r="BSO45" s="92" t="s">
        <v>54</v>
      </c>
      <c r="BSP45" s="92" t="s">
        <v>54</v>
      </c>
      <c r="BSQ45" s="92" t="s">
        <v>54</v>
      </c>
      <c r="BSR45" s="92" t="s">
        <v>54</v>
      </c>
      <c r="BSS45" s="92" t="s">
        <v>54</v>
      </c>
      <c r="BST45" s="92" t="s">
        <v>54</v>
      </c>
      <c r="BSU45" s="92" t="s">
        <v>54</v>
      </c>
      <c r="BSV45" s="92" t="s">
        <v>54</v>
      </c>
      <c r="BSW45" s="92" t="s">
        <v>54</v>
      </c>
      <c r="BSX45" s="92" t="s">
        <v>54</v>
      </c>
      <c r="BSY45" s="92" t="s">
        <v>54</v>
      </c>
      <c r="BSZ45" s="92" t="s">
        <v>54</v>
      </c>
      <c r="BTA45" s="92" t="s">
        <v>54</v>
      </c>
      <c r="BTB45" s="92" t="s">
        <v>54</v>
      </c>
      <c r="BTC45" s="92" t="s">
        <v>54</v>
      </c>
      <c r="BTD45" s="92" t="s">
        <v>54</v>
      </c>
      <c r="BTE45" s="92" t="s">
        <v>54</v>
      </c>
      <c r="BTF45" s="92" t="s">
        <v>54</v>
      </c>
      <c r="BTG45" s="92" t="s">
        <v>54</v>
      </c>
      <c r="BTH45" s="92" t="s">
        <v>54</v>
      </c>
      <c r="BTI45" s="92" t="s">
        <v>54</v>
      </c>
      <c r="BTJ45" s="92" t="s">
        <v>54</v>
      </c>
      <c r="BTK45" s="92" t="s">
        <v>54</v>
      </c>
      <c r="BTL45" s="92" t="s">
        <v>54</v>
      </c>
      <c r="BTM45" s="92" t="s">
        <v>54</v>
      </c>
      <c r="BTN45" s="92" t="s">
        <v>54</v>
      </c>
      <c r="BTO45" s="92" t="s">
        <v>54</v>
      </c>
      <c r="BTP45" s="92" t="s">
        <v>54</v>
      </c>
      <c r="BTQ45" s="92" t="s">
        <v>54</v>
      </c>
      <c r="BTR45" s="92" t="s">
        <v>54</v>
      </c>
      <c r="BTS45" s="92" t="s">
        <v>54</v>
      </c>
      <c r="BTT45" s="92" t="s">
        <v>54</v>
      </c>
      <c r="BTU45" s="92" t="s">
        <v>54</v>
      </c>
      <c r="BTV45" s="92" t="s">
        <v>54</v>
      </c>
      <c r="BTW45" s="92" t="s">
        <v>54</v>
      </c>
      <c r="BTX45" s="92" t="s">
        <v>54</v>
      </c>
      <c r="BTY45" s="92" t="s">
        <v>54</v>
      </c>
      <c r="BTZ45" s="92" t="s">
        <v>54</v>
      </c>
      <c r="BUA45" s="92" t="s">
        <v>54</v>
      </c>
      <c r="BUB45" s="92" t="s">
        <v>54</v>
      </c>
      <c r="BUC45" s="92" t="s">
        <v>54</v>
      </c>
      <c r="BUD45" s="92" t="s">
        <v>54</v>
      </c>
      <c r="BUE45" s="92" t="s">
        <v>54</v>
      </c>
      <c r="BUF45" s="92" t="s">
        <v>54</v>
      </c>
      <c r="BUG45" s="92" t="s">
        <v>54</v>
      </c>
      <c r="BUH45" s="92" t="s">
        <v>54</v>
      </c>
      <c r="BUI45" s="92" t="s">
        <v>54</v>
      </c>
      <c r="BUJ45" s="92" t="s">
        <v>54</v>
      </c>
      <c r="BUK45" s="92" t="s">
        <v>54</v>
      </c>
      <c r="BUL45" s="92" t="s">
        <v>54</v>
      </c>
      <c r="BUM45" s="92" t="s">
        <v>54</v>
      </c>
      <c r="BUN45" s="92" t="s">
        <v>54</v>
      </c>
      <c r="BUO45" s="92" t="s">
        <v>54</v>
      </c>
      <c r="BUP45" s="92" t="s">
        <v>54</v>
      </c>
      <c r="BUQ45" s="92" t="s">
        <v>54</v>
      </c>
      <c r="BUR45" s="92" t="s">
        <v>54</v>
      </c>
      <c r="BUS45" s="92" t="s">
        <v>54</v>
      </c>
      <c r="BUT45" s="92" t="s">
        <v>54</v>
      </c>
      <c r="BUU45" s="92" t="s">
        <v>54</v>
      </c>
      <c r="BUV45" s="92" t="s">
        <v>54</v>
      </c>
      <c r="BUW45" s="92" t="s">
        <v>54</v>
      </c>
      <c r="BUX45" s="92" t="s">
        <v>54</v>
      </c>
      <c r="BUY45" s="92" t="s">
        <v>54</v>
      </c>
      <c r="BUZ45" s="92" t="s">
        <v>54</v>
      </c>
      <c r="BVA45" s="92" t="s">
        <v>54</v>
      </c>
      <c r="BVB45" s="92" t="s">
        <v>54</v>
      </c>
      <c r="BVC45" s="92" t="s">
        <v>54</v>
      </c>
      <c r="BVD45" s="92" t="s">
        <v>54</v>
      </c>
      <c r="BVE45" s="92" t="s">
        <v>54</v>
      </c>
      <c r="BVF45" s="92" t="s">
        <v>54</v>
      </c>
      <c r="BVG45" s="92" t="s">
        <v>54</v>
      </c>
      <c r="BVH45" s="92" t="s">
        <v>54</v>
      </c>
      <c r="BVI45" s="92" t="s">
        <v>54</v>
      </c>
      <c r="BVJ45" s="92" t="s">
        <v>54</v>
      </c>
      <c r="BVK45" s="92" t="s">
        <v>54</v>
      </c>
      <c r="BVL45" s="92" t="s">
        <v>54</v>
      </c>
      <c r="BVM45" s="92" t="s">
        <v>54</v>
      </c>
      <c r="BVN45" s="92" t="s">
        <v>54</v>
      </c>
      <c r="BVO45" s="92" t="s">
        <v>54</v>
      </c>
      <c r="BVP45" s="92" t="s">
        <v>54</v>
      </c>
      <c r="BVQ45" s="92" t="s">
        <v>54</v>
      </c>
      <c r="BVR45" s="92" t="s">
        <v>54</v>
      </c>
      <c r="BVS45" s="92" t="s">
        <v>54</v>
      </c>
      <c r="BVT45" s="92" t="s">
        <v>54</v>
      </c>
      <c r="BVU45" s="92" t="s">
        <v>54</v>
      </c>
      <c r="BVV45" s="92" t="s">
        <v>54</v>
      </c>
      <c r="BVW45" s="92" t="s">
        <v>54</v>
      </c>
      <c r="BVX45" s="92" t="s">
        <v>54</v>
      </c>
      <c r="BVY45" s="92" t="s">
        <v>54</v>
      </c>
      <c r="BVZ45" s="92" t="s">
        <v>54</v>
      </c>
      <c r="BWA45" s="92" t="s">
        <v>54</v>
      </c>
      <c r="BWB45" s="92" t="s">
        <v>54</v>
      </c>
      <c r="BWC45" s="92" t="s">
        <v>54</v>
      </c>
      <c r="BWD45" s="92" t="s">
        <v>54</v>
      </c>
      <c r="BWE45" s="92" t="s">
        <v>54</v>
      </c>
      <c r="BWF45" s="92" t="s">
        <v>54</v>
      </c>
      <c r="BWG45" s="92" t="s">
        <v>54</v>
      </c>
      <c r="BWH45" s="92" t="s">
        <v>54</v>
      </c>
      <c r="BWI45" s="92" t="s">
        <v>54</v>
      </c>
      <c r="BWJ45" s="92" t="s">
        <v>54</v>
      </c>
      <c r="BWK45" s="92" t="s">
        <v>54</v>
      </c>
      <c r="BWL45" s="92" t="s">
        <v>54</v>
      </c>
      <c r="BWM45" s="92" t="s">
        <v>54</v>
      </c>
      <c r="BWN45" s="92" t="s">
        <v>54</v>
      </c>
      <c r="BWO45" s="92" t="s">
        <v>54</v>
      </c>
      <c r="BWP45" s="92" t="s">
        <v>54</v>
      </c>
      <c r="BWQ45" s="92" t="s">
        <v>54</v>
      </c>
      <c r="BWR45" s="92" t="s">
        <v>54</v>
      </c>
      <c r="BWS45" s="92" t="s">
        <v>54</v>
      </c>
      <c r="BWT45" s="92" t="s">
        <v>54</v>
      </c>
      <c r="BWU45" s="92" t="s">
        <v>54</v>
      </c>
      <c r="BWV45" s="92" t="s">
        <v>54</v>
      </c>
      <c r="BWW45" s="92" t="s">
        <v>54</v>
      </c>
      <c r="BWX45" s="92" t="s">
        <v>54</v>
      </c>
      <c r="BWY45" s="92" t="s">
        <v>54</v>
      </c>
      <c r="BWZ45" s="92" t="s">
        <v>54</v>
      </c>
      <c r="BXA45" s="92" t="s">
        <v>54</v>
      </c>
      <c r="BXB45" s="92" t="s">
        <v>54</v>
      </c>
      <c r="BXC45" s="92" t="s">
        <v>54</v>
      </c>
      <c r="BXD45" s="92" t="s">
        <v>54</v>
      </c>
      <c r="BXE45" s="92" t="s">
        <v>54</v>
      </c>
      <c r="BXF45" s="92" t="s">
        <v>54</v>
      </c>
      <c r="BXG45" s="92" t="s">
        <v>54</v>
      </c>
      <c r="BXH45" s="92" t="s">
        <v>54</v>
      </c>
      <c r="BXI45" s="92" t="s">
        <v>54</v>
      </c>
      <c r="BXJ45" s="92" t="s">
        <v>54</v>
      </c>
      <c r="BXK45" s="92" t="s">
        <v>54</v>
      </c>
      <c r="BXL45" s="92" t="s">
        <v>54</v>
      </c>
      <c r="BXM45" s="92" t="s">
        <v>54</v>
      </c>
      <c r="BXN45" s="92" t="s">
        <v>54</v>
      </c>
      <c r="BXO45" s="92" t="s">
        <v>54</v>
      </c>
      <c r="BXP45" s="92" t="s">
        <v>54</v>
      </c>
      <c r="BXQ45" s="92" t="s">
        <v>54</v>
      </c>
      <c r="BXR45" s="92" t="s">
        <v>54</v>
      </c>
      <c r="BXS45" s="92" t="s">
        <v>54</v>
      </c>
      <c r="BXT45" s="92" t="s">
        <v>54</v>
      </c>
      <c r="BXU45" s="92" t="s">
        <v>54</v>
      </c>
      <c r="BXV45" s="92" t="s">
        <v>54</v>
      </c>
      <c r="BXW45" s="92" t="s">
        <v>54</v>
      </c>
      <c r="BXX45" s="92" t="s">
        <v>54</v>
      </c>
      <c r="BXY45" s="92" t="s">
        <v>54</v>
      </c>
      <c r="BXZ45" s="92" t="s">
        <v>54</v>
      </c>
      <c r="BYA45" s="92" t="s">
        <v>54</v>
      </c>
      <c r="BYB45" s="92" t="s">
        <v>54</v>
      </c>
      <c r="BYC45" s="92" t="s">
        <v>54</v>
      </c>
      <c r="BYD45" s="92" t="s">
        <v>54</v>
      </c>
      <c r="BYE45" s="92" t="s">
        <v>54</v>
      </c>
      <c r="BYF45" s="92" t="s">
        <v>54</v>
      </c>
      <c r="BYG45" s="92" t="s">
        <v>54</v>
      </c>
      <c r="BYH45" s="92" t="s">
        <v>54</v>
      </c>
      <c r="BYI45" s="92" t="s">
        <v>54</v>
      </c>
      <c r="BYJ45" s="92" t="s">
        <v>54</v>
      </c>
      <c r="BYK45" s="92" t="s">
        <v>54</v>
      </c>
      <c r="BYL45" s="92" t="s">
        <v>54</v>
      </c>
      <c r="BYM45" s="92" t="s">
        <v>54</v>
      </c>
      <c r="BYN45" s="92" t="s">
        <v>54</v>
      </c>
      <c r="BYO45" s="92" t="s">
        <v>54</v>
      </c>
      <c r="BYP45" s="92" t="s">
        <v>54</v>
      </c>
      <c r="BYQ45" s="92" t="s">
        <v>54</v>
      </c>
      <c r="BYR45" s="92" t="s">
        <v>54</v>
      </c>
      <c r="BYS45" s="92" t="s">
        <v>54</v>
      </c>
      <c r="BYT45" s="92" t="s">
        <v>54</v>
      </c>
      <c r="BYU45" s="92" t="s">
        <v>54</v>
      </c>
      <c r="BYV45" s="92" t="s">
        <v>54</v>
      </c>
      <c r="BYW45" s="92" t="s">
        <v>54</v>
      </c>
      <c r="BYX45" s="92" t="s">
        <v>54</v>
      </c>
      <c r="BYY45" s="92" t="s">
        <v>54</v>
      </c>
      <c r="BYZ45" s="92" t="s">
        <v>54</v>
      </c>
      <c r="BZA45" s="92" t="s">
        <v>54</v>
      </c>
      <c r="BZB45" s="92" t="s">
        <v>54</v>
      </c>
      <c r="BZC45" s="92" t="s">
        <v>54</v>
      </c>
      <c r="BZD45" s="92" t="s">
        <v>54</v>
      </c>
      <c r="BZE45" s="92" t="s">
        <v>54</v>
      </c>
      <c r="BZF45" s="92" t="s">
        <v>54</v>
      </c>
      <c r="BZG45" s="92" t="s">
        <v>54</v>
      </c>
      <c r="BZH45" s="92" t="s">
        <v>54</v>
      </c>
      <c r="BZI45" s="92" t="s">
        <v>54</v>
      </c>
      <c r="BZJ45" s="92" t="s">
        <v>54</v>
      </c>
      <c r="BZK45" s="92" t="s">
        <v>54</v>
      </c>
      <c r="BZL45" s="92" t="s">
        <v>54</v>
      </c>
      <c r="BZM45" s="92" t="s">
        <v>54</v>
      </c>
      <c r="BZN45" s="92" t="s">
        <v>54</v>
      </c>
      <c r="BZO45" s="92" t="s">
        <v>54</v>
      </c>
      <c r="BZP45" s="92" t="s">
        <v>54</v>
      </c>
      <c r="BZQ45" s="92" t="s">
        <v>54</v>
      </c>
      <c r="BZR45" s="92" t="s">
        <v>54</v>
      </c>
      <c r="BZS45" s="92" t="s">
        <v>54</v>
      </c>
      <c r="BZT45" s="92" t="s">
        <v>54</v>
      </c>
      <c r="BZU45" s="92" t="s">
        <v>54</v>
      </c>
      <c r="BZV45" s="92" t="s">
        <v>54</v>
      </c>
      <c r="BZW45" s="92" t="s">
        <v>54</v>
      </c>
      <c r="BZX45" s="92" t="s">
        <v>54</v>
      </c>
      <c r="BZY45" s="92" t="s">
        <v>54</v>
      </c>
      <c r="BZZ45" s="92" t="s">
        <v>54</v>
      </c>
      <c r="CAA45" s="92" t="s">
        <v>54</v>
      </c>
      <c r="CAB45" s="92" t="s">
        <v>54</v>
      </c>
      <c r="CAC45" s="92" t="s">
        <v>54</v>
      </c>
      <c r="CAD45" s="92" t="s">
        <v>54</v>
      </c>
      <c r="CAE45" s="92" t="s">
        <v>54</v>
      </c>
      <c r="CAF45" s="92" t="s">
        <v>54</v>
      </c>
      <c r="CAG45" s="92" t="s">
        <v>54</v>
      </c>
      <c r="CAH45" s="92" t="s">
        <v>54</v>
      </c>
      <c r="CAI45" s="92" t="s">
        <v>54</v>
      </c>
      <c r="CAJ45" s="92" t="s">
        <v>54</v>
      </c>
      <c r="CAK45" s="92" t="s">
        <v>54</v>
      </c>
      <c r="CAL45" s="92" t="s">
        <v>54</v>
      </c>
      <c r="CAM45" s="92" t="s">
        <v>54</v>
      </c>
      <c r="CAN45" s="92" t="s">
        <v>54</v>
      </c>
      <c r="CAO45" s="92" t="s">
        <v>54</v>
      </c>
      <c r="CAP45" s="92" t="s">
        <v>54</v>
      </c>
      <c r="CAQ45" s="92" t="s">
        <v>54</v>
      </c>
      <c r="CAR45" s="92" t="s">
        <v>54</v>
      </c>
      <c r="CAS45" s="92" t="s">
        <v>54</v>
      </c>
      <c r="CAT45" s="92" t="s">
        <v>54</v>
      </c>
      <c r="CAU45" s="92" t="s">
        <v>54</v>
      </c>
      <c r="CAV45" s="92" t="s">
        <v>54</v>
      </c>
      <c r="CAW45" s="92" t="s">
        <v>54</v>
      </c>
      <c r="CAX45" s="92" t="s">
        <v>54</v>
      </c>
      <c r="CAY45" s="92" t="s">
        <v>54</v>
      </c>
      <c r="CAZ45" s="92" t="s">
        <v>54</v>
      </c>
      <c r="CBA45" s="92" t="s">
        <v>54</v>
      </c>
      <c r="CBB45" s="92" t="s">
        <v>54</v>
      </c>
      <c r="CBC45" s="92" t="s">
        <v>54</v>
      </c>
      <c r="CBD45" s="92" t="s">
        <v>54</v>
      </c>
      <c r="CBE45" s="92" t="s">
        <v>54</v>
      </c>
      <c r="CBF45" s="92" t="s">
        <v>54</v>
      </c>
      <c r="CBG45" s="92" t="s">
        <v>54</v>
      </c>
      <c r="CBH45" s="92" t="s">
        <v>54</v>
      </c>
      <c r="CBI45" s="92" t="s">
        <v>54</v>
      </c>
      <c r="CBJ45" s="92" t="s">
        <v>54</v>
      </c>
      <c r="CBK45" s="92" t="s">
        <v>54</v>
      </c>
      <c r="CBL45" s="92" t="s">
        <v>54</v>
      </c>
      <c r="CBM45" s="92" t="s">
        <v>54</v>
      </c>
      <c r="CBN45" s="92" t="s">
        <v>54</v>
      </c>
      <c r="CBO45" s="92" t="s">
        <v>54</v>
      </c>
      <c r="CBP45" s="92" t="s">
        <v>54</v>
      </c>
      <c r="CBQ45" s="92" t="s">
        <v>54</v>
      </c>
      <c r="CBR45" s="92" t="s">
        <v>54</v>
      </c>
      <c r="CBS45" s="92" t="s">
        <v>54</v>
      </c>
      <c r="CBT45" s="92" t="s">
        <v>54</v>
      </c>
      <c r="CBU45" s="92" t="s">
        <v>54</v>
      </c>
      <c r="CBV45" s="92" t="s">
        <v>54</v>
      </c>
      <c r="CBW45" s="92" t="s">
        <v>54</v>
      </c>
      <c r="CBX45" s="92" t="s">
        <v>54</v>
      </c>
      <c r="CBY45" s="92" t="s">
        <v>54</v>
      </c>
      <c r="CBZ45" s="92" t="s">
        <v>54</v>
      </c>
      <c r="CCA45" s="92" t="s">
        <v>54</v>
      </c>
      <c r="CCB45" s="92" t="s">
        <v>54</v>
      </c>
      <c r="CCC45" s="92" t="s">
        <v>54</v>
      </c>
      <c r="CCD45" s="92" t="s">
        <v>54</v>
      </c>
      <c r="CCE45" s="92" t="s">
        <v>54</v>
      </c>
      <c r="CCF45" s="92" t="s">
        <v>54</v>
      </c>
      <c r="CCG45" s="92" t="s">
        <v>54</v>
      </c>
      <c r="CCH45" s="92" t="s">
        <v>54</v>
      </c>
      <c r="CCI45" s="92" t="s">
        <v>54</v>
      </c>
      <c r="CCJ45" s="92" t="s">
        <v>54</v>
      </c>
      <c r="CCK45" s="92" t="s">
        <v>54</v>
      </c>
      <c r="CCL45" s="92" t="s">
        <v>54</v>
      </c>
      <c r="CCM45" s="92" t="s">
        <v>54</v>
      </c>
      <c r="CCN45" s="92" t="s">
        <v>54</v>
      </c>
      <c r="CCO45" s="92" t="s">
        <v>54</v>
      </c>
      <c r="CCP45" s="92" t="s">
        <v>54</v>
      </c>
      <c r="CCQ45" s="92" t="s">
        <v>54</v>
      </c>
      <c r="CCR45" s="92" t="s">
        <v>54</v>
      </c>
      <c r="CCS45" s="92" t="s">
        <v>54</v>
      </c>
      <c r="CCT45" s="92" t="s">
        <v>54</v>
      </c>
      <c r="CCU45" s="92" t="s">
        <v>54</v>
      </c>
      <c r="CCV45" s="92" t="s">
        <v>54</v>
      </c>
      <c r="CCW45" s="92" t="s">
        <v>54</v>
      </c>
      <c r="CCX45" s="92" t="s">
        <v>54</v>
      </c>
      <c r="CCY45" s="92" t="s">
        <v>54</v>
      </c>
      <c r="CCZ45" s="92" t="s">
        <v>54</v>
      </c>
      <c r="CDA45" s="92" t="s">
        <v>54</v>
      </c>
      <c r="CDB45" s="92" t="s">
        <v>54</v>
      </c>
      <c r="CDC45" s="92" t="s">
        <v>54</v>
      </c>
      <c r="CDD45" s="92" t="s">
        <v>54</v>
      </c>
      <c r="CDE45" s="92" t="s">
        <v>54</v>
      </c>
      <c r="CDF45" s="92" t="s">
        <v>54</v>
      </c>
      <c r="CDG45" s="92" t="s">
        <v>54</v>
      </c>
      <c r="CDH45" s="92" t="s">
        <v>54</v>
      </c>
      <c r="CDI45" s="92" t="s">
        <v>54</v>
      </c>
      <c r="CDJ45" s="92" t="s">
        <v>54</v>
      </c>
      <c r="CDK45" s="92" t="s">
        <v>54</v>
      </c>
      <c r="CDL45" s="92" t="s">
        <v>54</v>
      </c>
      <c r="CDM45" s="92" t="s">
        <v>54</v>
      </c>
      <c r="CDN45" s="92" t="s">
        <v>54</v>
      </c>
      <c r="CDO45" s="92" t="s">
        <v>54</v>
      </c>
      <c r="CDP45" s="92" t="s">
        <v>54</v>
      </c>
      <c r="CDQ45" s="92" t="s">
        <v>54</v>
      </c>
      <c r="CDR45" s="92" t="s">
        <v>54</v>
      </c>
      <c r="CDS45" s="92" t="s">
        <v>54</v>
      </c>
      <c r="CDT45" s="92" t="s">
        <v>54</v>
      </c>
      <c r="CDU45" s="92" t="s">
        <v>54</v>
      </c>
      <c r="CDV45" s="92" t="s">
        <v>54</v>
      </c>
      <c r="CDW45" s="92" t="s">
        <v>54</v>
      </c>
      <c r="CDX45" s="92" t="s">
        <v>54</v>
      </c>
      <c r="CDY45" s="92" t="s">
        <v>54</v>
      </c>
      <c r="CDZ45" s="92" t="s">
        <v>54</v>
      </c>
      <c r="CEA45" s="92" t="s">
        <v>54</v>
      </c>
      <c r="CEB45" s="92" t="s">
        <v>54</v>
      </c>
      <c r="CEC45" s="92" t="s">
        <v>54</v>
      </c>
      <c r="CED45" s="92" t="s">
        <v>54</v>
      </c>
      <c r="CEE45" s="92" t="s">
        <v>54</v>
      </c>
      <c r="CEF45" s="92" t="s">
        <v>54</v>
      </c>
      <c r="CEG45" s="92" t="s">
        <v>54</v>
      </c>
      <c r="CEH45" s="92" t="s">
        <v>54</v>
      </c>
      <c r="CEI45" s="92" t="s">
        <v>54</v>
      </c>
      <c r="CEJ45" s="92" t="s">
        <v>54</v>
      </c>
      <c r="CEK45" s="92" t="s">
        <v>54</v>
      </c>
      <c r="CEL45" s="92" t="s">
        <v>54</v>
      </c>
      <c r="CEM45" s="92" t="s">
        <v>54</v>
      </c>
      <c r="CEN45" s="92" t="s">
        <v>54</v>
      </c>
      <c r="CEO45" s="92" t="s">
        <v>54</v>
      </c>
      <c r="CEP45" s="92" t="s">
        <v>54</v>
      </c>
      <c r="CEQ45" s="92" t="s">
        <v>54</v>
      </c>
      <c r="CER45" s="92" t="s">
        <v>54</v>
      </c>
      <c r="CES45" s="92" t="s">
        <v>54</v>
      </c>
      <c r="CET45" s="92" t="s">
        <v>54</v>
      </c>
      <c r="CEU45" s="92" t="s">
        <v>54</v>
      </c>
      <c r="CEV45" s="92" t="s">
        <v>54</v>
      </c>
      <c r="CEW45" s="92" t="s">
        <v>54</v>
      </c>
      <c r="CEX45" s="92" t="s">
        <v>54</v>
      </c>
      <c r="CEY45" s="92" t="s">
        <v>54</v>
      </c>
      <c r="CEZ45" s="92" t="s">
        <v>54</v>
      </c>
      <c r="CFA45" s="92" t="s">
        <v>54</v>
      </c>
      <c r="CFB45" s="92" t="s">
        <v>54</v>
      </c>
      <c r="CFC45" s="92" t="s">
        <v>54</v>
      </c>
      <c r="CFD45" s="92" t="s">
        <v>54</v>
      </c>
      <c r="CFE45" s="92" t="s">
        <v>54</v>
      </c>
      <c r="CFF45" s="92" t="s">
        <v>54</v>
      </c>
      <c r="CFG45" s="92" t="s">
        <v>54</v>
      </c>
      <c r="CFH45" s="92" t="s">
        <v>54</v>
      </c>
      <c r="CFI45" s="92" t="s">
        <v>54</v>
      </c>
      <c r="CFJ45" s="92" t="s">
        <v>54</v>
      </c>
      <c r="CFK45" s="92" t="s">
        <v>54</v>
      </c>
      <c r="CFL45" s="92" t="s">
        <v>54</v>
      </c>
      <c r="CFM45" s="92" t="s">
        <v>54</v>
      </c>
      <c r="CFN45" s="92" t="s">
        <v>54</v>
      </c>
      <c r="CFO45" s="92" t="s">
        <v>54</v>
      </c>
      <c r="CFP45" s="92" t="s">
        <v>54</v>
      </c>
      <c r="CFQ45" s="92" t="s">
        <v>54</v>
      </c>
      <c r="CFR45" s="92" t="s">
        <v>54</v>
      </c>
      <c r="CFS45" s="92" t="s">
        <v>54</v>
      </c>
      <c r="CFT45" s="92" t="s">
        <v>54</v>
      </c>
      <c r="CFU45" s="92" t="s">
        <v>54</v>
      </c>
      <c r="CFV45" s="92" t="s">
        <v>54</v>
      </c>
      <c r="CFW45" s="92" t="s">
        <v>54</v>
      </c>
      <c r="CFX45" s="92" t="s">
        <v>54</v>
      </c>
      <c r="CFY45" s="92" t="s">
        <v>54</v>
      </c>
      <c r="CFZ45" s="92" t="s">
        <v>54</v>
      </c>
      <c r="CGA45" s="92" t="s">
        <v>54</v>
      </c>
      <c r="CGB45" s="92" t="s">
        <v>54</v>
      </c>
      <c r="CGC45" s="92" t="s">
        <v>54</v>
      </c>
      <c r="CGD45" s="92" t="s">
        <v>54</v>
      </c>
      <c r="CGE45" s="92" t="s">
        <v>54</v>
      </c>
      <c r="CGF45" s="92" t="s">
        <v>54</v>
      </c>
      <c r="CGG45" s="92" t="s">
        <v>54</v>
      </c>
      <c r="CGH45" s="92" t="s">
        <v>54</v>
      </c>
      <c r="CGI45" s="92" t="s">
        <v>54</v>
      </c>
      <c r="CGJ45" s="92" t="s">
        <v>54</v>
      </c>
      <c r="CGK45" s="92" t="s">
        <v>54</v>
      </c>
      <c r="CGL45" s="92" t="s">
        <v>54</v>
      </c>
      <c r="CGM45" s="92" t="s">
        <v>54</v>
      </c>
      <c r="CGN45" s="92" t="s">
        <v>54</v>
      </c>
      <c r="CGO45" s="92" t="s">
        <v>54</v>
      </c>
      <c r="CGP45" s="92" t="s">
        <v>54</v>
      </c>
      <c r="CGQ45" s="92" t="s">
        <v>54</v>
      </c>
      <c r="CGR45" s="92" t="s">
        <v>54</v>
      </c>
      <c r="CGS45" s="92" t="s">
        <v>54</v>
      </c>
      <c r="CGT45" s="92" t="s">
        <v>54</v>
      </c>
      <c r="CGU45" s="92" t="s">
        <v>54</v>
      </c>
      <c r="CGV45" s="92" t="s">
        <v>54</v>
      </c>
      <c r="CGW45" s="92" t="s">
        <v>54</v>
      </c>
      <c r="CGX45" s="92" t="s">
        <v>54</v>
      </c>
      <c r="CGY45" s="92" t="s">
        <v>54</v>
      </c>
      <c r="CGZ45" s="92" t="s">
        <v>54</v>
      </c>
      <c r="CHA45" s="92" t="s">
        <v>54</v>
      </c>
      <c r="CHB45" s="92" t="s">
        <v>54</v>
      </c>
      <c r="CHC45" s="92" t="s">
        <v>54</v>
      </c>
      <c r="CHD45" s="92" t="s">
        <v>54</v>
      </c>
      <c r="CHE45" s="92" t="s">
        <v>54</v>
      </c>
      <c r="CHF45" s="92" t="s">
        <v>54</v>
      </c>
      <c r="CHG45" s="92" t="s">
        <v>54</v>
      </c>
      <c r="CHH45" s="92" t="s">
        <v>54</v>
      </c>
      <c r="CHI45" s="92" t="s">
        <v>54</v>
      </c>
      <c r="CHJ45" s="92" t="s">
        <v>54</v>
      </c>
      <c r="CHK45" s="92" t="s">
        <v>54</v>
      </c>
      <c r="CHL45" s="92" t="s">
        <v>54</v>
      </c>
      <c r="CHM45" s="92" t="s">
        <v>54</v>
      </c>
      <c r="CHN45" s="92" t="s">
        <v>54</v>
      </c>
      <c r="CHO45" s="92" t="s">
        <v>54</v>
      </c>
      <c r="CHP45" s="92" t="s">
        <v>54</v>
      </c>
      <c r="CHQ45" s="92" t="s">
        <v>54</v>
      </c>
      <c r="CHR45" s="92" t="s">
        <v>54</v>
      </c>
      <c r="CHS45" s="92" t="s">
        <v>54</v>
      </c>
      <c r="CHT45" s="92" t="s">
        <v>54</v>
      </c>
      <c r="CHU45" s="92" t="s">
        <v>54</v>
      </c>
      <c r="CHV45" s="92" t="s">
        <v>54</v>
      </c>
      <c r="CHW45" s="92" t="s">
        <v>54</v>
      </c>
      <c r="CHX45" s="92" t="s">
        <v>54</v>
      </c>
      <c r="CHY45" s="92" t="s">
        <v>54</v>
      </c>
      <c r="CHZ45" s="92" t="s">
        <v>54</v>
      </c>
      <c r="CIA45" s="92" t="s">
        <v>54</v>
      </c>
      <c r="CIB45" s="92" t="s">
        <v>54</v>
      </c>
      <c r="CIC45" s="92" t="s">
        <v>54</v>
      </c>
      <c r="CID45" s="92" t="s">
        <v>54</v>
      </c>
      <c r="CIE45" s="92" t="s">
        <v>54</v>
      </c>
      <c r="CIF45" s="92" t="s">
        <v>54</v>
      </c>
      <c r="CIG45" s="92" t="s">
        <v>54</v>
      </c>
      <c r="CIH45" s="92" t="s">
        <v>54</v>
      </c>
      <c r="CII45" s="92" t="s">
        <v>54</v>
      </c>
      <c r="CIJ45" s="92" t="s">
        <v>54</v>
      </c>
      <c r="CIK45" s="92" t="s">
        <v>54</v>
      </c>
      <c r="CIL45" s="92" t="s">
        <v>54</v>
      </c>
      <c r="CIM45" s="92" t="s">
        <v>54</v>
      </c>
      <c r="CIN45" s="92" t="s">
        <v>54</v>
      </c>
      <c r="CIO45" s="92" t="s">
        <v>54</v>
      </c>
      <c r="CIP45" s="92" t="s">
        <v>54</v>
      </c>
      <c r="CIQ45" s="92" t="s">
        <v>54</v>
      </c>
      <c r="CIR45" s="92" t="s">
        <v>54</v>
      </c>
      <c r="CIS45" s="92" t="s">
        <v>54</v>
      </c>
      <c r="CIT45" s="92" t="s">
        <v>54</v>
      </c>
      <c r="CIU45" s="92" t="s">
        <v>54</v>
      </c>
      <c r="CIV45" s="92" t="s">
        <v>54</v>
      </c>
      <c r="CIW45" s="92" t="s">
        <v>54</v>
      </c>
      <c r="CIX45" s="92" t="s">
        <v>54</v>
      </c>
      <c r="CIY45" s="92" t="s">
        <v>54</v>
      </c>
      <c r="CIZ45" s="92" t="s">
        <v>54</v>
      </c>
      <c r="CJA45" s="92" t="s">
        <v>54</v>
      </c>
      <c r="CJB45" s="92" t="s">
        <v>54</v>
      </c>
      <c r="CJC45" s="92" t="s">
        <v>54</v>
      </c>
      <c r="CJD45" s="92" t="s">
        <v>54</v>
      </c>
      <c r="CJE45" s="92" t="s">
        <v>54</v>
      </c>
      <c r="CJF45" s="92" t="s">
        <v>54</v>
      </c>
      <c r="CJG45" s="92" t="s">
        <v>54</v>
      </c>
      <c r="CJH45" s="92" t="s">
        <v>54</v>
      </c>
      <c r="CJI45" s="92" t="s">
        <v>54</v>
      </c>
      <c r="CJJ45" s="92" t="s">
        <v>54</v>
      </c>
      <c r="CJK45" s="92" t="s">
        <v>54</v>
      </c>
      <c r="CJL45" s="92" t="s">
        <v>54</v>
      </c>
      <c r="CJM45" s="92" t="s">
        <v>54</v>
      </c>
      <c r="CJN45" s="92" t="s">
        <v>54</v>
      </c>
      <c r="CJO45" s="92" t="s">
        <v>54</v>
      </c>
      <c r="CJP45" s="92" t="s">
        <v>54</v>
      </c>
      <c r="CJQ45" s="92" t="s">
        <v>54</v>
      </c>
      <c r="CJR45" s="92" t="s">
        <v>54</v>
      </c>
      <c r="CJS45" s="92" t="s">
        <v>54</v>
      </c>
      <c r="CJT45" s="92" t="s">
        <v>54</v>
      </c>
      <c r="CJU45" s="92" t="s">
        <v>54</v>
      </c>
      <c r="CJV45" s="92" t="s">
        <v>54</v>
      </c>
      <c r="CJW45" s="92" t="s">
        <v>54</v>
      </c>
      <c r="CJX45" s="92" t="s">
        <v>54</v>
      </c>
      <c r="CJY45" s="92" t="s">
        <v>54</v>
      </c>
      <c r="CJZ45" s="92" t="s">
        <v>54</v>
      </c>
      <c r="CKA45" s="92" t="s">
        <v>54</v>
      </c>
      <c r="CKB45" s="92" t="s">
        <v>54</v>
      </c>
      <c r="CKC45" s="92" t="s">
        <v>54</v>
      </c>
      <c r="CKD45" s="92" t="s">
        <v>54</v>
      </c>
      <c r="CKE45" s="92" t="s">
        <v>54</v>
      </c>
      <c r="CKF45" s="92" t="s">
        <v>54</v>
      </c>
      <c r="CKG45" s="92" t="s">
        <v>54</v>
      </c>
      <c r="CKH45" s="92" t="s">
        <v>54</v>
      </c>
      <c r="CKI45" s="92" t="s">
        <v>54</v>
      </c>
      <c r="CKJ45" s="92" t="s">
        <v>54</v>
      </c>
      <c r="CKK45" s="92" t="s">
        <v>54</v>
      </c>
      <c r="CKL45" s="92" t="s">
        <v>54</v>
      </c>
      <c r="CKM45" s="92" t="s">
        <v>54</v>
      </c>
      <c r="CKN45" s="92" t="s">
        <v>54</v>
      </c>
      <c r="CKO45" s="92" t="s">
        <v>54</v>
      </c>
      <c r="CKP45" s="92" t="s">
        <v>54</v>
      </c>
      <c r="CKQ45" s="92" t="s">
        <v>54</v>
      </c>
      <c r="CKR45" s="92" t="s">
        <v>54</v>
      </c>
      <c r="CKS45" s="92" t="s">
        <v>54</v>
      </c>
      <c r="CKT45" s="92" t="s">
        <v>54</v>
      </c>
      <c r="CKU45" s="92" t="s">
        <v>54</v>
      </c>
      <c r="CKV45" s="92" t="s">
        <v>54</v>
      </c>
      <c r="CKW45" s="92" t="s">
        <v>54</v>
      </c>
      <c r="CKX45" s="92" t="s">
        <v>54</v>
      </c>
      <c r="CKY45" s="92" t="s">
        <v>54</v>
      </c>
      <c r="CKZ45" s="92" t="s">
        <v>54</v>
      </c>
      <c r="CLA45" s="92" t="s">
        <v>54</v>
      </c>
      <c r="CLB45" s="92" t="s">
        <v>54</v>
      </c>
      <c r="CLC45" s="92" t="s">
        <v>54</v>
      </c>
      <c r="CLD45" s="92" t="s">
        <v>54</v>
      </c>
      <c r="CLE45" s="92" t="s">
        <v>54</v>
      </c>
      <c r="CLF45" s="92" t="s">
        <v>54</v>
      </c>
      <c r="CLG45" s="92" t="s">
        <v>54</v>
      </c>
      <c r="CLH45" s="92" t="s">
        <v>54</v>
      </c>
      <c r="CLI45" s="92" t="s">
        <v>54</v>
      </c>
      <c r="CLJ45" s="92" t="s">
        <v>54</v>
      </c>
      <c r="CLK45" s="92" t="s">
        <v>54</v>
      </c>
      <c r="CLL45" s="92" t="s">
        <v>54</v>
      </c>
      <c r="CLM45" s="92" t="s">
        <v>54</v>
      </c>
      <c r="CLN45" s="92" t="s">
        <v>54</v>
      </c>
      <c r="CLO45" s="92" t="s">
        <v>54</v>
      </c>
      <c r="CLP45" s="92" t="s">
        <v>54</v>
      </c>
      <c r="CLQ45" s="92" t="s">
        <v>54</v>
      </c>
      <c r="CLR45" s="92" t="s">
        <v>54</v>
      </c>
      <c r="CLS45" s="92" t="s">
        <v>54</v>
      </c>
      <c r="CLT45" s="92" t="s">
        <v>54</v>
      </c>
      <c r="CLU45" s="92" t="s">
        <v>54</v>
      </c>
      <c r="CLV45" s="92" t="s">
        <v>54</v>
      </c>
      <c r="CLW45" s="92" t="s">
        <v>54</v>
      </c>
      <c r="CLX45" s="92" t="s">
        <v>54</v>
      </c>
      <c r="CLY45" s="92" t="s">
        <v>54</v>
      </c>
      <c r="CLZ45" s="92" t="s">
        <v>54</v>
      </c>
      <c r="CMA45" s="92" t="s">
        <v>54</v>
      </c>
      <c r="CMB45" s="92" t="s">
        <v>54</v>
      </c>
      <c r="CMC45" s="92" t="s">
        <v>54</v>
      </c>
      <c r="CMD45" s="92" t="s">
        <v>54</v>
      </c>
      <c r="CME45" s="92" t="s">
        <v>54</v>
      </c>
      <c r="CMF45" s="92" t="s">
        <v>54</v>
      </c>
      <c r="CMG45" s="92" t="s">
        <v>54</v>
      </c>
      <c r="CMH45" s="92" t="s">
        <v>54</v>
      </c>
      <c r="CMI45" s="92" t="s">
        <v>54</v>
      </c>
      <c r="CMJ45" s="92" t="s">
        <v>54</v>
      </c>
      <c r="CMK45" s="92" t="s">
        <v>54</v>
      </c>
      <c r="CML45" s="92" t="s">
        <v>54</v>
      </c>
      <c r="CMM45" s="92" t="s">
        <v>54</v>
      </c>
      <c r="CMN45" s="92" t="s">
        <v>54</v>
      </c>
      <c r="CMO45" s="92" t="s">
        <v>54</v>
      </c>
      <c r="CMP45" s="92" t="s">
        <v>54</v>
      </c>
      <c r="CMQ45" s="92" t="s">
        <v>54</v>
      </c>
      <c r="CMR45" s="92" t="s">
        <v>54</v>
      </c>
      <c r="CMS45" s="92" t="s">
        <v>54</v>
      </c>
      <c r="CMT45" s="92" t="s">
        <v>54</v>
      </c>
      <c r="CMU45" s="92" t="s">
        <v>54</v>
      </c>
      <c r="CMV45" s="92" t="s">
        <v>54</v>
      </c>
      <c r="CMW45" s="92" t="s">
        <v>54</v>
      </c>
      <c r="CMX45" s="92" t="s">
        <v>54</v>
      </c>
      <c r="CMY45" s="92" t="s">
        <v>54</v>
      </c>
      <c r="CMZ45" s="92" t="s">
        <v>54</v>
      </c>
      <c r="CNA45" s="92" t="s">
        <v>54</v>
      </c>
      <c r="CNB45" s="92" t="s">
        <v>54</v>
      </c>
      <c r="CNC45" s="92" t="s">
        <v>54</v>
      </c>
      <c r="CND45" s="92" t="s">
        <v>54</v>
      </c>
      <c r="CNE45" s="92" t="s">
        <v>54</v>
      </c>
      <c r="CNF45" s="92" t="s">
        <v>54</v>
      </c>
      <c r="CNG45" s="92" t="s">
        <v>54</v>
      </c>
      <c r="CNH45" s="92" t="s">
        <v>54</v>
      </c>
      <c r="CNI45" s="92" t="s">
        <v>54</v>
      </c>
      <c r="CNJ45" s="92" t="s">
        <v>54</v>
      </c>
      <c r="CNK45" s="92" t="s">
        <v>54</v>
      </c>
      <c r="CNL45" s="92" t="s">
        <v>54</v>
      </c>
      <c r="CNM45" s="92" t="s">
        <v>54</v>
      </c>
      <c r="CNN45" s="92" t="s">
        <v>54</v>
      </c>
      <c r="CNO45" s="92" t="s">
        <v>54</v>
      </c>
      <c r="CNP45" s="92" t="s">
        <v>54</v>
      </c>
      <c r="CNQ45" s="92" t="s">
        <v>54</v>
      </c>
      <c r="CNR45" s="92" t="s">
        <v>54</v>
      </c>
      <c r="CNS45" s="92" t="s">
        <v>54</v>
      </c>
      <c r="CNT45" s="92" t="s">
        <v>54</v>
      </c>
      <c r="CNU45" s="92" t="s">
        <v>54</v>
      </c>
      <c r="CNV45" s="92" t="s">
        <v>54</v>
      </c>
      <c r="CNW45" s="92" t="s">
        <v>54</v>
      </c>
      <c r="CNX45" s="92" t="s">
        <v>54</v>
      </c>
      <c r="CNY45" s="92" t="s">
        <v>54</v>
      </c>
      <c r="CNZ45" s="92" t="s">
        <v>54</v>
      </c>
      <c r="COA45" s="92" t="s">
        <v>54</v>
      </c>
      <c r="COB45" s="92" t="s">
        <v>54</v>
      </c>
      <c r="COC45" s="92" t="s">
        <v>54</v>
      </c>
      <c r="COD45" s="92" t="s">
        <v>54</v>
      </c>
      <c r="COE45" s="92" t="s">
        <v>54</v>
      </c>
      <c r="COF45" s="92" t="s">
        <v>54</v>
      </c>
      <c r="COG45" s="92" t="s">
        <v>54</v>
      </c>
      <c r="COH45" s="92" t="s">
        <v>54</v>
      </c>
      <c r="COI45" s="92" t="s">
        <v>54</v>
      </c>
      <c r="COJ45" s="92" t="s">
        <v>54</v>
      </c>
      <c r="COK45" s="92" t="s">
        <v>54</v>
      </c>
      <c r="COL45" s="92" t="s">
        <v>54</v>
      </c>
      <c r="COM45" s="92" t="s">
        <v>54</v>
      </c>
      <c r="CON45" s="92" t="s">
        <v>54</v>
      </c>
      <c r="COO45" s="92" t="s">
        <v>54</v>
      </c>
      <c r="COP45" s="92" t="s">
        <v>54</v>
      </c>
      <c r="COQ45" s="92" t="s">
        <v>54</v>
      </c>
      <c r="COR45" s="92" t="s">
        <v>54</v>
      </c>
      <c r="COS45" s="92" t="s">
        <v>54</v>
      </c>
      <c r="COT45" s="92" t="s">
        <v>54</v>
      </c>
      <c r="COU45" s="92" t="s">
        <v>54</v>
      </c>
      <c r="COV45" s="92" t="s">
        <v>54</v>
      </c>
      <c r="COW45" s="92" t="s">
        <v>54</v>
      </c>
      <c r="COX45" s="92" t="s">
        <v>54</v>
      </c>
      <c r="COY45" s="92" t="s">
        <v>54</v>
      </c>
      <c r="COZ45" s="92" t="s">
        <v>54</v>
      </c>
      <c r="CPA45" s="92" t="s">
        <v>54</v>
      </c>
      <c r="CPB45" s="92" t="s">
        <v>54</v>
      </c>
      <c r="CPC45" s="92" t="s">
        <v>54</v>
      </c>
      <c r="CPD45" s="92" t="s">
        <v>54</v>
      </c>
      <c r="CPE45" s="92" t="s">
        <v>54</v>
      </c>
      <c r="CPF45" s="92" t="s">
        <v>54</v>
      </c>
      <c r="CPG45" s="92" t="s">
        <v>54</v>
      </c>
      <c r="CPH45" s="92" t="s">
        <v>54</v>
      </c>
      <c r="CPI45" s="92" t="s">
        <v>54</v>
      </c>
      <c r="CPJ45" s="92" t="s">
        <v>54</v>
      </c>
      <c r="CPK45" s="92" t="s">
        <v>54</v>
      </c>
      <c r="CPL45" s="92" t="s">
        <v>54</v>
      </c>
      <c r="CPM45" s="92" t="s">
        <v>54</v>
      </c>
      <c r="CPN45" s="92" t="s">
        <v>54</v>
      </c>
      <c r="CPO45" s="92" t="s">
        <v>54</v>
      </c>
      <c r="CPP45" s="92" t="s">
        <v>54</v>
      </c>
      <c r="CPQ45" s="92" t="s">
        <v>54</v>
      </c>
      <c r="CPR45" s="92" t="s">
        <v>54</v>
      </c>
      <c r="CPS45" s="92" t="s">
        <v>54</v>
      </c>
      <c r="CPT45" s="92" t="s">
        <v>54</v>
      </c>
      <c r="CPU45" s="92" t="s">
        <v>54</v>
      </c>
      <c r="CPV45" s="92" t="s">
        <v>54</v>
      </c>
      <c r="CPW45" s="92" t="s">
        <v>54</v>
      </c>
      <c r="CPX45" s="92" t="s">
        <v>54</v>
      </c>
      <c r="CPY45" s="92" t="s">
        <v>54</v>
      </c>
      <c r="CPZ45" s="92" t="s">
        <v>54</v>
      </c>
      <c r="CQA45" s="92" t="s">
        <v>54</v>
      </c>
      <c r="CQB45" s="92" t="s">
        <v>54</v>
      </c>
      <c r="CQC45" s="92" t="s">
        <v>54</v>
      </c>
      <c r="CQD45" s="92" t="s">
        <v>54</v>
      </c>
      <c r="CQE45" s="92" t="s">
        <v>54</v>
      </c>
      <c r="CQF45" s="92" t="s">
        <v>54</v>
      </c>
      <c r="CQG45" s="92" t="s">
        <v>54</v>
      </c>
      <c r="CQH45" s="92" t="s">
        <v>54</v>
      </c>
      <c r="CQI45" s="92" t="s">
        <v>54</v>
      </c>
      <c r="CQJ45" s="92" t="s">
        <v>54</v>
      </c>
      <c r="CQK45" s="92" t="s">
        <v>54</v>
      </c>
      <c r="CQL45" s="92" t="s">
        <v>54</v>
      </c>
      <c r="CQM45" s="92" t="s">
        <v>54</v>
      </c>
      <c r="CQN45" s="92" t="s">
        <v>54</v>
      </c>
      <c r="CQO45" s="92" t="s">
        <v>54</v>
      </c>
      <c r="CQP45" s="92" t="s">
        <v>54</v>
      </c>
      <c r="CQQ45" s="92" t="s">
        <v>54</v>
      </c>
      <c r="CQR45" s="92" t="s">
        <v>54</v>
      </c>
      <c r="CQS45" s="92" t="s">
        <v>54</v>
      </c>
      <c r="CQT45" s="92" t="s">
        <v>54</v>
      </c>
      <c r="CQU45" s="92" t="s">
        <v>54</v>
      </c>
      <c r="CQV45" s="92" t="s">
        <v>54</v>
      </c>
      <c r="CQW45" s="92" t="s">
        <v>54</v>
      </c>
      <c r="CQX45" s="92" t="s">
        <v>54</v>
      </c>
      <c r="CQY45" s="92" t="s">
        <v>54</v>
      </c>
      <c r="CQZ45" s="92" t="s">
        <v>54</v>
      </c>
      <c r="CRA45" s="92" t="s">
        <v>54</v>
      </c>
      <c r="CRB45" s="92" t="s">
        <v>54</v>
      </c>
      <c r="CRC45" s="92" t="s">
        <v>54</v>
      </c>
      <c r="CRD45" s="92" t="s">
        <v>54</v>
      </c>
      <c r="CRE45" s="92" t="s">
        <v>54</v>
      </c>
      <c r="CRF45" s="92" t="s">
        <v>54</v>
      </c>
      <c r="CRG45" s="92" t="s">
        <v>54</v>
      </c>
      <c r="CRH45" s="92" t="s">
        <v>54</v>
      </c>
      <c r="CRI45" s="92" t="s">
        <v>54</v>
      </c>
      <c r="CRJ45" s="92" t="s">
        <v>54</v>
      </c>
      <c r="CRK45" s="92" t="s">
        <v>54</v>
      </c>
      <c r="CRL45" s="92" t="s">
        <v>54</v>
      </c>
      <c r="CRM45" s="92" t="s">
        <v>54</v>
      </c>
      <c r="CRN45" s="92" t="s">
        <v>54</v>
      </c>
      <c r="CRO45" s="92" t="s">
        <v>54</v>
      </c>
      <c r="CRP45" s="92" t="s">
        <v>54</v>
      </c>
      <c r="CRQ45" s="92" t="s">
        <v>54</v>
      </c>
      <c r="CRR45" s="92" t="s">
        <v>54</v>
      </c>
      <c r="CRS45" s="92" t="s">
        <v>54</v>
      </c>
      <c r="CRT45" s="92" t="s">
        <v>54</v>
      </c>
      <c r="CRU45" s="92" t="s">
        <v>54</v>
      </c>
      <c r="CRV45" s="92" t="s">
        <v>54</v>
      </c>
      <c r="CRW45" s="92" t="s">
        <v>54</v>
      </c>
      <c r="CRX45" s="92" t="s">
        <v>54</v>
      </c>
      <c r="CRY45" s="92" t="s">
        <v>54</v>
      </c>
      <c r="CRZ45" s="92" t="s">
        <v>54</v>
      </c>
      <c r="CSA45" s="92" t="s">
        <v>54</v>
      </c>
      <c r="CSB45" s="92" t="s">
        <v>54</v>
      </c>
      <c r="CSC45" s="92" t="s">
        <v>54</v>
      </c>
      <c r="CSD45" s="92" t="s">
        <v>54</v>
      </c>
      <c r="CSE45" s="92" t="s">
        <v>54</v>
      </c>
      <c r="CSF45" s="92" t="s">
        <v>54</v>
      </c>
      <c r="CSG45" s="92" t="s">
        <v>54</v>
      </c>
      <c r="CSH45" s="92" t="s">
        <v>54</v>
      </c>
      <c r="CSI45" s="92" t="s">
        <v>54</v>
      </c>
      <c r="CSJ45" s="92" t="s">
        <v>54</v>
      </c>
      <c r="CSK45" s="92" t="s">
        <v>54</v>
      </c>
      <c r="CSL45" s="92" t="s">
        <v>54</v>
      </c>
      <c r="CSM45" s="92" t="s">
        <v>54</v>
      </c>
      <c r="CSN45" s="92" t="s">
        <v>54</v>
      </c>
      <c r="CSO45" s="92" t="s">
        <v>54</v>
      </c>
      <c r="CSP45" s="92" t="s">
        <v>54</v>
      </c>
      <c r="CSQ45" s="92" t="s">
        <v>54</v>
      </c>
      <c r="CSR45" s="92" t="s">
        <v>54</v>
      </c>
      <c r="CSS45" s="92" t="s">
        <v>54</v>
      </c>
      <c r="CST45" s="92" t="s">
        <v>54</v>
      </c>
      <c r="CSU45" s="92" t="s">
        <v>54</v>
      </c>
      <c r="CSV45" s="92" t="s">
        <v>54</v>
      </c>
      <c r="CSW45" s="92" t="s">
        <v>54</v>
      </c>
      <c r="CSX45" s="92" t="s">
        <v>54</v>
      </c>
      <c r="CSY45" s="92" t="s">
        <v>54</v>
      </c>
      <c r="CSZ45" s="92" t="s">
        <v>54</v>
      </c>
      <c r="CTA45" s="92" t="s">
        <v>54</v>
      </c>
      <c r="CTB45" s="92" t="s">
        <v>54</v>
      </c>
      <c r="CTC45" s="92" t="s">
        <v>54</v>
      </c>
      <c r="CTD45" s="92" t="s">
        <v>54</v>
      </c>
      <c r="CTE45" s="92" t="s">
        <v>54</v>
      </c>
      <c r="CTF45" s="92" t="s">
        <v>54</v>
      </c>
      <c r="CTG45" s="92" t="s">
        <v>54</v>
      </c>
      <c r="CTH45" s="92" t="s">
        <v>54</v>
      </c>
      <c r="CTI45" s="92" t="s">
        <v>54</v>
      </c>
      <c r="CTJ45" s="92" t="s">
        <v>54</v>
      </c>
      <c r="CTK45" s="92" t="s">
        <v>54</v>
      </c>
      <c r="CTL45" s="92" t="s">
        <v>54</v>
      </c>
      <c r="CTM45" s="92" t="s">
        <v>54</v>
      </c>
      <c r="CTN45" s="92" t="s">
        <v>54</v>
      </c>
      <c r="CTO45" s="92" t="s">
        <v>54</v>
      </c>
      <c r="CTP45" s="92" t="s">
        <v>54</v>
      </c>
      <c r="CTQ45" s="92" t="s">
        <v>54</v>
      </c>
      <c r="CTR45" s="92" t="s">
        <v>54</v>
      </c>
      <c r="CTS45" s="92" t="s">
        <v>54</v>
      </c>
      <c r="CTT45" s="92" t="s">
        <v>54</v>
      </c>
      <c r="CTU45" s="92" t="s">
        <v>54</v>
      </c>
      <c r="CTV45" s="92" t="s">
        <v>54</v>
      </c>
      <c r="CTW45" s="92" t="s">
        <v>54</v>
      </c>
      <c r="CTX45" s="92" t="s">
        <v>54</v>
      </c>
      <c r="CTY45" s="92" t="s">
        <v>54</v>
      </c>
      <c r="CTZ45" s="92" t="s">
        <v>54</v>
      </c>
      <c r="CUA45" s="92" t="s">
        <v>54</v>
      </c>
      <c r="CUB45" s="92" t="s">
        <v>54</v>
      </c>
      <c r="CUC45" s="92" t="s">
        <v>54</v>
      </c>
      <c r="CUD45" s="92" t="s">
        <v>54</v>
      </c>
      <c r="CUE45" s="92" t="s">
        <v>54</v>
      </c>
      <c r="CUF45" s="92" t="s">
        <v>54</v>
      </c>
      <c r="CUG45" s="92" t="s">
        <v>54</v>
      </c>
      <c r="CUH45" s="92" t="s">
        <v>54</v>
      </c>
      <c r="CUI45" s="92" t="s">
        <v>54</v>
      </c>
      <c r="CUJ45" s="92" t="s">
        <v>54</v>
      </c>
      <c r="CUK45" s="92" t="s">
        <v>54</v>
      </c>
      <c r="CUL45" s="92" t="s">
        <v>54</v>
      </c>
      <c r="CUM45" s="92" t="s">
        <v>54</v>
      </c>
      <c r="CUN45" s="92" t="s">
        <v>54</v>
      </c>
      <c r="CUO45" s="92" t="s">
        <v>54</v>
      </c>
      <c r="CUP45" s="92" t="s">
        <v>54</v>
      </c>
      <c r="CUQ45" s="92" t="s">
        <v>54</v>
      </c>
      <c r="CUR45" s="92" t="s">
        <v>54</v>
      </c>
      <c r="CUS45" s="92" t="s">
        <v>54</v>
      </c>
      <c r="CUT45" s="92" t="s">
        <v>54</v>
      </c>
      <c r="CUU45" s="92" t="s">
        <v>54</v>
      </c>
      <c r="CUV45" s="92" t="s">
        <v>54</v>
      </c>
      <c r="CUW45" s="92" t="s">
        <v>54</v>
      </c>
      <c r="CUX45" s="92" t="s">
        <v>54</v>
      </c>
      <c r="CUY45" s="92" t="s">
        <v>54</v>
      </c>
      <c r="CUZ45" s="92" t="s">
        <v>54</v>
      </c>
      <c r="CVA45" s="92" t="s">
        <v>54</v>
      </c>
      <c r="CVB45" s="92" t="s">
        <v>54</v>
      </c>
      <c r="CVC45" s="92" t="s">
        <v>54</v>
      </c>
      <c r="CVD45" s="92" t="s">
        <v>54</v>
      </c>
      <c r="CVE45" s="92" t="s">
        <v>54</v>
      </c>
      <c r="CVF45" s="92" t="s">
        <v>54</v>
      </c>
      <c r="CVG45" s="92" t="s">
        <v>54</v>
      </c>
      <c r="CVH45" s="92" t="s">
        <v>54</v>
      </c>
      <c r="CVI45" s="92" t="s">
        <v>54</v>
      </c>
      <c r="CVJ45" s="92" t="s">
        <v>54</v>
      </c>
      <c r="CVK45" s="92" t="s">
        <v>54</v>
      </c>
      <c r="CVL45" s="92" t="s">
        <v>54</v>
      </c>
      <c r="CVM45" s="92" t="s">
        <v>54</v>
      </c>
      <c r="CVN45" s="92" t="s">
        <v>54</v>
      </c>
      <c r="CVO45" s="92" t="s">
        <v>54</v>
      </c>
      <c r="CVP45" s="92" t="s">
        <v>54</v>
      </c>
      <c r="CVQ45" s="92" t="s">
        <v>54</v>
      </c>
      <c r="CVR45" s="92" t="s">
        <v>54</v>
      </c>
      <c r="CVS45" s="92" t="s">
        <v>54</v>
      </c>
      <c r="CVT45" s="92" t="s">
        <v>54</v>
      </c>
      <c r="CVU45" s="92" t="s">
        <v>54</v>
      </c>
      <c r="CVV45" s="92" t="s">
        <v>54</v>
      </c>
      <c r="CVW45" s="92" t="s">
        <v>54</v>
      </c>
      <c r="CVX45" s="92" t="s">
        <v>54</v>
      </c>
      <c r="CVY45" s="92" t="s">
        <v>54</v>
      </c>
      <c r="CVZ45" s="92" t="s">
        <v>54</v>
      </c>
      <c r="CWA45" s="92" t="s">
        <v>54</v>
      </c>
      <c r="CWB45" s="92" t="s">
        <v>54</v>
      </c>
      <c r="CWC45" s="92" t="s">
        <v>54</v>
      </c>
      <c r="CWD45" s="92" t="s">
        <v>54</v>
      </c>
      <c r="CWE45" s="92" t="s">
        <v>54</v>
      </c>
      <c r="CWF45" s="92" t="s">
        <v>54</v>
      </c>
      <c r="CWG45" s="92" t="s">
        <v>54</v>
      </c>
      <c r="CWH45" s="92" t="s">
        <v>54</v>
      </c>
      <c r="CWI45" s="92" t="s">
        <v>54</v>
      </c>
      <c r="CWJ45" s="92" t="s">
        <v>54</v>
      </c>
      <c r="CWK45" s="92" t="s">
        <v>54</v>
      </c>
      <c r="CWL45" s="92" t="s">
        <v>54</v>
      </c>
      <c r="CWM45" s="92" t="s">
        <v>54</v>
      </c>
      <c r="CWN45" s="92" t="s">
        <v>54</v>
      </c>
      <c r="CWO45" s="92" t="s">
        <v>54</v>
      </c>
      <c r="CWP45" s="92" t="s">
        <v>54</v>
      </c>
      <c r="CWQ45" s="92" t="s">
        <v>54</v>
      </c>
      <c r="CWR45" s="92" t="s">
        <v>54</v>
      </c>
      <c r="CWS45" s="92" t="s">
        <v>54</v>
      </c>
      <c r="CWT45" s="92" t="s">
        <v>54</v>
      </c>
      <c r="CWU45" s="92" t="s">
        <v>54</v>
      </c>
      <c r="CWV45" s="92" t="s">
        <v>54</v>
      </c>
      <c r="CWW45" s="92" t="s">
        <v>54</v>
      </c>
      <c r="CWX45" s="92" t="s">
        <v>54</v>
      </c>
      <c r="CWY45" s="92" t="s">
        <v>54</v>
      </c>
      <c r="CWZ45" s="92" t="s">
        <v>54</v>
      </c>
      <c r="CXA45" s="92" t="s">
        <v>54</v>
      </c>
      <c r="CXB45" s="92" t="s">
        <v>54</v>
      </c>
      <c r="CXC45" s="92" t="s">
        <v>54</v>
      </c>
      <c r="CXD45" s="92" t="s">
        <v>54</v>
      </c>
      <c r="CXE45" s="92" t="s">
        <v>54</v>
      </c>
      <c r="CXF45" s="92" t="s">
        <v>54</v>
      </c>
      <c r="CXG45" s="92" t="s">
        <v>54</v>
      </c>
      <c r="CXH45" s="92" t="s">
        <v>54</v>
      </c>
      <c r="CXI45" s="92" t="s">
        <v>54</v>
      </c>
      <c r="CXJ45" s="92" t="s">
        <v>54</v>
      </c>
      <c r="CXK45" s="92" t="s">
        <v>54</v>
      </c>
      <c r="CXL45" s="92" t="s">
        <v>54</v>
      </c>
      <c r="CXM45" s="92" t="s">
        <v>54</v>
      </c>
      <c r="CXN45" s="92" t="s">
        <v>54</v>
      </c>
      <c r="CXO45" s="92" t="s">
        <v>54</v>
      </c>
      <c r="CXP45" s="92" t="s">
        <v>54</v>
      </c>
      <c r="CXQ45" s="92" t="s">
        <v>54</v>
      </c>
      <c r="CXR45" s="92" t="s">
        <v>54</v>
      </c>
      <c r="CXS45" s="92" t="s">
        <v>54</v>
      </c>
      <c r="CXT45" s="92" t="s">
        <v>54</v>
      </c>
      <c r="CXU45" s="92" t="s">
        <v>54</v>
      </c>
      <c r="CXV45" s="92" t="s">
        <v>54</v>
      </c>
      <c r="CXW45" s="92" t="s">
        <v>54</v>
      </c>
      <c r="CXX45" s="92" t="s">
        <v>54</v>
      </c>
      <c r="CXY45" s="92" t="s">
        <v>54</v>
      </c>
      <c r="CXZ45" s="92" t="s">
        <v>54</v>
      </c>
      <c r="CYA45" s="92" t="s">
        <v>54</v>
      </c>
      <c r="CYB45" s="92" t="s">
        <v>54</v>
      </c>
      <c r="CYC45" s="92" t="s">
        <v>54</v>
      </c>
      <c r="CYD45" s="92" t="s">
        <v>54</v>
      </c>
      <c r="CYE45" s="92" t="s">
        <v>54</v>
      </c>
      <c r="CYF45" s="92" t="s">
        <v>54</v>
      </c>
      <c r="CYG45" s="92" t="s">
        <v>54</v>
      </c>
      <c r="CYH45" s="92" t="s">
        <v>54</v>
      </c>
      <c r="CYI45" s="92" t="s">
        <v>54</v>
      </c>
      <c r="CYJ45" s="92" t="s">
        <v>54</v>
      </c>
      <c r="CYK45" s="92" t="s">
        <v>54</v>
      </c>
      <c r="CYL45" s="92" t="s">
        <v>54</v>
      </c>
      <c r="CYM45" s="92" t="s">
        <v>54</v>
      </c>
      <c r="CYN45" s="92" t="s">
        <v>54</v>
      </c>
      <c r="CYO45" s="92" t="s">
        <v>54</v>
      </c>
      <c r="CYP45" s="92" t="s">
        <v>54</v>
      </c>
      <c r="CYQ45" s="92" t="s">
        <v>54</v>
      </c>
      <c r="CYR45" s="92" t="s">
        <v>54</v>
      </c>
      <c r="CYS45" s="92" t="s">
        <v>54</v>
      </c>
      <c r="CYT45" s="92" t="s">
        <v>54</v>
      </c>
      <c r="CYU45" s="92" t="s">
        <v>54</v>
      </c>
      <c r="CYV45" s="92" t="s">
        <v>54</v>
      </c>
      <c r="CYW45" s="92" t="s">
        <v>54</v>
      </c>
      <c r="CYX45" s="92" t="s">
        <v>54</v>
      </c>
      <c r="CYY45" s="92" t="s">
        <v>54</v>
      </c>
      <c r="CYZ45" s="92" t="s">
        <v>54</v>
      </c>
      <c r="CZA45" s="92" t="s">
        <v>54</v>
      </c>
      <c r="CZB45" s="92" t="s">
        <v>54</v>
      </c>
      <c r="CZC45" s="92" t="s">
        <v>54</v>
      </c>
      <c r="CZD45" s="92" t="s">
        <v>54</v>
      </c>
      <c r="CZE45" s="92" t="s">
        <v>54</v>
      </c>
      <c r="CZF45" s="92" t="s">
        <v>54</v>
      </c>
      <c r="CZG45" s="92" t="s">
        <v>54</v>
      </c>
      <c r="CZH45" s="92" t="s">
        <v>54</v>
      </c>
      <c r="CZI45" s="92" t="s">
        <v>54</v>
      </c>
      <c r="CZJ45" s="92" t="s">
        <v>54</v>
      </c>
      <c r="CZK45" s="92" t="s">
        <v>54</v>
      </c>
      <c r="CZL45" s="92" t="s">
        <v>54</v>
      </c>
      <c r="CZM45" s="92" t="s">
        <v>54</v>
      </c>
      <c r="CZN45" s="92" t="s">
        <v>54</v>
      </c>
      <c r="CZO45" s="92" t="s">
        <v>54</v>
      </c>
      <c r="CZP45" s="92" t="s">
        <v>54</v>
      </c>
      <c r="CZQ45" s="92" t="s">
        <v>54</v>
      </c>
      <c r="CZR45" s="92" t="s">
        <v>54</v>
      </c>
      <c r="CZS45" s="92" t="s">
        <v>54</v>
      </c>
      <c r="CZT45" s="92" t="s">
        <v>54</v>
      </c>
      <c r="CZU45" s="92" t="s">
        <v>54</v>
      </c>
      <c r="CZV45" s="92" t="s">
        <v>54</v>
      </c>
      <c r="CZW45" s="92" t="s">
        <v>54</v>
      </c>
      <c r="CZX45" s="92" t="s">
        <v>54</v>
      </c>
      <c r="CZY45" s="92" t="s">
        <v>54</v>
      </c>
      <c r="CZZ45" s="92" t="s">
        <v>54</v>
      </c>
      <c r="DAA45" s="92" t="s">
        <v>54</v>
      </c>
      <c r="DAB45" s="92" t="s">
        <v>54</v>
      </c>
      <c r="DAC45" s="92" t="s">
        <v>54</v>
      </c>
      <c r="DAD45" s="92" t="s">
        <v>54</v>
      </c>
      <c r="DAE45" s="92" t="s">
        <v>54</v>
      </c>
      <c r="DAF45" s="92" t="s">
        <v>54</v>
      </c>
      <c r="DAG45" s="92" t="s">
        <v>54</v>
      </c>
      <c r="DAH45" s="92" t="s">
        <v>54</v>
      </c>
      <c r="DAI45" s="92" t="s">
        <v>54</v>
      </c>
      <c r="DAJ45" s="92" t="s">
        <v>54</v>
      </c>
      <c r="DAK45" s="92" t="s">
        <v>54</v>
      </c>
      <c r="DAL45" s="92" t="s">
        <v>54</v>
      </c>
      <c r="DAM45" s="92" t="s">
        <v>54</v>
      </c>
      <c r="DAN45" s="92" t="s">
        <v>54</v>
      </c>
      <c r="DAO45" s="92" t="s">
        <v>54</v>
      </c>
      <c r="DAP45" s="92" t="s">
        <v>54</v>
      </c>
      <c r="DAQ45" s="92" t="s">
        <v>54</v>
      </c>
      <c r="DAR45" s="92" t="s">
        <v>54</v>
      </c>
      <c r="DAS45" s="92" t="s">
        <v>54</v>
      </c>
      <c r="DAT45" s="92" t="s">
        <v>54</v>
      </c>
      <c r="DAU45" s="92" t="s">
        <v>54</v>
      </c>
      <c r="DAV45" s="92" t="s">
        <v>54</v>
      </c>
      <c r="DAW45" s="92" t="s">
        <v>54</v>
      </c>
      <c r="DAX45" s="92" t="s">
        <v>54</v>
      </c>
      <c r="DAY45" s="92" t="s">
        <v>54</v>
      </c>
      <c r="DAZ45" s="92" t="s">
        <v>54</v>
      </c>
      <c r="DBA45" s="92" t="s">
        <v>54</v>
      </c>
      <c r="DBB45" s="92" t="s">
        <v>54</v>
      </c>
      <c r="DBC45" s="92" t="s">
        <v>54</v>
      </c>
      <c r="DBD45" s="92" t="s">
        <v>54</v>
      </c>
      <c r="DBE45" s="92" t="s">
        <v>54</v>
      </c>
      <c r="DBF45" s="92" t="s">
        <v>54</v>
      </c>
      <c r="DBG45" s="92" t="s">
        <v>54</v>
      </c>
      <c r="DBH45" s="92" t="s">
        <v>54</v>
      </c>
      <c r="DBI45" s="92" t="s">
        <v>54</v>
      </c>
      <c r="DBJ45" s="92" t="s">
        <v>54</v>
      </c>
      <c r="DBK45" s="92" t="s">
        <v>54</v>
      </c>
      <c r="DBL45" s="92" t="s">
        <v>54</v>
      </c>
      <c r="DBM45" s="92" t="s">
        <v>54</v>
      </c>
      <c r="DBN45" s="92" t="s">
        <v>54</v>
      </c>
      <c r="DBO45" s="92" t="s">
        <v>54</v>
      </c>
      <c r="DBP45" s="92" t="s">
        <v>54</v>
      </c>
      <c r="DBQ45" s="92" t="s">
        <v>54</v>
      </c>
      <c r="DBR45" s="92" t="s">
        <v>54</v>
      </c>
      <c r="DBS45" s="92" t="s">
        <v>54</v>
      </c>
      <c r="DBT45" s="92" t="s">
        <v>54</v>
      </c>
      <c r="DBU45" s="92" t="s">
        <v>54</v>
      </c>
      <c r="DBV45" s="92" t="s">
        <v>54</v>
      </c>
      <c r="DBW45" s="92" t="s">
        <v>54</v>
      </c>
      <c r="DBX45" s="92" t="s">
        <v>54</v>
      </c>
      <c r="DBY45" s="92" t="s">
        <v>54</v>
      </c>
      <c r="DBZ45" s="92" t="s">
        <v>54</v>
      </c>
      <c r="DCA45" s="92" t="s">
        <v>54</v>
      </c>
      <c r="DCB45" s="92" t="s">
        <v>54</v>
      </c>
      <c r="DCC45" s="92" t="s">
        <v>54</v>
      </c>
      <c r="DCD45" s="92" t="s">
        <v>54</v>
      </c>
      <c r="DCE45" s="92" t="s">
        <v>54</v>
      </c>
      <c r="DCF45" s="92" t="s">
        <v>54</v>
      </c>
      <c r="DCG45" s="92" t="s">
        <v>54</v>
      </c>
      <c r="DCH45" s="92" t="s">
        <v>54</v>
      </c>
      <c r="DCI45" s="92" t="s">
        <v>54</v>
      </c>
      <c r="DCJ45" s="92" t="s">
        <v>54</v>
      </c>
      <c r="DCK45" s="92" t="s">
        <v>54</v>
      </c>
      <c r="DCL45" s="92" t="s">
        <v>54</v>
      </c>
      <c r="DCM45" s="92" t="s">
        <v>54</v>
      </c>
      <c r="DCN45" s="92" t="s">
        <v>54</v>
      </c>
      <c r="DCO45" s="92" t="s">
        <v>54</v>
      </c>
      <c r="DCP45" s="92" t="s">
        <v>54</v>
      </c>
      <c r="DCQ45" s="92" t="s">
        <v>54</v>
      </c>
      <c r="DCR45" s="92" t="s">
        <v>54</v>
      </c>
      <c r="DCS45" s="92" t="s">
        <v>54</v>
      </c>
      <c r="DCT45" s="92" t="s">
        <v>54</v>
      </c>
      <c r="DCU45" s="92" t="s">
        <v>54</v>
      </c>
      <c r="DCV45" s="92" t="s">
        <v>54</v>
      </c>
      <c r="DCW45" s="92" t="s">
        <v>54</v>
      </c>
      <c r="DCX45" s="92" t="s">
        <v>54</v>
      </c>
      <c r="DCY45" s="92" t="s">
        <v>54</v>
      </c>
      <c r="DCZ45" s="92" t="s">
        <v>54</v>
      </c>
      <c r="DDA45" s="92" t="s">
        <v>54</v>
      </c>
      <c r="DDB45" s="92" t="s">
        <v>54</v>
      </c>
      <c r="DDC45" s="92" t="s">
        <v>54</v>
      </c>
      <c r="DDD45" s="92" t="s">
        <v>54</v>
      </c>
      <c r="DDE45" s="92" t="s">
        <v>54</v>
      </c>
      <c r="DDF45" s="92" t="s">
        <v>54</v>
      </c>
      <c r="DDG45" s="92" t="s">
        <v>54</v>
      </c>
      <c r="DDH45" s="92" t="s">
        <v>54</v>
      </c>
      <c r="DDI45" s="92" t="s">
        <v>54</v>
      </c>
      <c r="DDJ45" s="92" t="s">
        <v>54</v>
      </c>
      <c r="DDK45" s="92" t="s">
        <v>54</v>
      </c>
      <c r="DDL45" s="92" t="s">
        <v>54</v>
      </c>
      <c r="DDM45" s="92" t="s">
        <v>54</v>
      </c>
      <c r="DDN45" s="92" t="s">
        <v>54</v>
      </c>
      <c r="DDO45" s="92" t="s">
        <v>54</v>
      </c>
      <c r="DDP45" s="92" t="s">
        <v>54</v>
      </c>
      <c r="DDQ45" s="92" t="s">
        <v>54</v>
      </c>
      <c r="DDR45" s="92" t="s">
        <v>54</v>
      </c>
      <c r="DDS45" s="92" t="s">
        <v>54</v>
      </c>
      <c r="DDT45" s="92" t="s">
        <v>54</v>
      </c>
      <c r="DDU45" s="92" t="s">
        <v>54</v>
      </c>
      <c r="DDV45" s="92" t="s">
        <v>54</v>
      </c>
      <c r="DDW45" s="92" t="s">
        <v>54</v>
      </c>
      <c r="DDX45" s="92" t="s">
        <v>54</v>
      </c>
      <c r="DDY45" s="92" t="s">
        <v>54</v>
      </c>
      <c r="DDZ45" s="92" t="s">
        <v>54</v>
      </c>
      <c r="DEA45" s="92" t="s">
        <v>54</v>
      </c>
      <c r="DEB45" s="92" t="s">
        <v>54</v>
      </c>
      <c r="DEC45" s="92" t="s">
        <v>54</v>
      </c>
      <c r="DED45" s="92" t="s">
        <v>54</v>
      </c>
      <c r="DEE45" s="92" t="s">
        <v>54</v>
      </c>
      <c r="DEF45" s="92" t="s">
        <v>54</v>
      </c>
      <c r="DEG45" s="92" t="s">
        <v>54</v>
      </c>
      <c r="DEH45" s="92" t="s">
        <v>54</v>
      </c>
      <c r="DEI45" s="92" t="s">
        <v>54</v>
      </c>
      <c r="DEJ45" s="92" t="s">
        <v>54</v>
      </c>
      <c r="DEK45" s="92" t="s">
        <v>54</v>
      </c>
      <c r="DEL45" s="92" t="s">
        <v>54</v>
      </c>
      <c r="DEM45" s="92" t="s">
        <v>54</v>
      </c>
      <c r="DEN45" s="92" t="s">
        <v>54</v>
      </c>
      <c r="DEO45" s="92" t="s">
        <v>54</v>
      </c>
      <c r="DEP45" s="92" t="s">
        <v>54</v>
      </c>
      <c r="DEQ45" s="92" t="s">
        <v>54</v>
      </c>
      <c r="DER45" s="92" t="s">
        <v>54</v>
      </c>
      <c r="DES45" s="92" t="s">
        <v>54</v>
      </c>
      <c r="DET45" s="92" t="s">
        <v>54</v>
      </c>
      <c r="DEU45" s="92" t="s">
        <v>54</v>
      </c>
      <c r="DEV45" s="92" t="s">
        <v>54</v>
      </c>
      <c r="DEW45" s="92" t="s">
        <v>54</v>
      </c>
      <c r="DEX45" s="92" t="s">
        <v>54</v>
      </c>
      <c r="DEY45" s="92" t="s">
        <v>54</v>
      </c>
      <c r="DEZ45" s="92" t="s">
        <v>54</v>
      </c>
      <c r="DFA45" s="92" t="s">
        <v>54</v>
      </c>
      <c r="DFB45" s="92" t="s">
        <v>54</v>
      </c>
      <c r="DFC45" s="92" t="s">
        <v>54</v>
      </c>
      <c r="DFD45" s="92" t="s">
        <v>54</v>
      </c>
      <c r="DFE45" s="92" t="s">
        <v>54</v>
      </c>
      <c r="DFF45" s="92" t="s">
        <v>54</v>
      </c>
      <c r="DFG45" s="92" t="s">
        <v>54</v>
      </c>
      <c r="DFH45" s="92" t="s">
        <v>54</v>
      </c>
      <c r="DFI45" s="92" t="s">
        <v>54</v>
      </c>
      <c r="DFJ45" s="92" t="s">
        <v>54</v>
      </c>
      <c r="DFK45" s="92" t="s">
        <v>54</v>
      </c>
      <c r="DFL45" s="92" t="s">
        <v>54</v>
      </c>
      <c r="DFM45" s="92" t="s">
        <v>54</v>
      </c>
      <c r="DFN45" s="92" t="s">
        <v>54</v>
      </c>
      <c r="DFO45" s="92" t="s">
        <v>54</v>
      </c>
      <c r="DFP45" s="92" t="s">
        <v>54</v>
      </c>
      <c r="DFQ45" s="92" t="s">
        <v>54</v>
      </c>
      <c r="DFR45" s="92" t="s">
        <v>54</v>
      </c>
      <c r="DFS45" s="92" t="s">
        <v>54</v>
      </c>
      <c r="DFT45" s="92" t="s">
        <v>54</v>
      </c>
      <c r="DFU45" s="92" t="s">
        <v>54</v>
      </c>
      <c r="DFV45" s="92" t="s">
        <v>54</v>
      </c>
      <c r="DFW45" s="92" t="s">
        <v>54</v>
      </c>
      <c r="DFX45" s="92" t="s">
        <v>54</v>
      </c>
      <c r="DFY45" s="92" t="s">
        <v>54</v>
      </c>
      <c r="DFZ45" s="92" t="s">
        <v>54</v>
      </c>
      <c r="DGA45" s="92" t="s">
        <v>54</v>
      </c>
      <c r="DGB45" s="92" t="s">
        <v>54</v>
      </c>
      <c r="DGC45" s="92" t="s">
        <v>54</v>
      </c>
      <c r="DGD45" s="92" t="s">
        <v>54</v>
      </c>
      <c r="DGE45" s="92" t="s">
        <v>54</v>
      </c>
      <c r="DGF45" s="92" t="s">
        <v>54</v>
      </c>
      <c r="DGG45" s="92" t="s">
        <v>54</v>
      </c>
      <c r="DGH45" s="92" t="s">
        <v>54</v>
      </c>
      <c r="DGI45" s="92" t="s">
        <v>54</v>
      </c>
      <c r="DGJ45" s="92" t="s">
        <v>54</v>
      </c>
      <c r="DGK45" s="92" t="s">
        <v>54</v>
      </c>
      <c r="DGL45" s="92" t="s">
        <v>54</v>
      </c>
      <c r="DGM45" s="92" t="s">
        <v>54</v>
      </c>
      <c r="DGN45" s="92" t="s">
        <v>54</v>
      </c>
      <c r="DGO45" s="92" t="s">
        <v>54</v>
      </c>
      <c r="DGP45" s="92" t="s">
        <v>54</v>
      </c>
      <c r="DGQ45" s="92" t="s">
        <v>54</v>
      </c>
      <c r="DGR45" s="92" t="s">
        <v>54</v>
      </c>
      <c r="DGS45" s="92" t="s">
        <v>54</v>
      </c>
      <c r="DGT45" s="92" t="s">
        <v>54</v>
      </c>
      <c r="DGU45" s="92" t="s">
        <v>54</v>
      </c>
      <c r="DGV45" s="92" t="s">
        <v>54</v>
      </c>
      <c r="DGW45" s="92" t="s">
        <v>54</v>
      </c>
      <c r="DGX45" s="92" t="s">
        <v>54</v>
      </c>
      <c r="DGY45" s="92" t="s">
        <v>54</v>
      </c>
      <c r="DGZ45" s="92" t="s">
        <v>54</v>
      </c>
      <c r="DHA45" s="92" t="s">
        <v>54</v>
      </c>
      <c r="DHB45" s="92" t="s">
        <v>54</v>
      </c>
      <c r="DHC45" s="92" t="s">
        <v>54</v>
      </c>
      <c r="DHD45" s="92" t="s">
        <v>54</v>
      </c>
      <c r="DHE45" s="92" t="s">
        <v>54</v>
      </c>
      <c r="DHF45" s="92" t="s">
        <v>54</v>
      </c>
      <c r="DHG45" s="92" t="s">
        <v>54</v>
      </c>
      <c r="DHH45" s="92" t="s">
        <v>54</v>
      </c>
      <c r="DHI45" s="92" t="s">
        <v>54</v>
      </c>
      <c r="DHJ45" s="92" t="s">
        <v>54</v>
      </c>
      <c r="DHK45" s="92" t="s">
        <v>54</v>
      </c>
      <c r="DHL45" s="92" t="s">
        <v>54</v>
      </c>
      <c r="DHM45" s="92" t="s">
        <v>54</v>
      </c>
      <c r="DHN45" s="92" t="s">
        <v>54</v>
      </c>
      <c r="DHO45" s="92" t="s">
        <v>54</v>
      </c>
      <c r="DHP45" s="92" t="s">
        <v>54</v>
      </c>
      <c r="DHQ45" s="92" t="s">
        <v>54</v>
      </c>
      <c r="DHR45" s="92" t="s">
        <v>54</v>
      </c>
      <c r="DHS45" s="92" t="s">
        <v>54</v>
      </c>
      <c r="DHT45" s="92" t="s">
        <v>54</v>
      </c>
      <c r="DHU45" s="92" t="s">
        <v>54</v>
      </c>
      <c r="DHV45" s="92" t="s">
        <v>54</v>
      </c>
      <c r="DHW45" s="92" t="s">
        <v>54</v>
      </c>
      <c r="DHX45" s="92" t="s">
        <v>54</v>
      </c>
      <c r="DHY45" s="92" t="s">
        <v>54</v>
      </c>
      <c r="DHZ45" s="92" t="s">
        <v>54</v>
      </c>
      <c r="DIA45" s="92" t="s">
        <v>54</v>
      </c>
      <c r="DIB45" s="92" t="s">
        <v>54</v>
      </c>
      <c r="DIC45" s="92" t="s">
        <v>54</v>
      </c>
      <c r="DID45" s="92" t="s">
        <v>54</v>
      </c>
      <c r="DIE45" s="92" t="s">
        <v>54</v>
      </c>
      <c r="DIF45" s="92" t="s">
        <v>54</v>
      </c>
      <c r="DIG45" s="92" t="s">
        <v>54</v>
      </c>
      <c r="DIH45" s="92" t="s">
        <v>54</v>
      </c>
      <c r="DII45" s="92" t="s">
        <v>54</v>
      </c>
      <c r="DIJ45" s="92" t="s">
        <v>54</v>
      </c>
      <c r="DIK45" s="92" t="s">
        <v>54</v>
      </c>
      <c r="DIL45" s="92" t="s">
        <v>54</v>
      </c>
      <c r="DIM45" s="92" t="s">
        <v>54</v>
      </c>
      <c r="DIN45" s="92" t="s">
        <v>54</v>
      </c>
      <c r="DIO45" s="92" t="s">
        <v>54</v>
      </c>
      <c r="DIP45" s="92" t="s">
        <v>54</v>
      </c>
      <c r="DIQ45" s="92" t="s">
        <v>54</v>
      </c>
      <c r="DIR45" s="92" t="s">
        <v>54</v>
      </c>
      <c r="DIS45" s="92" t="s">
        <v>54</v>
      </c>
      <c r="DIT45" s="92" t="s">
        <v>54</v>
      </c>
      <c r="DIU45" s="92" t="s">
        <v>54</v>
      </c>
      <c r="DIV45" s="92" t="s">
        <v>54</v>
      </c>
      <c r="DIW45" s="92" t="s">
        <v>54</v>
      </c>
      <c r="DIX45" s="92" t="s">
        <v>54</v>
      </c>
      <c r="DIY45" s="92" t="s">
        <v>54</v>
      </c>
      <c r="DIZ45" s="92" t="s">
        <v>54</v>
      </c>
      <c r="DJA45" s="92" t="s">
        <v>54</v>
      </c>
      <c r="DJB45" s="92" t="s">
        <v>54</v>
      </c>
      <c r="DJC45" s="92" t="s">
        <v>54</v>
      </c>
      <c r="DJD45" s="92" t="s">
        <v>54</v>
      </c>
      <c r="DJE45" s="92" t="s">
        <v>54</v>
      </c>
      <c r="DJF45" s="92" t="s">
        <v>54</v>
      </c>
      <c r="DJG45" s="92" t="s">
        <v>54</v>
      </c>
      <c r="DJH45" s="92" t="s">
        <v>54</v>
      </c>
      <c r="DJI45" s="92" t="s">
        <v>54</v>
      </c>
      <c r="DJJ45" s="92" t="s">
        <v>54</v>
      </c>
      <c r="DJK45" s="92" t="s">
        <v>54</v>
      </c>
      <c r="DJL45" s="92" t="s">
        <v>54</v>
      </c>
      <c r="DJM45" s="92" t="s">
        <v>54</v>
      </c>
      <c r="DJN45" s="92" t="s">
        <v>54</v>
      </c>
      <c r="DJO45" s="92" t="s">
        <v>54</v>
      </c>
      <c r="DJP45" s="92" t="s">
        <v>54</v>
      </c>
      <c r="DJQ45" s="92" t="s">
        <v>54</v>
      </c>
      <c r="DJR45" s="92" t="s">
        <v>54</v>
      </c>
      <c r="DJS45" s="92" t="s">
        <v>54</v>
      </c>
      <c r="DJT45" s="92" t="s">
        <v>54</v>
      </c>
      <c r="DJU45" s="92" t="s">
        <v>54</v>
      </c>
      <c r="DJV45" s="92" t="s">
        <v>54</v>
      </c>
      <c r="DJW45" s="92" t="s">
        <v>54</v>
      </c>
      <c r="DJX45" s="92" t="s">
        <v>54</v>
      </c>
      <c r="DJY45" s="92" t="s">
        <v>54</v>
      </c>
      <c r="DJZ45" s="92" t="s">
        <v>54</v>
      </c>
      <c r="DKA45" s="92" t="s">
        <v>54</v>
      </c>
      <c r="DKB45" s="92" t="s">
        <v>54</v>
      </c>
      <c r="DKC45" s="92" t="s">
        <v>54</v>
      </c>
      <c r="DKD45" s="92" t="s">
        <v>54</v>
      </c>
      <c r="DKE45" s="92" t="s">
        <v>54</v>
      </c>
      <c r="DKF45" s="92" t="s">
        <v>54</v>
      </c>
      <c r="DKG45" s="92" t="s">
        <v>54</v>
      </c>
      <c r="DKH45" s="92" t="s">
        <v>54</v>
      </c>
      <c r="DKI45" s="92" t="s">
        <v>54</v>
      </c>
      <c r="DKJ45" s="92" t="s">
        <v>54</v>
      </c>
      <c r="DKK45" s="92" t="s">
        <v>54</v>
      </c>
      <c r="DKL45" s="92" t="s">
        <v>54</v>
      </c>
      <c r="DKM45" s="92" t="s">
        <v>54</v>
      </c>
      <c r="DKN45" s="92" t="s">
        <v>54</v>
      </c>
      <c r="DKO45" s="92" t="s">
        <v>54</v>
      </c>
      <c r="DKP45" s="92" t="s">
        <v>54</v>
      </c>
      <c r="DKQ45" s="92" t="s">
        <v>54</v>
      </c>
      <c r="DKR45" s="92" t="s">
        <v>54</v>
      </c>
      <c r="DKS45" s="92" t="s">
        <v>54</v>
      </c>
      <c r="DKT45" s="92" t="s">
        <v>54</v>
      </c>
      <c r="DKU45" s="92" t="s">
        <v>54</v>
      </c>
      <c r="DKV45" s="92" t="s">
        <v>54</v>
      </c>
      <c r="DKW45" s="92" t="s">
        <v>54</v>
      </c>
      <c r="DKX45" s="92" t="s">
        <v>54</v>
      </c>
      <c r="DKY45" s="92" t="s">
        <v>54</v>
      </c>
      <c r="DKZ45" s="92" t="s">
        <v>54</v>
      </c>
      <c r="DLA45" s="92" t="s">
        <v>54</v>
      </c>
      <c r="DLB45" s="92" t="s">
        <v>54</v>
      </c>
      <c r="DLC45" s="92" t="s">
        <v>54</v>
      </c>
      <c r="DLD45" s="92" t="s">
        <v>54</v>
      </c>
      <c r="DLE45" s="92" t="s">
        <v>54</v>
      </c>
      <c r="DLF45" s="92" t="s">
        <v>54</v>
      </c>
      <c r="DLG45" s="92" t="s">
        <v>54</v>
      </c>
      <c r="DLH45" s="92" t="s">
        <v>54</v>
      </c>
      <c r="DLI45" s="92" t="s">
        <v>54</v>
      </c>
      <c r="DLJ45" s="92" t="s">
        <v>54</v>
      </c>
      <c r="DLK45" s="92" t="s">
        <v>54</v>
      </c>
      <c r="DLL45" s="92" t="s">
        <v>54</v>
      </c>
      <c r="DLM45" s="92" t="s">
        <v>54</v>
      </c>
      <c r="DLN45" s="92" t="s">
        <v>54</v>
      </c>
      <c r="DLO45" s="92" t="s">
        <v>54</v>
      </c>
      <c r="DLP45" s="92" t="s">
        <v>54</v>
      </c>
      <c r="DLQ45" s="92" t="s">
        <v>54</v>
      </c>
      <c r="DLR45" s="92" t="s">
        <v>54</v>
      </c>
      <c r="DLS45" s="92" t="s">
        <v>54</v>
      </c>
      <c r="DLT45" s="92" t="s">
        <v>54</v>
      </c>
      <c r="DLU45" s="92" t="s">
        <v>54</v>
      </c>
      <c r="DLV45" s="92" t="s">
        <v>54</v>
      </c>
      <c r="DLW45" s="92" t="s">
        <v>54</v>
      </c>
      <c r="DLX45" s="92" t="s">
        <v>54</v>
      </c>
      <c r="DLY45" s="92" t="s">
        <v>54</v>
      </c>
      <c r="DLZ45" s="92" t="s">
        <v>54</v>
      </c>
      <c r="DMA45" s="92" t="s">
        <v>54</v>
      </c>
      <c r="DMB45" s="92" t="s">
        <v>54</v>
      </c>
      <c r="DMC45" s="92" t="s">
        <v>54</v>
      </c>
      <c r="DMD45" s="92" t="s">
        <v>54</v>
      </c>
      <c r="DME45" s="92" t="s">
        <v>54</v>
      </c>
      <c r="DMF45" s="92" t="s">
        <v>54</v>
      </c>
      <c r="DMG45" s="92" t="s">
        <v>54</v>
      </c>
      <c r="DMH45" s="92" t="s">
        <v>54</v>
      </c>
      <c r="DMI45" s="92" t="s">
        <v>54</v>
      </c>
      <c r="DMJ45" s="92" t="s">
        <v>54</v>
      </c>
      <c r="DMK45" s="92" t="s">
        <v>54</v>
      </c>
      <c r="DML45" s="92" t="s">
        <v>54</v>
      </c>
      <c r="DMM45" s="92" t="s">
        <v>54</v>
      </c>
      <c r="DMN45" s="92" t="s">
        <v>54</v>
      </c>
      <c r="DMO45" s="92" t="s">
        <v>54</v>
      </c>
      <c r="DMP45" s="92" t="s">
        <v>54</v>
      </c>
      <c r="DMQ45" s="92" t="s">
        <v>54</v>
      </c>
      <c r="DMR45" s="92" t="s">
        <v>54</v>
      </c>
      <c r="DMS45" s="92" t="s">
        <v>54</v>
      </c>
      <c r="DMT45" s="92" t="s">
        <v>54</v>
      </c>
      <c r="DMU45" s="92" t="s">
        <v>54</v>
      </c>
      <c r="DMV45" s="92" t="s">
        <v>54</v>
      </c>
      <c r="DMW45" s="92" t="s">
        <v>54</v>
      </c>
      <c r="DMX45" s="92" t="s">
        <v>54</v>
      </c>
      <c r="DMY45" s="92" t="s">
        <v>54</v>
      </c>
      <c r="DMZ45" s="92" t="s">
        <v>54</v>
      </c>
      <c r="DNA45" s="92" t="s">
        <v>54</v>
      </c>
      <c r="DNB45" s="92" t="s">
        <v>54</v>
      </c>
      <c r="DNC45" s="92" t="s">
        <v>54</v>
      </c>
      <c r="DND45" s="92" t="s">
        <v>54</v>
      </c>
      <c r="DNE45" s="92" t="s">
        <v>54</v>
      </c>
      <c r="DNF45" s="92" t="s">
        <v>54</v>
      </c>
      <c r="DNG45" s="92" t="s">
        <v>54</v>
      </c>
      <c r="DNH45" s="92" t="s">
        <v>54</v>
      </c>
      <c r="DNI45" s="92" t="s">
        <v>54</v>
      </c>
      <c r="DNJ45" s="92" t="s">
        <v>54</v>
      </c>
      <c r="DNK45" s="92" t="s">
        <v>54</v>
      </c>
      <c r="DNL45" s="92" t="s">
        <v>54</v>
      </c>
      <c r="DNM45" s="92" t="s">
        <v>54</v>
      </c>
      <c r="DNN45" s="92" t="s">
        <v>54</v>
      </c>
      <c r="DNO45" s="92" t="s">
        <v>54</v>
      </c>
      <c r="DNP45" s="92" t="s">
        <v>54</v>
      </c>
      <c r="DNQ45" s="92" t="s">
        <v>54</v>
      </c>
      <c r="DNR45" s="92" t="s">
        <v>54</v>
      </c>
      <c r="DNS45" s="92" t="s">
        <v>54</v>
      </c>
      <c r="DNT45" s="92" t="s">
        <v>54</v>
      </c>
      <c r="DNU45" s="92" t="s">
        <v>54</v>
      </c>
      <c r="DNV45" s="92" t="s">
        <v>54</v>
      </c>
      <c r="DNW45" s="92" t="s">
        <v>54</v>
      </c>
      <c r="DNX45" s="92" t="s">
        <v>54</v>
      </c>
      <c r="DNY45" s="92" t="s">
        <v>54</v>
      </c>
      <c r="DNZ45" s="92" t="s">
        <v>54</v>
      </c>
      <c r="DOA45" s="92" t="s">
        <v>54</v>
      </c>
      <c r="DOB45" s="92" t="s">
        <v>54</v>
      </c>
      <c r="DOC45" s="92" t="s">
        <v>54</v>
      </c>
      <c r="DOD45" s="92" t="s">
        <v>54</v>
      </c>
      <c r="DOE45" s="92" t="s">
        <v>54</v>
      </c>
      <c r="DOF45" s="92" t="s">
        <v>54</v>
      </c>
      <c r="DOG45" s="92" t="s">
        <v>54</v>
      </c>
      <c r="DOH45" s="92" t="s">
        <v>54</v>
      </c>
      <c r="DOI45" s="92" t="s">
        <v>54</v>
      </c>
      <c r="DOJ45" s="92" t="s">
        <v>54</v>
      </c>
      <c r="DOK45" s="92" t="s">
        <v>54</v>
      </c>
      <c r="DOL45" s="92" t="s">
        <v>54</v>
      </c>
      <c r="DOM45" s="92" t="s">
        <v>54</v>
      </c>
      <c r="DON45" s="92" t="s">
        <v>54</v>
      </c>
      <c r="DOO45" s="92" t="s">
        <v>54</v>
      </c>
      <c r="DOP45" s="92" t="s">
        <v>54</v>
      </c>
      <c r="DOQ45" s="92" t="s">
        <v>54</v>
      </c>
      <c r="DOR45" s="92" t="s">
        <v>54</v>
      </c>
      <c r="DOS45" s="92" t="s">
        <v>54</v>
      </c>
      <c r="DOT45" s="92" t="s">
        <v>54</v>
      </c>
      <c r="DOU45" s="92" t="s">
        <v>54</v>
      </c>
      <c r="DOV45" s="92" t="s">
        <v>54</v>
      </c>
      <c r="DOW45" s="92" t="s">
        <v>54</v>
      </c>
      <c r="DOX45" s="92" t="s">
        <v>54</v>
      </c>
      <c r="DOY45" s="92" t="s">
        <v>54</v>
      </c>
      <c r="DOZ45" s="92" t="s">
        <v>54</v>
      </c>
      <c r="DPA45" s="92" t="s">
        <v>54</v>
      </c>
      <c r="DPB45" s="92" t="s">
        <v>54</v>
      </c>
      <c r="DPC45" s="92" t="s">
        <v>54</v>
      </c>
      <c r="DPD45" s="92" t="s">
        <v>54</v>
      </c>
      <c r="DPE45" s="92" t="s">
        <v>54</v>
      </c>
      <c r="DPF45" s="92" t="s">
        <v>54</v>
      </c>
      <c r="DPG45" s="92" t="s">
        <v>54</v>
      </c>
      <c r="DPH45" s="92" t="s">
        <v>54</v>
      </c>
      <c r="DPI45" s="92" t="s">
        <v>54</v>
      </c>
      <c r="DPJ45" s="92" t="s">
        <v>54</v>
      </c>
      <c r="DPK45" s="92" t="s">
        <v>54</v>
      </c>
      <c r="DPL45" s="92" t="s">
        <v>54</v>
      </c>
      <c r="DPM45" s="92" t="s">
        <v>54</v>
      </c>
      <c r="DPN45" s="92" t="s">
        <v>54</v>
      </c>
      <c r="DPO45" s="92" t="s">
        <v>54</v>
      </c>
      <c r="DPP45" s="92" t="s">
        <v>54</v>
      </c>
      <c r="DPQ45" s="92" t="s">
        <v>54</v>
      </c>
      <c r="DPR45" s="92" t="s">
        <v>54</v>
      </c>
      <c r="DPS45" s="92" t="s">
        <v>54</v>
      </c>
      <c r="DPT45" s="92" t="s">
        <v>54</v>
      </c>
      <c r="DPU45" s="92" t="s">
        <v>54</v>
      </c>
      <c r="DPV45" s="92" t="s">
        <v>54</v>
      </c>
      <c r="DPW45" s="92" t="s">
        <v>54</v>
      </c>
      <c r="DPX45" s="92" t="s">
        <v>54</v>
      </c>
      <c r="DPY45" s="92" t="s">
        <v>54</v>
      </c>
      <c r="DPZ45" s="92" t="s">
        <v>54</v>
      </c>
      <c r="DQA45" s="92" t="s">
        <v>54</v>
      </c>
      <c r="DQB45" s="92" t="s">
        <v>54</v>
      </c>
      <c r="DQC45" s="92" t="s">
        <v>54</v>
      </c>
      <c r="DQD45" s="92" t="s">
        <v>54</v>
      </c>
      <c r="DQE45" s="92" t="s">
        <v>54</v>
      </c>
      <c r="DQF45" s="92" t="s">
        <v>54</v>
      </c>
      <c r="DQG45" s="92" t="s">
        <v>54</v>
      </c>
      <c r="DQH45" s="92" t="s">
        <v>54</v>
      </c>
      <c r="DQI45" s="92" t="s">
        <v>54</v>
      </c>
      <c r="DQJ45" s="92" t="s">
        <v>54</v>
      </c>
      <c r="DQK45" s="92" t="s">
        <v>54</v>
      </c>
      <c r="DQL45" s="92" t="s">
        <v>54</v>
      </c>
      <c r="DQM45" s="92" t="s">
        <v>54</v>
      </c>
      <c r="DQN45" s="92" t="s">
        <v>54</v>
      </c>
      <c r="DQO45" s="92" t="s">
        <v>54</v>
      </c>
      <c r="DQP45" s="92" t="s">
        <v>54</v>
      </c>
      <c r="DQQ45" s="92" t="s">
        <v>54</v>
      </c>
      <c r="DQR45" s="92" t="s">
        <v>54</v>
      </c>
      <c r="DQS45" s="92" t="s">
        <v>54</v>
      </c>
      <c r="DQT45" s="92" t="s">
        <v>54</v>
      </c>
      <c r="DQU45" s="92" t="s">
        <v>54</v>
      </c>
      <c r="DQV45" s="92" t="s">
        <v>54</v>
      </c>
      <c r="DQW45" s="92" t="s">
        <v>54</v>
      </c>
      <c r="DQX45" s="92" t="s">
        <v>54</v>
      </c>
      <c r="DQY45" s="92" t="s">
        <v>54</v>
      </c>
      <c r="DQZ45" s="92" t="s">
        <v>54</v>
      </c>
      <c r="DRA45" s="92" t="s">
        <v>54</v>
      </c>
      <c r="DRB45" s="92" t="s">
        <v>54</v>
      </c>
      <c r="DRC45" s="92" t="s">
        <v>54</v>
      </c>
      <c r="DRD45" s="92" t="s">
        <v>54</v>
      </c>
      <c r="DRE45" s="92" t="s">
        <v>54</v>
      </c>
      <c r="DRF45" s="92" t="s">
        <v>54</v>
      </c>
      <c r="DRG45" s="92" t="s">
        <v>54</v>
      </c>
      <c r="DRH45" s="92" t="s">
        <v>54</v>
      </c>
      <c r="DRI45" s="92" t="s">
        <v>54</v>
      </c>
      <c r="DRJ45" s="92" t="s">
        <v>54</v>
      </c>
      <c r="DRK45" s="92" t="s">
        <v>54</v>
      </c>
      <c r="DRL45" s="92" t="s">
        <v>54</v>
      </c>
      <c r="DRM45" s="92" t="s">
        <v>54</v>
      </c>
      <c r="DRN45" s="92" t="s">
        <v>54</v>
      </c>
      <c r="DRO45" s="92" t="s">
        <v>54</v>
      </c>
      <c r="DRP45" s="92" t="s">
        <v>54</v>
      </c>
      <c r="DRQ45" s="92" t="s">
        <v>54</v>
      </c>
      <c r="DRR45" s="92" t="s">
        <v>54</v>
      </c>
      <c r="DRS45" s="92" t="s">
        <v>54</v>
      </c>
      <c r="DRT45" s="92" t="s">
        <v>54</v>
      </c>
      <c r="DRU45" s="92" t="s">
        <v>54</v>
      </c>
      <c r="DRV45" s="92" t="s">
        <v>54</v>
      </c>
      <c r="DRW45" s="92" t="s">
        <v>54</v>
      </c>
      <c r="DRX45" s="92" t="s">
        <v>54</v>
      </c>
      <c r="DRY45" s="92" t="s">
        <v>54</v>
      </c>
      <c r="DRZ45" s="92" t="s">
        <v>54</v>
      </c>
      <c r="DSA45" s="92" t="s">
        <v>54</v>
      </c>
      <c r="DSB45" s="92" t="s">
        <v>54</v>
      </c>
      <c r="DSC45" s="92" t="s">
        <v>54</v>
      </c>
      <c r="DSD45" s="92" t="s">
        <v>54</v>
      </c>
      <c r="DSE45" s="92" t="s">
        <v>54</v>
      </c>
      <c r="DSF45" s="92" t="s">
        <v>54</v>
      </c>
      <c r="DSG45" s="92" t="s">
        <v>54</v>
      </c>
      <c r="DSH45" s="92" t="s">
        <v>54</v>
      </c>
      <c r="DSI45" s="92" t="s">
        <v>54</v>
      </c>
      <c r="DSJ45" s="92" t="s">
        <v>54</v>
      </c>
      <c r="DSK45" s="92" t="s">
        <v>54</v>
      </c>
      <c r="DSL45" s="92" t="s">
        <v>54</v>
      </c>
      <c r="DSM45" s="92" t="s">
        <v>54</v>
      </c>
      <c r="DSN45" s="92" t="s">
        <v>54</v>
      </c>
      <c r="DSO45" s="92" t="s">
        <v>54</v>
      </c>
      <c r="DSP45" s="92" t="s">
        <v>54</v>
      </c>
      <c r="DSQ45" s="92" t="s">
        <v>54</v>
      </c>
      <c r="DSR45" s="92" t="s">
        <v>54</v>
      </c>
      <c r="DSS45" s="92" t="s">
        <v>54</v>
      </c>
      <c r="DST45" s="92" t="s">
        <v>54</v>
      </c>
      <c r="DSU45" s="92" t="s">
        <v>54</v>
      </c>
      <c r="DSV45" s="92" t="s">
        <v>54</v>
      </c>
      <c r="DSW45" s="92" t="s">
        <v>54</v>
      </c>
      <c r="DSX45" s="92" t="s">
        <v>54</v>
      </c>
      <c r="DSY45" s="92" t="s">
        <v>54</v>
      </c>
      <c r="DSZ45" s="92" t="s">
        <v>54</v>
      </c>
      <c r="DTA45" s="92" t="s">
        <v>54</v>
      </c>
      <c r="DTB45" s="92" t="s">
        <v>54</v>
      </c>
      <c r="DTC45" s="92" t="s">
        <v>54</v>
      </c>
      <c r="DTD45" s="92" t="s">
        <v>54</v>
      </c>
      <c r="DTE45" s="92" t="s">
        <v>54</v>
      </c>
      <c r="DTF45" s="92" t="s">
        <v>54</v>
      </c>
      <c r="DTG45" s="92" t="s">
        <v>54</v>
      </c>
      <c r="DTH45" s="92" t="s">
        <v>54</v>
      </c>
      <c r="DTI45" s="92" t="s">
        <v>54</v>
      </c>
      <c r="DTJ45" s="92" t="s">
        <v>54</v>
      </c>
      <c r="DTK45" s="92" t="s">
        <v>54</v>
      </c>
      <c r="DTL45" s="92" t="s">
        <v>54</v>
      </c>
      <c r="DTM45" s="92" t="s">
        <v>54</v>
      </c>
      <c r="DTN45" s="92" t="s">
        <v>54</v>
      </c>
      <c r="DTO45" s="92" t="s">
        <v>54</v>
      </c>
      <c r="DTP45" s="92" t="s">
        <v>54</v>
      </c>
      <c r="DTQ45" s="92" t="s">
        <v>54</v>
      </c>
      <c r="DTR45" s="92" t="s">
        <v>54</v>
      </c>
      <c r="DTS45" s="92" t="s">
        <v>54</v>
      </c>
      <c r="DTT45" s="92" t="s">
        <v>54</v>
      </c>
      <c r="DTU45" s="92" t="s">
        <v>54</v>
      </c>
      <c r="DTV45" s="92" t="s">
        <v>54</v>
      </c>
      <c r="DTW45" s="92" t="s">
        <v>54</v>
      </c>
      <c r="DTX45" s="92" t="s">
        <v>54</v>
      </c>
      <c r="DTY45" s="92" t="s">
        <v>54</v>
      </c>
      <c r="DTZ45" s="92" t="s">
        <v>54</v>
      </c>
      <c r="DUA45" s="92" t="s">
        <v>54</v>
      </c>
      <c r="DUB45" s="92" t="s">
        <v>54</v>
      </c>
      <c r="DUC45" s="92" t="s">
        <v>54</v>
      </c>
      <c r="DUD45" s="92" t="s">
        <v>54</v>
      </c>
      <c r="DUE45" s="92" t="s">
        <v>54</v>
      </c>
      <c r="DUF45" s="92" t="s">
        <v>54</v>
      </c>
      <c r="DUG45" s="92" t="s">
        <v>54</v>
      </c>
      <c r="DUH45" s="92" t="s">
        <v>54</v>
      </c>
      <c r="DUI45" s="92" t="s">
        <v>54</v>
      </c>
      <c r="DUJ45" s="92" t="s">
        <v>54</v>
      </c>
      <c r="DUK45" s="92" t="s">
        <v>54</v>
      </c>
      <c r="DUL45" s="92" t="s">
        <v>54</v>
      </c>
      <c r="DUM45" s="92" t="s">
        <v>54</v>
      </c>
      <c r="DUN45" s="92" t="s">
        <v>54</v>
      </c>
      <c r="DUO45" s="92" t="s">
        <v>54</v>
      </c>
      <c r="DUP45" s="92" t="s">
        <v>54</v>
      </c>
      <c r="DUQ45" s="92" t="s">
        <v>54</v>
      </c>
      <c r="DUR45" s="92" t="s">
        <v>54</v>
      </c>
      <c r="DUS45" s="92" t="s">
        <v>54</v>
      </c>
      <c r="DUT45" s="92" t="s">
        <v>54</v>
      </c>
      <c r="DUU45" s="92" t="s">
        <v>54</v>
      </c>
      <c r="DUV45" s="92" t="s">
        <v>54</v>
      </c>
      <c r="DUW45" s="92" t="s">
        <v>54</v>
      </c>
      <c r="DUX45" s="92" t="s">
        <v>54</v>
      </c>
      <c r="DUY45" s="92" t="s">
        <v>54</v>
      </c>
      <c r="DUZ45" s="92" t="s">
        <v>54</v>
      </c>
      <c r="DVA45" s="92" t="s">
        <v>54</v>
      </c>
      <c r="DVB45" s="92" t="s">
        <v>54</v>
      </c>
      <c r="DVC45" s="92" t="s">
        <v>54</v>
      </c>
      <c r="DVD45" s="92" t="s">
        <v>54</v>
      </c>
      <c r="DVE45" s="92" t="s">
        <v>54</v>
      </c>
      <c r="DVF45" s="92" t="s">
        <v>54</v>
      </c>
      <c r="DVG45" s="92" t="s">
        <v>54</v>
      </c>
      <c r="DVH45" s="92" t="s">
        <v>54</v>
      </c>
      <c r="DVI45" s="92" t="s">
        <v>54</v>
      </c>
      <c r="DVJ45" s="92" t="s">
        <v>54</v>
      </c>
      <c r="DVK45" s="92" t="s">
        <v>54</v>
      </c>
      <c r="DVL45" s="92" t="s">
        <v>54</v>
      </c>
      <c r="DVM45" s="92" t="s">
        <v>54</v>
      </c>
      <c r="DVN45" s="92" t="s">
        <v>54</v>
      </c>
      <c r="DVO45" s="92" t="s">
        <v>54</v>
      </c>
      <c r="DVP45" s="92" t="s">
        <v>54</v>
      </c>
      <c r="DVQ45" s="92" t="s">
        <v>54</v>
      </c>
      <c r="DVR45" s="92" t="s">
        <v>54</v>
      </c>
      <c r="DVS45" s="92" t="s">
        <v>54</v>
      </c>
      <c r="DVT45" s="92" t="s">
        <v>54</v>
      </c>
      <c r="DVU45" s="92" t="s">
        <v>54</v>
      </c>
      <c r="DVV45" s="92" t="s">
        <v>54</v>
      </c>
      <c r="DVW45" s="92" t="s">
        <v>54</v>
      </c>
      <c r="DVX45" s="92" t="s">
        <v>54</v>
      </c>
      <c r="DVY45" s="92" t="s">
        <v>54</v>
      </c>
      <c r="DVZ45" s="92" t="s">
        <v>54</v>
      </c>
      <c r="DWA45" s="92" t="s">
        <v>54</v>
      </c>
      <c r="DWB45" s="92" t="s">
        <v>54</v>
      </c>
      <c r="DWC45" s="92" t="s">
        <v>54</v>
      </c>
      <c r="DWD45" s="92" t="s">
        <v>54</v>
      </c>
      <c r="DWE45" s="92" t="s">
        <v>54</v>
      </c>
      <c r="DWF45" s="92" t="s">
        <v>54</v>
      </c>
      <c r="DWG45" s="92" t="s">
        <v>54</v>
      </c>
      <c r="DWH45" s="92" t="s">
        <v>54</v>
      </c>
      <c r="DWI45" s="92" t="s">
        <v>54</v>
      </c>
      <c r="DWJ45" s="92" t="s">
        <v>54</v>
      </c>
      <c r="DWK45" s="92" t="s">
        <v>54</v>
      </c>
      <c r="DWL45" s="92" t="s">
        <v>54</v>
      </c>
      <c r="DWM45" s="92" t="s">
        <v>54</v>
      </c>
      <c r="DWN45" s="92" t="s">
        <v>54</v>
      </c>
      <c r="DWO45" s="92" t="s">
        <v>54</v>
      </c>
      <c r="DWP45" s="92" t="s">
        <v>54</v>
      </c>
      <c r="DWQ45" s="92" t="s">
        <v>54</v>
      </c>
      <c r="DWR45" s="92" t="s">
        <v>54</v>
      </c>
      <c r="DWS45" s="92" t="s">
        <v>54</v>
      </c>
      <c r="DWT45" s="92" t="s">
        <v>54</v>
      </c>
      <c r="DWU45" s="92" t="s">
        <v>54</v>
      </c>
      <c r="DWV45" s="92" t="s">
        <v>54</v>
      </c>
      <c r="DWW45" s="92" t="s">
        <v>54</v>
      </c>
      <c r="DWX45" s="92" t="s">
        <v>54</v>
      </c>
      <c r="DWY45" s="92" t="s">
        <v>54</v>
      </c>
      <c r="DWZ45" s="92" t="s">
        <v>54</v>
      </c>
      <c r="DXA45" s="92" t="s">
        <v>54</v>
      </c>
      <c r="DXB45" s="92" t="s">
        <v>54</v>
      </c>
      <c r="DXC45" s="92" t="s">
        <v>54</v>
      </c>
      <c r="DXD45" s="92" t="s">
        <v>54</v>
      </c>
      <c r="DXE45" s="92" t="s">
        <v>54</v>
      </c>
      <c r="DXF45" s="92" t="s">
        <v>54</v>
      </c>
      <c r="DXG45" s="92" t="s">
        <v>54</v>
      </c>
      <c r="DXH45" s="92" t="s">
        <v>54</v>
      </c>
      <c r="DXI45" s="92" t="s">
        <v>54</v>
      </c>
      <c r="DXJ45" s="92" t="s">
        <v>54</v>
      </c>
      <c r="DXK45" s="92" t="s">
        <v>54</v>
      </c>
      <c r="DXL45" s="92" t="s">
        <v>54</v>
      </c>
      <c r="DXM45" s="92" t="s">
        <v>54</v>
      </c>
      <c r="DXN45" s="92" t="s">
        <v>54</v>
      </c>
      <c r="DXO45" s="92" t="s">
        <v>54</v>
      </c>
      <c r="DXP45" s="92" t="s">
        <v>54</v>
      </c>
      <c r="DXQ45" s="92" t="s">
        <v>54</v>
      </c>
      <c r="DXR45" s="92" t="s">
        <v>54</v>
      </c>
      <c r="DXS45" s="92" t="s">
        <v>54</v>
      </c>
      <c r="DXT45" s="92" t="s">
        <v>54</v>
      </c>
      <c r="DXU45" s="92" t="s">
        <v>54</v>
      </c>
      <c r="DXV45" s="92" t="s">
        <v>54</v>
      </c>
      <c r="DXW45" s="92" t="s">
        <v>54</v>
      </c>
      <c r="DXX45" s="92" t="s">
        <v>54</v>
      </c>
      <c r="DXY45" s="92" t="s">
        <v>54</v>
      </c>
      <c r="DXZ45" s="92" t="s">
        <v>54</v>
      </c>
      <c r="DYA45" s="92" t="s">
        <v>54</v>
      </c>
      <c r="DYB45" s="92" t="s">
        <v>54</v>
      </c>
      <c r="DYC45" s="92" t="s">
        <v>54</v>
      </c>
      <c r="DYD45" s="92" t="s">
        <v>54</v>
      </c>
      <c r="DYE45" s="92" t="s">
        <v>54</v>
      </c>
      <c r="DYF45" s="92" t="s">
        <v>54</v>
      </c>
      <c r="DYG45" s="92" t="s">
        <v>54</v>
      </c>
      <c r="DYH45" s="92" t="s">
        <v>54</v>
      </c>
      <c r="DYI45" s="92" t="s">
        <v>54</v>
      </c>
      <c r="DYJ45" s="92" t="s">
        <v>54</v>
      </c>
      <c r="DYK45" s="92" t="s">
        <v>54</v>
      </c>
      <c r="DYL45" s="92" t="s">
        <v>54</v>
      </c>
      <c r="DYM45" s="92" t="s">
        <v>54</v>
      </c>
      <c r="DYN45" s="92" t="s">
        <v>54</v>
      </c>
      <c r="DYO45" s="92" t="s">
        <v>54</v>
      </c>
      <c r="DYP45" s="92" t="s">
        <v>54</v>
      </c>
      <c r="DYQ45" s="92" t="s">
        <v>54</v>
      </c>
      <c r="DYR45" s="92" t="s">
        <v>54</v>
      </c>
      <c r="DYS45" s="92" t="s">
        <v>54</v>
      </c>
      <c r="DYT45" s="92" t="s">
        <v>54</v>
      </c>
      <c r="DYU45" s="92" t="s">
        <v>54</v>
      </c>
      <c r="DYV45" s="92" t="s">
        <v>54</v>
      </c>
      <c r="DYW45" s="92" t="s">
        <v>54</v>
      </c>
      <c r="DYX45" s="92" t="s">
        <v>54</v>
      </c>
      <c r="DYY45" s="92" t="s">
        <v>54</v>
      </c>
      <c r="DYZ45" s="92" t="s">
        <v>54</v>
      </c>
      <c r="DZA45" s="92" t="s">
        <v>54</v>
      </c>
      <c r="DZB45" s="92" t="s">
        <v>54</v>
      </c>
      <c r="DZC45" s="92" t="s">
        <v>54</v>
      </c>
      <c r="DZD45" s="92" t="s">
        <v>54</v>
      </c>
      <c r="DZE45" s="92" t="s">
        <v>54</v>
      </c>
      <c r="DZF45" s="92" t="s">
        <v>54</v>
      </c>
      <c r="DZG45" s="92" t="s">
        <v>54</v>
      </c>
      <c r="DZH45" s="92" t="s">
        <v>54</v>
      </c>
      <c r="DZI45" s="92" t="s">
        <v>54</v>
      </c>
      <c r="DZJ45" s="92" t="s">
        <v>54</v>
      </c>
      <c r="DZK45" s="92" t="s">
        <v>54</v>
      </c>
      <c r="DZL45" s="92" t="s">
        <v>54</v>
      </c>
      <c r="DZM45" s="92" t="s">
        <v>54</v>
      </c>
      <c r="DZN45" s="92" t="s">
        <v>54</v>
      </c>
      <c r="DZO45" s="92" t="s">
        <v>54</v>
      </c>
      <c r="DZP45" s="92" t="s">
        <v>54</v>
      </c>
      <c r="DZQ45" s="92" t="s">
        <v>54</v>
      </c>
      <c r="DZR45" s="92" t="s">
        <v>54</v>
      </c>
      <c r="DZS45" s="92" t="s">
        <v>54</v>
      </c>
      <c r="DZT45" s="92" t="s">
        <v>54</v>
      </c>
      <c r="DZU45" s="92" t="s">
        <v>54</v>
      </c>
      <c r="DZV45" s="92" t="s">
        <v>54</v>
      </c>
      <c r="DZW45" s="92" t="s">
        <v>54</v>
      </c>
      <c r="DZX45" s="92" t="s">
        <v>54</v>
      </c>
      <c r="DZY45" s="92" t="s">
        <v>54</v>
      </c>
      <c r="DZZ45" s="92" t="s">
        <v>54</v>
      </c>
      <c r="EAA45" s="92" t="s">
        <v>54</v>
      </c>
      <c r="EAB45" s="92" t="s">
        <v>54</v>
      </c>
      <c r="EAC45" s="92" t="s">
        <v>54</v>
      </c>
      <c r="EAD45" s="92" t="s">
        <v>54</v>
      </c>
      <c r="EAE45" s="92" t="s">
        <v>54</v>
      </c>
      <c r="EAF45" s="92" t="s">
        <v>54</v>
      </c>
      <c r="EAG45" s="92" t="s">
        <v>54</v>
      </c>
      <c r="EAH45" s="92" t="s">
        <v>54</v>
      </c>
      <c r="EAI45" s="92" t="s">
        <v>54</v>
      </c>
      <c r="EAJ45" s="92" t="s">
        <v>54</v>
      </c>
      <c r="EAK45" s="92" t="s">
        <v>54</v>
      </c>
      <c r="EAL45" s="92" t="s">
        <v>54</v>
      </c>
      <c r="EAM45" s="92" t="s">
        <v>54</v>
      </c>
      <c r="EAN45" s="92" t="s">
        <v>54</v>
      </c>
      <c r="EAO45" s="92" t="s">
        <v>54</v>
      </c>
      <c r="EAP45" s="92" t="s">
        <v>54</v>
      </c>
      <c r="EAQ45" s="92" t="s">
        <v>54</v>
      </c>
      <c r="EAR45" s="92" t="s">
        <v>54</v>
      </c>
      <c r="EAS45" s="92" t="s">
        <v>54</v>
      </c>
      <c r="EAT45" s="92" t="s">
        <v>54</v>
      </c>
      <c r="EAU45" s="92" t="s">
        <v>54</v>
      </c>
      <c r="EAV45" s="92" t="s">
        <v>54</v>
      </c>
      <c r="EAW45" s="92" t="s">
        <v>54</v>
      </c>
      <c r="EAX45" s="92" t="s">
        <v>54</v>
      </c>
      <c r="EAY45" s="92" t="s">
        <v>54</v>
      </c>
      <c r="EAZ45" s="92" t="s">
        <v>54</v>
      </c>
      <c r="EBA45" s="92" t="s">
        <v>54</v>
      </c>
      <c r="EBB45" s="92" t="s">
        <v>54</v>
      </c>
      <c r="EBC45" s="92" t="s">
        <v>54</v>
      </c>
      <c r="EBD45" s="92" t="s">
        <v>54</v>
      </c>
      <c r="EBE45" s="92" t="s">
        <v>54</v>
      </c>
      <c r="EBF45" s="92" t="s">
        <v>54</v>
      </c>
      <c r="EBG45" s="92" t="s">
        <v>54</v>
      </c>
      <c r="EBH45" s="92" t="s">
        <v>54</v>
      </c>
      <c r="EBI45" s="92" t="s">
        <v>54</v>
      </c>
      <c r="EBJ45" s="92" t="s">
        <v>54</v>
      </c>
      <c r="EBK45" s="92" t="s">
        <v>54</v>
      </c>
      <c r="EBL45" s="92" t="s">
        <v>54</v>
      </c>
      <c r="EBM45" s="92" t="s">
        <v>54</v>
      </c>
      <c r="EBN45" s="92" t="s">
        <v>54</v>
      </c>
      <c r="EBO45" s="92" t="s">
        <v>54</v>
      </c>
      <c r="EBP45" s="92" t="s">
        <v>54</v>
      </c>
      <c r="EBQ45" s="92" t="s">
        <v>54</v>
      </c>
      <c r="EBR45" s="92" t="s">
        <v>54</v>
      </c>
      <c r="EBS45" s="92" t="s">
        <v>54</v>
      </c>
      <c r="EBT45" s="92" t="s">
        <v>54</v>
      </c>
      <c r="EBU45" s="92" t="s">
        <v>54</v>
      </c>
      <c r="EBV45" s="92" t="s">
        <v>54</v>
      </c>
      <c r="EBW45" s="92" t="s">
        <v>54</v>
      </c>
      <c r="EBX45" s="92" t="s">
        <v>54</v>
      </c>
      <c r="EBY45" s="92" t="s">
        <v>54</v>
      </c>
      <c r="EBZ45" s="92" t="s">
        <v>54</v>
      </c>
      <c r="ECA45" s="92" t="s">
        <v>54</v>
      </c>
      <c r="ECB45" s="92" t="s">
        <v>54</v>
      </c>
      <c r="ECC45" s="92" t="s">
        <v>54</v>
      </c>
      <c r="ECD45" s="92" t="s">
        <v>54</v>
      </c>
      <c r="ECE45" s="92" t="s">
        <v>54</v>
      </c>
      <c r="ECF45" s="92" t="s">
        <v>54</v>
      </c>
      <c r="ECG45" s="92" t="s">
        <v>54</v>
      </c>
      <c r="ECH45" s="92" t="s">
        <v>54</v>
      </c>
      <c r="ECI45" s="92" t="s">
        <v>54</v>
      </c>
      <c r="ECJ45" s="92" t="s">
        <v>54</v>
      </c>
      <c r="ECK45" s="92" t="s">
        <v>54</v>
      </c>
      <c r="ECL45" s="92" t="s">
        <v>54</v>
      </c>
      <c r="ECM45" s="92" t="s">
        <v>54</v>
      </c>
      <c r="ECN45" s="92" t="s">
        <v>54</v>
      </c>
      <c r="ECO45" s="92" t="s">
        <v>54</v>
      </c>
      <c r="ECP45" s="92" t="s">
        <v>54</v>
      </c>
      <c r="ECQ45" s="92" t="s">
        <v>54</v>
      </c>
      <c r="ECR45" s="92" t="s">
        <v>54</v>
      </c>
      <c r="ECS45" s="92" t="s">
        <v>54</v>
      </c>
      <c r="ECT45" s="92" t="s">
        <v>54</v>
      </c>
      <c r="ECU45" s="92" t="s">
        <v>54</v>
      </c>
      <c r="ECV45" s="92" t="s">
        <v>54</v>
      </c>
      <c r="ECW45" s="92" t="s">
        <v>54</v>
      </c>
      <c r="ECX45" s="92" t="s">
        <v>54</v>
      </c>
      <c r="ECY45" s="92" t="s">
        <v>54</v>
      </c>
      <c r="ECZ45" s="92" t="s">
        <v>54</v>
      </c>
      <c r="EDA45" s="92" t="s">
        <v>54</v>
      </c>
      <c r="EDB45" s="92" t="s">
        <v>54</v>
      </c>
      <c r="EDC45" s="92" t="s">
        <v>54</v>
      </c>
      <c r="EDD45" s="92" t="s">
        <v>54</v>
      </c>
      <c r="EDE45" s="92" t="s">
        <v>54</v>
      </c>
      <c r="EDF45" s="92" t="s">
        <v>54</v>
      </c>
      <c r="EDG45" s="92" t="s">
        <v>54</v>
      </c>
      <c r="EDH45" s="92" t="s">
        <v>54</v>
      </c>
      <c r="EDI45" s="92" t="s">
        <v>54</v>
      </c>
      <c r="EDJ45" s="92" t="s">
        <v>54</v>
      </c>
      <c r="EDK45" s="92" t="s">
        <v>54</v>
      </c>
      <c r="EDL45" s="92" t="s">
        <v>54</v>
      </c>
      <c r="EDM45" s="92" t="s">
        <v>54</v>
      </c>
      <c r="EDN45" s="92" t="s">
        <v>54</v>
      </c>
      <c r="EDO45" s="92" t="s">
        <v>54</v>
      </c>
      <c r="EDP45" s="92" t="s">
        <v>54</v>
      </c>
      <c r="EDQ45" s="92" t="s">
        <v>54</v>
      </c>
      <c r="EDR45" s="92" t="s">
        <v>54</v>
      </c>
      <c r="EDS45" s="92" t="s">
        <v>54</v>
      </c>
      <c r="EDT45" s="92" t="s">
        <v>54</v>
      </c>
      <c r="EDU45" s="92" t="s">
        <v>54</v>
      </c>
      <c r="EDV45" s="92" t="s">
        <v>54</v>
      </c>
      <c r="EDW45" s="92" t="s">
        <v>54</v>
      </c>
      <c r="EDX45" s="92" t="s">
        <v>54</v>
      </c>
      <c r="EDY45" s="92" t="s">
        <v>54</v>
      </c>
      <c r="EDZ45" s="92" t="s">
        <v>54</v>
      </c>
      <c r="EEA45" s="92" t="s">
        <v>54</v>
      </c>
      <c r="EEB45" s="92" t="s">
        <v>54</v>
      </c>
      <c r="EEC45" s="92" t="s">
        <v>54</v>
      </c>
      <c r="EED45" s="92" t="s">
        <v>54</v>
      </c>
      <c r="EEE45" s="92" t="s">
        <v>54</v>
      </c>
      <c r="EEF45" s="92" t="s">
        <v>54</v>
      </c>
      <c r="EEG45" s="92" t="s">
        <v>54</v>
      </c>
      <c r="EEH45" s="92" t="s">
        <v>54</v>
      </c>
      <c r="EEI45" s="92" t="s">
        <v>54</v>
      </c>
      <c r="EEJ45" s="92" t="s">
        <v>54</v>
      </c>
      <c r="EEK45" s="92" t="s">
        <v>54</v>
      </c>
      <c r="EEL45" s="92" t="s">
        <v>54</v>
      </c>
      <c r="EEM45" s="92" t="s">
        <v>54</v>
      </c>
      <c r="EEN45" s="92" t="s">
        <v>54</v>
      </c>
      <c r="EEO45" s="92" t="s">
        <v>54</v>
      </c>
      <c r="EEP45" s="92" t="s">
        <v>54</v>
      </c>
      <c r="EEQ45" s="92" t="s">
        <v>54</v>
      </c>
      <c r="EER45" s="92" t="s">
        <v>54</v>
      </c>
      <c r="EES45" s="92" t="s">
        <v>54</v>
      </c>
      <c r="EET45" s="92" t="s">
        <v>54</v>
      </c>
      <c r="EEU45" s="92" t="s">
        <v>54</v>
      </c>
      <c r="EEV45" s="92" t="s">
        <v>54</v>
      </c>
      <c r="EEW45" s="92" t="s">
        <v>54</v>
      </c>
      <c r="EEX45" s="92" t="s">
        <v>54</v>
      </c>
      <c r="EEY45" s="92" t="s">
        <v>54</v>
      </c>
      <c r="EEZ45" s="92" t="s">
        <v>54</v>
      </c>
      <c r="EFA45" s="92" t="s">
        <v>54</v>
      </c>
      <c r="EFB45" s="92" t="s">
        <v>54</v>
      </c>
      <c r="EFC45" s="92" t="s">
        <v>54</v>
      </c>
      <c r="EFD45" s="92" t="s">
        <v>54</v>
      </c>
      <c r="EFE45" s="92" t="s">
        <v>54</v>
      </c>
      <c r="EFF45" s="92" t="s">
        <v>54</v>
      </c>
      <c r="EFG45" s="92" t="s">
        <v>54</v>
      </c>
      <c r="EFH45" s="92" t="s">
        <v>54</v>
      </c>
      <c r="EFI45" s="92" t="s">
        <v>54</v>
      </c>
      <c r="EFJ45" s="92" t="s">
        <v>54</v>
      </c>
      <c r="EFK45" s="92" t="s">
        <v>54</v>
      </c>
      <c r="EFL45" s="92" t="s">
        <v>54</v>
      </c>
      <c r="EFM45" s="92" t="s">
        <v>54</v>
      </c>
      <c r="EFN45" s="92" t="s">
        <v>54</v>
      </c>
      <c r="EFO45" s="92" t="s">
        <v>54</v>
      </c>
      <c r="EFP45" s="92" t="s">
        <v>54</v>
      </c>
      <c r="EFQ45" s="92" t="s">
        <v>54</v>
      </c>
      <c r="EFR45" s="92" t="s">
        <v>54</v>
      </c>
      <c r="EFS45" s="92" t="s">
        <v>54</v>
      </c>
      <c r="EFT45" s="92" t="s">
        <v>54</v>
      </c>
      <c r="EFU45" s="92" t="s">
        <v>54</v>
      </c>
      <c r="EFV45" s="92" t="s">
        <v>54</v>
      </c>
      <c r="EFW45" s="92" t="s">
        <v>54</v>
      </c>
      <c r="EFX45" s="92" t="s">
        <v>54</v>
      </c>
      <c r="EFY45" s="92" t="s">
        <v>54</v>
      </c>
      <c r="EFZ45" s="92" t="s">
        <v>54</v>
      </c>
      <c r="EGA45" s="92" t="s">
        <v>54</v>
      </c>
      <c r="EGB45" s="92" t="s">
        <v>54</v>
      </c>
      <c r="EGC45" s="92" t="s">
        <v>54</v>
      </c>
      <c r="EGD45" s="92" t="s">
        <v>54</v>
      </c>
      <c r="EGE45" s="92" t="s">
        <v>54</v>
      </c>
      <c r="EGF45" s="92" t="s">
        <v>54</v>
      </c>
      <c r="EGG45" s="92" t="s">
        <v>54</v>
      </c>
      <c r="EGH45" s="92" t="s">
        <v>54</v>
      </c>
      <c r="EGI45" s="92" t="s">
        <v>54</v>
      </c>
      <c r="EGJ45" s="92" t="s">
        <v>54</v>
      </c>
      <c r="EGK45" s="92" t="s">
        <v>54</v>
      </c>
      <c r="EGL45" s="92" t="s">
        <v>54</v>
      </c>
      <c r="EGM45" s="92" t="s">
        <v>54</v>
      </c>
      <c r="EGN45" s="92" t="s">
        <v>54</v>
      </c>
      <c r="EGO45" s="92" t="s">
        <v>54</v>
      </c>
      <c r="EGP45" s="92" t="s">
        <v>54</v>
      </c>
      <c r="EGQ45" s="92" t="s">
        <v>54</v>
      </c>
      <c r="EGR45" s="92" t="s">
        <v>54</v>
      </c>
      <c r="EGS45" s="92" t="s">
        <v>54</v>
      </c>
      <c r="EGT45" s="92" t="s">
        <v>54</v>
      </c>
      <c r="EGU45" s="92" t="s">
        <v>54</v>
      </c>
      <c r="EGV45" s="92" t="s">
        <v>54</v>
      </c>
      <c r="EGW45" s="92" t="s">
        <v>54</v>
      </c>
      <c r="EGX45" s="92" t="s">
        <v>54</v>
      </c>
      <c r="EGY45" s="92" t="s">
        <v>54</v>
      </c>
      <c r="EGZ45" s="92" t="s">
        <v>54</v>
      </c>
      <c r="EHA45" s="92" t="s">
        <v>54</v>
      </c>
      <c r="EHB45" s="92" t="s">
        <v>54</v>
      </c>
      <c r="EHC45" s="92" t="s">
        <v>54</v>
      </c>
      <c r="EHD45" s="92" t="s">
        <v>54</v>
      </c>
      <c r="EHE45" s="92" t="s">
        <v>54</v>
      </c>
      <c r="EHF45" s="92" t="s">
        <v>54</v>
      </c>
      <c r="EHG45" s="92" t="s">
        <v>54</v>
      </c>
      <c r="EHH45" s="92" t="s">
        <v>54</v>
      </c>
      <c r="EHI45" s="92" t="s">
        <v>54</v>
      </c>
      <c r="EHJ45" s="92" t="s">
        <v>54</v>
      </c>
      <c r="EHK45" s="92" t="s">
        <v>54</v>
      </c>
      <c r="EHL45" s="92" t="s">
        <v>54</v>
      </c>
      <c r="EHM45" s="92" t="s">
        <v>54</v>
      </c>
      <c r="EHN45" s="92" t="s">
        <v>54</v>
      </c>
      <c r="EHO45" s="92" t="s">
        <v>54</v>
      </c>
      <c r="EHP45" s="92" t="s">
        <v>54</v>
      </c>
      <c r="EHQ45" s="92" t="s">
        <v>54</v>
      </c>
      <c r="EHR45" s="92" t="s">
        <v>54</v>
      </c>
      <c r="EHS45" s="92" t="s">
        <v>54</v>
      </c>
      <c r="EHT45" s="92" t="s">
        <v>54</v>
      </c>
      <c r="EHU45" s="92" t="s">
        <v>54</v>
      </c>
      <c r="EHV45" s="92" t="s">
        <v>54</v>
      </c>
      <c r="EHW45" s="92" t="s">
        <v>54</v>
      </c>
      <c r="EHX45" s="92" t="s">
        <v>54</v>
      </c>
      <c r="EHY45" s="92" t="s">
        <v>54</v>
      </c>
      <c r="EHZ45" s="92" t="s">
        <v>54</v>
      </c>
      <c r="EIA45" s="92" t="s">
        <v>54</v>
      </c>
      <c r="EIB45" s="92" t="s">
        <v>54</v>
      </c>
      <c r="EIC45" s="92" t="s">
        <v>54</v>
      </c>
      <c r="EID45" s="92" t="s">
        <v>54</v>
      </c>
      <c r="EIE45" s="92" t="s">
        <v>54</v>
      </c>
      <c r="EIF45" s="92" t="s">
        <v>54</v>
      </c>
      <c r="EIG45" s="92" t="s">
        <v>54</v>
      </c>
      <c r="EIH45" s="92" t="s">
        <v>54</v>
      </c>
      <c r="EII45" s="92" t="s">
        <v>54</v>
      </c>
      <c r="EIJ45" s="92" t="s">
        <v>54</v>
      </c>
      <c r="EIK45" s="92" t="s">
        <v>54</v>
      </c>
      <c r="EIL45" s="92" t="s">
        <v>54</v>
      </c>
      <c r="EIM45" s="92" t="s">
        <v>54</v>
      </c>
      <c r="EIN45" s="92" t="s">
        <v>54</v>
      </c>
      <c r="EIO45" s="92" t="s">
        <v>54</v>
      </c>
      <c r="EIP45" s="92" t="s">
        <v>54</v>
      </c>
      <c r="EIQ45" s="92" t="s">
        <v>54</v>
      </c>
      <c r="EIR45" s="92" t="s">
        <v>54</v>
      </c>
      <c r="EIS45" s="92" t="s">
        <v>54</v>
      </c>
      <c r="EIT45" s="92" t="s">
        <v>54</v>
      </c>
      <c r="EIU45" s="92" t="s">
        <v>54</v>
      </c>
      <c r="EIV45" s="92" t="s">
        <v>54</v>
      </c>
      <c r="EIW45" s="92" t="s">
        <v>54</v>
      </c>
      <c r="EIX45" s="92" t="s">
        <v>54</v>
      </c>
      <c r="EIY45" s="92" t="s">
        <v>54</v>
      </c>
      <c r="EIZ45" s="92" t="s">
        <v>54</v>
      </c>
      <c r="EJA45" s="92" t="s">
        <v>54</v>
      </c>
      <c r="EJB45" s="92" t="s">
        <v>54</v>
      </c>
      <c r="EJC45" s="92" t="s">
        <v>54</v>
      </c>
      <c r="EJD45" s="92" t="s">
        <v>54</v>
      </c>
      <c r="EJE45" s="92" t="s">
        <v>54</v>
      </c>
      <c r="EJF45" s="92" t="s">
        <v>54</v>
      </c>
      <c r="EJG45" s="92" t="s">
        <v>54</v>
      </c>
      <c r="EJH45" s="92" t="s">
        <v>54</v>
      </c>
      <c r="EJI45" s="92" t="s">
        <v>54</v>
      </c>
      <c r="EJJ45" s="92" t="s">
        <v>54</v>
      </c>
      <c r="EJK45" s="92" t="s">
        <v>54</v>
      </c>
      <c r="EJL45" s="92" t="s">
        <v>54</v>
      </c>
      <c r="EJM45" s="92" t="s">
        <v>54</v>
      </c>
      <c r="EJN45" s="92" t="s">
        <v>54</v>
      </c>
      <c r="EJO45" s="92" t="s">
        <v>54</v>
      </c>
      <c r="EJP45" s="92" t="s">
        <v>54</v>
      </c>
      <c r="EJQ45" s="92" t="s">
        <v>54</v>
      </c>
      <c r="EJR45" s="92" t="s">
        <v>54</v>
      </c>
      <c r="EJS45" s="92" t="s">
        <v>54</v>
      </c>
      <c r="EJT45" s="92" t="s">
        <v>54</v>
      </c>
      <c r="EJU45" s="92" t="s">
        <v>54</v>
      </c>
      <c r="EJV45" s="92" t="s">
        <v>54</v>
      </c>
      <c r="EJW45" s="92" t="s">
        <v>54</v>
      </c>
      <c r="EJX45" s="92" t="s">
        <v>54</v>
      </c>
      <c r="EJY45" s="92" t="s">
        <v>54</v>
      </c>
      <c r="EJZ45" s="92" t="s">
        <v>54</v>
      </c>
      <c r="EKA45" s="92" t="s">
        <v>54</v>
      </c>
      <c r="EKB45" s="92" t="s">
        <v>54</v>
      </c>
      <c r="EKC45" s="92" t="s">
        <v>54</v>
      </c>
      <c r="EKD45" s="92" t="s">
        <v>54</v>
      </c>
      <c r="EKE45" s="92" t="s">
        <v>54</v>
      </c>
      <c r="EKF45" s="92" t="s">
        <v>54</v>
      </c>
      <c r="EKG45" s="92" t="s">
        <v>54</v>
      </c>
      <c r="EKH45" s="92" t="s">
        <v>54</v>
      </c>
      <c r="EKI45" s="92" t="s">
        <v>54</v>
      </c>
      <c r="EKJ45" s="92" t="s">
        <v>54</v>
      </c>
      <c r="EKK45" s="92" t="s">
        <v>54</v>
      </c>
      <c r="EKL45" s="92" t="s">
        <v>54</v>
      </c>
      <c r="EKM45" s="92" t="s">
        <v>54</v>
      </c>
      <c r="EKN45" s="92" t="s">
        <v>54</v>
      </c>
      <c r="EKO45" s="92" t="s">
        <v>54</v>
      </c>
      <c r="EKP45" s="92" t="s">
        <v>54</v>
      </c>
      <c r="EKQ45" s="92" t="s">
        <v>54</v>
      </c>
      <c r="EKR45" s="92" t="s">
        <v>54</v>
      </c>
      <c r="EKS45" s="92" t="s">
        <v>54</v>
      </c>
      <c r="EKT45" s="92" t="s">
        <v>54</v>
      </c>
      <c r="EKU45" s="92" t="s">
        <v>54</v>
      </c>
      <c r="EKV45" s="92" t="s">
        <v>54</v>
      </c>
      <c r="EKW45" s="92" t="s">
        <v>54</v>
      </c>
      <c r="EKX45" s="92" t="s">
        <v>54</v>
      </c>
      <c r="EKY45" s="92" t="s">
        <v>54</v>
      </c>
      <c r="EKZ45" s="92" t="s">
        <v>54</v>
      </c>
      <c r="ELA45" s="92" t="s">
        <v>54</v>
      </c>
      <c r="ELB45" s="92" t="s">
        <v>54</v>
      </c>
      <c r="ELC45" s="92" t="s">
        <v>54</v>
      </c>
      <c r="ELD45" s="92" t="s">
        <v>54</v>
      </c>
      <c r="ELE45" s="92" t="s">
        <v>54</v>
      </c>
      <c r="ELF45" s="92" t="s">
        <v>54</v>
      </c>
      <c r="ELG45" s="92" t="s">
        <v>54</v>
      </c>
      <c r="ELH45" s="92" t="s">
        <v>54</v>
      </c>
      <c r="ELI45" s="92" t="s">
        <v>54</v>
      </c>
      <c r="ELJ45" s="92" t="s">
        <v>54</v>
      </c>
      <c r="ELK45" s="92" t="s">
        <v>54</v>
      </c>
      <c r="ELL45" s="92" t="s">
        <v>54</v>
      </c>
      <c r="ELM45" s="92" t="s">
        <v>54</v>
      </c>
      <c r="ELN45" s="92" t="s">
        <v>54</v>
      </c>
      <c r="ELO45" s="92" t="s">
        <v>54</v>
      </c>
      <c r="ELP45" s="92" t="s">
        <v>54</v>
      </c>
      <c r="ELQ45" s="92" t="s">
        <v>54</v>
      </c>
      <c r="ELR45" s="92" t="s">
        <v>54</v>
      </c>
      <c r="ELS45" s="92" t="s">
        <v>54</v>
      </c>
      <c r="ELT45" s="92" t="s">
        <v>54</v>
      </c>
      <c r="ELU45" s="92" t="s">
        <v>54</v>
      </c>
      <c r="ELV45" s="92" t="s">
        <v>54</v>
      </c>
      <c r="ELW45" s="92" t="s">
        <v>54</v>
      </c>
      <c r="ELX45" s="92" t="s">
        <v>54</v>
      </c>
      <c r="ELY45" s="92" t="s">
        <v>54</v>
      </c>
      <c r="ELZ45" s="92" t="s">
        <v>54</v>
      </c>
      <c r="EMA45" s="92" t="s">
        <v>54</v>
      </c>
      <c r="EMB45" s="92" t="s">
        <v>54</v>
      </c>
      <c r="EMC45" s="92" t="s">
        <v>54</v>
      </c>
      <c r="EMD45" s="92" t="s">
        <v>54</v>
      </c>
      <c r="EME45" s="92" t="s">
        <v>54</v>
      </c>
      <c r="EMF45" s="92" t="s">
        <v>54</v>
      </c>
      <c r="EMG45" s="92" t="s">
        <v>54</v>
      </c>
      <c r="EMH45" s="92" t="s">
        <v>54</v>
      </c>
      <c r="EMI45" s="92" t="s">
        <v>54</v>
      </c>
      <c r="EMJ45" s="92" t="s">
        <v>54</v>
      </c>
      <c r="EMK45" s="92" t="s">
        <v>54</v>
      </c>
      <c r="EML45" s="92" t="s">
        <v>54</v>
      </c>
      <c r="EMM45" s="92" t="s">
        <v>54</v>
      </c>
      <c r="EMN45" s="92" t="s">
        <v>54</v>
      </c>
      <c r="EMO45" s="92" t="s">
        <v>54</v>
      </c>
      <c r="EMP45" s="92" t="s">
        <v>54</v>
      </c>
      <c r="EMQ45" s="92" t="s">
        <v>54</v>
      </c>
      <c r="EMR45" s="92" t="s">
        <v>54</v>
      </c>
      <c r="EMS45" s="92" t="s">
        <v>54</v>
      </c>
      <c r="EMT45" s="92" t="s">
        <v>54</v>
      </c>
      <c r="EMU45" s="92" t="s">
        <v>54</v>
      </c>
      <c r="EMV45" s="92" t="s">
        <v>54</v>
      </c>
      <c r="EMW45" s="92" t="s">
        <v>54</v>
      </c>
      <c r="EMX45" s="92" t="s">
        <v>54</v>
      </c>
      <c r="EMY45" s="92" t="s">
        <v>54</v>
      </c>
      <c r="EMZ45" s="92" t="s">
        <v>54</v>
      </c>
      <c r="ENA45" s="92" t="s">
        <v>54</v>
      </c>
      <c r="ENB45" s="92" t="s">
        <v>54</v>
      </c>
      <c r="ENC45" s="92" t="s">
        <v>54</v>
      </c>
      <c r="END45" s="92" t="s">
        <v>54</v>
      </c>
      <c r="ENE45" s="92" t="s">
        <v>54</v>
      </c>
      <c r="ENF45" s="92" t="s">
        <v>54</v>
      </c>
      <c r="ENG45" s="92" t="s">
        <v>54</v>
      </c>
      <c r="ENH45" s="92" t="s">
        <v>54</v>
      </c>
      <c r="ENI45" s="92" t="s">
        <v>54</v>
      </c>
      <c r="ENJ45" s="92" t="s">
        <v>54</v>
      </c>
      <c r="ENK45" s="92" t="s">
        <v>54</v>
      </c>
      <c r="ENL45" s="92" t="s">
        <v>54</v>
      </c>
      <c r="ENM45" s="92" t="s">
        <v>54</v>
      </c>
      <c r="ENN45" s="92" t="s">
        <v>54</v>
      </c>
      <c r="ENO45" s="92" t="s">
        <v>54</v>
      </c>
      <c r="ENP45" s="92" t="s">
        <v>54</v>
      </c>
      <c r="ENQ45" s="92" t="s">
        <v>54</v>
      </c>
      <c r="ENR45" s="92" t="s">
        <v>54</v>
      </c>
      <c r="ENS45" s="92" t="s">
        <v>54</v>
      </c>
      <c r="ENT45" s="92" t="s">
        <v>54</v>
      </c>
      <c r="ENU45" s="92" t="s">
        <v>54</v>
      </c>
      <c r="ENV45" s="92" t="s">
        <v>54</v>
      </c>
      <c r="ENW45" s="92" t="s">
        <v>54</v>
      </c>
      <c r="ENX45" s="92" t="s">
        <v>54</v>
      </c>
      <c r="ENY45" s="92" t="s">
        <v>54</v>
      </c>
      <c r="ENZ45" s="92" t="s">
        <v>54</v>
      </c>
      <c r="EOA45" s="92" t="s">
        <v>54</v>
      </c>
      <c r="EOB45" s="92" t="s">
        <v>54</v>
      </c>
      <c r="EOC45" s="92" t="s">
        <v>54</v>
      </c>
      <c r="EOD45" s="92" t="s">
        <v>54</v>
      </c>
      <c r="EOE45" s="92" t="s">
        <v>54</v>
      </c>
      <c r="EOF45" s="92" t="s">
        <v>54</v>
      </c>
      <c r="EOG45" s="92" t="s">
        <v>54</v>
      </c>
      <c r="EOH45" s="92" t="s">
        <v>54</v>
      </c>
      <c r="EOI45" s="92" t="s">
        <v>54</v>
      </c>
      <c r="EOJ45" s="92" t="s">
        <v>54</v>
      </c>
      <c r="EOK45" s="92" t="s">
        <v>54</v>
      </c>
      <c r="EOL45" s="92" t="s">
        <v>54</v>
      </c>
      <c r="EOM45" s="92" t="s">
        <v>54</v>
      </c>
      <c r="EON45" s="92" t="s">
        <v>54</v>
      </c>
      <c r="EOO45" s="92" t="s">
        <v>54</v>
      </c>
      <c r="EOP45" s="92" t="s">
        <v>54</v>
      </c>
      <c r="EOQ45" s="92" t="s">
        <v>54</v>
      </c>
      <c r="EOR45" s="92" t="s">
        <v>54</v>
      </c>
      <c r="EOS45" s="92" t="s">
        <v>54</v>
      </c>
      <c r="EOT45" s="92" t="s">
        <v>54</v>
      </c>
      <c r="EOU45" s="92" t="s">
        <v>54</v>
      </c>
      <c r="EOV45" s="92" t="s">
        <v>54</v>
      </c>
      <c r="EOW45" s="92" t="s">
        <v>54</v>
      </c>
      <c r="EOX45" s="92" t="s">
        <v>54</v>
      </c>
      <c r="EOY45" s="92" t="s">
        <v>54</v>
      </c>
      <c r="EOZ45" s="92" t="s">
        <v>54</v>
      </c>
      <c r="EPA45" s="92" t="s">
        <v>54</v>
      </c>
      <c r="EPB45" s="92" t="s">
        <v>54</v>
      </c>
      <c r="EPC45" s="92" t="s">
        <v>54</v>
      </c>
      <c r="EPD45" s="92" t="s">
        <v>54</v>
      </c>
      <c r="EPE45" s="92" t="s">
        <v>54</v>
      </c>
      <c r="EPF45" s="92" t="s">
        <v>54</v>
      </c>
      <c r="EPG45" s="92" t="s">
        <v>54</v>
      </c>
      <c r="EPH45" s="92" t="s">
        <v>54</v>
      </c>
      <c r="EPI45" s="92" t="s">
        <v>54</v>
      </c>
      <c r="EPJ45" s="92" t="s">
        <v>54</v>
      </c>
      <c r="EPK45" s="92" t="s">
        <v>54</v>
      </c>
      <c r="EPL45" s="92" t="s">
        <v>54</v>
      </c>
      <c r="EPM45" s="92" t="s">
        <v>54</v>
      </c>
      <c r="EPN45" s="92" t="s">
        <v>54</v>
      </c>
      <c r="EPO45" s="92" t="s">
        <v>54</v>
      </c>
      <c r="EPP45" s="92" t="s">
        <v>54</v>
      </c>
      <c r="EPQ45" s="92" t="s">
        <v>54</v>
      </c>
      <c r="EPR45" s="92" t="s">
        <v>54</v>
      </c>
      <c r="EPS45" s="92" t="s">
        <v>54</v>
      </c>
      <c r="EPT45" s="92" t="s">
        <v>54</v>
      </c>
      <c r="EPU45" s="92" t="s">
        <v>54</v>
      </c>
      <c r="EPV45" s="92" t="s">
        <v>54</v>
      </c>
      <c r="EPW45" s="92" t="s">
        <v>54</v>
      </c>
      <c r="EPX45" s="92" t="s">
        <v>54</v>
      </c>
      <c r="EPY45" s="92" t="s">
        <v>54</v>
      </c>
      <c r="EPZ45" s="92" t="s">
        <v>54</v>
      </c>
      <c r="EQA45" s="92" t="s">
        <v>54</v>
      </c>
      <c r="EQB45" s="92" t="s">
        <v>54</v>
      </c>
      <c r="EQC45" s="92" t="s">
        <v>54</v>
      </c>
      <c r="EQD45" s="92" t="s">
        <v>54</v>
      </c>
      <c r="EQE45" s="92" t="s">
        <v>54</v>
      </c>
      <c r="EQF45" s="92" t="s">
        <v>54</v>
      </c>
      <c r="EQG45" s="92" t="s">
        <v>54</v>
      </c>
      <c r="EQH45" s="92" t="s">
        <v>54</v>
      </c>
      <c r="EQI45" s="92" t="s">
        <v>54</v>
      </c>
      <c r="EQJ45" s="92" t="s">
        <v>54</v>
      </c>
      <c r="EQK45" s="92" t="s">
        <v>54</v>
      </c>
      <c r="EQL45" s="92" t="s">
        <v>54</v>
      </c>
      <c r="EQM45" s="92" t="s">
        <v>54</v>
      </c>
      <c r="EQN45" s="92" t="s">
        <v>54</v>
      </c>
      <c r="EQO45" s="92" t="s">
        <v>54</v>
      </c>
      <c r="EQP45" s="92" t="s">
        <v>54</v>
      </c>
      <c r="EQQ45" s="92" t="s">
        <v>54</v>
      </c>
      <c r="EQR45" s="92" t="s">
        <v>54</v>
      </c>
      <c r="EQS45" s="92" t="s">
        <v>54</v>
      </c>
      <c r="EQT45" s="92" t="s">
        <v>54</v>
      </c>
      <c r="EQU45" s="92" t="s">
        <v>54</v>
      </c>
      <c r="EQV45" s="92" t="s">
        <v>54</v>
      </c>
      <c r="EQW45" s="92" t="s">
        <v>54</v>
      </c>
      <c r="EQX45" s="92" t="s">
        <v>54</v>
      </c>
      <c r="EQY45" s="92" t="s">
        <v>54</v>
      </c>
      <c r="EQZ45" s="92" t="s">
        <v>54</v>
      </c>
      <c r="ERA45" s="92" t="s">
        <v>54</v>
      </c>
      <c r="ERB45" s="92" t="s">
        <v>54</v>
      </c>
      <c r="ERC45" s="92" t="s">
        <v>54</v>
      </c>
      <c r="ERD45" s="92" t="s">
        <v>54</v>
      </c>
      <c r="ERE45" s="92" t="s">
        <v>54</v>
      </c>
      <c r="ERF45" s="92" t="s">
        <v>54</v>
      </c>
      <c r="ERG45" s="92" t="s">
        <v>54</v>
      </c>
      <c r="ERH45" s="92" t="s">
        <v>54</v>
      </c>
      <c r="ERI45" s="92" t="s">
        <v>54</v>
      </c>
      <c r="ERJ45" s="92" t="s">
        <v>54</v>
      </c>
      <c r="ERK45" s="92" t="s">
        <v>54</v>
      </c>
      <c r="ERL45" s="92" t="s">
        <v>54</v>
      </c>
      <c r="ERM45" s="92" t="s">
        <v>54</v>
      </c>
      <c r="ERN45" s="92" t="s">
        <v>54</v>
      </c>
      <c r="ERO45" s="92" t="s">
        <v>54</v>
      </c>
      <c r="ERP45" s="92" t="s">
        <v>54</v>
      </c>
      <c r="ERQ45" s="92" t="s">
        <v>54</v>
      </c>
      <c r="ERR45" s="92" t="s">
        <v>54</v>
      </c>
      <c r="ERS45" s="92" t="s">
        <v>54</v>
      </c>
      <c r="ERT45" s="92" t="s">
        <v>54</v>
      </c>
      <c r="ERU45" s="92" t="s">
        <v>54</v>
      </c>
      <c r="ERV45" s="92" t="s">
        <v>54</v>
      </c>
      <c r="ERW45" s="92" t="s">
        <v>54</v>
      </c>
      <c r="ERX45" s="92" t="s">
        <v>54</v>
      </c>
      <c r="ERY45" s="92" t="s">
        <v>54</v>
      </c>
      <c r="ERZ45" s="92" t="s">
        <v>54</v>
      </c>
      <c r="ESA45" s="92" t="s">
        <v>54</v>
      </c>
      <c r="ESB45" s="92" t="s">
        <v>54</v>
      </c>
      <c r="ESC45" s="92" t="s">
        <v>54</v>
      </c>
      <c r="ESD45" s="92" t="s">
        <v>54</v>
      </c>
      <c r="ESE45" s="92" t="s">
        <v>54</v>
      </c>
      <c r="ESF45" s="92" t="s">
        <v>54</v>
      </c>
      <c r="ESG45" s="92" t="s">
        <v>54</v>
      </c>
      <c r="ESH45" s="92" t="s">
        <v>54</v>
      </c>
      <c r="ESI45" s="92" t="s">
        <v>54</v>
      </c>
      <c r="ESJ45" s="92" t="s">
        <v>54</v>
      </c>
      <c r="ESK45" s="92" t="s">
        <v>54</v>
      </c>
      <c r="ESL45" s="92" t="s">
        <v>54</v>
      </c>
      <c r="ESM45" s="92" t="s">
        <v>54</v>
      </c>
      <c r="ESN45" s="92" t="s">
        <v>54</v>
      </c>
      <c r="ESO45" s="92" t="s">
        <v>54</v>
      </c>
      <c r="ESP45" s="92" t="s">
        <v>54</v>
      </c>
      <c r="ESQ45" s="92" t="s">
        <v>54</v>
      </c>
      <c r="ESR45" s="92" t="s">
        <v>54</v>
      </c>
      <c r="ESS45" s="92" t="s">
        <v>54</v>
      </c>
      <c r="EST45" s="92" t="s">
        <v>54</v>
      </c>
      <c r="ESU45" s="92" t="s">
        <v>54</v>
      </c>
      <c r="ESV45" s="92" t="s">
        <v>54</v>
      </c>
      <c r="ESW45" s="92" t="s">
        <v>54</v>
      </c>
      <c r="ESX45" s="92" t="s">
        <v>54</v>
      </c>
      <c r="ESY45" s="92" t="s">
        <v>54</v>
      </c>
      <c r="ESZ45" s="92" t="s">
        <v>54</v>
      </c>
      <c r="ETA45" s="92" t="s">
        <v>54</v>
      </c>
      <c r="ETB45" s="92" t="s">
        <v>54</v>
      </c>
      <c r="ETC45" s="92" t="s">
        <v>54</v>
      </c>
      <c r="ETD45" s="92" t="s">
        <v>54</v>
      </c>
      <c r="ETE45" s="92" t="s">
        <v>54</v>
      </c>
      <c r="ETF45" s="92" t="s">
        <v>54</v>
      </c>
      <c r="ETG45" s="92" t="s">
        <v>54</v>
      </c>
      <c r="ETH45" s="92" t="s">
        <v>54</v>
      </c>
      <c r="ETI45" s="92" t="s">
        <v>54</v>
      </c>
      <c r="ETJ45" s="92" t="s">
        <v>54</v>
      </c>
      <c r="ETK45" s="92" t="s">
        <v>54</v>
      </c>
      <c r="ETL45" s="92" t="s">
        <v>54</v>
      </c>
      <c r="ETM45" s="92" t="s">
        <v>54</v>
      </c>
      <c r="ETN45" s="92" t="s">
        <v>54</v>
      </c>
      <c r="ETO45" s="92" t="s">
        <v>54</v>
      </c>
      <c r="ETP45" s="92" t="s">
        <v>54</v>
      </c>
      <c r="ETQ45" s="92" t="s">
        <v>54</v>
      </c>
      <c r="ETR45" s="92" t="s">
        <v>54</v>
      </c>
      <c r="ETS45" s="92" t="s">
        <v>54</v>
      </c>
      <c r="ETT45" s="92" t="s">
        <v>54</v>
      </c>
      <c r="ETU45" s="92" t="s">
        <v>54</v>
      </c>
      <c r="ETV45" s="92" t="s">
        <v>54</v>
      </c>
      <c r="ETW45" s="92" t="s">
        <v>54</v>
      </c>
      <c r="ETX45" s="92" t="s">
        <v>54</v>
      </c>
      <c r="ETY45" s="92" t="s">
        <v>54</v>
      </c>
      <c r="ETZ45" s="92" t="s">
        <v>54</v>
      </c>
      <c r="EUA45" s="92" t="s">
        <v>54</v>
      </c>
      <c r="EUB45" s="92" t="s">
        <v>54</v>
      </c>
      <c r="EUC45" s="92" t="s">
        <v>54</v>
      </c>
      <c r="EUD45" s="92" t="s">
        <v>54</v>
      </c>
      <c r="EUE45" s="92" t="s">
        <v>54</v>
      </c>
      <c r="EUF45" s="92" t="s">
        <v>54</v>
      </c>
      <c r="EUG45" s="92" t="s">
        <v>54</v>
      </c>
      <c r="EUH45" s="92" t="s">
        <v>54</v>
      </c>
      <c r="EUI45" s="92" t="s">
        <v>54</v>
      </c>
      <c r="EUJ45" s="92" t="s">
        <v>54</v>
      </c>
      <c r="EUK45" s="92" t="s">
        <v>54</v>
      </c>
      <c r="EUL45" s="92" t="s">
        <v>54</v>
      </c>
      <c r="EUM45" s="92" t="s">
        <v>54</v>
      </c>
      <c r="EUN45" s="92" t="s">
        <v>54</v>
      </c>
      <c r="EUO45" s="92" t="s">
        <v>54</v>
      </c>
      <c r="EUP45" s="92" t="s">
        <v>54</v>
      </c>
      <c r="EUQ45" s="92" t="s">
        <v>54</v>
      </c>
      <c r="EUR45" s="92" t="s">
        <v>54</v>
      </c>
      <c r="EUS45" s="92" t="s">
        <v>54</v>
      </c>
      <c r="EUT45" s="92" t="s">
        <v>54</v>
      </c>
      <c r="EUU45" s="92" t="s">
        <v>54</v>
      </c>
      <c r="EUV45" s="92" t="s">
        <v>54</v>
      </c>
      <c r="EUW45" s="92" t="s">
        <v>54</v>
      </c>
      <c r="EUX45" s="92" t="s">
        <v>54</v>
      </c>
      <c r="EUY45" s="92" t="s">
        <v>54</v>
      </c>
      <c r="EUZ45" s="92" t="s">
        <v>54</v>
      </c>
      <c r="EVA45" s="92" t="s">
        <v>54</v>
      </c>
      <c r="EVB45" s="92" t="s">
        <v>54</v>
      </c>
      <c r="EVC45" s="92" t="s">
        <v>54</v>
      </c>
      <c r="EVD45" s="92" t="s">
        <v>54</v>
      </c>
      <c r="EVE45" s="92" t="s">
        <v>54</v>
      </c>
      <c r="EVF45" s="92" t="s">
        <v>54</v>
      </c>
      <c r="EVG45" s="92" t="s">
        <v>54</v>
      </c>
      <c r="EVH45" s="92" t="s">
        <v>54</v>
      </c>
      <c r="EVI45" s="92" t="s">
        <v>54</v>
      </c>
      <c r="EVJ45" s="92" t="s">
        <v>54</v>
      </c>
      <c r="EVK45" s="92" t="s">
        <v>54</v>
      </c>
      <c r="EVL45" s="92" t="s">
        <v>54</v>
      </c>
      <c r="EVM45" s="92" t="s">
        <v>54</v>
      </c>
      <c r="EVN45" s="92" t="s">
        <v>54</v>
      </c>
      <c r="EVO45" s="92" t="s">
        <v>54</v>
      </c>
      <c r="EVP45" s="92" t="s">
        <v>54</v>
      </c>
      <c r="EVQ45" s="92" t="s">
        <v>54</v>
      </c>
      <c r="EVR45" s="92" t="s">
        <v>54</v>
      </c>
      <c r="EVS45" s="92" t="s">
        <v>54</v>
      </c>
      <c r="EVT45" s="92" t="s">
        <v>54</v>
      </c>
      <c r="EVU45" s="92" t="s">
        <v>54</v>
      </c>
      <c r="EVV45" s="92" t="s">
        <v>54</v>
      </c>
      <c r="EVW45" s="92" t="s">
        <v>54</v>
      </c>
      <c r="EVX45" s="92" t="s">
        <v>54</v>
      </c>
      <c r="EVY45" s="92" t="s">
        <v>54</v>
      </c>
      <c r="EVZ45" s="92" t="s">
        <v>54</v>
      </c>
      <c r="EWA45" s="92" t="s">
        <v>54</v>
      </c>
      <c r="EWB45" s="92" t="s">
        <v>54</v>
      </c>
      <c r="EWC45" s="92" t="s">
        <v>54</v>
      </c>
      <c r="EWD45" s="92" t="s">
        <v>54</v>
      </c>
      <c r="EWE45" s="92" t="s">
        <v>54</v>
      </c>
      <c r="EWF45" s="92" t="s">
        <v>54</v>
      </c>
      <c r="EWG45" s="92" t="s">
        <v>54</v>
      </c>
      <c r="EWH45" s="92" t="s">
        <v>54</v>
      </c>
      <c r="EWI45" s="92" t="s">
        <v>54</v>
      </c>
      <c r="EWJ45" s="92" t="s">
        <v>54</v>
      </c>
      <c r="EWK45" s="92" t="s">
        <v>54</v>
      </c>
      <c r="EWL45" s="92" t="s">
        <v>54</v>
      </c>
      <c r="EWM45" s="92" t="s">
        <v>54</v>
      </c>
      <c r="EWN45" s="92" t="s">
        <v>54</v>
      </c>
      <c r="EWO45" s="92" t="s">
        <v>54</v>
      </c>
      <c r="EWP45" s="92" t="s">
        <v>54</v>
      </c>
      <c r="EWQ45" s="92" t="s">
        <v>54</v>
      </c>
      <c r="EWR45" s="92" t="s">
        <v>54</v>
      </c>
      <c r="EWS45" s="92" t="s">
        <v>54</v>
      </c>
      <c r="EWT45" s="92" t="s">
        <v>54</v>
      </c>
      <c r="EWU45" s="92" t="s">
        <v>54</v>
      </c>
      <c r="EWV45" s="92" t="s">
        <v>54</v>
      </c>
      <c r="EWW45" s="92" t="s">
        <v>54</v>
      </c>
      <c r="EWX45" s="92" t="s">
        <v>54</v>
      </c>
      <c r="EWY45" s="92" t="s">
        <v>54</v>
      </c>
      <c r="EWZ45" s="92" t="s">
        <v>54</v>
      </c>
      <c r="EXA45" s="92" t="s">
        <v>54</v>
      </c>
      <c r="EXB45" s="92" t="s">
        <v>54</v>
      </c>
      <c r="EXC45" s="92" t="s">
        <v>54</v>
      </c>
      <c r="EXD45" s="92" t="s">
        <v>54</v>
      </c>
      <c r="EXE45" s="92" t="s">
        <v>54</v>
      </c>
      <c r="EXF45" s="92" t="s">
        <v>54</v>
      </c>
      <c r="EXG45" s="92" t="s">
        <v>54</v>
      </c>
      <c r="EXH45" s="92" t="s">
        <v>54</v>
      </c>
      <c r="EXI45" s="92" t="s">
        <v>54</v>
      </c>
      <c r="EXJ45" s="92" t="s">
        <v>54</v>
      </c>
      <c r="EXK45" s="92" t="s">
        <v>54</v>
      </c>
      <c r="EXL45" s="92" t="s">
        <v>54</v>
      </c>
      <c r="EXM45" s="92" t="s">
        <v>54</v>
      </c>
      <c r="EXN45" s="92" t="s">
        <v>54</v>
      </c>
      <c r="EXO45" s="92" t="s">
        <v>54</v>
      </c>
      <c r="EXP45" s="92" t="s">
        <v>54</v>
      </c>
      <c r="EXQ45" s="92" t="s">
        <v>54</v>
      </c>
      <c r="EXR45" s="92" t="s">
        <v>54</v>
      </c>
      <c r="EXS45" s="92" t="s">
        <v>54</v>
      </c>
      <c r="EXT45" s="92" t="s">
        <v>54</v>
      </c>
      <c r="EXU45" s="92" t="s">
        <v>54</v>
      </c>
      <c r="EXV45" s="92" t="s">
        <v>54</v>
      </c>
      <c r="EXW45" s="92" t="s">
        <v>54</v>
      </c>
      <c r="EXX45" s="92" t="s">
        <v>54</v>
      </c>
      <c r="EXY45" s="92" t="s">
        <v>54</v>
      </c>
      <c r="EXZ45" s="92" t="s">
        <v>54</v>
      </c>
      <c r="EYA45" s="92" t="s">
        <v>54</v>
      </c>
      <c r="EYB45" s="92" t="s">
        <v>54</v>
      </c>
      <c r="EYC45" s="92" t="s">
        <v>54</v>
      </c>
      <c r="EYD45" s="92" t="s">
        <v>54</v>
      </c>
      <c r="EYE45" s="92" t="s">
        <v>54</v>
      </c>
      <c r="EYF45" s="92" t="s">
        <v>54</v>
      </c>
      <c r="EYG45" s="92" t="s">
        <v>54</v>
      </c>
      <c r="EYH45" s="92" t="s">
        <v>54</v>
      </c>
      <c r="EYI45" s="92" t="s">
        <v>54</v>
      </c>
      <c r="EYJ45" s="92" t="s">
        <v>54</v>
      </c>
      <c r="EYK45" s="92" t="s">
        <v>54</v>
      </c>
      <c r="EYL45" s="92" t="s">
        <v>54</v>
      </c>
      <c r="EYM45" s="92" t="s">
        <v>54</v>
      </c>
      <c r="EYN45" s="92" t="s">
        <v>54</v>
      </c>
      <c r="EYO45" s="92" t="s">
        <v>54</v>
      </c>
      <c r="EYP45" s="92" t="s">
        <v>54</v>
      </c>
      <c r="EYQ45" s="92" t="s">
        <v>54</v>
      </c>
      <c r="EYR45" s="92" t="s">
        <v>54</v>
      </c>
      <c r="EYS45" s="92" t="s">
        <v>54</v>
      </c>
      <c r="EYT45" s="92" t="s">
        <v>54</v>
      </c>
      <c r="EYU45" s="92" t="s">
        <v>54</v>
      </c>
      <c r="EYV45" s="92" t="s">
        <v>54</v>
      </c>
      <c r="EYW45" s="92" t="s">
        <v>54</v>
      </c>
      <c r="EYX45" s="92" t="s">
        <v>54</v>
      </c>
      <c r="EYY45" s="92" t="s">
        <v>54</v>
      </c>
      <c r="EYZ45" s="92" t="s">
        <v>54</v>
      </c>
      <c r="EZA45" s="92" t="s">
        <v>54</v>
      </c>
      <c r="EZB45" s="92" t="s">
        <v>54</v>
      </c>
      <c r="EZC45" s="92" t="s">
        <v>54</v>
      </c>
      <c r="EZD45" s="92" t="s">
        <v>54</v>
      </c>
      <c r="EZE45" s="92" t="s">
        <v>54</v>
      </c>
      <c r="EZF45" s="92" t="s">
        <v>54</v>
      </c>
      <c r="EZG45" s="92" t="s">
        <v>54</v>
      </c>
      <c r="EZH45" s="92" t="s">
        <v>54</v>
      </c>
      <c r="EZI45" s="92" t="s">
        <v>54</v>
      </c>
      <c r="EZJ45" s="92" t="s">
        <v>54</v>
      </c>
      <c r="EZK45" s="92" t="s">
        <v>54</v>
      </c>
      <c r="EZL45" s="92" t="s">
        <v>54</v>
      </c>
      <c r="EZM45" s="92" t="s">
        <v>54</v>
      </c>
      <c r="EZN45" s="92" t="s">
        <v>54</v>
      </c>
      <c r="EZO45" s="92" t="s">
        <v>54</v>
      </c>
      <c r="EZP45" s="92" t="s">
        <v>54</v>
      </c>
      <c r="EZQ45" s="92" t="s">
        <v>54</v>
      </c>
      <c r="EZR45" s="92" t="s">
        <v>54</v>
      </c>
      <c r="EZS45" s="92" t="s">
        <v>54</v>
      </c>
      <c r="EZT45" s="92" t="s">
        <v>54</v>
      </c>
      <c r="EZU45" s="92" t="s">
        <v>54</v>
      </c>
      <c r="EZV45" s="92" t="s">
        <v>54</v>
      </c>
      <c r="EZW45" s="92" t="s">
        <v>54</v>
      </c>
      <c r="EZX45" s="92" t="s">
        <v>54</v>
      </c>
      <c r="EZY45" s="92" t="s">
        <v>54</v>
      </c>
      <c r="EZZ45" s="92" t="s">
        <v>54</v>
      </c>
      <c r="FAA45" s="92" t="s">
        <v>54</v>
      </c>
      <c r="FAB45" s="92" t="s">
        <v>54</v>
      </c>
      <c r="FAC45" s="92" t="s">
        <v>54</v>
      </c>
      <c r="FAD45" s="92" t="s">
        <v>54</v>
      </c>
      <c r="FAE45" s="92" t="s">
        <v>54</v>
      </c>
      <c r="FAF45" s="92" t="s">
        <v>54</v>
      </c>
      <c r="FAG45" s="92" t="s">
        <v>54</v>
      </c>
      <c r="FAH45" s="92" t="s">
        <v>54</v>
      </c>
      <c r="FAI45" s="92" t="s">
        <v>54</v>
      </c>
      <c r="FAJ45" s="92" t="s">
        <v>54</v>
      </c>
      <c r="FAK45" s="92" t="s">
        <v>54</v>
      </c>
      <c r="FAL45" s="92" t="s">
        <v>54</v>
      </c>
      <c r="FAM45" s="92" t="s">
        <v>54</v>
      </c>
      <c r="FAN45" s="92" t="s">
        <v>54</v>
      </c>
      <c r="FAO45" s="92" t="s">
        <v>54</v>
      </c>
      <c r="FAP45" s="92" t="s">
        <v>54</v>
      </c>
      <c r="FAQ45" s="92" t="s">
        <v>54</v>
      </c>
      <c r="FAR45" s="92" t="s">
        <v>54</v>
      </c>
      <c r="FAS45" s="92" t="s">
        <v>54</v>
      </c>
      <c r="FAT45" s="92" t="s">
        <v>54</v>
      </c>
      <c r="FAU45" s="92" t="s">
        <v>54</v>
      </c>
      <c r="FAV45" s="92" t="s">
        <v>54</v>
      </c>
      <c r="FAW45" s="92" t="s">
        <v>54</v>
      </c>
      <c r="FAX45" s="92" t="s">
        <v>54</v>
      </c>
      <c r="FAY45" s="92" t="s">
        <v>54</v>
      </c>
      <c r="FAZ45" s="92" t="s">
        <v>54</v>
      </c>
      <c r="FBA45" s="92" t="s">
        <v>54</v>
      </c>
      <c r="FBB45" s="92" t="s">
        <v>54</v>
      </c>
      <c r="FBC45" s="92" t="s">
        <v>54</v>
      </c>
      <c r="FBD45" s="92" t="s">
        <v>54</v>
      </c>
      <c r="FBE45" s="92" t="s">
        <v>54</v>
      </c>
      <c r="FBF45" s="92" t="s">
        <v>54</v>
      </c>
      <c r="FBG45" s="92" t="s">
        <v>54</v>
      </c>
      <c r="FBH45" s="92" t="s">
        <v>54</v>
      </c>
      <c r="FBI45" s="92" t="s">
        <v>54</v>
      </c>
      <c r="FBJ45" s="92" t="s">
        <v>54</v>
      </c>
      <c r="FBK45" s="92" t="s">
        <v>54</v>
      </c>
      <c r="FBL45" s="92" t="s">
        <v>54</v>
      </c>
      <c r="FBM45" s="92" t="s">
        <v>54</v>
      </c>
      <c r="FBN45" s="92" t="s">
        <v>54</v>
      </c>
      <c r="FBO45" s="92" t="s">
        <v>54</v>
      </c>
      <c r="FBP45" s="92" t="s">
        <v>54</v>
      </c>
      <c r="FBQ45" s="92" t="s">
        <v>54</v>
      </c>
      <c r="FBR45" s="92" t="s">
        <v>54</v>
      </c>
      <c r="FBS45" s="92" t="s">
        <v>54</v>
      </c>
      <c r="FBT45" s="92" t="s">
        <v>54</v>
      </c>
      <c r="FBU45" s="92" t="s">
        <v>54</v>
      </c>
      <c r="FBV45" s="92" t="s">
        <v>54</v>
      </c>
      <c r="FBW45" s="92" t="s">
        <v>54</v>
      </c>
      <c r="FBX45" s="92" t="s">
        <v>54</v>
      </c>
      <c r="FBY45" s="92" t="s">
        <v>54</v>
      </c>
      <c r="FBZ45" s="92" t="s">
        <v>54</v>
      </c>
      <c r="FCA45" s="92" t="s">
        <v>54</v>
      </c>
      <c r="FCB45" s="92" t="s">
        <v>54</v>
      </c>
      <c r="FCC45" s="92" t="s">
        <v>54</v>
      </c>
      <c r="FCD45" s="92" t="s">
        <v>54</v>
      </c>
      <c r="FCE45" s="92" t="s">
        <v>54</v>
      </c>
      <c r="FCF45" s="92" t="s">
        <v>54</v>
      </c>
      <c r="FCG45" s="92" t="s">
        <v>54</v>
      </c>
      <c r="FCH45" s="92" t="s">
        <v>54</v>
      </c>
      <c r="FCI45" s="92" t="s">
        <v>54</v>
      </c>
      <c r="FCJ45" s="92" t="s">
        <v>54</v>
      </c>
      <c r="FCK45" s="92" t="s">
        <v>54</v>
      </c>
      <c r="FCL45" s="92" t="s">
        <v>54</v>
      </c>
      <c r="FCM45" s="92" t="s">
        <v>54</v>
      </c>
      <c r="FCN45" s="92" t="s">
        <v>54</v>
      </c>
      <c r="FCO45" s="92" t="s">
        <v>54</v>
      </c>
      <c r="FCP45" s="92" t="s">
        <v>54</v>
      </c>
      <c r="FCQ45" s="92" t="s">
        <v>54</v>
      </c>
      <c r="FCR45" s="92" t="s">
        <v>54</v>
      </c>
      <c r="FCS45" s="92" t="s">
        <v>54</v>
      </c>
      <c r="FCT45" s="92" t="s">
        <v>54</v>
      </c>
      <c r="FCU45" s="92" t="s">
        <v>54</v>
      </c>
      <c r="FCV45" s="92" t="s">
        <v>54</v>
      </c>
      <c r="FCW45" s="92" t="s">
        <v>54</v>
      </c>
      <c r="FCX45" s="92" t="s">
        <v>54</v>
      </c>
      <c r="FCY45" s="92" t="s">
        <v>54</v>
      </c>
      <c r="FCZ45" s="92" t="s">
        <v>54</v>
      </c>
      <c r="FDA45" s="92" t="s">
        <v>54</v>
      </c>
      <c r="FDB45" s="92" t="s">
        <v>54</v>
      </c>
      <c r="FDC45" s="92" t="s">
        <v>54</v>
      </c>
      <c r="FDD45" s="92" t="s">
        <v>54</v>
      </c>
      <c r="FDE45" s="92" t="s">
        <v>54</v>
      </c>
      <c r="FDF45" s="92" t="s">
        <v>54</v>
      </c>
      <c r="FDG45" s="92" t="s">
        <v>54</v>
      </c>
      <c r="FDH45" s="92" t="s">
        <v>54</v>
      </c>
      <c r="FDI45" s="92" t="s">
        <v>54</v>
      </c>
      <c r="FDJ45" s="92" t="s">
        <v>54</v>
      </c>
      <c r="FDK45" s="92" t="s">
        <v>54</v>
      </c>
      <c r="FDL45" s="92" t="s">
        <v>54</v>
      </c>
      <c r="FDM45" s="92" t="s">
        <v>54</v>
      </c>
      <c r="FDN45" s="92" t="s">
        <v>54</v>
      </c>
      <c r="FDO45" s="92" t="s">
        <v>54</v>
      </c>
      <c r="FDP45" s="92" t="s">
        <v>54</v>
      </c>
      <c r="FDQ45" s="92" t="s">
        <v>54</v>
      </c>
      <c r="FDR45" s="92" t="s">
        <v>54</v>
      </c>
      <c r="FDS45" s="92" t="s">
        <v>54</v>
      </c>
      <c r="FDT45" s="92" t="s">
        <v>54</v>
      </c>
      <c r="FDU45" s="92" t="s">
        <v>54</v>
      </c>
      <c r="FDV45" s="92" t="s">
        <v>54</v>
      </c>
      <c r="FDW45" s="92" t="s">
        <v>54</v>
      </c>
      <c r="FDX45" s="92" t="s">
        <v>54</v>
      </c>
      <c r="FDY45" s="92" t="s">
        <v>54</v>
      </c>
      <c r="FDZ45" s="92" t="s">
        <v>54</v>
      </c>
      <c r="FEA45" s="92" t="s">
        <v>54</v>
      </c>
      <c r="FEB45" s="92" t="s">
        <v>54</v>
      </c>
      <c r="FEC45" s="92" t="s">
        <v>54</v>
      </c>
      <c r="FED45" s="92" t="s">
        <v>54</v>
      </c>
      <c r="FEE45" s="92" t="s">
        <v>54</v>
      </c>
      <c r="FEF45" s="92" t="s">
        <v>54</v>
      </c>
      <c r="FEG45" s="92" t="s">
        <v>54</v>
      </c>
      <c r="FEH45" s="92" t="s">
        <v>54</v>
      </c>
      <c r="FEI45" s="92" t="s">
        <v>54</v>
      </c>
      <c r="FEJ45" s="92" t="s">
        <v>54</v>
      </c>
      <c r="FEK45" s="92" t="s">
        <v>54</v>
      </c>
      <c r="FEL45" s="92" t="s">
        <v>54</v>
      </c>
      <c r="FEM45" s="92" t="s">
        <v>54</v>
      </c>
      <c r="FEN45" s="92" t="s">
        <v>54</v>
      </c>
      <c r="FEO45" s="92" t="s">
        <v>54</v>
      </c>
      <c r="FEP45" s="92" t="s">
        <v>54</v>
      </c>
      <c r="FEQ45" s="92" t="s">
        <v>54</v>
      </c>
      <c r="FER45" s="92" t="s">
        <v>54</v>
      </c>
      <c r="FES45" s="92" t="s">
        <v>54</v>
      </c>
      <c r="FET45" s="92" t="s">
        <v>54</v>
      </c>
      <c r="FEU45" s="92" t="s">
        <v>54</v>
      </c>
      <c r="FEV45" s="92" t="s">
        <v>54</v>
      </c>
      <c r="FEW45" s="92" t="s">
        <v>54</v>
      </c>
      <c r="FEX45" s="92" t="s">
        <v>54</v>
      </c>
      <c r="FEY45" s="92" t="s">
        <v>54</v>
      </c>
      <c r="FEZ45" s="92" t="s">
        <v>54</v>
      </c>
      <c r="FFA45" s="92" t="s">
        <v>54</v>
      </c>
      <c r="FFB45" s="92" t="s">
        <v>54</v>
      </c>
      <c r="FFC45" s="92" t="s">
        <v>54</v>
      </c>
      <c r="FFD45" s="92" t="s">
        <v>54</v>
      </c>
      <c r="FFE45" s="92" t="s">
        <v>54</v>
      </c>
      <c r="FFF45" s="92" t="s">
        <v>54</v>
      </c>
      <c r="FFG45" s="92" t="s">
        <v>54</v>
      </c>
      <c r="FFH45" s="92" t="s">
        <v>54</v>
      </c>
      <c r="FFI45" s="92" t="s">
        <v>54</v>
      </c>
      <c r="FFJ45" s="92" t="s">
        <v>54</v>
      </c>
      <c r="FFK45" s="92" t="s">
        <v>54</v>
      </c>
      <c r="FFL45" s="92" t="s">
        <v>54</v>
      </c>
      <c r="FFM45" s="92" t="s">
        <v>54</v>
      </c>
      <c r="FFN45" s="92" t="s">
        <v>54</v>
      </c>
      <c r="FFO45" s="92" t="s">
        <v>54</v>
      </c>
      <c r="FFP45" s="92" t="s">
        <v>54</v>
      </c>
      <c r="FFQ45" s="92" t="s">
        <v>54</v>
      </c>
      <c r="FFR45" s="92" t="s">
        <v>54</v>
      </c>
      <c r="FFS45" s="92" t="s">
        <v>54</v>
      </c>
      <c r="FFT45" s="92" t="s">
        <v>54</v>
      </c>
      <c r="FFU45" s="92" t="s">
        <v>54</v>
      </c>
      <c r="FFV45" s="92" t="s">
        <v>54</v>
      </c>
      <c r="FFW45" s="92" t="s">
        <v>54</v>
      </c>
      <c r="FFX45" s="92" t="s">
        <v>54</v>
      </c>
      <c r="FFY45" s="92" t="s">
        <v>54</v>
      </c>
      <c r="FFZ45" s="92" t="s">
        <v>54</v>
      </c>
      <c r="FGA45" s="92" t="s">
        <v>54</v>
      </c>
      <c r="FGB45" s="92" t="s">
        <v>54</v>
      </c>
      <c r="FGC45" s="92" t="s">
        <v>54</v>
      </c>
      <c r="FGD45" s="92" t="s">
        <v>54</v>
      </c>
      <c r="FGE45" s="92" t="s">
        <v>54</v>
      </c>
      <c r="FGF45" s="92" t="s">
        <v>54</v>
      </c>
      <c r="FGG45" s="92" t="s">
        <v>54</v>
      </c>
      <c r="FGH45" s="92" t="s">
        <v>54</v>
      </c>
      <c r="FGI45" s="92" t="s">
        <v>54</v>
      </c>
      <c r="FGJ45" s="92" t="s">
        <v>54</v>
      </c>
      <c r="FGK45" s="92" t="s">
        <v>54</v>
      </c>
      <c r="FGL45" s="92" t="s">
        <v>54</v>
      </c>
      <c r="FGM45" s="92" t="s">
        <v>54</v>
      </c>
      <c r="FGN45" s="92" t="s">
        <v>54</v>
      </c>
      <c r="FGO45" s="92" t="s">
        <v>54</v>
      </c>
      <c r="FGP45" s="92" t="s">
        <v>54</v>
      </c>
      <c r="FGQ45" s="92" t="s">
        <v>54</v>
      </c>
      <c r="FGR45" s="92" t="s">
        <v>54</v>
      </c>
      <c r="FGS45" s="92" t="s">
        <v>54</v>
      </c>
      <c r="FGT45" s="92" t="s">
        <v>54</v>
      </c>
      <c r="FGU45" s="92" t="s">
        <v>54</v>
      </c>
      <c r="FGV45" s="92" t="s">
        <v>54</v>
      </c>
      <c r="FGW45" s="92" t="s">
        <v>54</v>
      </c>
      <c r="FGX45" s="92" t="s">
        <v>54</v>
      </c>
      <c r="FGY45" s="92" t="s">
        <v>54</v>
      </c>
      <c r="FGZ45" s="92" t="s">
        <v>54</v>
      </c>
      <c r="FHA45" s="92" t="s">
        <v>54</v>
      </c>
      <c r="FHB45" s="92" t="s">
        <v>54</v>
      </c>
      <c r="FHC45" s="92" t="s">
        <v>54</v>
      </c>
      <c r="FHD45" s="92" t="s">
        <v>54</v>
      </c>
      <c r="FHE45" s="92" t="s">
        <v>54</v>
      </c>
      <c r="FHF45" s="92" t="s">
        <v>54</v>
      </c>
      <c r="FHG45" s="92" t="s">
        <v>54</v>
      </c>
      <c r="FHH45" s="92" t="s">
        <v>54</v>
      </c>
      <c r="FHI45" s="92" t="s">
        <v>54</v>
      </c>
      <c r="FHJ45" s="92" t="s">
        <v>54</v>
      </c>
      <c r="FHK45" s="92" t="s">
        <v>54</v>
      </c>
      <c r="FHL45" s="92" t="s">
        <v>54</v>
      </c>
      <c r="FHM45" s="92" t="s">
        <v>54</v>
      </c>
      <c r="FHN45" s="92" t="s">
        <v>54</v>
      </c>
      <c r="FHO45" s="92" t="s">
        <v>54</v>
      </c>
      <c r="FHP45" s="92" t="s">
        <v>54</v>
      </c>
      <c r="FHQ45" s="92" t="s">
        <v>54</v>
      </c>
      <c r="FHR45" s="92" t="s">
        <v>54</v>
      </c>
      <c r="FHS45" s="92" t="s">
        <v>54</v>
      </c>
      <c r="FHT45" s="92" t="s">
        <v>54</v>
      </c>
      <c r="FHU45" s="92" t="s">
        <v>54</v>
      </c>
      <c r="FHV45" s="92" t="s">
        <v>54</v>
      </c>
      <c r="FHW45" s="92" t="s">
        <v>54</v>
      </c>
      <c r="FHX45" s="92" t="s">
        <v>54</v>
      </c>
      <c r="FHY45" s="92" t="s">
        <v>54</v>
      </c>
      <c r="FHZ45" s="92" t="s">
        <v>54</v>
      </c>
      <c r="FIA45" s="92" t="s">
        <v>54</v>
      </c>
      <c r="FIB45" s="92" t="s">
        <v>54</v>
      </c>
      <c r="FIC45" s="92" t="s">
        <v>54</v>
      </c>
      <c r="FID45" s="92" t="s">
        <v>54</v>
      </c>
      <c r="FIE45" s="92" t="s">
        <v>54</v>
      </c>
      <c r="FIF45" s="92" t="s">
        <v>54</v>
      </c>
      <c r="FIG45" s="92" t="s">
        <v>54</v>
      </c>
      <c r="FIH45" s="92" t="s">
        <v>54</v>
      </c>
      <c r="FII45" s="92" t="s">
        <v>54</v>
      </c>
      <c r="FIJ45" s="92" t="s">
        <v>54</v>
      </c>
      <c r="FIK45" s="92" t="s">
        <v>54</v>
      </c>
      <c r="FIL45" s="92" t="s">
        <v>54</v>
      </c>
      <c r="FIM45" s="92" t="s">
        <v>54</v>
      </c>
      <c r="FIN45" s="92" t="s">
        <v>54</v>
      </c>
      <c r="FIO45" s="92" t="s">
        <v>54</v>
      </c>
      <c r="FIP45" s="92" t="s">
        <v>54</v>
      </c>
      <c r="FIQ45" s="92" t="s">
        <v>54</v>
      </c>
      <c r="FIR45" s="92" t="s">
        <v>54</v>
      </c>
      <c r="FIS45" s="92" t="s">
        <v>54</v>
      </c>
      <c r="FIT45" s="92" t="s">
        <v>54</v>
      </c>
      <c r="FIU45" s="92" t="s">
        <v>54</v>
      </c>
      <c r="FIV45" s="92" t="s">
        <v>54</v>
      </c>
      <c r="FIW45" s="92" t="s">
        <v>54</v>
      </c>
      <c r="FIX45" s="92" t="s">
        <v>54</v>
      </c>
      <c r="FIY45" s="92" t="s">
        <v>54</v>
      </c>
      <c r="FIZ45" s="92" t="s">
        <v>54</v>
      </c>
      <c r="FJA45" s="92" t="s">
        <v>54</v>
      </c>
      <c r="FJB45" s="92" t="s">
        <v>54</v>
      </c>
      <c r="FJC45" s="92" t="s">
        <v>54</v>
      </c>
      <c r="FJD45" s="92" t="s">
        <v>54</v>
      </c>
      <c r="FJE45" s="92" t="s">
        <v>54</v>
      </c>
      <c r="FJF45" s="92" t="s">
        <v>54</v>
      </c>
      <c r="FJG45" s="92" t="s">
        <v>54</v>
      </c>
      <c r="FJH45" s="92" t="s">
        <v>54</v>
      </c>
      <c r="FJI45" s="92" t="s">
        <v>54</v>
      </c>
      <c r="FJJ45" s="92" t="s">
        <v>54</v>
      </c>
      <c r="FJK45" s="92" t="s">
        <v>54</v>
      </c>
      <c r="FJL45" s="92" t="s">
        <v>54</v>
      </c>
      <c r="FJM45" s="92" t="s">
        <v>54</v>
      </c>
      <c r="FJN45" s="92" t="s">
        <v>54</v>
      </c>
      <c r="FJO45" s="92" t="s">
        <v>54</v>
      </c>
      <c r="FJP45" s="92" t="s">
        <v>54</v>
      </c>
      <c r="FJQ45" s="92" t="s">
        <v>54</v>
      </c>
      <c r="FJR45" s="92" t="s">
        <v>54</v>
      </c>
      <c r="FJS45" s="92" t="s">
        <v>54</v>
      </c>
      <c r="FJT45" s="92" t="s">
        <v>54</v>
      </c>
      <c r="FJU45" s="92" t="s">
        <v>54</v>
      </c>
      <c r="FJV45" s="92" t="s">
        <v>54</v>
      </c>
      <c r="FJW45" s="92" t="s">
        <v>54</v>
      </c>
      <c r="FJX45" s="92" t="s">
        <v>54</v>
      </c>
      <c r="FJY45" s="92" t="s">
        <v>54</v>
      </c>
      <c r="FJZ45" s="92" t="s">
        <v>54</v>
      </c>
      <c r="FKA45" s="92" t="s">
        <v>54</v>
      </c>
      <c r="FKB45" s="92" t="s">
        <v>54</v>
      </c>
      <c r="FKC45" s="92" t="s">
        <v>54</v>
      </c>
      <c r="FKD45" s="92" t="s">
        <v>54</v>
      </c>
      <c r="FKE45" s="92" t="s">
        <v>54</v>
      </c>
      <c r="FKF45" s="92" t="s">
        <v>54</v>
      </c>
      <c r="FKG45" s="92" t="s">
        <v>54</v>
      </c>
      <c r="FKH45" s="92" t="s">
        <v>54</v>
      </c>
      <c r="FKI45" s="92" t="s">
        <v>54</v>
      </c>
      <c r="FKJ45" s="92" t="s">
        <v>54</v>
      </c>
      <c r="FKK45" s="92" t="s">
        <v>54</v>
      </c>
      <c r="FKL45" s="92" t="s">
        <v>54</v>
      </c>
      <c r="FKM45" s="92" t="s">
        <v>54</v>
      </c>
      <c r="FKN45" s="92" t="s">
        <v>54</v>
      </c>
      <c r="FKO45" s="92" t="s">
        <v>54</v>
      </c>
      <c r="FKP45" s="92" t="s">
        <v>54</v>
      </c>
      <c r="FKQ45" s="92" t="s">
        <v>54</v>
      </c>
      <c r="FKR45" s="92" t="s">
        <v>54</v>
      </c>
      <c r="FKS45" s="92" t="s">
        <v>54</v>
      </c>
      <c r="FKT45" s="92" t="s">
        <v>54</v>
      </c>
      <c r="FKU45" s="92" t="s">
        <v>54</v>
      </c>
      <c r="FKV45" s="92" t="s">
        <v>54</v>
      </c>
      <c r="FKW45" s="92" t="s">
        <v>54</v>
      </c>
      <c r="FKX45" s="92" t="s">
        <v>54</v>
      </c>
      <c r="FKY45" s="92" t="s">
        <v>54</v>
      </c>
      <c r="FKZ45" s="92" t="s">
        <v>54</v>
      </c>
      <c r="FLA45" s="92" t="s">
        <v>54</v>
      </c>
      <c r="FLB45" s="92" t="s">
        <v>54</v>
      </c>
      <c r="FLC45" s="92" t="s">
        <v>54</v>
      </c>
      <c r="FLD45" s="92" t="s">
        <v>54</v>
      </c>
      <c r="FLE45" s="92" t="s">
        <v>54</v>
      </c>
      <c r="FLF45" s="92" t="s">
        <v>54</v>
      </c>
      <c r="FLG45" s="92" t="s">
        <v>54</v>
      </c>
      <c r="FLH45" s="92" t="s">
        <v>54</v>
      </c>
      <c r="FLI45" s="92" t="s">
        <v>54</v>
      </c>
      <c r="FLJ45" s="92" t="s">
        <v>54</v>
      </c>
      <c r="FLK45" s="92" t="s">
        <v>54</v>
      </c>
      <c r="FLL45" s="92" t="s">
        <v>54</v>
      </c>
      <c r="FLM45" s="92" t="s">
        <v>54</v>
      </c>
      <c r="FLN45" s="92" t="s">
        <v>54</v>
      </c>
      <c r="FLO45" s="92" t="s">
        <v>54</v>
      </c>
      <c r="FLP45" s="92" t="s">
        <v>54</v>
      </c>
      <c r="FLQ45" s="92" t="s">
        <v>54</v>
      </c>
      <c r="FLR45" s="92" t="s">
        <v>54</v>
      </c>
      <c r="FLS45" s="92" t="s">
        <v>54</v>
      </c>
      <c r="FLT45" s="92" t="s">
        <v>54</v>
      </c>
      <c r="FLU45" s="92" t="s">
        <v>54</v>
      </c>
      <c r="FLV45" s="92" t="s">
        <v>54</v>
      </c>
      <c r="FLW45" s="92" t="s">
        <v>54</v>
      </c>
      <c r="FLX45" s="92" t="s">
        <v>54</v>
      </c>
      <c r="FLY45" s="92" t="s">
        <v>54</v>
      </c>
      <c r="FLZ45" s="92" t="s">
        <v>54</v>
      </c>
      <c r="FMA45" s="92" t="s">
        <v>54</v>
      </c>
      <c r="FMB45" s="92" t="s">
        <v>54</v>
      </c>
      <c r="FMC45" s="92" t="s">
        <v>54</v>
      </c>
      <c r="FMD45" s="92" t="s">
        <v>54</v>
      </c>
      <c r="FME45" s="92" t="s">
        <v>54</v>
      </c>
      <c r="FMF45" s="92" t="s">
        <v>54</v>
      </c>
      <c r="FMG45" s="92" t="s">
        <v>54</v>
      </c>
      <c r="FMH45" s="92" t="s">
        <v>54</v>
      </c>
      <c r="FMI45" s="92" t="s">
        <v>54</v>
      </c>
      <c r="FMJ45" s="92" t="s">
        <v>54</v>
      </c>
      <c r="FMK45" s="92" t="s">
        <v>54</v>
      </c>
      <c r="FML45" s="92" t="s">
        <v>54</v>
      </c>
      <c r="FMM45" s="92" t="s">
        <v>54</v>
      </c>
      <c r="FMN45" s="92" t="s">
        <v>54</v>
      </c>
      <c r="FMO45" s="92" t="s">
        <v>54</v>
      </c>
      <c r="FMP45" s="92" t="s">
        <v>54</v>
      </c>
      <c r="FMQ45" s="92" t="s">
        <v>54</v>
      </c>
      <c r="FMR45" s="92" t="s">
        <v>54</v>
      </c>
      <c r="FMS45" s="92" t="s">
        <v>54</v>
      </c>
      <c r="FMT45" s="92" t="s">
        <v>54</v>
      </c>
      <c r="FMU45" s="92" t="s">
        <v>54</v>
      </c>
      <c r="FMV45" s="92" t="s">
        <v>54</v>
      </c>
      <c r="FMW45" s="92" t="s">
        <v>54</v>
      </c>
      <c r="FMX45" s="92" t="s">
        <v>54</v>
      </c>
      <c r="FMY45" s="92" t="s">
        <v>54</v>
      </c>
      <c r="FMZ45" s="92" t="s">
        <v>54</v>
      </c>
      <c r="FNA45" s="92" t="s">
        <v>54</v>
      </c>
      <c r="FNB45" s="92" t="s">
        <v>54</v>
      </c>
      <c r="FNC45" s="92" t="s">
        <v>54</v>
      </c>
      <c r="FND45" s="92" t="s">
        <v>54</v>
      </c>
      <c r="FNE45" s="92" t="s">
        <v>54</v>
      </c>
      <c r="FNF45" s="92" t="s">
        <v>54</v>
      </c>
      <c r="FNG45" s="92" t="s">
        <v>54</v>
      </c>
      <c r="FNH45" s="92" t="s">
        <v>54</v>
      </c>
      <c r="FNI45" s="92" t="s">
        <v>54</v>
      </c>
      <c r="FNJ45" s="92" t="s">
        <v>54</v>
      </c>
      <c r="FNK45" s="92" t="s">
        <v>54</v>
      </c>
      <c r="FNL45" s="92" t="s">
        <v>54</v>
      </c>
      <c r="FNM45" s="92" t="s">
        <v>54</v>
      </c>
      <c r="FNN45" s="92" t="s">
        <v>54</v>
      </c>
      <c r="FNO45" s="92" t="s">
        <v>54</v>
      </c>
      <c r="FNP45" s="92" t="s">
        <v>54</v>
      </c>
      <c r="FNQ45" s="92" t="s">
        <v>54</v>
      </c>
      <c r="FNR45" s="92" t="s">
        <v>54</v>
      </c>
      <c r="FNS45" s="92" t="s">
        <v>54</v>
      </c>
      <c r="FNT45" s="92" t="s">
        <v>54</v>
      </c>
      <c r="FNU45" s="92" t="s">
        <v>54</v>
      </c>
      <c r="FNV45" s="92" t="s">
        <v>54</v>
      </c>
      <c r="FNW45" s="92" t="s">
        <v>54</v>
      </c>
      <c r="FNX45" s="92" t="s">
        <v>54</v>
      </c>
      <c r="FNY45" s="92" t="s">
        <v>54</v>
      </c>
      <c r="FNZ45" s="92" t="s">
        <v>54</v>
      </c>
      <c r="FOA45" s="92" t="s">
        <v>54</v>
      </c>
      <c r="FOB45" s="92" t="s">
        <v>54</v>
      </c>
      <c r="FOC45" s="92" t="s">
        <v>54</v>
      </c>
      <c r="FOD45" s="92" t="s">
        <v>54</v>
      </c>
      <c r="FOE45" s="92" t="s">
        <v>54</v>
      </c>
      <c r="FOF45" s="92" t="s">
        <v>54</v>
      </c>
      <c r="FOG45" s="92" t="s">
        <v>54</v>
      </c>
      <c r="FOH45" s="92" t="s">
        <v>54</v>
      </c>
      <c r="FOI45" s="92" t="s">
        <v>54</v>
      </c>
      <c r="FOJ45" s="92" t="s">
        <v>54</v>
      </c>
      <c r="FOK45" s="92" t="s">
        <v>54</v>
      </c>
      <c r="FOL45" s="92" t="s">
        <v>54</v>
      </c>
      <c r="FOM45" s="92" t="s">
        <v>54</v>
      </c>
      <c r="FON45" s="92" t="s">
        <v>54</v>
      </c>
      <c r="FOO45" s="92" t="s">
        <v>54</v>
      </c>
      <c r="FOP45" s="92" t="s">
        <v>54</v>
      </c>
      <c r="FOQ45" s="92" t="s">
        <v>54</v>
      </c>
      <c r="FOR45" s="92" t="s">
        <v>54</v>
      </c>
      <c r="FOS45" s="92" t="s">
        <v>54</v>
      </c>
      <c r="FOT45" s="92" t="s">
        <v>54</v>
      </c>
      <c r="FOU45" s="92" t="s">
        <v>54</v>
      </c>
      <c r="FOV45" s="92" t="s">
        <v>54</v>
      </c>
      <c r="FOW45" s="92" t="s">
        <v>54</v>
      </c>
      <c r="FOX45" s="92" t="s">
        <v>54</v>
      </c>
      <c r="FOY45" s="92" t="s">
        <v>54</v>
      </c>
      <c r="FOZ45" s="92" t="s">
        <v>54</v>
      </c>
      <c r="FPA45" s="92" t="s">
        <v>54</v>
      </c>
      <c r="FPB45" s="92" t="s">
        <v>54</v>
      </c>
      <c r="FPC45" s="92" t="s">
        <v>54</v>
      </c>
      <c r="FPD45" s="92" t="s">
        <v>54</v>
      </c>
      <c r="FPE45" s="92" t="s">
        <v>54</v>
      </c>
      <c r="FPF45" s="92" t="s">
        <v>54</v>
      </c>
      <c r="FPG45" s="92" t="s">
        <v>54</v>
      </c>
      <c r="FPH45" s="92" t="s">
        <v>54</v>
      </c>
      <c r="FPI45" s="92" t="s">
        <v>54</v>
      </c>
      <c r="FPJ45" s="92" t="s">
        <v>54</v>
      </c>
      <c r="FPK45" s="92" t="s">
        <v>54</v>
      </c>
      <c r="FPL45" s="92" t="s">
        <v>54</v>
      </c>
      <c r="FPM45" s="92" t="s">
        <v>54</v>
      </c>
      <c r="FPN45" s="92" t="s">
        <v>54</v>
      </c>
      <c r="FPO45" s="92" t="s">
        <v>54</v>
      </c>
      <c r="FPP45" s="92" t="s">
        <v>54</v>
      </c>
      <c r="FPQ45" s="92" t="s">
        <v>54</v>
      </c>
      <c r="FPR45" s="92" t="s">
        <v>54</v>
      </c>
      <c r="FPS45" s="92" t="s">
        <v>54</v>
      </c>
      <c r="FPT45" s="92" t="s">
        <v>54</v>
      </c>
      <c r="FPU45" s="92" t="s">
        <v>54</v>
      </c>
      <c r="FPV45" s="92" t="s">
        <v>54</v>
      </c>
      <c r="FPW45" s="92" t="s">
        <v>54</v>
      </c>
      <c r="FPX45" s="92" t="s">
        <v>54</v>
      </c>
      <c r="FPY45" s="92" t="s">
        <v>54</v>
      </c>
      <c r="FPZ45" s="92" t="s">
        <v>54</v>
      </c>
      <c r="FQA45" s="92" t="s">
        <v>54</v>
      </c>
      <c r="FQB45" s="92" t="s">
        <v>54</v>
      </c>
      <c r="FQC45" s="92" t="s">
        <v>54</v>
      </c>
      <c r="FQD45" s="92" t="s">
        <v>54</v>
      </c>
      <c r="FQE45" s="92" t="s">
        <v>54</v>
      </c>
      <c r="FQF45" s="92" t="s">
        <v>54</v>
      </c>
      <c r="FQG45" s="92" t="s">
        <v>54</v>
      </c>
      <c r="FQH45" s="92" t="s">
        <v>54</v>
      </c>
      <c r="FQI45" s="92" t="s">
        <v>54</v>
      </c>
      <c r="FQJ45" s="92" t="s">
        <v>54</v>
      </c>
      <c r="FQK45" s="92" t="s">
        <v>54</v>
      </c>
      <c r="FQL45" s="92" t="s">
        <v>54</v>
      </c>
      <c r="FQM45" s="92" t="s">
        <v>54</v>
      </c>
      <c r="FQN45" s="92" t="s">
        <v>54</v>
      </c>
      <c r="FQO45" s="92" t="s">
        <v>54</v>
      </c>
      <c r="FQP45" s="92" t="s">
        <v>54</v>
      </c>
      <c r="FQQ45" s="92" t="s">
        <v>54</v>
      </c>
      <c r="FQR45" s="92" t="s">
        <v>54</v>
      </c>
      <c r="FQS45" s="92" t="s">
        <v>54</v>
      </c>
      <c r="FQT45" s="92" t="s">
        <v>54</v>
      </c>
      <c r="FQU45" s="92" t="s">
        <v>54</v>
      </c>
      <c r="FQV45" s="92" t="s">
        <v>54</v>
      </c>
      <c r="FQW45" s="92" t="s">
        <v>54</v>
      </c>
      <c r="FQX45" s="92" t="s">
        <v>54</v>
      </c>
      <c r="FQY45" s="92" t="s">
        <v>54</v>
      </c>
      <c r="FQZ45" s="92" t="s">
        <v>54</v>
      </c>
      <c r="FRA45" s="92" t="s">
        <v>54</v>
      </c>
      <c r="FRB45" s="92" t="s">
        <v>54</v>
      </c>
      <c r="FRC45" s="92" t="s">
        <v>54</v>
      </c>
      <c r="FRD45" s="92" t="s">
        <v>54</v>
      </c>
      <c r="FRE45" s="92" t="s">
        <v>54</v>
      </c>
      <c r="FRF45" s="92" t="s">
        <v>54</v>
      </c>
      <c r="FRG45" s="92" t="s">
        <v>54</v>
      </c>
      <c r="FRH45" s="92" t="s">
        <v>54</v>
      </c>
      <c r="FRI45" s="92" t="s">
        <v>54</v>
      </c>
      <c r="FRJ45" s="92" t="s">
        <v>54</v>
      </c>
      <c r="FRK45" s="92" t="s">
        <v>54</v>
      </c>
      <c r="FRL45" s="92" t="s">
        <v>54</v>
      </c>
      <c r="FRM45" s="92" t="s">
        <v>54</v>
      </c>
      <c r="FRN45" s="92" t="s">
        <v>54</v>
      </c>
      <c r="FRO45" s="92" t="s">
        <v>54</v>
      </c>
      <c r="FRP45" s="92" t="s">
        <v>54</v>
      </c>
      <c r="FRQ45" s="92" t="s">
        <v>54</v>
      </c>
      <c r="FRR45" s="92" t="s">
        <v>54</v>
      </c>
      <c r="FRS45" s="92" t="s">
        <v>54</v>
      </c>
      <c r="FRT45" s="92" t="s">
        <v>54</v>
      </c>
      <c r="FRU45" s="92" t="s">
        <v>54</v>
      </c>
      <c r="FRV45" s="92" t="s">
        <v>54</v>
      </c>
      <c r="FRW45" s="92" t="s">
        <v>54</v>
      </c>
      <c r="FRX45" s="92" t="s">
        <v>54</v>
      </c>
      <c r="FRY45" s="92" t="s">
        <v>54</v>
      </c>
      <c r="FRZ45" s="92" t="s">
        <v>54</v>
      </c>
      <c r="FSA45" s="92" t="s">
        <v>54</v>
      </c>
      <c r="FSB45" s="92" t="s">
        <v>54</v>
      </c>
      <c r="FSC45" s="92" t="s">
        <v>54</v>
      </c>
      <c r="FSD45" s="92" t="s">
        <v>54</v>
      </c>
      <c r="FSE45" s="92" t="s">
        <v>54</v>
      </c>
      <c r="FSF45" s="92" t="s">
        <v>54</v>
      </c>
      <c r="FSG45" s="92" t="s">
        <v>54</v>
      </c>
      <c r="FSH45" s="92" t="s">
        <v>54</v>
      </c>
      <c r="FSI45" s="92" t="s">
        <v>54</v>
      </c>
      <c r="FSJ45" s="92" t="s">
        <v>54</v>
      </c>
      <c r="FSK45" s="92" t="s">
        <v>54</v>
      </c>
      <c r="FSL45" s="92" t="s">
        <v>54</v>
      </c>
      <c r="FSM45" s="92" t="s">
        <v>54</v>
      </c>
      <c r="FSN45" s="92" t="s">
        <v>54</v>
      </c>
      <c r="FSO45" s="92" t="s">
        <v>54</v>
      </c>
      <c r="FSP45" s="92" t="s">
        <v>54</v>
      </c>
      <c r="FSQ45" s="92" t="s">
        <v>54</v>
      </c>
      <c r="FSR45" s="92" t="s">
        <v>54</v>
      </c>
      <c r="FSS45" s="92" t="s">
        <v>54</v>
      </c>
      <c r="FST45" s="92" t="s">
        <v>54</v>
      </c>
      <c r="FSU45" s="92" t="s">
        <v>54</v>
      </c>
      <c r="FSV45" s="92" t="s">
        <v>54</v>
      </c>
      <c r="FSW45" s="92" t="s">
        <v>54</v>
      </c>
      <c r="FSX45" s="92" t="s">
        <v>54</v>
      </c>
      <c r="FSY45" s="92" t="s">
        <v>54</v>
      </c>
      <c r="FSZ45" s="92" t="s">
        <v>54</v>
      </c>
      <c r="FTA45" s="92" t="s">
        <v>54</v>
      </c>
      <c r="FTB45" s="92" t="s">
        <v>54</v>
      </c>
      <c r="FTC45" s="92" t="s">
        <v>54</v>
      </c>
      <c r="FTD45" s="92" t="s">
        <v>54</v>
      </c>
      <c r="FTE45" s="92" t="s">
        <v>54</v>
      </c>
      <c r="FTF45" s="92" t="s">
        <v>54</v>
      </c>
      <c r="FTG45" s="92" t="s">
        <v>54</v>
      </c>
      <c r="FTH45" s="92" t="s">
        <v>54</v>
      </c>
      <c r="FTI45" s="92" t="s">
        <v>54</v>
      </c>
      <c r="FTJ45" s="92" t="s">
        <v>54</v>
      </c>
      <c r="FTK45" s="92" t="s">
        <v>54</v>
      </c>
      <c r="FTL45" s="92" t="s">
        <v>54</v>
      </c>
      <c r="FTM45" s="92" t="s">
        <v>54</v>
      </c>
      <c r="FTN45" s="92" t="s">
        <v>54</v>
      </c>
      <c r="FTO45" s="92" t="s">
        <v>54</v>
      </c>
      <c r="FTP45" s="92" t="s">
        <v>54</v>
      </c>
      <c r="FTQ45" s="92" t="s">
        <v>54</v>
      </c>
      <c r="FTR45" s="92" t="s">
        <v>54</v>
      </c>
      <c r="FTS45" s="92" t="s">
        <v>54</v>
      </c>
      <c r="FTT45" s="92" t="s">
        <v>54</v>
      </c>
      <c r="FTU45" s="92" t="s">
        <v>54</v>
      </c>
      <c r="FTV45" s="92" t="s">
        <v>54</v>
      </c>
      <c r="FTW45" s="92" t="s">
        <v>54</v>
      </c>
      <c r="FTX45" s="92" t="s">
        <v>54</v>
      </c>
      <c r="FTY45" s="92" t="s">
        <v>54</v>
      </c>
      <c r="FTZ45" s="92" t="s">
        <v>54</v>
      </c>
      <c r="FUA45" s="92" t="s">
        <v>54</v>
      </c>
      <c r="FUB45" s="92" t="s">
        <v>54</v>
      </c>
      <c r="FUC45" s="92" t="s">
        <v>54</v>
      </c>
      <c r="FUD45" s="92" t="s">
        <v>54</v>
      </c>
      <c r="FUE45" s="92" t="s">
        <v>54</v>
      </c>
      <c r="FUF45" s="92" t="s">
        <v>54</v>
      </c>
      <c r="FUG45" s="92" t="s">
        <v>54</v>
      </c>
      <c r="FUH45" s="92" t="s">
        <v>54</v>
      </c>
      <c r="FUI45" s="92" t="s">
        <v>54</v>
      </c>
      <c r="FUJ45" s="92" t="s">
        <v>54</v>
      </c>
      <c r="FUK45" s="92" t="s">
        <v>54</v>
      </c>
      <c r="FUL45" s="92" t="s">
        <v>54</v>
      </c>
      <c r="FUM45" s="92" t="s">
        <v>54</v>
      </c>
      <c r="FUN45" s="92" t="s">
        <v>54</v>
      </c>
      <c r="FUO45" s="92" t="s">
        <v>54</v>
      </c>
      <c r="FUP45" s="92" t="s">
        <v>54</v>
      </c>
      <c r="FUQ45" s="92" t="s">
        <v>54</v>
      </c>
      <c r="FUR45" s="92" t="s">
        <v>54</v>
      </c>
      <c r="FUS45" s="92" t="s">
        <v>54</v>
      </c>
      <c r="FUT45" s="92" t="s">
        <v>54</v>
      </c>
      <c r="FUU45" s="92" t="s">
        <v>54</v>
      </c>
      <c r="FUV45" s="92" t="s">
        <v>54</v>
      </c>
      <c r="FUW45" s="92" t="s">
        <v>54</v>
      </c>
      <c r="FUX45" s="92" t="s">
        <v>54</v>
      </c>
      <c r="FUY45" s="92" t="s">
        <v>54</v>
      </c>
      <c r="FUZ45" s="92" t="s">
        <v>54</v>
      </c>
      <c r="FVA45" s="92" t="s">
        <v>54</v>
      </c>
      <c r="FVB45" s="92" t="s">
        <v>54</v>
      </c>
      <c r="FVC45" s="92" t="s">
        <v>54</v>
      </c>
      <c r="FVD45" s="92" t="s">
        <v>54</v>
      </c>
      <c r="FVE45" s="92" t="s">
        <v>54</v>
      </c>
      <c r="FVF45" s="92" t="s">
        <v>54</v>
      </c>
      <c r="FVG45" s="92" t="s">
        <v>54</v>
      </c>
      <c r="FVH45" s="92" t="s">
        <v>54</v>
      </c>
      <c r="FVI45" s="92" t="s">
        <v>54</v>
      </c>
      <c r="FVJ45" s="92" t="s">
        <v>54</v>
      </c>
      <c r="FVK45" s="92" t="s">
        <v>54</v>
      </c>
      <c r="FVL45" s="92" t="s">
        <v>54</v>
      </c>
      <c r="FVM45" s="92" t="s">
        <v>54</v>
      </c>
      <c r="FVN45" s="92" t="s">
        <v>54</v>
      </c>
      <c r="FVO45" s="92" t="s">
        <v>54</v>
      </c>
      <c r="FVP45" s="92" t="s">
        <v>54</v>
      </c>
      <c r="FVQ45" s="92" t="s">
        <v>54</v>
      </c>
      <c r="FVR45" s="92" t="s">
        <v>54</v>
      </c>
      <c r="FVS45" s="92" t="s">
        <v>54</v>
      </c>
      <c r="FVT45" s="92" t="s">
        <v>54</v>
      </c>
      <c r="FVU45" s="92" t="s">
        <v>54</v>
      </c>
      <c r="FVV45" s="92" t="s">
        <v>54</v>
      </c>
      <c r="FVW45" s="92" t="s">
        <v>54</v>
      </c>
      <c r="FVX45" s="92" t="s">
        <v>54</v>
      </c>
      <c r="FVY45" s="92" t="s">
        <v>54</v>
      </c>
      <c r="FVZ45" s="92" t="s">
        <v>54</v>
      </c>
      <c r="FWA45" s="92" t="s">
        <v>54</v>
      </c>
      <c r="FWB45" s="92" t="s">
        <v>54</v>
      </c>
      <c r="FWC45" s="92" t="s">
        <v>54</v>
      </c>
      <c r="FWD45" s="92" t="s">
        <v>54</v>
      </c>
      <c r="FWE45" s="92" t="s">
        <v>54</v>
      </c>
      <c r="FWF45" s="92" t="s">
        <v>54</v>
      </c>
      <c r="FWG45" s="92" t="s">
        <v>54</v>
      </c>
      <c r="FWH45" s="92" t="s">
        <v>54</v>
      </c>
      <c r="FWI45" s="92" t="s">
        <v>54</v>
      </c>
      <c r="FWJ45" s="92" t="s">
        <v>54</v>
      </c>
      <c r="FWK45" s="92" t="s">
        <v>54</v>
      </c>
      <c r="FWL45" s="92" t="s">
        <v>54</v>
      </c>
      <c r="FWM45" s="92" t="s">
        <v>54</v>
      </c>
      <c r="FWN45" s="92" t="s">
        <v>54</v>
      </c>
      <c r="FWO45" s="92" t="s">
        <v>54</v>
      </c>
      <c r="FWP45" s="92" t="s">
        <v>54</v>
      </c>
      <c r="FWQ45" s="92" t="s">
        <v>54</v>
      </c>
      <c r="FWR45" s="92" t="s">
        <v>54</v>
      </c>
      <c r="FWS45" s="92" t="s">
        <v>54</v>
      </c>
      <c r="FWT45" s="92" t="s">
        <v>54</v>
      </c>
      <c r="FWU45" s="92" t="s">
        <v>54</v>
      </c>
      <c r="FWV45" s="92" t="s">
        <v>54</v>
      </c>
      <c r="FWW45" s="92" t="s">
        <v>54</v>
      </c>
      <c r="FWX45" s="92" t="s">
        <v>54</v>
      </c>
      <c r="FWY45" s="92" t="s">
        <v>54</v>
      </c>
      <c r="FWZ45" s="92" t="s">
        <v>54</v>
      </c>
      <c r="FXA45" s="92" t="s">
        <v>54</v>
      </c>
      <c r="FXB45" s="92" t="s">
        <v>54</v>
      </c>
      <c r="FXC45" s="92" t="s">
        <v>54</v>
      </c>
      <c r="FXD45" s="92" t="s">
        <v>54</v>
      </c>
      <c r="FXE45" s="92" t="s">
        <v>54</v>
      </c>
      <c r="FXF45" s="92" t="s">
        <v>54</v>
      </c>
      <c r="FXG45" s="92" t="s">
        <v>54</v>
      </c>
      <c r="FXH45" s="92" t="s">
        <v>54</v>
      </c>
      <c r="FXI45" s="92" t="s">
        <v>54</v>
      </c>
      <c r="FXJ45" s="92" t="s">
        <v>54</v>
      </c>
      <c r="FXK45" s="92" t="s">
        <v>54</v>
      </c>
      <c r="FXL45" s="92" t="s">
        <v>54</v>
      </c>
      <c r="FXM45" s="92" t="s">
        <v>54</v>
      </c>
      <c r="FXN45" s="92" t="s">
        <v>54</v>
      </c>
      <c r="FXO45" s="92" t="s">
        <v>54</v>
      </c>
      <c r="FXP45" s="92" t="s">
        <v>54</v>
      </c>
      <c r="FXQ45" s="92" t="s">
        <v>54</v>
      </c>
      <c r="FXR45" s="92" t="s">
        <v>54</v>
      </c>
      <c r="FXS45" s="92" t="s">
        <v>54</v>
      </c>
      <c r="FXT45" s="92" t="s">
        <v>54</v>
      </c>
      <c r="FXU45" s="92" t="s">
        <v>54</v>
      </c>
      <c r="FXV45" s="92" t="s">
        <v>54</v>
      </c>
      <c r="FXW45" s="92" t="s">
        <v>54</v>
      </c>
      <c r="FXX45" s="92" t="s">
        <v>54</v>
      </c>
      <c r="FXY45" s="92" t="s">
        <v>54</v>
      </c>
      <c r="FXZ45" s="92" t="s">
        <v>54</v>
      </c>
      <c r="FYA45" s="92" t="s">
        <v>54</v>
      </c>
      <c r="FYB45" s="92" t="s">
        <v>54</v>
      </c>
      <c r="FYC45" s="92" t="s">
        <v>54</v>
      </c>
      <c r="FYD45" s="92" t="s">
        <v>54</v>
      </c>
      <c r="FYE45" s="92" t="s">
        <v>54</v>
      </c>
      <c r="FYF45" s="92" t="s">
        <v>54</v>
      </c>
      <c r="FYG45" s="92" t="s">
        <v>54</v>
      </c>
      <c r="FYH45" s="92" t="s">
        <v>54</v>
      </c>
      <c r="FYI45" s="92" t="s">
        <v>54</v>
      </c>
      <c r="FYJ45" s="92" t="s">
        <v>54</v>
      </c>
      <c r="FYK45" s="92" t="s">
        <v>54</v>
      </c>
      <c r="FYL45" s="92" t="s">
        <v>54</v>
      </c>
      <c r="FYM45" s="92" t="s">
        <v>54</v>
      </c>
      <c r="FYN45" s="92" t="s">
        <v>54</v>
      </c>
      <c r="FYO45" s="92" t="s">
        <v>54</v>
      </c>
      <c r="FYP45" s="92" t="s">
        <v>54</v>
      </c>
      <c r="FYQ45" s="92" t="s">
        <v>54</v>
      </c>
      <c r="FYR45" s="92" t="s">
        <v>54</v>
      </c>
      <c r="FYS45" s="92" t="s">
        <v>54</v>
      </c>
      <c r="FYT45" s="92" t="s">
        <v>54</v>
      </c>
      <c r="FYU45" s="92" t="s">
        <v>54</v>
      </c>
      <c r="FYV45" s="92" t="s">
        <v>54</v>
      </c>
      <c r="FYW45" s="92" t="s">
        <v>54</v>
      </c>
      <c r="FYX45" s="92" t="s">
        <v>54</v>
      </c>
      <c r="FYY45" s="92" t="s">
        <v>54</v>
      </c>
      <c r="FYZ45" s="92" t="s">
        <v>54</v>
      </c>
      <c r="FZA45" s="92" t="s">
        <v>54</v>
      </c>
      <c r="FZB45" s="92" t="s">
        <v>54</v>
      </c>
      <c r="FZC45" s="92" t="s">
        <v>54</v>
      </c>
      <c r="FZD45" s="92" t="s">
        <v>54</v>
      </c>
      <c r="FZE45" s="92" t="s">
        <v>54</v>
      </c>
      <c r="FZF45" s="92" t="s">
        <v>54</v>
      </c>
      <c r="FZG45" s="92" t="s">
        <v>54</v>
      </c>
      <c r="FZH45" s="92" t="s">
        <v>54</v>
      </c>
      <c r="FZI45" s="92" t="s">
        <v>54</v>
      </c>
      <c r="FZJ45" s="92" t="s">
        <v>54</v>
      </c>
      <c r="FZK45" s="92" t="s">
        <v>54</v>
      </c>
      <c r="FZL45" s="92" t="s">
        <v>54</v>
      </c>
      <c r="FZM45" s="92" t="s">
        <v>54</v>
      </c>
      <c r="FZN45" s="92" t="s">
        <v>54</v>
      </c>
      <c r="FZO45" s="92" t="s">
        <v>54</v>
      </c>
      <c r="FZP45" s="92" t="s">
        <v>54</v>
      </c>
      <c r="FZQ45" s="92" t="s">
        <v>54</v>
      </c>
      <c r="FZR45" s="92" t="s">
        <v>54</v>
      </c>
      <c r="FZS45" s="92" t="s">
        <v>54</v>
      </c>
      <c r="FZT45" s="92" t="s">
        <v>54</v>
      </c>
      <c r="FZU45" s="92" t="s">
        <v>54</v>
      </c>
      <c r="FZV45" s="92" t="s">
        <v>54</v>
      </c>
      <c r="FZW45" s="92" t="s">
        <v>54</v>
      </c>
      <c r="FZX45" s="92" t="s">
        <v>54</v>
      </c>
      <c r="FZY45" s="92" t="s">
        <v>54</v>
      </c>
      <c r="FZZ45" s="92" t="s">
        <v>54</v>
      </c>
      <c r="GAA45" s="92" t="s">
        <v>54</v>
      </c>
      <c r="GAB45" s="92" t="s">
        <v>54</v>
      </c>
      <c r="GAC45" s="92" t="s">
        <v>54</v>
      </c>
      <c r="GAD45" s="92" t="s">
        <v>54</v>
      </c>
      <c r="GAE45" s="92" t="s">
        <v>54</v>
      </c>
      <c r="GAF45" s="92" t="s">
        <v>54</v>
      </c>
      <c r="GAG45" s="92" t="s">
        <v>54</v>
      </c>
      <c r="GAH45" s="92" t="s">
        <v>54</v>
      </c>
      <c r="GAI45" s="92" t="s">
        <v>54</v>
      </c>
      <c r="GAJ45" s="92" t="s">
        <v>54</v>
      </c>
      <c r="GAK45" s="92" t="s">
        <v>54</v>
      </c>
      <c r="GAL45" s="92" t="s">
        <v>54</v>
      </c>
      <c r="GAM45" s="92" t="s">
        <v>54</v>
      </c>
      <c r="GAN45" s="92" t="s">
        <v>54</v>
      </c>
      <c r="GAO45" s="92" t="s">
        <v>54</v>
      </c>
      <c r="GAP45" s="92" t="s">
        <v>54</v>
      </c>
      <c r="GAQ45" s="92" t="s">
        <v>54</v>
      </c>
      <c r="GAR45" s="92" t="s">
        <v>54</v>
      </c>
      <c r="GAS45" s="92" t="s">
        <v>54</v>
      </c>
      <c r="GAT45" s="92" t="s">
        <v>54</v>
      </c>
      <c r="GAU45" s="92" t="s">
        <v>54</v>
      </c>
      <c r="GAV45" s="92" t="s">
        <v>54</v>
      </c>
      <c r="GAW45" s="92" t="s">
        <v>54</v>
      </c>
      <c r="GAX45" s="92" t="s">
        <v>54</v>
      </c>
      <c r="GAY45" s="92" t="s">
        <v>54</v>
      </c>
      <c r="GAZ45" s="92" t="s">
        <v>54</v>
      </c>
      <c r="GBA45" s="92" t="s">
        <v>54</v>
      </c>
      <c r="GBB45" s="92" t="s">
        <v>54</v>
      </c>
      <c r="GBC45" s="92" t="s">
        <v>54</v>
      </c>
      <c r="GBD45" s="92" t="s">
        <v>54</v>
      </c>
      <c r="GBE45" s="92" t="s">
        <v>54</v>
      </c>
      <c r="GBF45" s="92" t="s">
        <v>54</v>
      </c>
      <c r="GBG45" s="92" t="s">
        <v>54</v>
      </c>
      <c r="GBH45" s="92" t="s">
        <v>54</v>
      </c>
      <c r="GBI45" s="92" t="s">
        <v>54</v>
      </c>
      <c r="GBJ45" s="92" t="s">
        <v>54</v>
      </c>
      <c r="GBK45" s="92" t="s">
        <v>54</v>
      </c>
      <c r="GBL45" s="92" t="s">
        <v>54</v>
      </c>
      <c r="GBM45" s="92" t="s">
        <v>54</v>
      </c>
      <c r="GBN45" s="92" t="s">
        <v>54</v>
      </c>
      <c r="GBO45" s="92" t="s">
        <v>54</v>
      </c>
      <c r="GBP45" s="92" t="s">
        <v>54</v>
      </c>
      <c r="GBQ45" s="92" t="s">
        <v>54</v>
      </c>
      <c r="GBR45" s="92" t="s">
        <v>54</v>
      </c>
      <c r="GBS45" s="92" t="s">
        <v>54</v>
      </c>
      <c r="GBT45" s="92" t="s">
        <v>54</v>
      </c>
      <c r="GBU45" s="92" t="s">
        <v>54</v>
      </c>
      <c r="GBV45" s="92" t="s">
        <v>54</v>
      </c>
      <c r="GBW45" s="92" t="s">
        <v>54</v>
      </c>
      <c r="GBX45" s="92" t="s">
        <v>54</v>
      </c>
      <c r="GBY45" s="92" t="s">
        <v>54</v>
      </c>
      <c r="GBZ45" s="92" t="s">
        <v>54</v>
      </c>
      <c r="GCA45" s="92" t="s">
        <v>54</v>
      </c>
      <c r="GCB45" s="92" t="s">
        <v>54</v>
      </c>
      <c r="GCC45" s="92" t="s">
        <v>54</v>
      </c>
      <c r="GCD45" s="92" t="s">
        <v>54</v>
      </c>
      <c r="GCE45" s="92" t="s">
        <v>54</v>
      </c>
      <c r="GCF45" s="92" t="s">
        <v>54</v>
      </c>
      <c r="GCG45" s="92" t="s">
        <v>54</v>
      </c>
      <c r="GCH45" s="92" t="s">
        <v>54</v>
      </c>
      <c r="GCI45" s="92" t="s">
        <v>54</v>
      </c>
      <c r="GCJ45" s="92" t="s">
        <v>54</v>
      </c>
      <c r="GCK45" s="92" t="s">
        <v>54</v>
      </c>
      <c r="GCL45" s="92" t="s">
        <v>54</v>
      </c>
      <c r="GCM45" s="92" t="s">
        <v>54</v>
      </c>
      <c r="GCN45" s="92" t="s">
        <v>54</v>
      </c>
      <c r="GCO45" s="92" t="s">
        <v>54</v>
      </c>
      <c r="GCP45" s="92" t="s">
        <v>54</v>
      </c>
      <c r="GCQ45" s="92" t="s">
        <v>54</v>
      </c>
      <c r="GCR45" s="92" t="s">
        <v>54</v>
      </c>
      <c r="GCS45" s="92" t="s">
        <v>54</v>
      </c>
      <c r="GCT45" s="92" t="s">
        <v>54</v>
      </c>
      <c r="GCU45" s="92" t="s">
        <v>54</v>
      </c>
      <c r="GCV45" s="92" t="s">
        <v>54</v>
      </c>
      <c r="GCW45" s="92" t="s">
        <v>54</v>
      </c>
      <c r="GCX45" s="92" t="s">
        <v>54</v>
      </c>
      <c r="GCY45" s="92" t="s">
        <v>54</v>
      </c>
      <c r="GCZ45" s="92" t="s">
        <v>54</v>
      </c>
      <c r="GDA45" s="92" t="s">
        <v>54</v>
      </c>
      <c r="GDB45" s="92" t="s">
        <v>54</v>
      </c>
      <c r="GDC45" s="92" t="s">
        <v>54</v>
      </c>
      <c r="GDD45" s="92" t="s">
        <v>54</v>
      </c>
      <c r="GDE45" s="92" t="s">
        <v>54</v>
      </c>
      <c r="GDF45" s="92" t="s">
        <v>54</v>
      </c>
      <c r="GDG45" s="92" t="s">
        <v>54</v>
      </c>
      <c r="GDH45" s="92" t="s">
        <v>54</v>
      </c>
      <c r="GDI45" s="92" t="s">
        <v>54</v>
      </c>
      <c r="GDJ45" s="92" t="s">
        <v>54</v>
      </c>
      <c r="GDK45" s="92" t="s">
        <v>54</v>
      </c>
      <c r="GDL45" s="92" t="s">
        <v>54</v>
      </c>
      <c r="GDM45" s="92" t="s">
        <v>54</v>
      </c>
      <c r="GDN45" s="92" t="s">
        <v>54</v>
      </c>
      <c r="GDO45" s="92" t="s">
        <v>54</v>
      </c>
      <c r="GDP45" s="92" t="s">
        <v>54</v>
      </c>
      <c r="GDQ45" s="92" t="s">
        <v>54</v>
      </c>
      <c r="GDR45" s="92" t="s">
        <v>54</v>
      </c>
      <c r="GDS45" s="92" t="s">
        <v>54</v>
      </c>
      <c r="GDT45" s="92" t="s">
        <v>54</v>
      </c>
      <c r="GDU45" s="92" t="s">
        <v>54</v>
      </c>
      <c r="GDV45" s="92" t="s">
        <v>54</v>
      </c>
      <c r="GDW45" s="92" t="s">
        <v>54</v>
      </c>
      <c r="GDX45" s="92" t="s">
        <v>54</v>
      </c>
      <c r="GDY45" s="92" t="s">
        <v>54</v>
      </c>
      <c r="GDZ45" s="92" t="s">
        <v>54</v>
      </c>
      <c r="GEA45" s="92" t="s">
        <v>54</v>
      </c>
      <c r="GEB45" s="92" t="s">
        <v>54</v>
      </c>
      <c r="GEC45" s="92" t="s">
        <v>54</v>
      </c>
      <c r="GED45" s="92" t="s">
        <v>54</v>
      </c>
      <c r="GEE45" s="92" t="s">
        <v>54</v>
      </c>
      <c r="GEF45" s="92" t="s">
        <v>54</v>
      </c>
      <c r="GEG45" s="92" t="s">
        <v>54</v>
      </c>
      <c r="GEH45" s="92" t="s">
        <v>54</v>
      </c>
      <c r="GEI45" s="92" t="s">
        <v>54</v>
      </c>
      <c r="GEJ45" s="92" t="s">
        <v>54</v>
      </c>
      <c r="GEK45" s="92" t="s">
        <v>54</v>
      </c>
      <c r="GEL45" s="92" t="s">
        <v>54</v>
      </c>
      <c r="GEM45" s="92" t="s">
        <v>54</v>
      </c>
      <c r="GEN45" s="92" t="s">
        <v>54</v>
      </c>
      <c r="GEO45" s="92" t="s">
        <v>54</v>
      </c>
      <c r="GEP45" s="92" t="s">
        <v>54</v>
      </c>
      <c r="GEQ45" s="92" t="s">
        <v>54</v>
      </c>
      <c r="GER45" s="92" t="s">
        <v>54</v>
      </c>
      <c r="GES45" s="92" t="s">
        <v>54</v>
      </c>
      <c r="GET45" s="92" t="s">
        <v>54</v>
      </c>
      <c r="GEU45" s="92" t="s">
        <v>54</v>
      </c>
      <c r="GEV45" s="92" t="s">
        <v>54</v>
      </c>
      <c r="GEW45" s="92" t="s">
        <v>54</v>
      </c>
      <c r="GEX45" s="92" t="s">
        <v>54</v>
      </c>
      <c r="GEY45" s="92" t="s">
        <v>54</v>
      </c>
      <c r="GEZ45" s="92" t="s">
        <v>54</v>
      </c>
      <c r="GFA45" s="92" t="s">
        <v>54</v>
      </c>
      <c r="GFB45" s="92" t="s">
        <v>54</v>
      </c>
      <c r="GFC45" s="92" t="s">
        <v>54</v>
      </c>
      <c r="GFD45" s="92" t="s">
        <v>54</v>
      </c>
      <c r="GFE45" s="92" t="s">
        <v>54</v>
      </c>
      <c r="GFF45" s="92" t="s">
        <v>54</v>
      </c>
      <c r="GFG45" s="92" t="s">
        <v>54</v>
      </c>
      <c r="GFH45" s="92" t="s">
        <v>54</v>
      </c>
      <c r="GFI45" s="92" t="s">
        <v>54</v>
      </c>
      <c r="GFJ45" s="92" t="s">
        <v>54</v>
      </c>
      <c r="GFK45" s="92" t="s">
        <v>54</v>
      </c>
      <c r="GFL45" s="92" t="s">
        <v>54</v>
      </c>
      <c r="GFM45" s="92" t="s">
        <v>54</v>
      </c>
      <c r="GFN45" s="92" t="s">
        <v>54</v>
      </c>
      <c r="GFO45" s="92" t="s">
        <v>54</v>
      </c>
      <c r="GFP45" s="92" t="s">
        <v>54</v>
      </c>
      <c r="GFQ45" s="92" t="s">
        <v>54</v>
      </c>
      <c r="GFR45" s="92" t="s">
        <v>54</v>
      </c>
      <c r="GFS45" s="92" t="s">
        <v>54</v>
      </c>
      <c r="GFT45" s="92" t="s">
        <v>54</v>
      </c>
      <c r="GFU45" s="92" t="s">
        <v>54</v>
      </c>
      <c r="GFV45" s="92" t="s">
        <v>54</v>
      </c>
      <c r="GFW45" s="92" t="s">
        <v>54</v>
      </c>
      <c r="GFX45" s="92" t="s">
        <v>54</v>
      </c>
      <c r="GFY45" s="92" t="s">
        <v>54</v>
      </c>
      <c r="GFZ45" s="92" t="s">
        <v>54</v>
      </c>
      <c r="GGA45" s="92" t="s">
        <v>54</v>
      </c>
      <c r="GGB45" s="92" t="s">
        <v>54</v>
      </c>
      <c r="GGC45" s="92" t="s">
        <v>54</v>
      </c>
      <c r="GGD45" s="92" t="s">
        <v>54</v>
      </c>
      <c r="GGE45" s="92" t="s">
        <v>54</v>
      </c>
      <c r="GGF45" s="92" t="s">
        <v>54</v>
      </c>
      <c r="GGG45" s="92" t="s">
        <v>54</v>
      </c>
      <c r="GGH45" s="92" t="s">
        <v>54</v>
      </c>
      <c r="GGI45" s="92" t="s">
        <v>54</v>
      </c>
      <c r="GGJ45" s="92" t="s">
        <v>54</v>
      </c>
      <c r="GGK45" s="92" t="s">
        <v>54</v>
      </c>
      <c r="GGL45" s="92" t="s">
        <v>54</v>
      </c>
      <c r="GGM45" s="92" t="s">
        <v>54</v>
      </c>
      <c r="GGN45" s="92" t="s">
        <v>54</v>
      </c>
      <c r="GGO45" s="92" t="s">
        <v>54</v>
      </c>
      <c r="GGP45" s="92" t="s">
        <v>54</v>
      </c>
      <c r="GGQ45" s="92" t="s">
        <v>54</v>
      </c>
      <c r="GGR45" s="92" t="s">
        <v>54</v>
      </c>
      <c r="GGS45" s="92" t="s">
        <v>54</v>
      </c>
      <c r="GGT45" s="92" t="s">
        <v>54</v>
      </c>
      <c r="GGU45" s="92" t="s">
        <v>54</v>
      </c>
      <c r="GGV45" s="92" t="s">
        <v>54</v>
      </c>
      <c r="GGW45" s="92" t="s">
        <v>54</v>
      </c>
      <c r="GGX45" s="92" t="s">
        <v>54</v>
      </c>
      <c r="GGY45" s="92" t="s">
        <v>54</v>
      </c>
      <c r="GGZ45" s="92" t="s">
        <v>54</v>
      </c>
      <c r="GHA45" s="92" t="s">
        <v>54</v>
      </c>
      <c r="GHB45" s="92" t="s">
        <v>54</v>
      </c>
      <c r="GHC45" s="92" t="s">
        <v>54</v>
      </c>
      <c r="GHD45" s="92" t="s">
        <v>54</v>
      </c>
      <c r="GHE45" s="92" t="s">
        <v>54</v>
      </c>
      <c r="GHF45" s="92" t="s">
        <v>54</v>
      </c>
      <c r="GHG45" s="92" t="s">
        <v>54</v>
      </c>
      <c r="GHH45" s="92" t="s">
        <v>54</v>
      </c>
      <c r="GHI45" s="92" t="s">
        <v>54</v>
      </c>
      <c r="GHJ45" s="92" t="s">
        <v>54</v>
      </c>
      <c r="GHK45" s="92" t="s">
        <v>54</v>
      </c>
      <c r="GHL45" s="92" t="s">
        <v>54</v>
      </c>
      <c r="GHM45" s="92" t="s">
        <v>54</v>
      </c>
      <c r="GHN45" s="92" t="s">
        <v>54</v>
      </c>
      <c r="GHO45" s="92" t="s">
        <v>54</v>
      </c>
      <c r="GHP45" s="92" t="s">
        <v>54</v>
      </c>
      <c r="GHQ45" s="92" t="s">
        <v>54</v>
      </c>
      <c r="GHR45" s="92" t="s">
        <v>54</v>
      </c>
      <c r="GHS45" s="92" t="s">
        <v>54</v>
      </c>
      <c r="GHT45" s="92" t="s">
        <v>54</v>
      </c>
      <c r="GHU45" s="92" t="s">
        <v>54</v>
      </c>
      <c r="GHV45" s="92" t="s">
        <v>54</v>
      </c>
      <c r="GHW45" s="92" t="s">
        <v>54</v>
      </c>
      <c r="GHX45" s="92" t="s">
        <v>54</v>
      </c>
      <c r="GHY45" s="92" t="s">
        <v>54</v>
      </c>
      <c r="GHZ45" s="92" t="s">
        <v>54</v>
      </c>
      <c r="GIA45" s="92" t="s">
        <v>54</v>
      </c>
      <c r="GIB45" s="92" t="s">
        <v>54</v>
      </c>
      <c r="GIC45" s="92" t="s">
        <v>54</v>
      </c>
      <c r="GID45" s="92" t="s">
        <v>54</v>
      </c>
      <c r="GIE45" s="92" t="s">
        <v>54</v>
      </c>
      <c r="GIF45" s="92" t="s">
        <v>54</v>
      </c>
      <c r="GIG45" s="92" t="s">
        <v>54</v>
      </c>
      <c r="GIH45" s="92" t="s">
        <v>54</v>
      </c>
      <c r="GII45" s="92" t="s">
        <v>54</v>
      </c>
      <c r="GIJ45" s="92" t="s">
        <v>54</v>
      </c>
      <c r="GIK45" s="92" t="s">
        <v>54</v>
      </c>
      <c r="GIL45" s="92" t="s">
        <v>54</v>
      </c>
      <c r="GIM45" s="92" t="s">
        <v>54</v>
      </c>
      <c r="GIN45" s="92" t="s">
        <v>54</v>
      </c>
      <c r="GIO45" s="92" t="s">
        <v>54</v>
      </c>
      <c r="GIP45" s="92" t="s">
        <v>54</v>
      </c>
      <c r="GIQ45" s="92" t="s">
        <v>54</v>
      </c>
      <c r="GIR45" s="92" t="s">
        <v>54</v>
      </c>
      <c r="GIS45" s="92" t="s">
        <v>54</v>
      </c>
      <c r="GIT45" s="92" t="s">
        <v>54</v>
      </c>
      <c r="GIU45" s="92" t="s">
        <v>54</v>
      </c>
      <c r="GIV45" s="92" t="s">
        <v>54</v>
      </c>
      <c r="GIW45" s="92" t="s">
        <v>54</v>
      </c>
      <c r="GIX45" s="92" t="s">
        <v>54</v>
      </c>
      <c r="GIY45" s="92" t="s">
        <v>54</v>
      </c>
      <c r="GIZ45" s="92" t="s">
        <v>54</v>
      </c>
      <c r="GJA45" s="92" t="s">
        <v>54</v>
      </c>
      <c r="GJB45" s="92" t="s">
        <v>54</v>
      </c>
      <c r="GJC45" s="92" t="s">
        <v>54</v>
      </c>
      <c r="GJD45" s="92" t="s">
        <v>54</v>
      </c>
      <c r="GJE45" s="92" t="s">
        <v>54</v>
      </c>
      <c r="GJF45" s="92" t="s">
        <v>54</v>
      </c>
      <c r="GJG45" s="92" t="s">
        <v>54</v>
      </c>
      <c r="GJH45" s="92" t="s">
        <v>54</v>
      </c>
      <c r="GJI45" s="92" t="s">
        <v>54</v>
      </c>
      <c r="GJJ45" s="92" t="s">
        <v>54</v>
      </c>
      <c r="GJK45" s="92" t="s">
        <v>54</v>
      </c>
      <c r="GJL45" s="92" t="s">
        <v>54</v>
      </c>
      <c r="GJM45" s="92" t="s">
        <v>54</v>
      </c>
      <c r="GJN45" s="92" t="s">
        <v>54</v>
      </c>
      <c r="GJO45" s="92" t="s">
        <v>54</v>
      </c>
      <c r="GJP45" s="92" t="s">
        <v>54</v>
      </c>
      <c r="GJQ45" s="92" t="s">
        <v>54</v>
      </c>
      <c r="GJR45" s="92" t="s">
        <v>54</v>
      </c>
      <c r="GJS45" s="92" t="s">
        <v>54</v>
      </c>
      <c r="GJT45" s="92" t="s">
        <v>54</v>
      </c>
      <c r="GJU45" s="92" t="s">
        <v>54</v>
      </c>
      <c r="GJV45" s="92" t="s">
        <v>54</v>
      </c>
      <c r="GJW45" s="92" t="s">
        <v>54</v>
      </c>
      <c r="GJX45" s="92" t="s">
        <v>54</v>
      </c>
      <c r="GJY45" s="92" t="s">
        <v>54</v>
      </c>
      <c r="GJZ45" s="92" t="s">
        <v>54</v>
      </c>
      <c r="GKA45" s="92" t="s">
        <v>54</v>
      </c>
      <c r="GKB45" s="92" t="s">
        <v>54</v>
      </c>
      <c r="GKC45" s="92" t="s">
        <v>54</v>
      </c>
      <c r="GKD45" s="92" t="s">
        <v>54</v>
      </c>
      <c r="GKE45" s="92" t="s">
        <v>54</v>
      </c>
      <c r="GKF45" s="92" t="s">
        <v>54</v>
      </c>
      <c r="GKG45" s="92" t="s">
        <v>54</v>
      </c>
      <c r="GKH45" s="92" t="s">
        <v>54</v>
      </c>
      <c r="GKI45" s="92" t="s">
        <v>54</v>
      </c>
      <c r="GKJ45" s="92" t="s">
        <v>54</v>
      </c>
      <c r="GKK45" s="92" t="s">
        <v>54</v>
      </c>
      <c r="GKL45" s="92" t="s">
        <v>54</v>
      </c>
      <c r="GKM45" s="92" t="s">
        <v>54</v>
      </c>
      <c r="GKN45" s="92" t="s">
        <v>54</v>
      </c>
      <c r="GKO45" s="92" t="s">
        <v>54</v>
      </c>
      <c r="GKP45" s="92" t="s">
        <v>54</v>
      </c>
      <c r="GKQ45" s="92" t="s">
        <v>54</v>
      </c>
      <c r="GKR45" s="92" t="s">
        <v>54</v>
      </c>
      <c r="GKS45" s="92" t="s">
        <v>54</v>
      </c>
      <c r="GKT45" s="92" t="s">
        <v>54</v>
      </c>
      <c r="GKU45" s="92" t="s">
        <v>54</v>
      </c>
      <c r="GKV45" s="92" t="s">
        <v>54</v>
      </c>
      <c r="GKW45" s="92" t="s">
        <v>54</v>
      </c>
      <c r="GKX45" s="92" t="s">
        <v>54</v>
      </c>
      <c r="GKY45" s="92" t="s">
        <v>54</v>
      </c>
      <c r="GKZ45" s="92" t="s">
        <v>54</v>
      </c>
      <c r="GLA45" s="92" t="s">
        <v>54</v>
      </c>
      <c r="GLB45" s="92" t="s">
        <v>54</v>
      </c>
      <c r="GLC45" s="92" t="s">
        <v>54</v>
      </c>
      <c r="GLD45" s="92" t="s">
        <v>54</v>
      </c>
      <c r="GLE45" s="92" t="s">
        <v>54</v>
      </c>
      <c r="GLF45" s="92" t="s">
        <v>54</v>
      </c>
      <c r="GLG45" s="92" t="s">
        <v>54</v>
      </c>
      <c r="GLH45" s="92" t="s">
        <v>54</v>
      </c>
      <c r="GLI45" s="92" t="s">
        <v>54</v>
      </c>
      <c r="GLJ45" s="92" t="s">
        <v>54</v>
      </c>
      <c r="GLK45" s="92" t="s">
        <v>54</v>
      </c>
      <c r="GLL45" s="92" t="s">
        <v>54</v>
      </c>
      <c r="GLM45" s="92" t="s">
        <v>54</v>
      </c>
      <c r="GLN45" s="92" t="s">
        <v>54</v>
      </c>
      <c r="GLO45" s="92" t="s">
        <v>54</v>
      </c>
      <c r="GLP45" s="92" t="s">
        <v>54</v>
      </c>
      <c r="GLQ45" s="92" t="s">
        <v>54</v>
      </c>
      <c r="GLR45" s="92" t="s">
        <v>54</v>
      </c>
      <c r="GLS45" s="92" t="s">
        <v>54</v>
      </c>
      <c r="GLT45" s="92" t="s">
        <v>54</v>
      </c>
      <c r="GLU45" s="92" t="s">
        <v>54</v>
      </c>
      <c r="GLV45" s="92" t="s">
        <v>54</v>
      </c>
      <c r="GLW45" s="92" t="s">
        <v>54</v>
      </c>
      <c r="GLX45" s="92" t="s">
        <v>54</v>
      </c>
      <c r="GLY45" s="92" t="s">
        <v>54</v>
      </c>
      <c r="GLZ45" s="92" t="s">
        <v>54</v>
      </c>
      <c r="GMA45" s="92" t="s">
        <v>54</v>
      </c>
      <c r="GMB45" s="92" t="s">
        <v>54</v>
      </c>
      <c r="GMC45" s="92" t="s">
        <v>54</v>
      </c>
      <c r="GMD45" s="92" t="s">
        <v>54</v>
      </c>
      <c r="GME45" s="92" t="s">
        <v>54</v>
      </c>
      <c r="GMF45" s="92" t="s">
        <v>54</v>
      </c>
      <c r="GMG45" s="92" t="s">
        <v>54</v>
      </c>
      <c r="GMH45" s="92" t="s">
        <v>54</v>
      </c>
      <c r="GMI45" s="92" t="s">
        <v>54</v>
      </c>
      <c r="GMJ45" s="92" t="s">
        <v>54</v>
      </c>
      <c r="GMK45" s="92" t="s">
        <v>54</v>
      </c>
      <c r="GML45" s="92" t="s">
        <v>54</v>
      </c>
      <c r="GMM45" s="92" t="s">
        <v>54</v>
      </c>
      <c r="GMN45" s="92" t="s">
        <v>54</v>
      </c>
      <c r="GMO45" s="92" t="s">
        <v>54</v>
      </c>
      <c r="GMP45" s="92" t="s">
        <v>54</v>
      </c>
      <c r="GMQ45" s="92" t="s">
        <v>54</v>
      </c>
      <c r="GMR45" s="92" t="s">
        <v>54</v>
      </c>
      <c r="GMS45" s="92" t="s">
        <v>54</v>
      </c>
      <c r="GMT45" s="92" t="s">
        <v>54</v>
      </c>
      <c r="GMU45" s="92" t="s">
        <v>54</v>
      </c>
      <c r="GMV45" s="92" t="s">
        <v>54</v>
      </c>
      <c r="GMW45" s="92" t="s">
        <v>54</v>
      </c>
      <c r="GMX45" s="92" t="s">
        <v>54</v>
      </c>
      <c r="GMY45" s="92" t="s">
        <v>54</v>
      </c>
      <c r="GMZ45" s="92" t="s">
        <v>54</v>
      </c>
      <c r="GNA45" s="92" t="s">
        <v>54</v>
      </c>
      <c r="GNB45" s="92" t="s">
        <v>54</v>
      </c>
      <c r="GNC45" s="92" t="s">
        <v>54</v>
      </c>
      <c r="GND45" s="92" t="s">
        <v>54</v>
      </c>
      <c r="GNE45" s="92" t="s">
        <v>54</v>
      </c>
      <c r="GNF45" s="92" t="s">
        <v>54</v>
      </c>
      <c r="GNG45" s="92" t="s">
        <v>54</v>
      </c>
      <c r="GNH45" s="92" t="s">
        <v>54</v>
      </c>
      <c r="GNI45" s="92" t="s">
        <v>54</v>
      </c>
      <c r="GNJ45" s="92" t="s">
        <v>54</v>
      </c>
      <c r="GNK45" s="92" t="s">
        <v>54</v>
      </c>
      <c r="GNL45" s="92" t="s">
        <v>54</v>
      </c>
      <c r="GNM45" s="92" t="s">
        <v>54</v>
      </c>
      <c r="GNN45" s="92" t="s">
        <v>54</v>
      </c>
      <c r="GNO45" s="92" t="s">
        <v>54</v>
      </c>
      <c r="GNP45" s="92" t="s">
        <v>54</v>
      </c>
      <c r="GNQ45" s="92" t="s">
        <v>54</v>
      </c>
      <c r="GNR45" s="92" t="s">
        <v>54</v>
      </c>
      <c r="GNS45" s="92" t="s">
        <v>54</v>
      </c>
      <c r="GNT45" s="92" t="s">
        <v>54</v>
      </c>
      <c r="GNU45" s="92" t="s">
        <v>54</v>
      </c>
      <c r="GNV45" s="92" t="s">
        <v>54</v>
      </c>
      <c r="GNW45" s="92" t="s">
        <v>54</v>
      </c>
      <c r="GNX45" s="92" t="s">
        <v>54</v>
      </c>
      <c r="GNY45" s="92" t="s">
        <v>54</v>
      </c>
      <c r="GNZ45" s="92" t="s">
        <v>54</v>
      </c>
      <c r="GOA45" s="92" t="s">
        <v>54</v>
      </c>
      <c r="GOB45" s="92" t="s">
        <v>54</v>
      </c>
      <c r="GOC45" s="92" t="s">
        <v>54</v>
      </c>
      <c r="GOD45" s="92" t="s">
        <v>54</v>
      </c>
      <c r="GOE45" s="92" t="s">
        <v>54</v>
      </c>
      <c r="GOF45" s="92" t="s">
        <v>54</v>
      </c>
      <c r="GOG45" s="92" t="s">
        <v>54</v>
      </c>
      <c r="GOH45" s="92" t="s">
        <v>54</v>
      </c>
      <c r="GOI45" s="92" t="s">
        <v>54</v>
      </c>
      <c r="GOJ45" s="92" t="s">
        <v>54</v>
      </c>
      <c r="GOK45" s="92" t="s">
        <v>54</v>
      </c>
      <c r="GOL45" s="92" t="s">
        <v>54</v>
      </c>
      <c r="GOM45" s="92" t="s">
        <v>54</v>
      </c>
      <c r="GON45" s="92" t="s">
        <v>54</v>
      </c>
      <c r="GOO45" s="92" t="s">
        <v>54</v>
      </c>
      <c r="GOP45" s="92" t="s">
        <v>54</v>
      </c>
      <c r="GOQ45" s="92" t="s">
        <v>54</v>
      </c>
      <c r="GOR45" s="92" t="s">
        <v>54</v>
      </c>
      <c r="GOS45" s="92" t="s">
        <v>54</v>
      </c>
      <c r="GOT45" s="92" t="s">
        <v>54</v>
      </c>
      <c r="GOU45" s="92" t="s">
        <v>54</v>
      </c>
      <c r="GOV45" s="92" t="s">
        <v>54</v>
      </c>
      <c r="GOW45" s="92" t="s">
        <v>54</v>
      </c>
      <c r="GOX45" s="92" t="s">
        <v>54</v>
      </c>
      <c r="GOY45" s="92" t="s">
        <v>54</v>
      </c>
      <c r="GOZ45" s="92" t="s">
        <v>54</v>
      </c>
      <c r="GPA45" s="92" t="s">
        <v>54</v>
      </c>
      <c r="GPB45" s="92" t="s">
        <v>54</v>
      </c>
      <c r="GPC45" s="92" t="s">
        <v>54</v>
      </c>
      <c r="GPD45" s="92" t="s">
        <v>54</v>
      </c>
      <c r="GPE45" s="92" t="s">
        <v>54</v>
      </c>
      <c r="GPF45" s="92" t="s">
        <v>54</v>
      </c>
      <c r="GPG45" s="92" t="s">
        <v>54</v>
      </c>
      <c r="GPH45" s="92" t="s">
        <v>54</v>
      </c>
      <c r="GPI45" s="92" t="s">
        <v>54</v>
      </c>
      <c r="GPJ45" s="92" t="s">
        <v>54</v>
      </c>
      <c r="GPK45" s="92" t="s">
        <v>54</v>
      </c>
      <c r="GPL45" s="92" t="s">
        <v>54</v>
      </c>
      <c r="GPM45" s="92" t="s">
        <v>54</v>
      </c>
      <c r="GPN45" s="92" t="s">
        <v>54</v>
      </c>
      <c r="GPO45" s="92" t="s">
        <v>54</v>
      </c>
      <c r="GPP45" s="92" t="s">
        <v>54</v>
      </c>
      <c r="GPQ45" s="92" t="s">
        <v>54</v>
      </c>
      <c r="GPR45" s="92" t="s">
        <v>54</v>
      </c>
      <c r="GPS45" s="92" t="s">
        <v>54</v>
      </c>
      <c r="GPT45" s="92" t="s">
        <v>54</v>
      </c>
      <c r="GPU45" s="92" t="s">
        <v>54</v>
      </c>
      <c r="GPV45" s="92" t="s">
        <v>54</v>
      </c>
      <c r="GPW45" s="92" t="s">
        <v>54</v>
      </c>
      <c r="GPX45" s="92" t="s">
        <v>54</v>
      </c>
      <c r="GPY45" s="92" t="s">
        <v>54</v>
      </c>
      <c r="GPZ45" s="92" t="s">
        <v>54</v>
      </c>
      <c r="GQA45" s="92" t="s">
        <v>54</v>
      </c>
      <c r="GQB45" s="92" t="s">
        <v>54</v>
      </c>
      <c r="GQC45" s="92" t="s">
        <v>54</v>
      </c>
      <c r="GQD45" s="92" t="s">
        <v>54</v>
      </c>
      <c r="GQE45" s="92" t="s">
        <v>54</v>
      </c>
      <c r="GQF45" s="92" t="s">
        <v>54</v>
      </c>
      <c r="GQG45" s="92" t="s">
        <v>54</v>
      </c>
      <c r="GQH45" s="92" t="s">
        <v>54</v>
      </c>
      <c r="GQI45" s="92" t="s">
        <v>54</v>
      </c>
      <c r="GQJ45" s="92" t="s">
        <v>54</v>
      </c>
      <c r="GQK45" s="92" t="s">
        <v>54</v>
      </c>
      <c r="GQL45" s="92" t="s">
        <v>54</v>
      </c>
      <c r="GQM45" s="92" t="s">
        <v>54</v>
      </c>
      <c r="GQN45" s="92" t="s">
        <v>54</v>
      </c>
      <c r="GQO45" s="92" t="s">
        <v>54</v>
      </c>
      <c r="GQP45" s="92" t="s">
        <v>54</v>
      </c>
      <c r="GQQ45" s="92" t="s">
        <v>54</v>
      </c>
      <c r="GQR45" s="92" t="s">
        <v>54</v>
      </c>
      <c r="GQS45" s="92" t="s">
        <v>54</v>
      </c>
      <c r="GQT45" s="92" t="s">
        <v>54</v>
      </c>
      <c r="GQU45" s="92" t="s">
        <v>54</v>
      </c>
      <c r="GQV45" s="92" t="s">
        <v>54</v>
      </c>
      <c r="GQW45" s="92" t="s">
        <v>54</v>
      </c>
      <c r="GQX45" s="92" t="s">
        <v>54</v>
      </c>
      <c r="GQY45" s="92" t="s">
        <v>54</v>
      </c>
      <c r="GQZ45" s="92" t="s">
        <v>54</v>
      </c>
      <c r="GRA45" s="92" t="s">
        <v>54</v>
      </c>
      <c r="GRB45" s="92" t="s">
        <v>54</v>
      </c>
      <c r="GRC45" s="92" t="s">
        <v>54</v>
      </c>
      <c r="GRD45" s="92" t="s">
        <v>54</v>
      </c>
      <c r="GRE45" s="92" t="s">
        <v>54</v>
      </c>
      <c r="GRF45" s="92" t="s">
        <v>54</v>
      </c>
      <c r="GRG45" s="92" t="s">
        <v>54</v>
      </c>
      <c r="GRH45" s="92" t="s">
        <v>54</v>
      </c>
      <c r="GRI45" s="92" t="s">
        <v>54</v>
      </c>
      <c r="GRJ45" s="92" t="s">
        <v>54</v>
      </c>
      <c r="GRK45" s="92" t="s">
        <v>54</v>
      </c>
      <c r="GRL45" s="92" t="s">
        <v>54</v>
      </c>
      <c r="GRM45" s="92" t="s">
        <v>54</v>
      </c>
      <c r="GRN45" s="92" t="s">
        <v>54</v>
      </c>
      <c r="GRO45" s="92" t="s">
        <v>54</v>
      </c>
      <c r="GRP45" s="92" t="s">
        <v>54</v>
      </c>
      <c r="GRQ45" s="92" t="s">
        <v>54</v>
      </c>
      <c r="GRR45" s="92" t="s">
        <v>54</v>
      </c>
      <c r="GRS45" s="92" t="s">
        <v>54</v>
      </c>
      <c r="GRT45" s="92" t="s">
        <v>54</v>
      </c>
      <c r="GRU45" s="92" t="s">
        <v>54</v>
      </c>
      <c r="GRV45" s="92" t="s">
        <v>54</v>
      </c>
      <c r="GRW45" s="92" t="s">
        <v>54</v>
      </c>
      <c r="GRX45" s="92" t="s">
        <v>54</v>
      </c>
      <c r="GRY45" s="92" t="s">
        <v>54</v>
      </c>
      <c r="GRZ45" s="92" t="s">
        <v>54</v>
      </c>
      <c r="GSA45" s="92" t="s">
        <v>54</v>
      </c>
      <c r="GSB45" s="92" t="s">
        <v>54</v>
      </c>
      <c r="GSC45" s="92" t="s">
        <v>54</v>
      </c>
      <c r="GSD45" s="92" t="s">
        <v>54</v>
      </c>
      <c r="GSE45" s="92" t="s">
        <v>54</v>
      </c>
      <c r="GSF45" s="92" t="s">
        <v>54</v>
      </c>
      <c r="GSG45" s="92" t="s">
        <v>54</v>
      </c>
      <c r="GSH45" s="92" t="s">
        <v>54</v>
      </c>
      <c r="GSI45" s="92" t="s">
        <v>54</v>
      </c>
      <c r="GSJ45" s="92" t="s">
        <v>54</v>
      </c>
      <c r="GSK45" s="92" t="s">
        <v>54</v>
      </c>
      <c r="GSL45" s="92" t="s">
        <v>54</v>
      </c>
      <c r="GSM45" s="92" t="s">
        <v>54</v>
      </c>
      <c r="GSN45" s="92" t="s">
        <v>54</v>
      </c>
      <c r="GSO45" s="92" t="s">
        <v>54</v>
      </c>
      <c r="GSP45" s="92" t="s">
        <v>54</v>
      </c>
      <c r="GSQ45" s="92" t="s">
        <v>54</v>
      </c>
      <c r="GSR45" s="92" t="s">
        <v>54</v>
      </c>
      <c r="GSS45" s="92" t="s">
        <v>54</v>
      </c>
      <c r="GST45" s="92" t="s">
        <v>54</v>
      </c>
      <c r="GSU45" s="92" t="s">
        <v>54</v>
      </c>
      <c r="GSV45" s="92" t="s">
        <v>54</v>
      </c>
      <c r="GSW45" s="92" t="s">
        <v>54</v>
      </c>
      <c r="GSX45" s="92" t="s">
        <v>54</v>
      </c>
      <c r="GSY45" s="92" t="s">
        <v>54</v>
      </c>
      <c r="GSZ45" s="92" t="s">
        <v>54</v>
      </c>
      <c r="GTA45" s="92" t="s">
        <v>54</v>
      </c>
      <c r="GTB45" s="92" t="s">
        <v>54</v>
      </c>
      <c r="GTC45" s="92" t="s">
        <v>54</v>
      </c>
      <c r="GTD45" s="92" t="s">
        <v>54</v>
      </c>
      <c r="GTE45" s="92" t="s">
        <v>54</v>
      </c>
      <c r="GTF45" s="92" t="s">
        <v>54</v>
      </c>
      <c r="GTG45" s="92" t="s">
        <v>54</v>
      </c>
      <c r="GTH45" s="92" t="s">
        <v>54</v>
      </c>
      <c r="GTI45" s="92" t="s">
        <v>54</v>
      </c>
      <c r="GTJ45" s="92" t="s">
        <v>54</v>
      </c>
      <c r="GTK45" s="92" t="s">
        <v>54</v>
      </c>
      <c r="GTL45" s="92" t="s">
        <v>54</v>
      </c>
      <c r="GTM45" s="92" t="s">
        <v>54</v>
      </c>
      <c r="GTN45" s="92" t="s">
        <v>54</v>
      </c>
      <c r="GTO45" s="92" t="s">
        <v>54</v>
      </c>
      <c r="GTP45" s="92" t="s">
        <v>54</v>
      </c>
      <c r="GTQ45" s="92" t="s">
        <v>54</v>
      </c>
      <c r="GTR45" s="92" t="s">
        <v>54</v>
      </c>
      <c r="GTS45" s="92" t="s">
        <v>54</v>
      </c>
      <c r="GTT45" s="92" t="s">
        <v>54</v>
      </c>
      <c r="GTU45" s="92" t="s">
        <v>54</v>
      </c>
      <c r="GTV45" s="92" t="s">
        <v>54</v>
      </c>
      <c r="GTW45" s="92" t="s">
        <v>54</v>
      </c>
      <c r="GTX45" s="92" t="s">
        <v>54</v>
      </c>
      <c r="GTY45" s="92" t="s">
        <v>54</v>
      </c>
      <c r="GTZ45" s="92" t="s">
        <v>54</v>
      </c>
      <c r="GUA45" s="92" t="s">
        <v>54</v>
      </c>
      <c r="GUB45" s="92" t="s">
        <v>54</v>
      </c>
      <c r="GUC45" s="92" t="s">
        <v>54</v>
      </c>
      <c r="GUD45" s="92" t="s">
        <v>54</v>
      </c>
      <c r="GUE45" s="92" t="s">
        <v>54</v>
      </c>
      <c r="GUF45" s="92" t="s">
        <v>54</v>
      </c>
      <c r="GUG45" s="92" t="s">
        <v>54</v>
      </c>
      <c r="GUH45" s="92" t="s">
        <v>54</v>
      </c>
      <c r="GUI45" s="92" t="s">
        <v>54</v>
      </c>
      <c r="GUJ45" s="92" t="s">
        <v>54</v>
      </c>
      <c r="GUK45" s="92" t="s">
        <v>54</v>
      </c>
      <c r="GUL45" s="92" t="s">
        <v>54</v>
      </c>
      <c r="GUM45" s="92" t="s">
        <v>54</v>
      </c>
      <c r="GUN45" s="92" t="s">
        <v>54</v>
      </c>
      <c r="GUO45" s="92" t="s">
        <v>54</v>
      </c>
      <c r="GUP45" s="92" t="s">
        <v>54</v>
      </c>
      <c r="GUQ45" s="92" t="s">
        <v>54</v>
      </c>
      <c r="GUR45" s="92" t="s">
        <v>54</v>
      </c>
      <c r="GUS45" s="92" t="s">
        <v>54</v>
      </c>
      <c r="GUT45" s="92" t="s">
        <v>54</v>
      </c>
      <c r="GUU45" s="92" t="s">
        <v>54</v>
      </c>
      <c r="GUV45" s="92" t="s">
        <v>54</v>
      </c>
      <c r="GUW45" s="92" t="s">
        <v>54</v>
      </c>
      <c r="GUX45" s="92" t="s">
        <v>54</v>
      </c>
      <c r="GUY45" s="92" t="s">
        <v>54</v>
      </c>
      <c r="GUZ45" s="92" t="s">
        <v>54</v>
      </c>
      <c r="GVA45" s="92" t="s">
        <v>54</v>
      </c>
      <c r="GVB45" s="92" t="s">
        <v>54</v>
      </c>
      <c r="GVC45" s="92" t="s">
        <v>54</v>
      </c>
      <c r="GVD45" s="92" t="s">
        <v>54</v>
      </c>
      <c r="GVE45" s="92" t="s">
        <v>54</v>
      </c>
      <c r="GVF45" s="92" t="s">
        <v>54</v>
      </c>
      <c r="GVG45" s="92" t="s">
        <v>54</v>
      </c>
      <c r="GVH45" s="92" t="s">
        <v>54</v>
      </c>
      <c r="GVI45" s="92" t="s">
        <v>54</v>
      </c>
      <c r="GVJ45" s="92" t="s">
        <v>54</v>
      </c>
      <c r="GVK45" s="92" t="s">
        <v>54</v>
      </c>
      <c r="GVL45" s="92" t="s">
        <v>54</v>
      </c>
      <c r="GVM45" s="92" t="s">
        <v>54</v>
      </c>
      <c r="GVN45" s="92" t="s">
        <v>54</v>
      </c>
      <c r="GVO45" s="92" t="s">
        <v>54</v>
      </c>
      <c r="GVP45" s="92" t="s">
        <v>54</v>
      </c>
      <c r="GVQ45" s="92" t="s">
        <v>54</v>
      </c>
      <c r="GVR45" s="92" t="s">
        <v>54</v>
      </c>
      <c r="GVS45" s="92" t="s">
        <v>54</v>
      </c>
      <c r="GVT45" s="92" t="s">
        <v>54</v>
      </c>
      <c r="GVU45" s="92" t="s">
        <v>54</v>
      </c>
      <c r="GVV45" s="92" t="s">
        <v>54</v>
      </c>
      <c r="GVW45" s="92" t="s">
        <v>54</v>
      </c>
      <c r="GVX45" s="92" t="s">
        <v>54</v>
      </c>
      <c r="GVY45" s="92" t="s">
        <v>54</v>
      </c>
      <c r="GVZ45" s="92" t="s">
        <v>54</v>
      </c>
      <c r="GWA45" s="92" t="s">
        <v>54</v>
      </c>
      <c r="GWB45" s="92" t="s">
        <v>54</v>
      </c>
      <c r="GWC45" s="92" t="s">
        <v>54</v>
      </c>
      <c r="GWD45" s="92" t="s">
        <v>54</v>
      </c>
      <c r="GWE45" s="92" t="s">
        <v>54</v>
      </c>
      <c r="GWF45" s="92" t="s">
        <v>54</v>
      </c>
      <c r="GWG45" s="92" t="s">
        <v>54</v>
      </c>
      <c r="GWH45" s="92" t="s">
        <v>54</v>
      </c>
      <c r="GWI45" s="92" t="s">
        <v>54</v>
      </c>
      <c r="GWJ45" s="92" t="s">
        <v>54</v>
      </c>
      <c r="GWK45" s="92" t="s">
        <v>54</v>
      </c>
      <c r="GWL45" s="92" t="s">
        <v>54</v>
      </c>
      <c r="GWM45" s="92" t="s">
        <v>54</v>
      </c>
      <c r="GWN45" s="92" t="s">
        <v>54</v>
      </c>
      <c r="GWO45" s="92" t="s">
        <v>54</v>
      </c>
      <c r="GWP45" s="92" t="s">
        <v>54</v>
      </c>
      <c r="GWQ45" s="92" t="s">
        <v>54</v>
      </c>
      <c r="GWR45" s="92" t="s">
        <v>54</v>
      </c>
      <c r="GWS45" s="92" t="s">
        <v>54</v>
      </c>
      <c r="GWT45" s="92" t="s">
        <v>54</v>
      </c>
      <c r="GWU45" s="92" t="s">
        <v>54</v>
      </c>
      <c r="GWV45" s="92" t="s">
        <v>54</v>
      </c>
      <c r="GWW45" s="92" t="s">
        <v>54</v>
      </c>
      <c r="GWX45" s="92" t="s">
        <v>54</v>
      </c>
      <c r="GWY45" s="92" t="s">
        <v>54</v>
      </c>
      <c r="GWZ45" s="92" t="s">
        <v>54</v>
      </c>
      <c r="GXA45" s="92" t="s">
        <v>54</v>
      </c>
      <c r="GXB45" s="92" t="s">
        <v>54</v>
      </c>
      <c r="GXC45" s="92" t="s">
        <v>54</v>
      </c>
      <c r="GXD45" s="92" t="s">
        <v>54</v>
      </c>
      <c r="GXE45" s="92" t="s">
        <v>54</v>
      </c>
      <c r="GXF45" s="92" t="s">
        <v>54</v>
      </c>
      <c r="GXG45" s="92" t="s">
        <v>54</v>
      </c>
      <c r="GXH45" s="92" t="s">
        <v>54</v>
      </c>
      <c r="GXI45" s="92" t="s">
        <v>54</v>
      </c>
      <c r="GXJ45" s="92" t="s">
        <v>54</v>
      </c>
      <c r="GXK45" s="92" t="s">
        <v>54</v>
      </c>
      <c r="GXL45" s="92" t="s">
        <v>54</v>
      </c>
      <c r="GXM45" s="92" t="s">
        <v>54</v>
      </c>
      <c r="GXN45" s="92" t="s">
        <v>54</v>
      </c>
      <c r="GXO45" s="92" t="s">
        <v>54</v>
      </c>
      <c r="GXP45" s="92" t="s">
        <v>54</v>
      </c>
      <c r="GXQ45" s="92" t="s">
        <v>54</v>
      </c>
      <c r="GXR45" s="92" t="s">
        <v>54</v>
      </c>
      <c r="GXS45" s="92" t="s">
        <v>54</v>
      </c>
      <c r="GXT45" s="92" t="s">
        <v>54</v>
      </c>
      <c r="GXU45" s="92" t="s">
        <v>54</v>
      </c>
      <c r="GXV45" s="92" t="s">
        <v>54</v>
      </c>
      <c r="GXW45" s="92" t="s">
        <v>54</v>
      </c>
      <c r="GXX45" s="92" t="s">
        <v>54</v>
      </c>
      <c r="GXY45" s="92" t="s">
        <v>54</v>
      </c>
      <c r="GXZ45" s="92" t="s">
        <v>54</v>
      </c>
      <c r="GYA45" s="92" t="s">
        <v>54</v>
      </c>
      <c r="GYB45" s="92" t="s">
        <v>54</v>
      </c>
      <c r="GYC45" s="92" t="s">
        <v>54</v>
      </c>
      <c r="GYD45" s="92" t="s">
        <v>54</v>
      </c>
      <c r="GYE45" s="92" t="s">
        <v>54</v>
      </c>
      <c r="GYF45" s="92" t="s">
        <v>54</v>
      </c>
      <c r="GYG45" s="92" t="s">
        <v>54</v>
      </c>
      <c r="GYH45" s="92" t="s">
        <v>54</v>
      </c>
      <c r="GYI45" s="92" t="s">
        <v>54</v>
      </c>
      <c r="GYJ45" s="92" t="s">
        <v>54</v>
      </c>
      <c r="GYK45" s="92" t="s">
        <v>54</v>
      </c>
      <c r="GYL45" s="92" t="s">
        <v>54</v>
      </c>
      <c r="GYM45" s="92" t="s">
        <v>54</v>
      </c>
      <c r="GYN45" s="92" t="s">
        <v>54</v>
      </c>
      <c r="GYO45" s="92" t="s">
        <v>54</v>
      </c>
      <c r="GYP45" s="92" t="s">
        <v>54</v>
      </c>
      <c r="GYQ45" s="92" t="s">
        <v>54</v>
      </c>
      <c r="GYR45" s="92" t="s">
        <v>54</v>
      </c>
      <c r="GYS45" s="92" t="s">
        <v>54</v>
      </c>
      <c r="GYT45" s="92" t="s">
        <v>54</v>
      </c>
      <c r="GYU45" s="92" t="s">
        <v>54</v>
      </c>
      <c r="GYV45" s="92" t="s">
        <v>54</v>
      </c>
      <c r="GYW45" s="92" t="s">
        <v>54</v>
      </c>
      <c r="GYX45" s="92" t="s">
        <v>54</v>
      </c>
      <c r="GYY45" s="92" t="s">
        <v>54</v>
      </c>
      <c r="GYZ45" s="92" t="s">
        <v>54</v>
      </c>
      <c r="GZA45" s="92" t="s">
        <v>54</v>
      </c>
      <c r="GZB45" s="92" t="s">
        <v>54</v>
      </c>
      <c r="GZC45" s="92" t="s">
        <v>54</v>
      </c>
      <c r="GZD45" s="92" t="s">
        <v>54</v>
      </c>
      <c r="GZE45" s="92" t="s">
        <v>54</v>
      </c>
      <c r="GZF45" s="92" t="s">
        <v>54</v>
      </c>
      <c r="GZG45" s="92" t="s">
        <v>54</v>
      </c>
      <c r="GZH45" s="92" t="s">
        <v>54</v>
      </c>
      <c r="GZI45" s="92" t="s">
        <v>54</v>
      </c>
      <c r="GZJ45" s="92" t="s">
        <v>54</v>
      </c>
      <c r="GZK45" s="92" t="s">
        <v>54</v>
      </c>
      <c r="GZL45" s="92" t="s">
        <v>54</v>
      </c>
      <c r="GZM45" s="92" t="s">
        <v>54</v>
      </c>
      <c r="GZN45" s="92" t="s">
        <v>54</v>
      </c>
      <c r="GZO45" s="92" t="s">
        <v>54</v>
      </c>
      <c r="GZP45" s="92" t="s">
        <v>54</v>
      </c>
      <c r="GZQ45" s="92" t="s">
        <v>54</v>
      </c>
      <c r="GZR45" s="92" t="s">
        <v>54</v>
      </c>
      <c r="GZS45" s="92" t="s">
        <v>54</v>
      </c>
      <c r="GZT45" s="92" t="s">
        <v>54</v>
      </c>
      <c r="GZU45" s="92" t="s">
        <v>54</v>
      </c>
      <c r="GZV45" s="92" t="s">
        <v>54</v>
      </c>
      <c r="GZW45" s="92" t="s">
        <v>54</v>
      </c>
      <c r="GZX45" s="92" t="s">
        <v>54</v>
      </c>
      <c r="GZY45" s="92" t="s">
        <v>54</v>
      </c>
      <c r="GZZ45" s="92" t="s">
        <v>54</v>
      </c>
      <c r="HAA45" s="92" t="s">
        <v>54</v>
      </c>
      <c r="HAB45" s="92" t="s">
        <v>54</v>
      </c>
      <c r="HAC45" s="92" t="s">
        <v>54</v>
      </c>
      <c r="HAD45" s="92" t="s">
        <v>54</v>
      </c>
      <c r="HAE45" s="92" t="s">
        <v>54</v>
      </c>
      <c r="HAF45" s="92" t="s">
        <v>54</v>
      </c>
      <c r="HAG45" s="92" t="s">
        <v>54</v>
      </c>
      <c r="HAH45" s="92" t="s">
        <v>54</v>
      </c>
      <c r="HAI45" s="92" t="s">
        <v>54</v>
      </c>
      <c r="HAJ45" s="92" t="s">
        <v>54</v>
      </c>
      <c r="HAK45" s="92" t="s">
        <v>54</v>
      </c>
      <c r="HAL45" s="92" t="s">
        <v>54</v>
      </c>
      <c r="HAM45" s="92" t="s">
        <v>54</v>
      </c>
      <c r="HAN45" s="92" t="s">
        <v>54</v>
      </c>
      <c r="HAO45" s="92" t="s">
        <v>54</v>
      </c>
      <c r="HAP45" s="92" t="s">
        <v>54</v>
      </c>
      <c r="HAQ45" s="92" t="s">
        <v>54</v>
      </c>
      <c r="HAR45" s="92" t="s">
        <v>54</v>
      </c>
      <c r="HAS45" s="92" t="s">
        <v>54</v>
      </c>
      <c r="HAT45" s="92" t="s">
        <v>54</v>
      </c>
      <c r="HAU45" s="92" t="s">
        <v>54</v>
      </c>
      <c r="HAV45" s="92" t="s">
        <v>54</v>
      </c>
      <c r="HAW45" s="92" t="s">
        <v>54</v>
      </c>
      <c r="HAX45" s="92" t="s">
        <v>54</v>
      </c>
      <c r="HAY45" s="92" t="s">
        <v>54</v>
      </c>
      <c r="HAZ45" s="92" t="s">
        <v>54</v>
      </c>
      <c r="HBA45" s="92" t="s">
        <v>54</v>
      </c>
      <c r="HBB45" s="92" t="s">
        <v>54</v>
      </c>
      <c r="HBC45" s="92" t="s">
        <v>54</v>
      </c>
      <c r="HBD45" s="92" t="s">
        <v>54</v>
      </c>
      <c r="HBE45" s="92" t="s">
        <v>54</v>
      </c>
      <c r="HBF45" s="92" t="s">
        <v>54</v>
      </c>
      <c r="HBG45" s="92" t="s">
        <v>54</v>
      </c>
      <c r="HBH45" s="92" t="s">
        <v>54</v>
      </c>
      <c r="HBI45" s="92" t="s">
        <v>54</v>
      </c>
      <c r="HBJ45" s="92" t="s">
        <v>54</v>
      </c>
      <c r="HBK45" s="92" t="s">
        <v>54</v>
      </c>
      <c r="HBL45" s="92" t="s">
        <v>54</v>
      </c>
      <c r="HBM45" s="92" t="s">
        <v>54</v>
      </c>
      <c r="HBN45" s="92" t="s">
        <v>54</v>
      </c>
      <c r="HBO45" s="92" t="s">
        <v>54</v>
      </c>
      <c r="HBP45" s="92" t="s">
        <v>54</v>
      </c>
      <c r="HBQ45" s="92" t="s">
        <v>54</v>
      </c>
      <c r="HBR45" s="92" t="s">
        <v>54</v>
      </c>
      <c r="HBS45" s="92" t="s">
        <v>54</v>
      </c>
      <c r="HBT45" s="92" t="s">
        <v>54</v>
      </c>
      <c r="HBU45" s="92" t="s">
        <v>54</v>
      </c>
      <c r="HBV45" s="92" t="s">
        <v>54</v>
      </c>
      <c r="HBW45" s="92" t="s">
        <v>54</v>
      </c>
      <c r="HBX45" s="92" t="s">
        <v>54</v>
      </c>
      <c r="HBY45" s="92" t="s">
        <v>54</v>
      </c>
      <c r="HBZ45" s="92" t="s">
        <v>54</v>
      </c>
      <c r="HCA45" s="92" t="s">
        <v>54</v>
      </c>
      <c r="HCB45" s="92" t="s">
        <v>54</v>
      </c>
      <c r="HCC45" s="92" t="s">
        <v>54</v>
      </c>
      <c r="HCD45" s="92" t="s">
        <v>54</v>
      </c>
      <c r="HCE45" s="92" t="s">
        <v>54</v>
      </c>
      <c r="HCF45" s="92" t="s">
        <v>54</v>
      </c>
      <c r="HCG45" s="92" t="s">
        <v>54</v>
      </c>
      <c r="HCH45" s="92" t="s">
        <v>54</v>
      </c>
      <c r="HCI45" s="92" t="s">
        <v>54</v>
      </c>
      <c r="HCJ45" s="92" t="s">
        <v>54</v>
      </c>
      <c r="HCK45" s="92" t="s">
        <v>54</v>
      </c>
      <c r="HCL45" s="92" t="s">
        <v>54</v>
      </c>
      <c r="HCM45" s="92" t="s">
        <v>54</v>
      </c>
      <c r="HCN45" s="92" t="s">
        <v>54</v>
      </c>
      <c r="HCO45" s="92" t="s">
        <v>54</v>
      </c>
      <c r="HCP45" s="92" t="s">
        <v>54</v>
      </c>
      <c r="HCQ45" s="92" t="s">
        <v>54</v>
      </c>
      <c r="HCR45" s="92" t="s">
        <v>54</v>
      </c>
      <c r="HCS45" s="92" t="s">
        <v>54</v>
      </c>
      <c r="HCT45" s="92" t="s">
        <v>54</v>
      </c>
      <c r="HCU45" s="92" t="s">
        <v>54</v>
      </c>
      <c r="HCV45" s="92" t="s">
        <v>54</v>
      </c>
      <c r="HCW45" s="92" t="s">
        <v>54</v>
      </c>
      <c r="HCX45" s="92" t="s">
        <v>54</v>
      </c>
      <c r="HCY45" s="92" t="s">
        <v>54</v>
      </c>
      <c r="HCZ45" s="92" t="s">
        <v>54</v>
      </c>
      <c r="HDA45" s="92" t="s">
        <v>54</v>
      </c>
      <c r="HDB45" s="92" t="s">
        <v>54</v>
      </c>
      <c r="HDC45" s="92" t="s">
        <v>54</v>
      </c>
      <c r="HDD45" s="92" t="s">
        <v>54</v>
      </c>
      <c r="HDE45" s="92" t="s">
        <v>54</v>
      </c>
      <c r="HDF45" s="92" t="s">
        <v>54</v>
      </c>
      <c r="HDG45" s="92" t="s">
        <v>54</v>
      </c>
      <c r="HDH45" s="92" t="s">
        <v>54</v>
      </c>
      <c r="HDI45" s="92" t="s">
        <v>54</v>
      </c>
      <c r="HDJ45" s="92" t="s">
        <v>54</v>
      </c>
      <c r="HDK45" s="92" t="s">
        <v>54</v>
      </c>
      <c r="HDL45" s="92" t="s">
        <v>54</v>
      </c>
      <c r="HDM45" s="92" t="s">
        <v>54</v>
      </c>
      <c r="HDN45" s="92" t="s">
        <v>54</v>
      </c>
      <c r="HDO45" s="92" t="s">
        <v>54</v>
      </c>
      <c r="HDP45" s="92" t="s">
        <v>54</v>
      </c>
      <c r="HDQ45" s="92" t="s">
        <v>54</v>
      </c>
      <c r="HDR45" s="92" t="s">
        <v>54</v>
      </c>
      <c r="HDS45" s="92" t="s">
        <v>54</v>
      </c>
      <c r="HDT45" s="92" t="s">
        <v>54</v>
      </c>
      <c r="HDU45" s="92" t="s">
        <v>54</v>
      </c>
      <c r="HDV45" s="92" t="s">
        <v>54</v>
      </c>
      <c r="HDW45" s="92" t="s">
        <v>54</v>
      </c>
      <c r="HDX45" s="92" t="s">
        <v>54</v>
      </c>
      <c r="HDY45" s="92" t="s">
        <v>54</v>
      </c>
      <c r="HDZ45" s="92" t="s">
        <v>54</v>
      </c>
      <c r="HEA45" s="92" t="s">
        <v>54</v>
      </c>
      <c r="HEB45" s="92" t="s">
        <v>54</v>
      </c>
      <c r="HEC45" s="92" t="s">
        <v>54</v>
      </c>
      <c r="HED45" s="92" t="s">
        <v>54</v>
      </c>
      <c r="HEE45" s="92" t="s">
        <v>54</v>
      </c>
      <c r="HEF45" s="92" t="s">
        <v>54</v>
      </c>
      <c r="HEG45" s="92" t="s">
        <v>54</v>
      </c>
      <c r="HEH45" s="92" t="s">
        <v>54</v>
      </c>
      <c r="HEI45" s="92" t="s">
        <v>54</v>
      </c>
      <c r="HEJ45" s="92" t="s">
        <v>54</v>
      </c>
      <c r="HEK45" s="92" t="s">
        <v>54</v>
      </c>
      <c r="HEL45" s="92" t="s">
        <v>54</v>
      </c>
      <c r="HEM45" s="92" t="s">
        <v>54</v>
      </c>
      <c r="HEN45" s="92" t="s">
        <v>54</v>
      </c>
      <c r="HEO45" s="92" t="s">
        <v>54</v>
      </c>
      <c r="HEP45" s="92" t="s">
        <v>54</v>
      </c>
      <c r="HEQ45" s="92" t="s">
        <v>54</v>
      </c>
      <c r="HER45" s="92" t="s">
        <v>54</v>
      </c>
      <c r="HES45" s="92" t="s">
        <v>54</v>
      </c>
      <c r="HET45" s="92" t="s">
        <v>54</v>
      </c>
      <c r="HEU45" s="92" t="s">
        <v>54</v>
      </c>
      <c r="HEV45" s="92" t="s">
        <v>54</v>
      </c>
      <c r="HEW45" s="92" t="s">
        <v>54</v>
      </c>
      <c r="HEX45" s="92" t="s">
        <v>54</v>
      </c>
      <c r="HEY45" s="92" t="s">
        <v>54</v>
      </c>
      <c r="HEZ45" s="92" t="s">
        <v>54</v>
      </c>
      <c r="HFA45" s="92" t="s">
        <v>54</v>
      </c>
      <c r="HFB45" s="92" t="s">
        <v>54</v>
      </c>
      <c r="HFC45" s="92" t="s">
        <v>54</v>
      </c>
      <c r="HFD45" s="92" t="s">
        <v>54</v>
      </c>
      <c r="HFE45" s="92" t="s">
        <v>54</v>
      </c>
      <c r="HFF45" s="92" t="s">
        <v>54</v>
      </c>
      <c r="HFG45" s="92" t="s">
        <v>54</v>
      </c>
      <c r="HFH45" s="92" t="s">
        <v>54</v>
      </c>
      <c r="HFI45" s="92" t="s">
        <v>54</v>
      </c>
      <c r="HFJ45" s="92" t="s">
        <v>54</v>
      </c>
      <c r="HFK45" s="92" t="s">
        <v>54</v>
      </c>
      <c r="HFL45" s="92" t="s">
        <v>54</v>
      </c>
      <c r="HFM45" s="92" t="s">
        <v>54</v>
      </c>
      <c r="HFN45" s="92" t="s">
        <v>54</v>
      </c>
      <c r="HFO45" s="92" t="s">
        <v>54</v>
      </c>
      <c r="HFP45" s="92" t="s">
        <v>54</v>
      </c>
      <c r="HFQ45" s="92" t="s">
        <v>54</v>
      </c>
      <c r="HFR45" s="92" t="s">
        <v>54</v>
      </c>
      <c r="HFS45" s="92" t="s">
        <v>54</v>
      </c>
      <c r="HFT45" s="92" t="s">
        <v>54</v>
      </c>
      <c r="HFU45" s="92" t="s">
        <v>54</v>
      </c>
      <c r="HFV45" s="92" t="s">
        <v>54</v>
      </c>
      <c r="HFW45" s="92" t="s">
        <v>54</v>
      </c>
      <c r="HFX45" s="92" t="s">
        <v>54</v>
      </c>
      <c r="HFY45" s="92" t="s">
        <v>54</v>
      </c>
      <c r="HFZ45" s="92" t="s">
        <v>54</v>
      </c>
      <c r="HGA45" s="92" t="s">
        <v>54</v>
      </c>
      <c r="HGB45" s="92" t="s">
        <v>54</v>
      </c>
      <c r="HGC45" s="92" t="s">
        <v>54</v>
      </c>
      <c r="HGD45" s="92" t="s">
        <v>54</v>
      </c>
      <c r="HGE45" s="92" t="s">
        <v>54</v>
      </c>
      <c r="HGF45" s="92" t="s">
        <v>54</v>
      </c>
      <c r="HGG45" s="92" t="s">
        <v>54</v>
      </c>
      <c r="HGH45" s="92" t="s">
        <v>54</v>
      </c>
      <c r="HGI45" s="92" t="s">
        <v>54</v>
      </c>
      <c r="HGJ45" s="92" t="s">
        <v>54</v>
      </c>
      <c r="HGK45" s="92" t="s">
        <v>54</v>
      </c>
      <c r="HGL45" s="92" t="s">
        <v>54</v>
      </c>
      <c r="HGM45" s="92" t="s">
        <v>54</v>
      </c>
      <c r="HGN45" s="92" t="s">
        <v>54</v>
      </c>
      <c r="HGO45" s="92" t="s">
        <v>54</v>
      </c>
      <c r="HGP45" s="92" t="s">
        <v>54</v>
      </c>
      <c r="HGQ45" s="92" t="s">
        <v>54</v>
      </c>
      <c r="HGR45" s="92" t="s">
        <v>54</v>
      </c>
      <c r="HGS45" s="92" t="s">
        <v>54</v>
      </c>
      <c r="HGT45" s="92" t="s">
        <v>54</v>
      </c>
      <c r="HGU45" s="92" t="s">
        <v>54</v>
      </c>
      <c r="HGV45" s="92" t="s">
        <v>54</v>
      </c>
      <c r="HGW45" s="92" t="s">
        <v>54</v>
      </c>
      <c r="HGX45" s="92" t="s">
        <v>54</v>
      </c>
      <c r="HGY45" s="92" t="s">
        <v>54</v>
      </c>
      <c r="HGZ45" s="92" t="s">
        <v>54</v>
      </c>
      <c r="HHA45" s="92" t="s">
        <v>54</v>
      </c>
      <c r="HHB45" s="92" t="s">
        <v>54</v>
      </c>
      <c r="HHC45" s="92" t="s">
        <v>54</v>
      </c>
      <c r="HHD45" s="92" t="s">
        <v>54</v>
      </c>
      <c r="HHE45" s="92" t="s">
        <v>54</v>
      </c>
      <c r="HHF45" s="92" t="s">
        <v>54</v>
      </c>
      <c r="HHG45" s="92" t="s">
        <v>54</v>
      </c>
      <c r="HHH45" s="92" t="s">
        <v>54</v>
      </c>
      <c r="HHI45" s="92" t="s">
        <v>54</v>
      </c>
      <c r="HHJ45" s="92" t="s">
        <v>54</v>
      </c>
      <c r="HHK45" s="92" t="s">
        <v>54</v>
      </c>
      <c r="HHL45" s="92" t="s">
        <v>54</v>
      </c>
      <c r="HHM45" s="92" t="s">
        <v>54</v>
      </c>
      <c r="HHN45" s="92" t="s">
        <v>54</v>
      </c>
      <c r="HHO45" s="92" t="s">
        <v>54</v>
      </c>
      <c r="HHP45" s="92" t="s">
        <v>54</v>
      </c>
      <c r="HHQ45" s="92" t="s">
        <v>54</v>
      </c>
      <c r="HHR45" s="92" t="s">
        <v>54</v>
      </c>
      <c r="HHS45" s="92" t="s">
        <v>54</v>
      </c>
      <c r="HHT45" s="92" t="s">
        <v>54</v>
      </c>
      <c r="HHU45" s="92" t="s">
        <v>54</v>
      </c>
      <c r="HHV45" s="92" t="s">
        <v>54</v>
      </c>
      <c r="HHW45" s="92" t="s">
        <v>54</v>
      </c>
      <c r="HHX45" s="92" t="s">
        <v>54</v>
      </c>
      <c r="HHY45" s="92" t="s">
        <v>54</v>
      </c>
      <c r="HHZ45" s="92" t="s">
        <v>54</v>
      </c>
      <c r="HIA45" s="92" t="s">
        <v>54</v>
      </c>
      <c r="HIB45" s="92" t="s">
        <v>54</v>
      </c>
      <c r="HIC45" s="92" t="s">
        <v>54</v>
      </c>
      <c r="HID45" s="92" t="s">
        <v>54</v>
      </c>
      <c r="HIE45" s="92" t="s">
        <v>54</v>
      </c>
      <c r="HIF45" s="92" t="s">
        <v>54</v>
      </c>
      <c r="HIG45" s="92" t="s">
        <v>54</v>
      </c>
      <c r="HIH45" s="92" t="s">
        <v>54</v>
      </c>
      <c r="HII45" s="92" t="s">
        <v>54</v>
      </c>
      <c r="HIJ45" s="92" t="s">
        <v>54</v>
      </c>
      <c r="HIK45" s="92" t="s">
        <v>54</v>
      </c>
      <c r="HIL45" s="92" t="s">
        <v>54</v>
      </c>
      <c r="HIM45" s="92" t="s">
        <v>54</v>
      </c>
      <c r="HIN45" s="92" t="s">
        <v>54</v>
      </c>
      <c r="HIO45" s="92" t="s">
        <v>54</v>
      </c>
      <c r="HIP45" s="92" t="s">
        <v>54</v>
      </c>
      <c r="HIQ45" s="92" t="s">
        <v>54</v>
      </c>
      <c r="HIR45" s="92" t="s">
        <v>54</v>
      </c>
      <c r="HIS45" s="92" t="s">
        <v>54</v>
      </c>
      <c r="HIT45" s="92" t="s">
        <v>54</v>
      </c>
      <c r="HIU45" s="92" t="s">
        <v>54</v>
      </c>
      <c r="HIV45" s="92" t="s">
        <v>54</v>
      </c>
      <c r="HIW45" s="92" t="s">
        <v>54</v>
      </c>
      <c r="HIX45" s="92" t="s">
        <v>54</v>
      </c>
      <c r="HIY45" s="92" t="s">
        <v>54</v>
      </c>
      <c r="HIZ45" s="92" t="s">
        <v>54</v>
      </c>
      <c r="HJA45" s="92" t="s">
        <v>54</v>
      </c>
      <c r="HJB45" s="92" t="s">
        <v>54</v>
      </c>
      <c r="HJC45" s="92" t="s">
        <v>54</v>
      </c>
      <c r="HJD45" s="92" t="s">
        <v>54</v>
      </c>
      <c r="HJE45" s="92" t="s">
        <v>54</v>
      </c>
      <c r="HJF45" s="92" t="s">
        <v>54</v>
      </c>
      <c r="HJG45" s="92" t="s">
        <v>54</v>
      </c>
      <c r="HJH45" s="92" t="s">
        <v>54</v>
      </c>
      <c r="HJI45" s="92" t="s">
        <v>54</v>
      </c>
      <c r="HJJ45" s="92" t="s">
        <v>54</v>
      </c>
      <c r="HJK45" s="92" t="s">
        <v>54</v>
      </c>
      <c r="HJL45" s="92" t="s">
        <v>54</v>
      </c>
      <c r="HJM45" s="92" t="s">
        <v>54</v>
      </c>
      <c r="HJN45" s="92" t="s">
        <v>54</v>
      </c>
      <c r="HJO45" s="92" t="s">
        <v>54</v>
      </c>
      <c r="HJP45" s="92" t="s">
        <v>54</v>
      </c>
      <c r="HJQ45" s="92" t="s">
        <v>54</v>
      </c>
      <c r="HJR45" s="92" t="s">
        <v>54</v>
      </c>
      <c r="HJS45" s="92" t="s">
        <v>54</v>
      </c>
      <c r="HJT45" s="92" t="s">
        <v>54</v>
      </c>
      <c r="HJU45" s="92" t="s">
        <v>54</v>
      </c>
      <c r="HJV45" s="92" t="s">
        <v>54</v>
      </c>
      <c r="HJW45" s="92" t="s">
        <v>54</v>
      </c>
      <c r="HJX45" s="92" t="s">
        <v>54</v>
      </c>
      <c r="HJY45" s="92" t="s">
        <v>54</v>
      </c>
      <c r="HJZ45" s="92" t="s">
        <v>54</v>
      </c>
      <c r="HKA45" s="92" t="s">
        <v>54</v>
      </c>
      <c r="HKB45" s="92" t="s">
        <v>54</v>
      </c>
      <c r="HKC45" s="92" t="s">
        <v>54</v>
      </c>
      <c r="HKD45" s="92" t="s">
        <v>54</v>
      </c>
      <c r="HKE45" s="92" t="s">
        <v>54</v>
      </c>
      <c r="HKF45" s="92" t="s">
        <v>54</v>
      </c>
      <c r="HKG45" s="92" t="s">
        <v>54</v>
      </c>
      <c r="HKH45" s="92" t="s">
        <v>54</v>
      </c>
      <c r="HKI45" s="92" t="s">
        <v>54</v>
      </c>
      <c r="HKJ45" s="92" t="s">
        <v>54</v>
      </c>
      <c r="HKK45" s="92" t="s">
        <v>54</v>
      </c>
      <c r="HKL45" s="92" t="s">
        <v>54</v>
      </c>
      <c r="HKM45" s="92" t="s">
        <v>54</v>
      </c>
      <c r="HKN45" s="92" t="s">
        <v>54</v>
      </c>
      <c r="HKO45" s="92" t="s">
        <v>54</v>
      </c>
      <c r="HKP45" s="92" t="s">
        <v>54</v>
      </c>
      <c r="HKQ45" s="92" t="s">
        <v>54</v>
      </c>
      <c r="HKR45" s="92" t="s">
        <v>54</v>
      </c>
      <c r="HKS45" s="92" t="s">
        <v>54</v>
      </c>
      <c r="HKT45" s="92" t="s">
        <v>54</v>
      </c>
      <c r="HKU45" s="92" t="s">
        <v>54</v>
      </c>
      <c r="HKV45" s="92" t="s">
        <v>54</v>
      </c>
      <c r="HKW45" s="92" t="s">
        <v>54</v>
      </c>
      <c r="HKX45" s="92" t="s">
        <v>54</v>
      </c>
      <c r="HKY45" s="92" t="s">
        <v>54</v>
      </c>
      <c r="HKZ45" s="92" t="s">
        <v>54</v>
      </c>
      <c r="HLA45" s="92" t="s">
        <v>54</v>
      </c>
      <c r="HLB45" s="92" t="s">
        <v>54</v>
      </c>
      <c r="HLC45" s="92" t="s">
        <v>54</v>
      </c>
      <c r="HLD45" s="92" t="s">
        <v>54</v>
      </c>
      <c r="HLE45" s="92" t="s">
        <v>54</v>
      </c>
      <c r="HLF45" s="92" t="s">
        <v>54</v>
      </c>
      <c r="HLG45" s="92" t="s">
        <v>54</v>
      </c>
      <c r="HLH45" s="92" t="s">
        <v>54</v>
      </c>
      <c r="HLI45" s="92" t="s">
        <v>54</v>
      </c>
      <c r="HLJ45" s="92" t="s">
        <v>54</v>
      </c>
      <c r="HLK45" s="92" t="s">
        <v>54</v>
      </c>
      <c r="HLL45" s="92" t="s">
        <v>54</v>
      </c>
      <c r="HLM45" s="92" t="s">
        <v>54</v>
      </c>
      <c r="HLN45" s="92" t="s">
        <v>54</v>
      </c>
      <c r="HLO45" s="92" t="s">
        <v>54</v>
      </c>
      <c r="HLP45" s="92" t="s">
        <v>54</v>
      </c>
      <c r="HLQ45" s="92" t="s">
        <v>54</v>
      </c>
      <c r="HLR45" s="92" t="s">
        <v>54</v>
      </c>
      <c r="HLS45" s="92" t="s">
        <v>54</v>
      </c>
      <c r="HLT45" s="92" t="s">
        <v>54</v>
      </c>
      <c r="HLU45" s="92" t="s">
        <v>54</v>
      </c>
      <c r="HLV45" s="92" t="s">
        <v>54</v>
      </c>
      <c r="HLW45" s="92" t="s">
        <v>54</v>
      </c>
      <c r="HLX45" s="92" t="s">
        <v>54</v>
      </c>
      <c r="HLY45" s="92" t="s">
        <v>54</v>
      </c>
      <c r="HLZ45" s="92" t="s">
        <v>54</v>
      </c>
      <c r="HMA45" s="92" t="s">
        <v>54</v>
      </c>
      <c r="HMB45" s="92" t="s">
        <v>54</v>
      </c>
      <c r="HMC45" s="92" t="s">
        <v>54</v>
      </c>
      <c r="HMD45" s="92" t="s">
        <v>54</v>
      </c>
      <c r="HME45" s="92" t="s">
        <v>54</v>
      </c>
      <c r="HMF45" s="92" t="s">
        <v>54</v>
      </c>
      <c r="HMG45" s="92" t="s">
        <v>54</v>
      </c>
      <c r="HMH45" s="92" t="s">
        <v>54</v>
      </c>
      <c r="HMI45" s="92" t="s">
        <v>54</v>
      </c>
      <c r="HMJ45" s="92" t="s">
        <v>54</v>
      </c>
      <c r="HMK45" s="92" t="s">
        <v>54</v>
      </c>
      <c r="HML45" s="92" t="s">
        <v>54</v>
      </c>
      <c r="HMM45" s="92" t="s">
        <v>54</v>
      </c>
      <c r="HMN45" s="92" t="s">
        <v>54</v>
      </c>
      <c r="HMO45" s="92" t="s">
        <v>54</v>
      </c>
      <c r="HMP45" s="92" t="s">
        <v>54</v>
      </c>
      <c r="HMQ45" s="92" t="s">
        <v>54</v>
      </c>
      <c r="HMR45" s="92" t="s">
        <v>54</v>
      </c>
      <c r="HMS45" s="92" t="s">
        <v>54</v>
      </c>
      <c r="HMT45" s="92" t="s">
        <v>54</v>
      </c>
      <c r="HMU45" s="92" t="s">
        <v>54</v>
      </c>
      <c r="HMV45" s="92" t="s">
        <v>54</v>
      </c>
      <c r="HMW45" s="92" t="s">
        <v>54</v>
      </c>
      <c r="HMX45" s="92" t="s">
        <v>54</v>
      </c>
      <c r="HMY45" s="92" t="s">
        <v>54</v>
      </c>
      <c r="HMZ45" s="92" t="s">
        <v>54</v>
      </c>
      <c r="HNA45" s="92" t="s">
        <v>54</v>
      </c>
      <c r="HNB45" s="92" t="s">
        <v>54</v>
      </c>
      <c r="HNC45" s="92" t="s">
        <v>54</v>
      </c>
      <c r="HND45" s="92" t="s">
        <v>54</v>
      </c>
      <c r="HNE45" s="92" t="s">
        <v>54</v>
      </c>
      <c r="HNF45" s="92" t="s">
        <v>54</v>
      </c>
      <c r="HNG45" s="92" t="s">
        <v>54</v>
      </c>
      <c r="HNH45" s="92" t="s">
        <v>54</v>
      </c>
      <c r="HNI45" s="92" t="s">
        <v>54</v>
      </c>
      <c r="HNJ45" s="92" t="s">
        <v>54</v>
      </c>
      <c r="HNK45" s="92" t="s">
        <v>54</v>
      </c>
      <c r="HNL45" s="92" t="s">
        <v>54</v>
      </c>
      <c r="HNM45" s="92" t="s">
        <v>54</v>
      </c>
      <c r="HNN45" s="92" t="s">
        <v>54</v>
      </c>
      <c r="HNO45" s="92" t="s">
        <v>54</v>
      </c>
      <c r="HNP45" s="92" t="s">
        <v>54</v>
      </c>
      <c r="HNQ45" s="92" t="s">
        <v>54</v>
      </c>
      <c r="HNR45" s="92" t="s">
        <v>54</v>
      </c>
      <c r="HNS45" s="92" t="s">
        <v>54</v>
      </c>
      <c r="HNT45" s="92" t="s">
        <v>54</v>
      </c>
      <c r="HNU45" s="92" t="s">
        <v>54</v>
      </c>
      <c r="HNV45" s="92" t="s">
        <v>54</v>
      </c>
      <c r="HNW45" s="92" t="s">
        <v>54</v>
      </c>
      <c r="HNX45" s="92" t="s">
        <v>54</v>
      </c>
      <c r="HNY45" s="92" t="s">
        <v>54</v>
      </c>
      <c r="HNZ45" s="92" t="s">
        <v>54</v>
      </c>
      <c r="HOA45" s="92" t="s">
        <v>54</v>
      </c>
      <c r="HOB45" s="92" t="s">
        <v>54</v>
      </c>
      <c r="HOC45" s="92" t="s">
        <v>54</v>
      </c>
      <c r="HOD45" s="92" t="s">
        <v>54</v>
      </c>
      <c r="HOE45" s="92" t="s">
        <v>54</v>
      </c>
      <c r="HOF45" s="92" t="s">
        <v>54</v>
      </c>
      <c r="HOG45" s="92" t="s">
        <v>54</v>
      </c>
      <c r="HOH45" s="92" t="s">
        <v>54</v>
      </c>
      <c r="HOI45" s="92" t="s">
        <v>54</v>
      </c>
      <c r="HOJ45" s="92" t="s">
        <v>54</v>
      </c>
      <c r="HOK45" s="92" t="s">
        <v>54</v>
      </c>
      <c r="HOL45" s="92" t="s">
        <v>54</v>
      </c>
      <c r="HOM45" s="92" t="s">
        <v>54</v>
      </c>
      <c r="HON45" s="92" t="s">
        <v>54</v>
      </c>
      <c r="HOO45" s="92" t="s">
        <v>54</v>
      </c>
      <c r="HOP45" s="92" t="s">
        <v>54</v>
      </c>
      <c r="HOQ45" s="92" t="s">
        <v>54</v>
      </c>
      <c r="HOR45" s="92" t="s">
        <v>54</v>
      </c>
      <c r="HOS45" s="92" t="s">
        <v>54</v>
      </c>
      <c r="HOT45" s="92" t="s">
        <v>54</v>
      </c>
      <c r="HOU45" s="92" t="s">
        <v>54</v>
      </c>
      <c r="HOV45" s="92" t="s">
        <v>54</v>
      </c>
      <c r="HOW45" s="92" t="s">
        <v>54</v>
      </c>
      <c r="HOX45" s="92" t="s">
        <v>54</v>
      </c>
      <c r="HOY45" s="92" t="s">
        <v>54</v>
      </c>
      <c r="HOZ45" s="92" t="s">
        <v>54</v>
      </c>
      <c r="HPA45" s="92" t="s">
        <v>54</v>
      </c>
      <c r="HPB45" s="92" t="s">
        <v>54</v>
      </c>
      <c r="HPC45" s="92" t="s">
        <v>54</v>
      </c>
      <c r="HPD45" s="92" t="s">
        <v>54</v>
      </c>
      <c r="HPE45" s="92" t="s">
        <v>54</v>
      </c>
      <c r="HPF45" s="92" t="s">
        <v>54</v>
      </c>
      <c r="HPG45" s="92" t="s">
        <v>54</v>
      </c>
      <c r="HPH45" s="92" t="s">
        <v>54</v>
      </c>
      <c r="HPI45" s="92" t="s">
        <v>54</v>
      </c>
      <c r="HPJ45" s="92" t="s">
        <v>54</v>
      </c>
      <c r="HPK45" s="92" t="s">
        <v>54</v>
      </c>
      <c r="HPL45" s="92" t="s">
        <v>54</v>
      </c>
      <c r="HPM45" s="92" t="s">
        <v>54</v>
      </c>
      <c r="HPN45" s="92" t="s">
        <v>54</v>
      </c>
      <c r="HPO45" s="92" t="s">
        <v>54</v>
      </c>
      <c r="HPP45" s="92" t="s">
        <v>54</v>
      </c>
      <c r="HPQ45" s="92" t="s">
        <v>54</v>
      </c>
      <c r="HPR45" s="92" t="s">
        <v>54</v>
      </c>
      <c r="HPS45" s="92" t="s">
        <v>54</v>
      </c>
      <c r="HPT45" s="92" t="s">
        <v>54</v>
      </c>
      <c r="HPU45" s="92" t="s">
        <v>54</v>
      </c>
      <c r="HPV45" s="92" t="s">
        <v>54</v>
      </c>
      <c r="HPW45" s="92" t="s">
        <v>54</v>
      </c>
      <c r="HPX45" s="92" t="s">
        <v>54</v>
      </c>
      <c r="HPY45" s="92" t="s">
        <v>54</v>
      </c>
      <c r="HPZ45" s="92" t="s">
        <v>54</v>
      </c>
      <c r="HQA45" s="92" t="s">
        <v>54</v>
      </c>
      <c r="HQB45" s="92" t="s">
        <v>54</v>
      </c>
      <c r="HQC45" s="92" t="s">
        <v>54</v>
      </c>
      <c r="HQD45" s="92" t="s">
        <v>54</v>
      </c>
      <c r="HQE45" s="92" t="s">
        <v>54</v>
      </c>
      <c r="HQF45" s="92" t="s">
        <v>54</v>
      </c>
      <c r="HQG45" s="92" t="s">
        <v>54</v>
      </c>
      <c r="HQH45" s="92" t="s">
        <v>54</v>
      </c>
      <c r="HQI45" s="92" t="s">
        <v>54</v>
      </c>
      <c r="HQJ45" s="92" t="s">
        <v>54</v>
      </c>
      <c r="HQK45" s="92" t="s">
        <v>54</v>
      </c>
      <c r="HQL45" s="92" t="s">
        <v>54</v>
      </c>
      <c r="HQM45" s="92" t="s">
        <v>54</v>
      </c>
      <c r="HQN45" s="92" t="s">
        <v>54</v>
      </c>
      <c r="HQO45" s="92" t="s">
        <v>54</v>
      </c>
      <c r="HQP45" s="92" t="s">
        <v>54</v>
      </c>
      <c r="HQQ45" s="92" t="s">
        <v>54</v>
      </c>
      <c r="HQR45" s="92" t="s">
        <v>54</v>
      </c>
      <c r="HQS45" s="92" t="s">
        <v>54</v>
      </c>
      <c r="HQT45" s="92" t="s">
        <v>54</v>
      </c>
      <c r="HQU45" s="92" t="s">
        <v>54</v>
      </c>
      <c r="HQV45" s="92" t="s">
        <v>54</v>
      </c>
      <c r="HQW45" s="92" t="s">
        <v>54</v>
      </c>
      <c r="HQX45" s="92" t="s">
        <v>54</v>
      </c>
      <c r="HQY45" s="92" t="s">
        <v>54</v>
      </c>
      <c r="HQZ45" s="92" t="s">
        <v>54</v>
      </c>
      <c r="HRA45" s="92" t="s">
        <v>54</v>
      </c>
      <c r="HRB45" s="92" t="s">
        <v>54</v>
      </c>
      <c r="HRC45" s="92" t="s">
        <v>54</v>
      </c>
      <c r="HRD45" s="92" t="s">
        <v>54</v>
      </c>
      <c r="HRE45" s="92" t="s">
        <v>54</v>
      </c>
      <c r="HRF45" s="92" t="s">
        <v>54</v>
      </c>
      <c r="HRG45" s="92" t="s">
        <v>54</v>
      </c>
      <c r="HRH45" s="92" t="s">
        <v>54</v>
      </c>
      <c r="HRI45" s="92" t="s">
        <v>54</v>
      </c>
      <c r="HRJ45" s="92" t="s">
        <v>54</v>
      </c>
      <c r="HRK45" s="92" t="s">
        <v>54</v>
      </c>
      <c r="HRL45" s="92" t="s">
        <v>54</v>
      </c>
      <c r="HRM45" s="92" t="s">
        <v>54</v>
      </c>
      <c r="HRN45" s="92" t="s">
        <v>54</v>
      </c>
      <c r="HRO45" s="92" t="s">
        <v>54</v>
      </c>
      <c r="HRP45" s="92" t="s">
        <v>54</v>
      </c>
      <c r="HRQ45" s="92" t="s">
        <v>54</v>
      </c>
      <c r="HRR45" s="92" t="s">
        <v>54</v>
      </c>
      <c r="HRS45" s="92" t="s">
        <v>54</v>
      </c>
      <c r="HRT45" s="92" t="s">
        <v>54</v>
      </c>
      <c r="HRU45" s="92" t="s">
        <v>54</v>
      </c>
      <c r="HRV45" s="92" t="s">
        <v>54</v>
      </c>
      <c r="HRW45" s="92" t="s">
        <v>54</v>
      </c>
      <c r="HRX45" s="92" t="s">
        <v>54</v>
      </c>
      <c r="HRY45" s="92" t="s">
        <v>54</v>
      </c>
      <c r="HRZ45" s="92" t="s">
        <v>54</v>
      </c>
      <c r="HSA45" s="92" t="s">
        <v>54</v>
      </c>
      <c r="HSB45" s="92" t="s">
        <v>54</v>
      </c>
      <c r="HSC45" s="92" t="s">
        <v>54</v>
      </c>
      <c r="HSD45" s="92" t="s">
        <v>54</v>
      </c>
      <c r="HSE45" s="92" t="s">
        <v>54</v>
      </c>
      <c r="HSF45" s="92" t="s">
        <v>54</v>
      </c>
      <c r="HSG45" s="92" t="s">
        <v>54</v>
      </c>
      <c r="HSH45" s="92" t="s">
        <v>54</v>
      </c>
      <c r="HSI45" s="92" t="s">
        <v>54</v>
      </c>
      <c r="HSJ45" s="92" t="s">
        <v>54</v>
      </c>
      <c r="HSK45" s="92" t="s">
        <v>54</v>
      </c>
      <c r="HSL45" s="92" t="s">
        <v>54</v>
      </c>
      <c r="HSM45" s="92" t="s">
        <v>54</v>
      </c>
      <c r="HSN45" s="92" t="s">
        <v>54</v>
      </c>
      <c r="HSO45" s="92" t="s">
        <v>54</v>
      </c>
      <c r="HSP45" s="92" t="s">
        <v>54</v>
      </c>
      <c r="HSQ45" s="92" t="s">
        <v>54</v>
      </c>
      <c r="HSR45" s="92" t="s">
        <v>54</v>
      </c>
      <c r="HSS45" s="92" t="s">
        <v>54</v>
      </c>
      <c r="HST45" s="92" t="s">
        <v>54</v>
      </c>
      <c r="HSU45" s="92" t="s">
        <v>54</v>
      </c>
      <c r="HSV45" s="92" t="s">
        <v>54</v>
      </c>
      <c r="HSW45" s="92" t="s">
        <v>54</v>
      </c>
      <c r="HSX45" s="92" t="s">
        <v>54</v>
      </c>
      <c r="HSY45" s="92" t="s">
        <v>54</v>
      </c>
      <c r="HSZ45" s="92" t="s">
        <v>54</v>
      </c>
      <c r="HTA45" s="92" t="s">
        <v>54</v>
      </c>
      <c r="HTB45" s="92" t="s">
        <v>54</v>
      </c>
      <c r="HTC45" s="92" t="s">
        <v>54</v>
      </c>
      <c r="HTD45" s="92" t="s">
        <v>54</v>
      </c>
      <c r="HTE45" s="92" t="s">
        <v>54</v>
      </c>
      <c r="HTF45" s="92" t="s">
        <v>54</v>
      </c>
      <c r="HTG45" s="92" t="s">
        <v>54</v>
      </c>
      <c r="HTH45" s="92" t="s">
        <v>54</v>
      </c>
      <c r="HTI45" s="92" t="s">
        <v>54</v>
      </c>
      <c r="HTJ45" s="92" t="s">
        <v>54</v>
      </c>
      <c r="HTK45" s="92" t="s">
        <v>54</v>
      </c>
      <c r="HTL45" s="92" t="s">
        <v>54</v>
      </c>
      <c r="HTM45" s="92" t="s">
        <v>54</v>
      </c>
      <c r="HTN45" s="92" t="s">
        <v>54</v>
      </c>
      <c r="HTO45" s="92" t="s">
        <v>54</v>
      </c>
      <c r="HTP45" s="92" t="s">
        <v>54</v>
      </c>
      <c r="HTQ45" s="92" t="s">
        <v>54</v>
      </c>
      <c r="HTR45" s="92" t="s">
        <v>54</v>
      </c>
      <c r="HTS45" s="92" t="s">
        <v>54</v>
      </c>
      <c r="HTT45" s="92" t="s">
        <v>54</v>
      </c>
      <c r="HTU45" s="92" t="s">
        <v>54</v>
      </c>
      <c r="HTV45" s="92" t="s">
        <v>54</v>
      </c>
      <c r="HTW45" s="92" t="s">
        <v>54</v>
      </c>
      <c r="HTX45" s="92" t="s">
        <v>54</v>
      </c>
      <c r="HTY45" s="92" t="s">
        <v>54</v>
      </c>
      <c r="HTZ45" s="92" t="s">
        <v>54</v>
      </c>
      <c r="HUA45" s="92" t="s">
        <v>54</v>
      </c>
      <c r="HUB45" s="92" t="s">
        <v>54</v>
      </c>
      <c r="HUC45" s="92" t="s">
        <v>54</v>
      </c>
      <c r="HUD45" s="92" t="s">
        <v>54</v>
      </c>
      <c r="HUE45" s="92" t="s">
        <v>54</v>
      </c>
      <c r="HUF45" s="92" t="s">
        <v>54</v>
      </c>
      <c r="HUG45" s="92" t="s">
        <v>54</v>
      </c>
      <c r="HUH45" s="92" t="s">
        <v>54</v>
      </c>
      <c r="HUI45" s="92" t="s">
        <v>54</v>
      </c>
      <c r="HUJ45" s="92" t="s">
        <v>54</v>
      </c>
      <c r="HUK45" s="92" t="s">
        <v>54</v>
      </c>
      <c r="HUL45" s="92" t="s">
        <v>54</v>
      </c>
      <c r="HUM45" s="92" t="s">
        <v>54</v>
      </c>
      <c r="HUN45" s="92" t="s">
        <v>54</v>
      </c>
      <c r="HUO45" s="92" t="s">
        <v>54</v>
      </c>
      <c r="HUP45" s="92" t="s">
        <v>54</v>
      </c>
      <c r="HUQ45" s="92" t="s">
        <v>54</v>
      </c>
      <c r="HUR45" s="92" t="s">
        <v>54</v>
      </c>
      <c r="HUS45" s="92" t="s">
        <v>54</v>
      </c>
      <c r="HUT45" s="92" t="s">
        <v>54</v>
      </c>
      <c r="HUU45" s="92" t="s">
        <v>54</v>
      </c>
      <c r="HUV45" s="92" t="s">
        <v>54</v>
      </c>
      <c r="HUW45" s="92" t="s">
        <v>54</v>
      </c>
      <c r="HUX45" s="92" t="s">
        <v>54</v>
      </c>
      <c r="HUY45" s="92" t="s">
        <v>54</v>
      </c>
      <c r="HUZ45" s="92" t="s">
        <v>54</v>
      </c>
      <c r="HVA45" s="92" t="s">
        <v>54</v>
      </c>
      <c r="HVB45" s="92" t="s">
        <v>54</v>
      </c>
      <c r="HVC45" s="92" t="s">
        <v>54</v>
      </c>
      <c r="HVD45" s="92" t="s">
        <v>54</v>
      </c>
      <c r="HVE45" s="92" t="s">
        <v>54</v>
      </c>
      <c r="HVF45" s="92" t="s">
        <v>54</v>
      </c>
      <c r="HVG45" s="92" t="s">
        <v>54</v>
      </c>
      <c r="HVH45" s="92" t="s">
        <v>54</v>
      </c>
      <c r="HVI45" s="92" t="s">
        <v>54</v>
      </c>
      <c r="HVJ45" s="92" t="s">
        <v>54</v>
      </c>
      <c r="HVK45" s="92" t="s">
        <v>54</v>
      </c>
      <c r="HVL45" s="92" t="s">
        <v>54</v>
      </c>
      <c r="HVM45" s="92" t="s">
        <v>54</v>
      </c>
      <c r="HVN45" s="92" t="s">
        <v>54</v>
      </c>
      <c r="HVO45" s="92" t="s">
        <v>54</v>
      </c>
      <c r="HVP45" s="92" t="s">
        <v>54</v>
      </c>
      <c r="HVQ45" s="92" t="s">
        <v>54</v>
      </c>
      <c r="HVR45" s="92" t="s">
        <v>54</v>
      </c>
      <c r="HVS45" s="92" t="s">
        <v>54</v>
      </c>
      <c r="HVT45" s="92" t="s">
        <v>54</v>
      </c>
      <c r="HVU45" s="92" t="s">
        <v>54</v>
      </c>
      <c r="HVV45" s="92" t="s">
        <v>54</v>
      </c>
      <c r="HVW45" s="92" t="s">
        <v>54</v>
      </c>
      <c r="HVX45" s="92" t="s">
        <v>54</v>
      </c>
      <c r="HVY45" s="92" t="s">
        <v>54</v>
      </c>
      <c r="HVZ45" s="92" t="s">
        <v>54</v>
      </c>
      <c r="HWA45" s="92" t="s">
        <v>54</v>
      </c>
      <c r="HWB45" s="92" t="s">
        <v>54</v>
      </c>
      <c r="HWC45" s="92" t="s">
        <v>54</v>
      </c>
      <c r="HWD45" s="92" t="s">
        <v>54</v>
      </c>
      <c r="HWE45" s="92" t="s">
        <v>54</v>
      </c>
      <c r="HWF45" s="92" t="s">
        <v>54</v>
      </c>
      <c r="HWG45" s="92" t="s">
        <v>54</v>
      </c>
      <c r="HWH45" s="92" t="s">
        <v>54</v>
      </c>
      <c r="HWI45" s="92" t="s">
        <v>54</v>
      </c>
      <c r="HWJ45" s="92" t="s">
        <v>54</v>
      </c>
      <c r="HWK45" s="92" t="s">
        <v>54</v>
      </c>
      <c r="HWL45" s="92" t="s">
        <v>54</v>
      </c>
      <c r="HWM45" s="92" t="s">
        <v>54</v>
      </c>
      <c r="HWN45" s="92" t="s">
        <v>54</v>
      </c>
      <c r="HWO45" s="92" t="s">
        <v>54</v>
      </c>
      <c r="HWP45" s="92" t="s">
        <v>54</v>
      </c>
      <c r="HWQ45" s="92" t="s">
        <v>54</v>
      </c>
      <c r="HWR45" s="92" t="s">
        <v>54</v>
      </c>
      <c r="HWS45" s="92" t="s">
        <v>54</v>
      </c>
      <c r="HWT45" s="92" t="s">
        <v>54</v>
      </c>
      <c r="HWU45" s="92" t="s">
        <v>54</v>
      </c>
      <c r="HWV45" s="92" t="s">
        <v>54</v>
      </c>
      <c r="HWW45" s="92" t="s">
        <v>54</v>
      </c>
      <c r="HWX45" s="92" t="s">
        <v>54</v>
      </c>
      <c r="HWY45" s="92" t="s">
        <v>54</v>
      </c>
      <c r="HWZ45" s="92" t="s">
        <v>54</v>
      </c>
      <c r="HXA45" s="92" t="s">
        <v>54</v>
      </c>
      <c r="HXB45" s="92" t="s">
        <v>54</v>
      </c>
      <c r="HXC45" s="92" t="s">
        <v>54</v>
      </c>
      <c r="HXD45" s="92" t="s">
        <v>54</v>
      </c>
      <c r="HXE45" s="92" t="s">
        <v>54</v>
      </c>
      <c r="HXF45" s="92" t="s">
        <v>54</v>
      </c>
      <c r="HXG45" s="92" t="s">
        <v>54</v>
      </c>
      <c r="HXH45" s="92" t="s">
        <v>54</v>
      </c>
      <c r="HXI45" s="92" t="s">
        <v>54</v>
      </c>
      <c r="HXJ45" s="92" t="s">
        <v>54</v>
      </c>
      <c r="HXK45" s="92" t="s">
        <v>54</v>
      </c>
      <c r="HXL45" s="92" t="s">
        <v>54</v>
      </c>
      <c r="HXM45" s="92" t="s">
        <v>54</v>
      </c>
      <c r="HXN45" s="92" t="s">
        <v>54</v>
      </c>
      <c r="HXO45" s="92" t="s">
        <v>54</v>
      </c>
      <c r="HXP45" s="92" t="s">
        <v>54</v>
      </c>
      <c r="HXQ45" s="92" t="s">
        <v>54</v>
      </c>
      <c r="HXR45" s="92" t="s">
        <v>54</v>
      </c>
      <c r="HXS45" s="92" t="s">
        <v>54</v>
      </c>
      <c r="HXT45" s="92" t="s">
        <v>54</v>
      </c>
      <c r="HXU45" s="92" t="s">
        <v>54</v>
      </c>
      <c r="HXV45" s="92" t="s">
        <v>54</v>
      </c>
      <c r="HXW45" s="92" t="s">
        <v>54</v>
      </c>
      <c r="HXX45" s="92" t="s">
        <v>54</v>
      </c>
      <c r="HXY45" s="92" t="s">
        <v>54</v>
      </c>
      <c r="HXZ45" s="92" t="s">
        <v>54</v>
      </c>
      <c r="HYA45" s="92" t="s">
        <v>54</v>
      </c>
      <c r="HYB45" s="92" t="s">
        <v>54</v>
      </c>
      <c r="HYC45" s="92" t="s">
        <v>54</v>
      </c>
      <c r="HYD45" s="92" t="s">
        <v>54</v>
      </c>
      <c r="HYE45" s="92" t="s">
        <v>54</v>
      </c>
      <c r="HYF45" s="92" t="s">
        <v>54</v>
      </c>
      <c r="HYG45" s="92" t="s">
        <v>54</v>
      </c>
      <c r="HYH45" s="92" t="s">
        <v>54</v>
      </c>
      <c r="HYI45" s="92" t="s">
        <v>54</v>
      </c>
      <c r="HYJ45" s="92" t="s">
        <v>54</v>
      </c>
      <c r="HYK45" s="92" t="s">
        <v>54</v>
      </c>
      <c r="HYL45" s="92" t="s">
        <v>54</v>
      </c>
      <c r="HYM45" s="92" t="s">
        <v>54</v>
      </c>
      <c r="HYN45" s="92" t="s">
        <v>54</v>
      </c>
      <c r="HYO45" s="92" t="s">
        <v>54</v>
      </c>
      <c r="HYP45" s="92" t="s">
        <v>54</v>
      </c>
      <c r="HYQ45" s="92" t="s">
        <v>54</v>
      </c>
      <c r="HYR45" s="92" t="s">
        <v>54</v>
      </c>
      <c r="HYS45" s="92" t="s">
        <v>54</v>
      </c>
      <c r="HYT45" s="92" t="s">
        <v>54</v>
      </c>
      <c r="HYU45" s="92" t="s">
        <v>54</v>
      </c>
      <c r="HYV45" s="92" t="s">
        <v>54</v>
      </c>
      <c r="HYW45" s="92" t="s">
        <v>54</v>
      </c>
      <c r="HYX45" s="92" t="s">
        <v>54</v>
      </c>
      <c r="HYY45" s="92" t="s">
        <v>54</v>
      </c>
      <c r="HYZ45" s="92" t="s">
        <v>54</v>
      </c>
      <c r="HZA45" s="92" t="s">
        <v>54</v>
      </c>
      <c r="HZB45" s="92" t="s">
        <v>54</v>
      </c>
      <c r="HZC45" s="92" t="s">
        <v>54</v>
      </c>
      <c r="HZD45" s="92" t="s">
        <v>54</v>
      </c>
      <c r="HZE45" s="92" t="s">
        <v>54</v>
      </c>
      <c r="HZF45" s="92" t="s">
        <v>54</v>
      </c>
      <c r="HZG45" s="92" t="s">
        <v>54</v>
      </c>
      <c r="HZH45" s="92" t="s">
        <v>54</v>
      </c>
      <c r="HZI45" s="92" t="s">
        <v>54</v>
      </c>
      <c r="HZJ45" s="92" t="s">
        <v>54</v>
      </c>
      <c r="HZK45" s="92" t="s">
        <v>54</v>
      </c>
      <c r="HZL45" s="92" t="s">
        <v>54</v>
      </c>
      <c r="HZM45" s="92" t="s">
        <v>54</v>
      </c>
      <c r="HZN45" s="92" t="s">
        <v>54</v>
      </c>
      <c r="HZO45" s="92" t="s">
        <v>54</v>
      </c>
      <c r="HZP45" s="92" t="s">
        <v>54</v>
      </c>
      <c r="HZQ45" s="92" t="s">
        <v>54</v>
      </c>
      <c r="HZR45" s="92" t="s">
        <v>54</v>
      </c>
      <c r="HZS45" s="92" t="s">
        <v>54</v>
      </c>
      <c r="HZT45" s="92" t="s">
        <v>54</v>
      </c>
      <c r="HZU45" s="92" t="s">
        <v>54</v>
      </c>
      <c r="HZV45" s="92" t="s">
        <v>54</v>
      </c>
      <c r="HZW45" s="92" t="s">
        <v>54</v>
      </c>
      <c r="HZX45" s="92" t="s">
        <v>54</v>
      </c>
      <c r="HZY45" s="92" t="s">
        <v>54</v>
      </c>
      <c r="HZZ45" s="92" t="s">
        <v>54</v>
      </c>
      <c r="IAA45" s="92" t="s">
        <v>54</v>
      </c>
      <c r="IAB45" s="92" t="s">
        <v>54</v>
      </c>
      <c r="IAC45" s="92" t="s">
        <v>54</v>
      </c>
      <c r="IAD45" s="92" t="s">
        <v>54</v>
      </c>
      <c r="IAE45" s="92" t="s">
        <v>54</v>
      </c>
      <c r="IAF45" s="92" t="s">
        <v>54</v>
      </c>
      <c r="IAG45" s="92" t="s">
        <v>54</v>
      </c>
      <c r="IAH45" s="92" t="s">
        <v>54</v>
      </c>
      <c r="IAI45" s="92" t="s">
        <v>54</v>
      </c>
      <c r="IAJ45" s="92" t="s">
        <v>54</v>
      </c>
      <c r="IAK45" s="92" t="s">
        <v>54</v>
      </c>
      <c r="IAL45" s="92" t="s">
        <v>54</v>
      </c>
      <c r="IAM45" s="92" t="s">
        <v>54</v>
      </c>
      <c r="IAN45" s="92" t="s">
        <v>54</v>
      </c>
      <c r="IAO45" s="92" t="s">
        <v>54</v>
      </c>
      <c r="IAP45" s="92" t="s">
        <v>54</v>
      </c>
      <c r="IAQ45" s="92" t="s">
        <v>54</v>
      </c>
      <c r="IAR45" s="92" t="s">
        <v>54</v>
      </c>
      <c r="IAS45" s="92" t="s">
        <v>54</v>
      </c>
      <c r="IAT45" s="92" t="s">
        <v>54</v>
      </c>
      <c r="IAU45" s="92" t="s">
        <v>54</v>
      </c>
      <c r="IAV45" s="92" t="s">
        <v>54</v>
      </c>
      <c r="IAW45" s="92" t="s">
        <v>54</v>
      </c>
      <c r="IAX45" s="92" t="s">
        <v>54</v>
      </c>
      <c r="IAY45" s="92" t="s">
        <v>54</v>
      </c>
      <c r="IAZ45" s="92" t="s">
        <v>54</v>
      </c>
      <c r="IBA45" s="92" t="s">
        <v>54</v>
      </c>
      <c r="IBB45" s="92" t="s">
        <v>54</v>
      </c>
      <c r="IBC45" s="92" t="s">
        <v>54</v>
      </c>
      <c r="IBD45" s="92" t="s">
        <v>54</v>
      </c>
      <c r="IBE45" s="92" t="s">
        <v>54</v>
      </c>
      <c r="IBF45" s="92" t="s">
        <v>54</v>
      </c>
      <c r="IBG45" s="92" t="s">
        <v>54</v>
      </c>
      <c r="IBH45" s="92" t="s">
        <v>54</v>
      </c>
      <c r="IBI45" s="92" t="s">
        <v>54</v>
      </c>
      <c r="IBJ45" s="92" t="s">
        <v>54</v>
      </c>
      <c r="IBK45" s="92" t="s">
        <v>54</v>
      </c>
      <c r="IBL45" s="92" t="s">
        <v>54</v>
      </c>
      <c r="IBM45" s="92" t="s">
        <v>54</v>
      </c>
      <c r="IBN45" s="92" t="s">
        <v>54</v>
      </c>
      <c r="IBO45" s="92" t="s">
        <v>54</v>
      </c>
      <c r="IBP45" s="92" t="s">
        <v>54</v>
      </c>
      <c r="IBQ45" s="92" t="s">
        <v>54</v>
      </c>
      <c r="IBR45" s="92" t="s">
        <v>54</v>
      </c>
      <c r="IBS45" s="92" t="s">
        <v>54</v>
      </c>
      <c r="IBT45" s="92" t="s">
        <v>54</v>
      </c>
      <c r="IBU45" s="92" t="s">
        <v>54</v>
      </c>
      <c r="IBV45" s="92" t="s">
        <v>54</v>
      </c>
      <c r="IBW45" s="92" t="s">
        <v>54</v>
      </c>
      <c r="IBX45" s="92" t="s">
        <v>54</v>
      </c>
      <c r="IBY45" s="92" t="s">
        <v>54</v>
      </c>
      <c r="IBZ45" s="92" t="s">
        <v>54</v>
      </c>
      <c r="ICA45" s="92" t="s">
        <v>54</v>
      </c>
      <c r="ICB45" s="92" t="s">
        <v>54</v>
      </c>
      <c r="ICC45" s="92" t="s">
        <v>54</v>
      </c>
      <c r="ICD45" s="92" t="s">
        <v>54</v>
      </c>
      <c r="ICE45" s="92" t="s">
        <v>54</v>
      </c>
      <c r="ICF45" s="92" t="s">
        <v>54</v>
      </c>
      <c r="ICG45" s="92" t="s">
        <v>54</v>
      </c>
      <c r="ICH45" s="92" t="s">
        <v>54</v>
      </c>
      <c r="ICI45" s="92" t="s">
        <v>54</v>
      </c>
      <c r="ICJ45" s="92" t="s">
        <v>54</v>
      </c>
      <c r="ICK45" s="92" t="s">
        <v>54</v>
      </c>
      <c r="ICL45" s="92" t="s">
        <v>54</v>
      </c>
      <c r="ICM45" s="92" t="s">
        <v>54</v>
      </c>
      <c r="ICN45" s="92" t="s">
        <v>54</v>
      </c>
      <c r="ICO45" s="92" t="s">
        <v>54</v>
      </c>
      <c r="ICP45" s="92" t="s">
        <v>54</v>
      </c>
      <c r="ICQ45" s="92" t="s">
        <v>54</v>
      </c>
      <c r="ICR45" s="92" t="s">
        <v>54</v>
      </c>
      <c r="ICS45" s="92" t="s">
        <v>54</v>
      </c>
      <c r="ICT45" s="92" t="s">
        <v>54</v>
      </c>
      <c r="ICU45" s="92" t="s">
        <v>54</v>
      </c>
      <c r="ICV45" s="92" t="s">
        <v>54</v>
      </c>
      <c r="ICW45" s="92" t="s">
        <v>54</v>
      </c>
      <c r="ICX45" s="92" t="s">
        <v>54</v>
      </c>
      <c r="ICY45" s="92" t="s">
        <v>54</v>
      </c>
      <c r="ICZ45" s="92" t="s">
        <v>54</v>
      </c>
      <c r="IDA45" s="92" t="s">
        <v>54</v>
      </c>
      <c r="IDB45" s="92" t="s">
        <v>54</v>
      </c>
      <c r="IDC45" s="92" t="s">
        <v>54</v>
      </c>
      <c r="IDD45" s="92" t="s">
        <v>54</v>
      </c>
      <c r="IDE45" s="92" t="s">
        <v>54</v>
      </c>
      <c r="IDF45" s="92" t="s">
        <v>54</v>
      </c>
      <c r="IDG45" s="92" t="s">
        <v>54</v>
      </c>
      <c r="IDH45" s="92" t="s">
        <v>54</v>
      </c>
      <c r="IDI45" s="92" t="s">
        <v>54</v>
      </c>
      <c r="IDJ45" s="92" t="s">
        <v>54</v>
      </c>
      <c r="IDK45" s="92" t="s">
        <v>54</v>
      </c>
      <c r="IDL45" s="92" t="s">
        <v>54</v>
      </c>
      <c r="IDM45" s="92" t="s">
        <v>54</v>
      </c>
      <c r="IDN45" s="92" t="s">
        <v>54</v>
      </c>
      <c r="IDO45" s="92" t="s">
        <v>54</v>
      </c>
      <c r="IDP45" s="92" t="s">
        <v>54</v>
      </c>
      <c r="IDQ45" s="92" t="s">
        <v>54</v>
      </c>
      <c r="IDR45" s="92" t="s">
        <v>54</v>
      </c>
      <c r="IDS45" s="92" t="s">
        <v>54</v>
      </c>
      <c r="IDT45" s="92" t="s">
        <v>54</v>
      </c>
      <c r="IDU45" s="92" t="s">
        <v>54</v>
      </c>
      <c r="IDV45" s="92" t="s">
        <v>54</v>
      </c>
      <c r="IDW45" s="92" t="s">
        <v>54</v>
      </c>
      <c r="IDX45" s="92" t="s">
        <v>54</v>
      </c>
      <c r="IDY45" s="92" t="s">
        <v>54</v>
      </c>
      <c r="IDZ45" s="92" t="s">
        <v>54</v>
      </c>
      <c r="IEA45" s="92" t="s">
        <v>54</v>
      </c>
      <c r="IEB45" s="92" t="s">
        <v>54</v>
      </c>
      <c r="IEC45" s="92" t="s">
        <v>54</v>
      </c>
      <c r="IED45" s="92" t="s">
        <v>54</v>
      </c>
      <c r="IEE45" s="92" t="s">
        <v>54</v>
      </c>
      <c r="IEF45" s="92" t="s">
        <v>54</v>
      </c>
      <c r="IEG45" s="92" t="s">
        <v>54</v>
      </c>
      <c r="IEH45" s="92" t="s">
        <v>54</v>
      </c>
      <c r="IEI45" s="92" t="s">
        <v>54</v>
      </c>
      <c r="IEJ45" s="92" t="s">
        <v>54</v>
      </c>
      <c r="IEK45" s="92" t="s">
        <v>54</v>
      </c>
      <c r="IEL45" s="92" t="s">
        <v>54</v>
      </c>
      <c r="IEM45" s="92" t="s">
        <v>54</v>
      </c>
      <c r="IEN45" s="92" t="s">
        <v>54</v>
      </c>
      <c r="IEO45" s="92" t="s">
        <v>54</v>
      </c>
      <c r="IEP45" s="92" t="s">
        <v>54</v>
      </c>
      <c r="IEQ45" s="92" t="s">
        <v>54</v>
      </c>
      <c r="IER45" s="92" t="s">
        <v>54</v>
      </c>
      <c r="IES45" s="92" t="s">
        <v>54</v>
      </c>
      <c r="IET45" s="92" t="s">
        <v>54</v>
      </c>
      <c r="IEU45" s="92" t="s">
        <v>54</v>
      </c>
      <c r="IEV45" s="92" t="s">
        <v>54</v>
      </c>
      <c r="IEW45" s="92" t="s">
        <v>54</v>
      </c>
      <c r="IEX45" s="92" t="s">
        <v>54</v>
      </c>
      <c r="IEY45" s="92" t="s">
        <v>54</v>
      </c>
      <c r="IEZ45" s="92" t="s">
        <v>54</v>
      </c>
      <c r="IFA45" s="92" t="s">
        <v>54</v>
      </c>
      <c r="IFB45" s="92" t="s">
        <v>54</v>
      </c>
      <c r="IFC45" s="92" t="s">
        <v>54</v>
      </c>
      <c r="IFD45" s="92" t="s">
        <v>54</v>
      </c>
      <c r="IFE45" s="92" t="s">
        <v>54</v>
      </c>
      <c r="IFF45" s="92" t="s">
        <v>54</v>
      </c>
      <c r="IFG45" s="92" t="s">
        <v>54</v>
      </c>
      <c r="IFH45" s="92" t="s">
        <v>54</v>
      </c>
      <c r="IFI45" s="92" t="s">
        <v>54</v>
      </c>
      <c r="IFJ45" s="92" t="s">
        <v>54</v>
      </c>
      <c r="IFK45" s="92" t="s">
        <v>54</v>
      </c>
      <c r="IFL45" s="92" t="s">
        <v>54</v>
      </c>
      <c r="IFM45" s="92" t="s">
        <v>54</v>
      </c>
      <c r="IFN45" s="92" t="s">
        <v>54</v>
      </c>
      <c r="IFO45" s="92" t="s">
        <v>54</v>
      </c>
      <c r="IFP45" s="92" t="s">
        <v>54</v>
      </c>
      <c r="IFQ45" s="92" t="s">
        <v>54</v>
      </c>
      <c r="IFR45" s="92" t="s">
        <v>54</v>
      </c>
      <c r="IFS45" s="92" t="s">
        <v>54</v>
      </c>
      <c r="IFT45" s="92" t="s">
        <v>54</v>
      </c>
      <c r="IFU45" s="92" t="s">
        <v>54</v>
      </c>
      <c r="IFV45" s="92" t="s">
        <v>54</v>
      </c>
      <c r="IFW45" s="92" t="s">
        <v>54</v>
      </c>
      <c r="IFX45" s="92" t="s">
        <v>54</v>
      </c>
      <c r="IFY45" s="92" t="s">
        <v>54</v>
      </c>
      <c r="IFZ45" s="92" t="s">
        <v>54</v>
      </c>
      <c r="IGA45" s="92" t="s">
        <v>54</v>
      </c>
      <c r="IGB45" s="92" t="s">
        <v>54</v>
      </c>
      <c r="IGC45" s="92" t="s">
        <v>54</v>
      </c>
      <c r="IGD45" s="92" t="s">
        <v>54</v>
      </c>
      <c r="IGE45" s="92" t="s">
        <v>54</v>
      </c>
      <c r="IGF45" s="92" t="s">
        <v>54</v>
      </c>
      <c r="IGG45" s="92" t="s">
        <v>54</v>
      </c>
      <c r="IGH45" s="92" t="s">
        <v>54</v>
      </c>
      <c r="IGI45" s="92" t="s">
        <v>54</v>
      </c>
      <c r="IGJ45" s="92" t="s">
        <v>54</v>
      </c>
      <c r="IGK45" s="92" t="s">
        <v>54</v>
      </c>
      <c r="IGL45" s="92" t="s">
        <v>54</v>
      </c>
      <c r="IGM45" s="92" t="s">
        <v>54</v>
      </c>
      <c r="IGN45" s="92" t="s">
        <v>54</v>
      </c>
      <c r="IGO45" s="92" t="s">
        <v>54</v>
      </c>
      <c r="IGP45" s="92" t="s">
        <v>54</v>
      </c>
      <c r="IGQ45" s="92" t="s">
        <v>54</v>
      </c>
      <c r="IGR45" s="92" t="s">
        <v>54</v>
      </c>
      <c r="IGS45" s="92" t="s">
        <v>54</v>
      </c>
      <c r="IGT45" s="92" t="s">
        <v>54</v>
      </c>
      <c r="IGU45" s="92" t="s">
        <v>54</v>
      </c>
      <c r="IGV45" s="92" t="s">
        <v>54</v>
      </c>
      <c r="IGW45" s="92" t="s">
        <v>54</v>
      </c>
      <c r="IGX45" s="92" t="s">
        <v>54</v>
      </c>
      <c r="IGY45" s="92" t="s">
        <v>54</v>
      </c>
      <c r="IGZ45" s="92" t="s">
        <v>54</v>
      </c>
      <c r="IHA45" s="92" t="s">
        <v>54</v>
      </c>
      <c r="IHB45" s="92" t="s">
        <v>54</v>
      </c>
      <c r="IHC45" s="92" t="s">
        <v>54</v>
      </c>
      <c r="IHD45" s="92" t="s">
        <v>54</v>
      </c>
      <c r="IHE45" s="92" t="s">
        <v>54</v>
      </c>
      <c r="IHF45" s="92" t="s">
        <v>54</v>
      </c>
      <c r="IHG45" s="92" t="s">
        <v>54</v>
      </c>
      <c r="IHH45" s="92" t="s">
        <v>54</v>
      </c>
      <c r="IHI45" s="92" t="s">
        <v>54</v>
      </c>
      <c r="IHJ45" s="92" t="s">
        <v>54</v>
      </c>
      <c r="IHK45" s="92" t="s">
        <v>54</v>
      </c>
      <c r="IHL45" s="92" t="s">
        <v>54</v>
      </c>
      <c r="IHM45" s="92" t="s">
        <v>54</v>
      </c>
      <c r="IHN45" s="92" t="s">
        <v>54</v>
      </c>
      <c r="IHO45" s="92" t="s">
        <v>54</v>
      </c>
      <c r="IHP45" s="92" t="s">
        <v>54</v>
      </c>
      <c r="IHQ45" s="92" t="s">
        <v>54</v>
      </c>
      <c r="IHR45" s="92" t="s">
        <v>54</v>
      </c>
      <c r="IHS45" s="92" t="s">
        <v>54</v>
      </c>
      <c r="IHT45" s="92" t="s">
        <v>54</v>
      </c>
      <c r="IHU45" s="92" t="s">
        <v>54</v>
      </c>
      <c r="IHV45" s="92" t="s">
        <v>54</v>
      </c>
      <c r="IHW45" s="92" t="s">
        <v>54</v>
      </c>
      <c r="IHX45" s="92" t="s">
        <v>54</v>
      </c>
      <c r="IHY45" s="92" t="s">
        <v>54</v>
      </c>
      <c r="IHZ45" s="92" t="s">
        <v>54</v>
      </c>
      <c r="IIA45" s="92" t="s">
        <v>54</v>
      </c>
      <c r="IIB45" s="92" t="s">
        <v>54</v>
      </c>
      <c r="IIC45" s="92" t="s">
        <v>54</v>
      </c>
      <c r="IID45" s="92" t="s">
        <v>54</v>
      </c>
      <c r="IIE45" s="92" t="s">
        <v>54</v>
      </c>
      <c r="IIF45" s="92" t="s">
        <v>54</v>
      </c>
      <c r="IIG45" s="92" t="s">
        <v>54</v>
      </c>
      <c r="IIH45" s="92" t="s">
        <v>54</v>
      </c>
      <c r="III45" s="92" t="s">
        <v>54</v>
      </c>
      <c r="IIJ45" s="92" t="s">
        <v>54</v>
      </c>
      <c r="IIK45" s="92" t="s">
        <v>54</v>
      </c>
      <c r="IIL45" s="92" t="s">
        <v>54</v>
      </c>
      <c r="IIM45" s="92" t="s">
        <v>54</v>
      </c>
      <c r="IIN45" s="92" t="s">
        <v>54</v>
      </c>
      <c r="IIO45" s="92" t="s">
        <v>54</v>
      </c>
      <c r="IIP45" s="92" t="s">
        <v>54</v>
      </c>
      <c r="IIQ45" s="92" t="s">
        <v>54</v>
      </c>
      <c r="IIR45" s="92" t="s">
        <v>54</v>
      </c>
      <c r="IIS45" s="92" t="s">
        <v>54</v>
      </c>
      <c r="IIT45" s="92" t="s">
        <v>54</v>
      </c>
      <c r="IIU45" s="92" t="s">
        <v>54</v>
      </c>
      <c r="IIV45" s="92" t="s">
        <v>54</v>
      </c>
      <c r="IIW45" s="92" t="s">
        <v>54</v>
      </c>
      <c r="IIX45" s="92" t="s">
        <v>54</v>
      </c>
      <c r="IIY45" s="92" t="s">
        <v>54</v>
      </c>
      <c r="IIZ45" s="92" t="s">
        <v>54</v>
      </c>
      <c r="IJA45" s="92" t="s">
        <v>54</v>
      </c>
      <c r="IJB45" s="92" t="s">
        <v>54</v>
      </c>
      <c r="IJC45" s="92" t="s">
        <v>54</v>
      </c>
      <c r="IJD45" s="92" t="s">
        <v>54</v>
      </c>
      <c r="IJE45" s="92" t="s">
        <v>54</v>
      </c>
      <c r="IJF45" s="92" t="s">
        <v>54</v>
      </c>
      <c r="IJG45" s="92" t="s">
        <v>54</v>
      </c>
      <c r="IJH45" s="92" t="s">
        <v>54</v>
      </c>
      <c r="IJI45" s="92" t="s">
        <v>54</v>
      </c>
      <c r="IJJ45" s="92" t="s">
        <v>54</v>
      </c>
      <c r="IJK45" s="92" t="s">
        <v>54</v>
      </c>
      <c r="IJL45" s="92" t="s">
        <v>54</v>
      </c>
      <c r="IJM45" s="92" t="s">
        <v>54</v>
      </c>
      <c r="IJN45" s="92" t="s">
        <v>54</v>
      </c>
      <c r="IJO45" s="92" t="s">
        <v>54</v>
      </c>
      <c r="IJP45" s="92" t="s">
        <v>54</v>
      </c>
      <c r="IJQ45" s="92" t="s">
        <v>54</v>
      </c>
      <c r="IJR45" s="92" t="s">
        <v>54</v>
      </c>
      <c r="IJS45" s="92" t="s">
        <v>54</v>
      </c>
      <c r="IJT45" s="92" t="s">
        <v>54</v>
      </c>
      <c r="IJU45" s="92" t="s">
        <v>54</v>
      </c>
      <c r="IJV45" s="92" t="s">
        <v>54</v>
      </c>
      <c r="IJW45" s="92" t="s">
        <v>54</v>
      </c>
      <c r="IJX45" s="92" t="s">
        <v>54</v>
      </c>
      <c r="IJY45" s="92" t="s">
        <v>54</v>
      </c>
      <c r="IJZ45" s="92" t="s">
        <v>54</v>
      </c>
      <c r="IKA45" s="92" t="s">
        <v>54</v>
      </c>
      <c r="IKB45" s="92" t="s">
        <v>54</v>
      </c>
      <c r="IKC45" s="92" t="s">
        <v>54</v>
      </c>
      <c r="IKD45" s="92" t="s">
        <v>54</v>
      </c>
      <c r="IKE45" s="92" t="s">
        <v>54</v>
      </c>
      <c r="IKF45" s="92" t="s">
        <v>54</v>
      </c>
      <c r="IKG45" s="92" t="s">
        <v>54</v>
      </c>
      <c r="IKH45" s="92" t="s">
        <v>54</v>
      </c>
      <c r="IKI45" s="92" t="s">
        <v>54</v>
      </c>
      <c r="IKJ45" s="92" t="s">
        <v>54</v>
      </c>
      <c r="IKK45" s="92" t="s">
        <v>54</v>
      </c>
      <c r="IKL45" s="92" t="s">
        <v>54</v>
      </c>
      <c r="IKM45" s="92" t="s">
        <v>54</v>
      </c>
      <c r="IKN45" s="92" t="s">
        <v>54</v>
      </c>
      <c r="IKO45" s="92" t="s">
        <v>54</v>
      </c>
      <c r="IKP45" s="92" t="s">
        <v>54</v>
      </c>
      <c r="IKQ45" s="92" t="s">
        <v>54</v>
      </c>
      <c r="IKR45" s="92" t="s">
        <v>54</v>
      </c>
      <c r="IKS45" s="92" t="s">
        <v>54</v>
      </c>
      <c r="IKT45" s="92" t="s">
        <v>54</v>
      </c>
      <c r="IKU45" s="92" t="s">
        <v>54</v>
      </c>
      <c r="IKV45" s="92" t="s">
        <v>54</v>
      </c>
      <c r="IKW45" s="92" t="s">
        <v>54</v>
      </c>
      <c r="IKX45" s="92" t="s">
        <v>54</v>
      </c>
      <c r="IKY45" s="92" t="s">
        <v>54</v>
      </c>
      <c r="IKZ45" s="92" t="s">
        <v>54</v>
      </c>
      <c r="ILA45" s="92" t="s">
        <v>54</v>
      </c>
      <c r="ILB45" s="92" t="s">
        <v>54</v>
      </c>
      <c r="ILC45" s="92" t="s">
        <v>54</v>
      </c>
      <c r="ILD45" s="92" t="s">
        <v>54</v>
      </c>
      <c r="ILE45" s="92" t="s">
        <v>54</v>
      </c>
      <c r="ILF45" s="92" t="s">
        <v>54</v>
      </c>
      <c r="ILG45" s="92" t="s">
        <v>54</v>
      </c>
      <c r="ILH45" s="92" t="s">
        <v>54</v>
      </c>
      <c r="ILI45" s="92" t="s">
        <v>54</v>
      </c>
      <c r="ILJ45" s="92" t="s">
        <v>54</v>
      </c>
      <c r="ILK45" s="92" t="s">
        <v>54</v>
      </c>
      <c r="ILL45" s="92" t="s">
        <v>54</v>
      </c>
      <c r="ILM45" s="92" t="s">
        <v>54</v>
      </c>
      <c r="ILN45" s="92" t="s">
        <v>54</v>
      </c>
      <c r="ILO45" s="92" t="s">
        <v>54</v>
      </c>
      <c r="ILP45" s="92" t="s">
        <v>54</v>
      </c>
      <c r="ILQ45" s="92" t="s">
        <v>54</v>
      </c>
      <c r="ILR45" s="92" t="s">
        <v>54</v>
      </c>
      <c r="ILS45" s="92" t="s">
        <v>54</v>
      </c>
      <c r="ILT45" s="92" t="s">
        <v>54</v>
      </c>
      <c r="ILU45" s="92" t="s">
        <v>54</v>
      </c>
      <c r="ILV45" s="92" t="s">
        <v>54</v>
      </c>
      <c r="ILW45" s="92" t="s">
        <v>54</v>
      </c>
      <c r="ILX45" s="92" t="s">
        <v>54</v>
      </c>
      <c r="ILY45" s="92" t="s">
        <v>54</v>
      </c>
      <c r="ILZ45" s="92" t="s">
        <v>54</v>
      </c>
      <c r="IMA45" s="92" t="s">
        <v>54</v>
      </c>
      <c r="IMB45" s="92" t="s">
        <v>54</v>
      </c>
      <c r="IMC45" s="92" t="s">
        <v>54</v>
      </c>
      <c r="IMD45" s="92" t="s">
        <v>54</v>
      </c>
      <c r="IME45" s="92" t="s">
        <v>54</v>
      </c>
      <c r="IMF45" s="92" t="s">
        <v>54</v>
      </c>
      <c r="IMG45" s="92" t="s">
        <v>54</v>
      </c>
      <c r="IMH45" s="92" t="s">
        <v>54</v>
      </c>
      <c r="IMI45" s="92" t="s">
        <v>54</v>
      </c>
      <c r="IMJ45" s="92" t="s">
        <v>54</v>
      </c>
      <c r="IMK45" s="92" t="s">
        <v>54</v>
      </c>
      <c r="IML45" s="92" t="s">
        <v>54</v>
      </c>
      <c r="IMM45" s="92" t="s">
        <v>54</v>
      </c>
      <c r="IMN45" s="92" t="s">
        <v>54</v>
      </c>
      <c r="IMO45" s="92" t="s">
        <v>54</v>
      </c>
      <c r="IMP45" s="92" t="s">
        <v>54</v>
      </c>
      <c r="IMQ45" s="92" t="s">
        <v>54</v>
      </c>
      <c r="IMR45" s="92" t="s">
        <v>54</v>
      </c>
      <c r="IMS45" s="92" t="s">
        <v>54</v>
      </c>
      <c r="IMT45" s="92" t="s">
        <v>54</v>
      </c>
      <c r="IMU45" s="92" t="s">
        <v>54</v>
      </c>
      <c r="IMV45" s="92" t="s">
        <v>54</v>
      </c>
      <c r="IMW45" s="92" t="s">
        <v>54</v>
      </c>
      <c r="IMX45" s="92" t="s">
        <v>54</v>
      </c>
      <c r="IMY45" s="92" t="s">
        <v>54</v>
      </c>
      <c r="IMZ45" s="92" t="s">
        <v>54</v>
      </c>
      <c r="INA45" s="92" t="s">
        <v>54</v>
      </c>
      <c r="INB45" s="92" t="s">
        <v>54</v>
      </c>
      <c r="INC45" s="92" t="s">
        <v>54</v>
      </c>
      <c r="IND45" s="92" t="s">
        <v>54</v>
      </c>
      <c r="INE45" s="92" t="s">
        <v>54</v>
      </c>
      <c r="INF45" s="92" t="s">
        <v>54</v>
      </c>
      <c r="ING45" s="92" t="s">
        <v>54</v>
      </c>
      <c r="INH45" s="92" t="s">
        <v>54</v>
      </c>
      <c r="INI45" s="92" t="s">
        <v>54</v>
      </c>
      <c r="INJ45" s="92" t="s">
        <v>54</v>
      </c>
      <c r="INK45" s="92" t="s">
        <v>54</v>
      </c>
      <c r="INL45" s="92" t="s">
        <v>54</v>
      </c>
      <c r="INM45" s="92" t="s">
        <v>54</v>
      </c>
      <c r="INN45" s="92" t="s">
        <v>54</v>
      </c>
      <c r="INO45" s="92" t="s">
        <v>54</v>
      </c>
      <c r="INP45" s="92" t="s">
        <v>54</v>
      </c>
      <c r="INQ45" s="92" t="s">
        <v>54</v>
      </c>
      <c r="INR45" s="92" t="s">
        <v>54</v>
      </c>
      <c r="INS45" s="92" t="s">
        <v>54</v>
      </c>
      <c r="INT45" s="92" t="s">
        <v>54</v>
      </c>
      <c r="INU45" s="92" t="s">
        <v>54</v>
      </c>
      <c r="INV45" s="92" t="s">
        <v>54</v>
      </c>
      <c r="INW45" s="92" t="s">
        <v>54</v>
      </c>
      <c r="INX45" s="92" t="s">
        <v>54</v>
      </c>
      <c r="INY45" s="92" t="s">
        <v>54</v>
      </c>
      <c r="INZ45" s="92" t="s">
        <v>54</v>
      </c>
      <c r="IOA45" s="92" t="s">
        <v>54</v>
      </c>
      <c r="IOB45" s="92" t="s">
        <v>54</v>
      </c>
      <c r="IOC45" s="92" t="s">
        <v>54</v>
      </c>
      <c r="IOD45" s="92" t="s">
        <v>54</v>
      </c>
      <c r="IOE45" s="92" t="s">
        <v>54</v>
      </c>
      <c r="IOF45" s="92" t="s">
        <v>54</v>
      </c>
      <c r="IOG45" s="92" t="s">
        <v>54</v>
      </c>
      <c r="IOH45" s="92" t="s">
        <v>54</v>
      </c>
      <c r="IOI45" s="92" t="s">
        <v>54</v>
      </c>
      <c r="IOJ45" s="92" t="s">
        <v>54</v>
      </c>
      <c r="IOK45" s="92" t="s">
        <v>54</v>
      </c>
      <c r="IOL45" s="92" t="s">
        <v>54</v>
      </c>
      <c r="IOM45" s="92" t="s">
        <v>54</v>
      </c>
      <c r="ION45" s="92" t="s">
        <v>54</v>
      </c>
      <c r="IOO45" s="92" t="s">
        <v>54</v>
      </c>
      <c r="IOP45" s="92" t="s">
        <v>54</v>
      </c>
      <c r="IOQ45" s="92" t="s">
        <v>54</v>
      </c>
      <c r="IOR45" s="92" t="s">
        <v>54</v>
      </c>
      <c r="IOS45" s="92" t="s">
        <v>54</v>
      </c>
      <c r="IOT45" s="92" t="s">
        <v>54</v>
      </c>
      <c r="IOU45" s="92" t="s">
        <v>54</v>
      </c>
      <c r="IOV45" s="92" t="s">
        <v>54</v>
      </c>
      <c r="IOW45" s="92" t="s">
        <v>54</v>
      </c>
      <c r="IOX45" s="92" t="s">
        <v>54</v>
      </c>
      <c r="IOY45" s="92" t="s">
        <v>54</v>
      </c>
      <c r="IOZ45" s="92" t="s">
        <v>54</v>
      </c>
      <c r="IPA45" s="92" t="s">
        <v>54</v>
      </c>
      <c r="IPB45" s="92" t="s">
        <v>54</v>
      </c>
      <c r="IPC45" s="92" t="s">
        <v>54</v>
      </c>
      <c r="IPD45" s="92" t="s">
        <v>54</v>
      </c>
      <c r="IPE45" s="92" t="s">
        <v>54</v>
      </c>
      <c r="IPF45" s="92" t="s">
        <v>54</v>
      </c>
      <c r="IPG45" s="92" t="s">
        <v>54</v>
      </c>
      <c r="IPH45" s="92" t="s">
        <v>54</v>
      </c>
      <c r="IPI45" s="92" t="s">
        <v>54</v>
      </c>
      <c r="IPJ45" s="92" t="s">
        <v>54</v>
      </c>
      <c r="IPK45" s="92" t="s">
        <v>54</v>
      </c>
      <c r="IPL45" s="92" t="s">
        <v>54</v>
      </c>
      <c r="IPM45" s="92" t="s">
        <v>54</v>
      </c>
      <c r="IPN45" s="92" t="s">
        <v>54</v>
      </c>
      <c r="IPO45" s="92" t="s">
        <v>54</v>
      </c>
      <c r="IPP45" s="92" t="s">
        <v>54</v>
      </c>
      <c r="IPQ45" s="92" t="s">
        <v>54</v>
      </c>
      <c r="IPR45" s="92" t="s">
        <v>54</v>
      </c>
      <c r="IPS45" s="92" t="s">
        <v>54</v>
      </c>
      <c r="IPT45" s="92" t="s">
        <v>54</v>
      </c>
      <c r="IPU45" s="92" t="s">
        <v>54</v>
      </c>
      <c r="IPV45" s="92" t="s">
        <v>54</v>
      </c>
      <c r="IPW45" s="92" t="s">
        <v>54</v>
      </c>
      <c r="IPX45" s="92" t="s">
        <v>54</v>
      </c>
      <c r="IPY45" s="92" t="s">
        <v>54</v>
      </c>
      <c r="IPZ45" s="92" t="s">
        <v>54</v>
      </c>
      <c r="IQA45" s="92" t="s">
        <v>54</v>
      </c>
      <c r="IQB45" s="92" t="s">
        <v>54</v>
      </c>
      <c r="IQC45" s="92" t="s">
        <v>54</v>
      </c>
      <c r="IQD45" s="92" t="s">
        <v>54</v>
      </c>
      <c r="IQE45" s="92" t="s">
        <v>54</v>
      </c>
      <c r="IQF45" s="92" t="s">
        <v>54</v>
      </c>
      <c r="IQG45" s="92" t="s">
        <v>54</v>
      </c>
      <c r="IQH45" s="92" t="s">
        <v>54</v>
      </c>
      <c r="IQI45" s="92" t="s">
        <v>54</v>
      </c>
      <c r="IQJ45" s="92" t="s">
        <v>54</v>
      </c>
      <c r="IQK45" s="92" t="s">
        <v>54</v>
      </c>
      <c r="IQL45" s="92" t="s">
        <v>54</v>
      </c>
      <c r="IQM45" s="92" t="s">
        <v>54</v>
      </c>
      <c r="IQN45" s="92" t="s">
        <v>54</v>
      </c>
      <c r="IQO45" s="92" t="s">
        <v>54</v>
      </c>
      <c r="IQP45" s="92" t="s">
        <v>54</v>
      </c>
      <c r="IQQ45" s="92" t="s">
        <v>54</v>
      </c>
      <c r="IQR45" s="92" t="s">
        <v>54</v>
      </c>
      <c r="IQS45" s="92" t="s">
        <v>54</v>
      </c>
      <c r="IQT45" s="92" t="s">
        <v>54</v>
      </c>
      <c r="IQU45" s="92" t="s">
        <v>54</v>
      </c>
      <c r="IQV45" s="92" t="s">
        <v>54</v>
      </c>
      <c r="IQW45" s="92" t="s">
        <v>54</v>
      </c>
      <c r="IQX45" s="92" t="s">
        <v>54</v>
      </c>
      <c r="IQY45" s="92" t="s">
        <v>54</v>
      </c>
      <c r="IQZ45" s="92" t="s">
        <v>54</v>
      </c>
      <c r="IRA45" s="92" t="s">
        <v>54</v>
      </c>
      <c r="IRB45" s="92" t="s">
        <v>54</v>
      </c>
      <c r="IRC45" s="92" t="s">
        <v>54</v>
      </c>
      <c r="IRD45" s="92" t="s">
        <v>54</v>
      </c>
      <c r="IRE45" s="92" t="s">
        <v>54</v>
      </c>
      <c r="IRF45" s="92" t="s">
        <v>54</v>
      </c>
      <c r="IRG45" s="92" t="s">
        <v>54</v>
      </c>
      <c r="IRH45" s="92" t="s">
        <v>54</v>
      </c>
      <c r="IRI45" s="92" t="s">
        <v>54</v>
      </c>
      <c r="IRJ45" s="92" t="s">
        <v>54</v>
      </c>
      <c r="IRK45" s="92" t="s">
        <v>54</v>
      </c>
      <c r="IRL45" s="92" t="s">
        <v>54</v>
      </c>
      <c r="IRM45" s="92" t="s">
        <v>54</v>
      </c>
      <c r="IRN45" s="92" t="s">
        <v>54</v>
      </c>
      <c r="IRO45" s="92" t="s">
        <v>54</v>
      </c>
      <c r="IRP45" s="92" t="s">
        <v>54</v>
      </c>
      <c r="IRQ45" s="92" t="s">
        <v>54</v>
      </c>
      <c r="IRR45" s="92" t="s">
        <v>54</v>
      </c>
      <c r="IRS45" s="92" t="s">
        <v>54</v>
      </c>
      <c r="IRT45" s="92" t="s">
        <v>54</v>
      </c>
      <c r="IRU45" s="92" t="s">
        <v>54</v>
      </c>
      <c r="IRV45" s="92" t="s">
        <v>54</v>
      </c>
      <c r="IRW45" s="92" t="s">
        <v>54</v>
      </c>
      <c r="IRX45" s="92" t="s">
        <v>54</v>
      </c>
      <c r="IRY45" s="92" t="s">
        <v>54</v>
      </c>
      <c r="IRZ45" s="92" t="s">
        <v>54</v>
      </c>
      <c r="ISA45" s="92" t="s">
        <v>54</v>
      </c>
      <c r="ISB45" s="92" t="s">
        <v>54</v>
      </c>
      <c r="ISC45" s="92" t="s">
        <v>54</v>
      </c>
      <c r="ISD45" s="92" t="s">
        <v>54</v>
      </c>
      <c r="ISE45" s="92" t="s">
        <v>54</v>
      </c>
      <c r="ISF45" s="92" t="s">
        <v>54</v>
      </c>
      <c r="ISG45" s="92" t="s">
        <v>54</v>
      </c>
      <c r="ISH45" s="92" t="s">
        <v>54</v>
      </c>
      <c r="ISI45" s="92" t="s">
        <v>54</v>
      </c>
      <c r="ISJ45" s="92" t="s">
        <v>54</v>
      </c>
      <c r="ISK45" s="92" t="s">
        <v>54</v>
      </c>
      <c r="ISL45" s="92" t="s">
        <v>54</v>
      </c>
      <c r="ISM45" s="92" t="s">
        <v>54</v>
      </c>
      <c r="ISN45" s="92" t="s">
        <v>54</v>
      </c>
      <c r="ISO45" s="92" t="s">
        <v>54</v>
      </c>
      <c r="ISP45" s="92" t="s">
        <v>54</v>
      </c>
      <c r="ISQ45" s="92" t="s">
        <v>54</v>
      </c>
      <c r="ISR45" s="92" t="s">
        <v>54</v>
      </c>
      <c r="ISS45" s="92" t="s">
        <v>54</v>
      </c>
      <c r="IST45" s="92" t="s">
        <v>54</v>
      </c>
      <c r="ISU45" s="92" t="s">
        <v>54</v>
      </c>
      <c r="ISV45" s="92" t="s">
        <v>54</v>
      </c>
      <c r="ISW45" s="92" t="s">
        <v>54</v>
      </c>
      <c r="ISX45" s="92" t="s">
        <v>54</v>
      </c>
      <c r="ISY45" s="92" t="s">
        <v>54</v>
      </c>
      <c r="ISZ45" s="92" t="s">
        <v>54</v>
      </c>
      <c r="ITA45" s="92" t="s">
        <v>54</v>
      </c>
      <c r="ITB45" s="92" t="s">
        <v>54</v>
      </c>
      <c r="ITC45" s="92" t="s">
        <v>54</v>
      </c>
      <c r="ITD45" s="92" t="s">
        <v>54</v>
      </c>
      <c r="ITE45" s="92" t="s">
        <v>54</v>
      </c>
      <c r="ITF45" s="92" t="s">
        <v>54</v>
      </c>
      <c r="ITG45" s="92" t="s">
        <v>54</v>
      </c>
      <c r="ITH45" s="92" t="s">
        <v>54</v>
      </c>
      <c r="ITI45" s="92" t="s">
        <v>54</v>
      </c>
      <c r="ITJ45" s="92" t="s">
        <v>54</v>
      </c>
      <c r="ITK45" s="92" t="s">
        <v>54</v>
      </c>
      <c r="ITL45" s="92" t="s">
        <v>54</v>
      </c>
      <c r="ITM45" s="92" t="s">
        <v>54</v>
      </c>
      <c r="ITN45" s="92" t="s">
        <v>54</v>
      </c>
      <c r="ITO45" s="92" t="s">
        <v>54</v>
      </c>
      <c r="ITP45" s="92" t="s">
        <v>54</v>
      </c>
      <c r="ITQ45" s="92" t="s">
        <v>54</v>
      </c>
      <c r="ITR45" s="92" t="s">
        <v>54</v>
      </c>
      <c r="ITS45" s="92" t="s">
        <v>54</v>
      </c>
      <c r="ITT45" s="92" t="s">
        <v>54</v>
      </c>
      <c r="ITU45" s="92" t="s">
        <v>54</v>
      </c>
      <c r="ITV45" s="92" t="s">
        <v>54</v>
      </c>
      <c r="ITW45" s="92" t="s">
        <v>54</v>
      </c>
      <c r="ITX45" s="92" t="s">
        <v>54</v>
      </c>
      <c r="ITY45" s="92" t="s">
        <v>54</v>
      </c>
      <c r="ITZ45" s="92" t="s">
        <v>54</v>
      </c>
      <c r="IUA45" s="92" t="s">
        <v>54</v>
      </c>
      <c r="IUB45" s="92" t="s">
        <v>54</v>
      </c>
      <c r="IUC45" s="92" t="s">
        <v>54</v>
      </c>
      <c r="IUD45" s="92" t="s">
        <v>54</v>
      </c>
      <c r="IUE45" s="92" t="s">
        <v>54</v>
      </c>
      <c r="IUF45" s="92" t="s">
        <v>54</v>
      </c>
      <c r="IUG45" s="92" t="s">
        <v>54</v>
      </c>
      <c r="IUH45" s="92" t="s">
        <v>54</v>
      </c>
      <c r="IUI45" s="92" t="s">
        <v>54</v>
      </c>
      <c r="IUJ45" s="92" t="s">
        <v>54</v>
      </c>
      <c r="IUK45" s="92" t="s">
        <v>54</v>
      </c>
      <c r="IUL45" s="92" t="s">
        <v>54</v>
      </c>
      <c r="IUM45" s="92" t="s">
        <v>54</v>
      </c>
      <c r="IUN45" s="92" t="s">
        <v>54</v>
      </c>
      <c r="IUO45" s="92" t="s">
        <v>54</v>
      </c>
      <c r="IUP45" s="92" t="s">
        <v>54</v>
      </c>
      <c r="IUQ45" s="92" t="s">
        <v>54</v>
      </c>
      <c r="IUR45" s="92" t="s">
        <v>54</v>
      </c>
      <c r="IUS45" s="92" t="s">
        <v>54</v>
      </c>
      <c r="IUT45" s="92" t="s">
        <v>54</v>
      </c>
      <c r="IUU45" s="92" t="s">
        <v>54</v>
      </c>
      <c r="IUV45" s="92" t="s">
        <v>54</v>
      </c>
      <c r="IUW45" s="92" t="s">
        <v>54</v>
      </c>
      <c r="IUX45" s="92" t="s">
        <v>54</v>
      </c>
      <c r="IUY45" s="92" t="s">
        <v>54</v>
      </c>
      <c r="IUZ45" s="92" t="s">
        <v>54</v>
      </c>
      <c r="IVA45" s="92" t="s">
        <v>54</v>
      </c>
      <c r="IVB45" s="92" t="s">
        <v>54</v>
      </c>
      <c r="IVC45" s="92" t="s">
        <v>54</v>
      </c>
      <c r="IVD45" s="92" t="s">
        <v>54</v>
      </c>
      <c r="IVE45" s="92" t="s">
        <v>54</v>
      </c>
      <c r="IVF45" s="92" t="s">
        <v>54</v>
      </c>
      <c r="IVG45" s="92" t="s">
        <v>54</v>
      </c>
      <c r="IVH45" s="92" t="s">
        <v>54</v>
      </c>
      <c r="IVI45" s="92" t="s">
        <v>54</v>
      </c>
      <c r="IVJ45" s="92" t="s">
        <v>54</v>
      </c>
      <c r="IVK45" s="92" t="s">
        <v>54</v>
      </c>
      <c r="IVL45" s="92" t="s">
        <v>54</v>
      </c>
      <c r="IVM45" s="92" t="s">
        <v>54</v>
      </c>
      <c r="IVN45" s="92" t="s">
        <v>54</v>
      </c>
      <c r="IVO45" s="92" t="s">
        <v>54</v>
      </c>
      <c r="IVP45" s="92" t="s">
        <v>54</v>
      </c>
      <c r="IVQ45" s="92" t="s">
        <v>54</v>
      </c>
      <c r="IVR45" s="92" t="s">
        <v>54</v>
      </c>
      <c r="IVS45" s="92" t="s">
        <v>54</v>
      </c>
      <c r="IVT45" s="92" t="s">
        <v>54</v>
      </c>
      <c r="IVU45" s="92" t="s">
        <v>54</v>
      </c>
      <c r="IVV45" s="92" t="s">
        <v>54</v>
      </c>
      <c r="IVW45" s="92" t="s">
        <v>54</v>
      </c>
      <c r="IVX45" s="92" t="s">
        <v>54</v>
      </c>
      <c r="IVY45" s="92" t="s">
        <v>54</v>
      </c>
      <c r="IVZ45" s="92" t="s">
        <v>54</v>
      </c>
      <c r="IWA45" s="92" t="s">
        <v>54</v>
      </c>
      <c r="IWB45" s="92" t="s">
        <v>54</v>
      </c>
      <c r="IWC45" s="92" t="s">
        <v>54</v>
      </c>
      <c r="IWD45" s="92" t="s">
        <v>54</v>
      </c>
      <c r="IWE45" s="92" t="s">
        <v>54</v>
      </c>
      <c r="IWF45" s="92" t="s">
        <v>54</v>
      </c>
      <c r="IWG45" s="92" t="s">
        <v>54</v>
      </c>
      <c r="IWH45" s="92" t="s">
        <v>54</v>
      </c>
      <c r="IWI45" s="92" t="s">
        <v>54</v>
      </c>
      <c r="IWJ45" s="92" t="s">
        <v>54</v>
      </c>
      <c r="IWK45" s="92" t="s">
        <v>54</v>
      </c>
      <c r="IWL45" s="92" t="s">
        <v>54</v>
      </c>
      <c r="IWM45" s="92" t="s">
        <v>54</v>
      </c>
      <c r="IWN45" s="92" t="s">
        <v>54</v>
      </c>
      <c r="IWO45" s="92" t="s">
        <v>54</v>
      </c>
      <c r="IWP45" s="92" t="s">
        <v>54</v>
      </c>
      <c r="IWQ45" s="92" t="s">
        <v>54</v>
      </c>
      <c r="IWR45" s="92" t="s">
        <v>54</v>
      </c>
      <c r="IWS45" s="92" t="s">
        <v>54</v>
      </c>
      <c r="IWT45" s="92" t="s">
        <v>54</v>
      </c>
      <c r="IWU45" s="92" t="s">
        <v>54</v>
      </c>
      <c r="IWV45" s="92" t="s">
        <v>54</v>
      </c>
      <c r="IWW45" s="92" t="s">
        <v>54</v>
      </c>
      <c r="IWX45" s="92" t="s">
        <v>54</v>
      </c>
      <c r="IWY45" s="92" t="s">
        <v>54</v>
      </c>
      <c r="IWZ45" s="92" t="s">
        <v>54</v>
      </c>
      <c r="IXA45" s="92" t="s">
        <v>54</v>
      </c>
      <c r="IXB45" s="92" t="s">
        <v>54</v>
      </c>
      <c r="IXC45" s="92" t="s">
        <v>54</v>
      </c>
      <c r="IXD45" s="92" t="s">
        <v>54</v>
      </c>
      <c r="IXE45" s="92" t="s">
        <v>54</v>
      </c>
      <c r="IXF45" s="92" t="s">
        <v>54</v>
      </c>
      <c r="IXG45" s="92" t="s">
        <v>54</v>
      </c>
      <c r="IXH45" s="92" t="s">
        <v>54</v>
      </c>
      <c r="IXI45" s="92" t="s">
        <v>54</v>
      </c>
      <c r="IXJ45" s="92" t="s">
        <v>54</v>
      </c>
      <c r="IXK45" s="92" t="s">
        <v>54</v>
      </c>
      <c r="IXL45" s="92" t="s">
        <v>54</v>
      </c>
      <c r="IXM45" s="92" t="s">
        <v>54</v>
      </c>
      <c r="IXN45" s="92" t="s">
        <v>54</v>
      </c>
      <c r="IXO45" s="92" t="s">
        <v>54</v>
      </c>
      <c r="IXP45" s="92" t="s">
        <v>54</v>
      </c>
      <c r="IXQ45" s="92" t="s">
        <v>54</v>
      </c>
      <c r="IXR45" s="92" t="s">
        <v>54</v>
      </c>
      <c r="IXS45" s="92" t="s">
        <v>54</v>
      </c>
      <c r="IXT45" s="92" t="s">
        <v>54</v>
      </c>
      <c r="IXU45" s="92" t="s">
        <v>54</v>
      </c>
      <c r="IXV45" s="92" t="s">
        <v>54</v>
      </c>
      <c r="IXW45" s="92" t="s">
        <v>54</v>
      </c>
      <c r="IXX45" s="92" t="s">
        <v>54</v>
      </c>
      <c r="IXY45" s="92" t="s">
        <v>54</v>
      </c>
      <c r="IXZ45" s="92" t="s">
        <v>54</v>
      </c>
      <c r="IYA45" s="92" t="s">
        <v>54</v>
      </c>
      <c r="IYB45" s="92" t="s">
        <v>54</v>
      </c>
      <c r="IYC45" s="92" t="s">
        <v>54</v>
      </c>
      <c r="IYD45" s="92" t="s">
        <v>54</v>
      </c>
      <c r="IYE45" s="92" t="s">
        <v>54</v>
      </c>
      <c r="IYF45" s="92" t="s">
        <v>54</v>
      </c>
      <c r="IYG45" s="92" t="s">
        <v>54</v>
      </c>
      <c r="IYH45" s="92" t="s">
        <v>54</v>
      </c>
      <c r="IYI45" s="92" t="s">
        <v>54</v>
      </c>
      <c r="IYJ45" s="92" t="s">
        <v>54</v>
      </c>
      <c r="IYK45" s="92" t="s">
        <v>54</v>
      </c>
      <c r="IYL45" s="92" t="s">
        <v>54</v>
      </c>
      <c r="IYM45" s="92" t="s">
        <v>54</v>
      </c>
      <c r="IYN45" s="92" t="s">
        <v>54</v>
      </c>
      <c r="IYO45" s="92" t="s">
        <v>54</v>
      </c>
      <c r="IYP45" s="92" t="s">
        <v>54</v>
      </c>
      <c r="IYQ45" s="92" t="s">
        <v>54</v>
      </c>
      <c r="IYR45" s="92" t="s">
        <v>54</v>
      </c>
      <c r="IYS45" s="92" t="s">
        <v>54</v>
      </c>
      <c r="IYT45" s="92" t="s">
        <v>54</v>
      </c>
      <c r="IYU45" s="92" t="s">
        <v>54</v>
      </c>
      <c r="IYV45" s="92" t="s">
        <v>54</v>
      </c>
      <c r="IYW45" s="92" t="s">
        <v>54</v>
      </c>
      <c r="IYX45" s="92" t="s">
        <v>54</v>
      </c>
      <c r="IYY45" s="92" t="s">
        <v>54</v>
      </c>
      <c r="IYZ45" s="92" t="s">
        <v>54</v>
      </c>
      <c r="IZA45" s="92" t="s">
        <v>54</v>
      </c>
      <c r="IZB45" s="92" t="s">
        <v>54</v>
      </c>
      <c r="IZC45" s="92" t="s">
        <v>54</v>
      </c>
      <c r="IZD45" s="92" t="s">
        <v>54</v>
      </c>
      <c r="IZE45" s="92" t="s">
        <v>54</v>
      </c>
      <c r="IZF45" s="92" t="s">
        <v>54</v>
      </c>
      <c r="IZG45" s="92" t="s">
        <v>54</v>
      </c>
      <c r="IZH45" s="92" t="s">
        <v>54</v>
      </c>
      <c r="IZI45" s="92" t="s">
        <v>54</v>
      </c>
      <c r="IZJ45" s="92" t="s">
        <v>54</v>
      </c>
      <c r="IZK45" s="92" t="s">
        <v>54</v>
      </c>
      <c r="IZL45" s="92" t="s">
        <v>54</v>
      </c>
      <c r="IZM45" s="92" t="s">
        <v>54</v>
      </c>
      <c r="IZN45" s="92" t="s">
        <v>54</v>
      </c>
      <c r="IZO45" s="92" t="s">
        <v>54</v>
      </c>
      <c r="IZP45" s="92" t="s">
        <v>54</v>
      </c>
      <c r="IZQ45" s="92" t="s">
        <v>54</v>
      </c>
      <c r="IZR45" s="92" t="s">
        <v>54</v>
      </c>
      <c r="IZS45" s="92" t="s">
        <v>54</v>
      </c>
      <c r="IZT45" s="92" t="s">
        <v>54</v>
      </c>
      <c r="IZU45" s="92" t="s">
        <v>54</v>
      </c>
      <c r="IZV45" s="92" t="s">
        <v>54</v>
      </c>
      <c r="IZW45" s="92" t="s">
        <v>54</v>
      </c>
      <c r="IZX45" s="92" t="s">
        <v>54</v>
      </c>
      <c r="IZY45" s="92" t="s">
        <v>54</v>
      </c>
      <c r="IZZ45" s="92" t="s">
        <v>54</v>
      </c>
      <c r="JAA45" s="92" t="s">
        <v>54</v>
      </c>
      <c r="JAB45" s="92" t="s">
        <v>54</v>
      </c>
      <c r="JAC45" s="92" t="s">
        <v>54</v>
      </c>
      <c r="JAD45" s="92" t="s">
        <v>54</v>
      </c>
      <c r="JAE45" s="92" t="s">
        <v>54</v>
      </c>
      <c r="JAF45" s="92" t="s">
        <v>54</v>
      </c>
      <c r="JAG45" s="92" t="s">
        <v>54</v>
      </c>
      <c r="JAH45" s="92" t="s">
        <v>54</v>
      </c>
      <c r="JAI45" s="92" t="s">
        <v>54</v>
      </c>
      <c r="JAJ45" s="92" t="s">
        <v>54</v>
      </c>
      <c r="JAK45" s="92" t="s">
        <v>54</v>
      </c>
      <c r="JAL45" s="92" t="s">
        <v>54</v>
      </c>
      <c r="JAM45" s="92" t="s">
        <v>54</v>
      </c>
      <c r="JAN45" s="92" t="s">
        <v>54</v>
      </c>
      <c r="JAO45" s="92" t="s">
        <v>54</v>
      </c>
      <c r="JAP45" s="92" t="s">
        <v>54</v>
      </c>
      <c r="JAQ45" s="92" t="s">
        <v>54</v>
      </c>
      <c r="JAR45" s="92" t="s">
        <v>54</v>
      </c>
      <c r="JAS45" s="92" t="s">
        <v>54</v>
      </c>
      <c r="JAT45" s="92" t="s">
        <v>54</v>
      </c>
      <c r="JAU45" s="92" t="s">
        <v>54</v>
      </c>
      <c r="JAV45" s="92" t="s">
        <v>54</v>
      </c>
      <c r="JAW45" s="92" t="s">
        <v>54</v>
      </c>
      <c r="JAX45" s="92" t="s">
        <v>54</v>
      </c>
      <c r="JAY45" s="92" t="s">
        <v>54</v>
      </c>
      <c r="JAZ45" s="92" t="s">
        <v>54</v>
      </c>
      <c r="JBA45" s="92" t="s">
        <v>54</v>
      </c>
      <c r="JBB45" s="92" t="s">
        <v>54</v>
      </c>
      <c r="JBC45" s="92" t="s">
        <v>54</v>
      </c>
      <c r="JBD45" s="92" t="s">
        <v>54</v>
      </c>
      <c r="JBE45" s="92" t="s">
        <v>54</v>
      </c>
      <c r="JBF45" s="92" t="s">
        <v>54</v>
      </c>
      <c r="JBG45" s="92" t="s">
        <v>54</v>
      </c>
      <c r="JBH45" s="92" t="s">
        <v>54</v>
      </c>
      <c r="JBI45" s="92" t="s">
        <v>54</v>
      </c>
      <c r="JBJ45" s="92" t="s">
        <v>54</v>
      </c>
      <c r="JBK45" s="92" t="s">
        <v>54</v>
      </c>
      <c r="JBL45" s="92" t="s">
        <v>54</v>
      </c>
      <c r="JBM45" s="92" t="s">
        <v>54</v>
      </c>
      <c r="JBN45" s="92" t="s">
        <v>54</v>
      </c>
      <c r="JBO45" s="92" t="s">
        <v>54</v>
      </c>
      <c r="JBP45" s="92" t="s">
        <v>54</v>
      </c>
      <c r="JBQ45" s="92" t="s">
        <v>54</v>
      </c>
      <c r="JBR45" s="92" t="s">
        <v>54</v>
      </c>
      <c r="JBS45" s="92" t="s">
        <v>54</v>
      </c>
      <c r="JBT45" s="92" t="s">
        <v>54</v>
      </c>
      <c r="JBU45" s="92" t="s">
        <v>54</v>
      </c>
      <c r="JBV45" s="92" t="s">
        <v>54</v>
      </c>
      <c r="JBW45" s="92" t="s">
        <v>54</v>
      </c>
      <c r="JBX45" s="92" t="s">
        <v>54</v>
      </c>
      <c r="JBY45" s="92" t="s">
        <v>54</v>
      </c>
      <c r="JBZ45" s="92" t="s">
        <v>54</v>
      </c>
      <c r="JCA45" s="92" t="s">
        <v>54</v>
      </c>
      <c r="JCB45" s="92" t="s">
        <v>54</v>
      </c>
      <c r="JCC45" s="92" t="s">
        <v>54</v>
      </c>
      <c r="JCD45" s="92" t="s">
        <v>54</v>
      </c>
      <c r="JCE45" s="92" t="s">
        <v>54</v>
      </c>
      <c r="JCF45" s="92" t="s">
        <v>54</v>
      </c>
      <c r="JCG45" s="92" t="s">
        <v>54</v>
      </c>
      <c r="JCH45" s="92" t="s">
        <v>54</v>
      </c>
      <c r="JCI45" s="92" t="s">
        <v>54</v>
      </c>
      <c r="JCJ45" s="92" t="s">
        <v>54</v>
      </c>
      <c r="JCK45" s="92" t="s">
        <v>54</v>
      </c>
      <c r="JCL45" s="92" t="s">
        <v>54</v>
      </c>
      <c r="JCM45" s="92" t="s">
        <v>54</v>
      </c>
      <c r="JCN45" s="92" t="s">
        <v>54</v>
      </c>
      <c r="JCO45" s="92" t="s">
        <v>54</v>
      </c>
      <c r="JCP45" s="92" t="s">
        <v>54</v>
      </c>
      <c r="JCQ45" s="92" t="s">
        <v>54</v>
      </c>
      <c r="JCR45" s="92" t="s">
        <v>54</v>
      </c>
      <c r="JCS45" s="92" t="s">
        <v>54</v>
      </c>
      <c r="JCT45" s="92" t="s">
        <v>54</v>
      </c>
      <c r="JCU45" s="92" t="s">
        <v>54</v>
      </c>
      <c r="JCV45" s="92" t="s">
        <v>54</v>
      </c>
      <c r="JCW45" s="92" t="s">
        <v>54</v>
      </c>
      <c r="JCX45" s="92" t="s">
        <v>54</v>
      </c>
      <c r="JCY45" s="92" t="s">
        <v>54</v>
      </c>
      <c r="JCZ45" s="92" t="s">
        <v>54</v>
      </c>
      <c r="JDA45" s="92" t="s">
        <v>54</v>
      </c>
      <c r="JDB45" s="92" t="s">
        <v>54</v>
      </c>
      <c r="JDC45" s="92" t="s">
        <v>54</v>
      </c>
      <c r="JDD45" s="92" t="s">
        <v>54</v>
      </c>
      <c r="JDE45" s="92" t="s">
        <v>54</v>
      </c>
      <c r="JDF45" s="92" t="s">
        <v>54</v>
      </c>
      <c r="JDG45" s="92" t="s">
        <v>54</v>
      </c>
      <c r="JDH45" s="92" t="s">
        <v>54</v>
      </c>
      <c r="JDI45" s="92" t="s">
        <v>54</v>
      </c>
      <c r="JDJ45" s="92" t="s">
        <v>54</v>
      </c>
      <c r="JDK45" s="92" t="s">
        <v>54</v>
      </c>
      <c r="JDL45" s="92" t="s">
        <v>54</v>
      </c>
      <c r="JDM45" s="92" t="s">
        <v>54</v>
      </c>
      <c r="JDN45" s="92" t="s">
        <v>54</v>
      </c>
      <c r="JDO45" s="92" t="s">
        <v>54</v>
      </c>
      <c r="JDP45" s="92" t="s">
        <v>54</v>
      </c>
      <c r="JDQ45" s="92" t="s">
        <v>54</v>
      </c>
      <c r="JDR45" s="92" t="s">
        <v>54</v>
      </c>
      <c r="JDS45" s="92" t="s">
        <v>54</v>
      </c>
      <c r="JDT45" s="92" t="s">
        <v>54</v>
      </c>
      <c r="JDU45" s="92" t="s">
        <v>54</v>
      </c>
      <c r="JDV45" s="92" t="s">
        <v>54</v>
      </c>
      <c r="JDW45" s="92" t="s">
        <v>54</v>
      </c>
      <c r="JDX45" s="92" t="s">
        <v>54</v>
      </c>
      <c r="JDY45" s="92" t="s">
        <v>54</v>
      </c>
      <c r="JDZ45" s="92" t="s">
        <v>54</v>
      </c>
      <c r="JEA45" s="92" t="s">
        <v>54</v>
      </c>
      <c r="JEB45" s="92" t="s">
        <v>54</v>
      </c>
      <c r="JEC45" s="92" t="s">
        <v>54</v>
      </c>
      <c r="JED45" s="92" t="s">
        <v>54</v>
      </c>
      <c r="JEE45" s="92" t="s">
        <v>54</v>
      </c>
      <c r="JEF45" s="92" t="s">
        <v>54</v>
      </c>
      <c r="JEG45" s="92" t="s">
        <v>54</v>
      </c>
      <c r="JEH45" s="92" t="s">
        <v>54</v>
      </c>
      <c r="JEI45" s="92" t="s">
        <v>54</v>
      </c>
      <c r="JEJ45" s="92" t="s">
        <v>54</v>
      </c>
      <c r="JEK45" s="92" t="s">
        <v>54</v>
      </c>
      <c r="JEL45" s="92" t="s">
        <v>54</v>
      </c>
      <c r="JEM45" s="92" t="s">
        <v>54</v>
      </c>
      <c r="JEN45" s="92" t="s">
        <v>54</v>
      </c>
      <c r="JEO45" s="92" t="s">
        <v>54</v>
      </c>
      <c r="JEP45" s="92" t="s">
        <v>54</v>
      </c>
      <c r="JEQ45" s="92" t="s">
        <v>54</v>
      </c>
      <c r="JER45" s="92" t="s">
        <v>54</v>
      </c>
      <c r="JES45" s="92" t="s">
        <v>54</v>
      </c>
      <c r="JET45" s="92" t="s">
        <v>54</v>
      </c>
      <c r="JEU45" s="92" t="s">
        <v>54</v>
      </c>
      <c r="JEV45" s="92" t="s">
        <v>54</v>
      </c>
      <c r="JEW45" s="92" t="s">
        <v>54</v>
      </c>
      <c r="JEX45" s="92" t="s">
        <v>54</v>
      </c>
      <c r="JEY45" s="92" t="s">
        <v>54</v>
      </c>
      <c r="JEZ45" s="92" t="s">
        <v>54</v>
      </c>
      <c r="JFA45" s="92" t="s">
        <v>54</v>
      </c>
      <c r="JFB45" s="92" t="s">
        <v>54</v>
      </c>
      <c r="JFC45" s="92" t="s">
        <v>54</v>
      </c>
      <c r="JFD45" s="92" t="s">
        <v>54</v>
      </c>
      <c r="JFE45" s="92" t="s">
        <v>54</v>
      </c>
      <c r="JFF45" s="92" t="s">
        <v>54</v>
      </c>
      <c r="JFG45" s="92" t="s">
        <v>54</v>
      </c>
      <c r="JFH45" s="92" t="s">
        <v>54</v>
      </c>
      <c r="JFI45" s="92" t="s">
        <v>54</v>
      </c>
      <c r="JFJ45" s="92" t="s">
        <v>54</v>
      </c>
      <c r="JFK45" s="92" t="s">
        <v>54</v>
      </c>
      <c r="JFL45" s="92" t="s">
        <v>54</v>
      </c>
      <c r="JFM45" s="92" t="s">
        <v>54</v>
      </c>
      <c r="JFN45" s="92" t="s">
        <v>54</v>
      </c>
      <c r="JFO45" s="92" t="s">
        <v>54</v>
      </c>
      <c r="JFP45" s="92" t="s">
        <v>54</v>
      </c>
      <c r="JFQ45" s="92" t="s">
        <v>54</v>
      </c>
      <c r="JFR45" s="92" t="s">
        <v>54</v>
      </c>
      <c r="JFS45" s="92" t="s">
        <v>54</v>
      </c>
      <c r="JFT45" s="92" t="s">
        <v>54</v>
      </c>
      <c r="JFU45" s="92" t="s">
        <v>54</v>
      </c>
      <c r="JFV45" s="92" t="s">
        <v>54</v>
      </c>
      <c r="JFW45" s="92" t="s">
        <v>54</v>
      </c>
      <c r="JFX45" s="92" t="s">
        <v>54</v>
      </c>
      <c r="JFY45" s="92" t="s">
        <v>54</v>
      </c>
      <c r="JFZ45" s="92" t="s">
        <v>54</v>
      </c>
      <c r="JGA45" s="92" t="s">
        <v>54</v>
      </c>
      <c r="JGB45" s="92" t="s">
        <v>54</v>
      </c>
      <c r="JGC45" s="92" t="s">
        <v>54</v>
      </c>
      <c r="JGD45" s="92" t="s">
        <v>54</v>
      </c>
      <c r="JGE45" s="92" t="s">
        <v>54</v>
      </c>
      <c r="JGF45" s="92" t="s">
        <v>54</v>
      </c>
      <c r="JGG45" s="92" t="s">
        <v>54</v>
      </c>
      <c r="JGH45" s="92" t="s">
        <v>54</v>
      </c>
      <c r="JGI45" s="92" t="s">
        <v>54</v>
      </c>
      <c r="JGJ45" s="92" t="s">
        <v>54</v>
      </c>
      <c r="JGK45" s="92" t="s">
        <v>54</v>
      </c>
      <c r="JGL45" s="92" t="s">
        <v>54</v>
      </c>
      <c r="JGM45" s="92" t="s">
        <v>54</v>
      </c>
      <c r="JGN45" s="92" t="s">
        <v>54</v>
      </c>
      <c r="JGO45" s="92" t="s">
        <v>54</v>
      </c>
      <c r="JGP45" s="92" t="s">
        <v>54</v>
      </c>
      <c r="JGQ45" s="92" t="s">
        <v>54</v>
      </c>
      <c r="JGR45" s="92" t="s">
        <v>54</v>
      </c>
      <c r="JGS45" s="92" t="s">
        <v>54</v>
      </c>
      <c r="JGT45" s="92" t="s">
        <v>54</v>
      </c>
      <c r="JGU45" s="92" t="s">
        <v>54</v>
      </c>
      <c r="JGV45" s="92" t="s">
        <v>54</v>
      </c>
      <c r="JGW45" s="92" t="s">
        <v>54</v>
      </c>
      <c r="JGX45" s="92" t="s">
        <v>54</v>
      </c>
      <c r="JGY45" s="92" t="s">
        <v>54</v>
      </c>
      <c r="JGZ45" s="92" t="s">
        <v>54</v>
      </c>
      <c r="JHA45" s="92" t="s">
        <v>54</v>
      </c>
      <c r="JHB45" s="92" t="s">
        <v>54</v>
      </c>
      <c r="JHC45" s="92" t="s">
        <v>54</v>
      </c>
      <c r="JHD45" s="92" t="s">
        <v>54</v>
      </c>
      <c r="JHE45" s="92" t="s">
        <v>54</v>
      </c>
      <c r="JHF45" s="92" t="s">
        <v>54</v>
      </c>
      <c r="JHG45" s="92" t="s">
        <v>54</v>
      </c>
      <c r="JHH45" s="92" t="s">
        <v>54</v>
      </c>
      <c r="JHI45" s="92" t="s">
        <v>54</v>
      </c>
      <c r="JHJ45" s="92" t="s">
        <v>54</v>
      </c>
      <c r="JHK45" s="92" t="s">
        <v>54</v>
      </c>
      <c r="JHL45" s="92" t="s">
        <v>54</v>
      </c>
      <c r="JHM45" s="92" t="s">
        <v>54</v>
      </c>
      <c r="JHN45" s="92" t="s">
        <v>54</v>
      </c>
      <c r="JHO45" s="92" t="s">
        <v>54</v>
      </c>
      <c r="JHP45" s="92" t="s">
        <v>54</v>
      </c>
      <c r="JHQ45" s="92" t="s">
        <v>54</v>
      </c>
      <c r="JHR45" s="92" t="s">
        <v>54</v>
      </c>
      <c r="JHS45" s="92" t="s">
        <v>54</v>
      </c>
      <c r="JHT45" s="92" t="s">
        <v>54</v>
      </c>
      <c r="JHU45" s="92" t="s">
        <v>54</v>
      </c>
      <c r="JHV45" s="92" t="s">
        <v>54</v>
      </c>
      <c r="JHW45" s="92" t="s">
        <v>54</v>
      </c>
      <c r="JHX45" s="92" t="s">
        <v>54</v>
      </c>
      <c r="JHY45" s="92" t="s">
        <v>54</v>
      </c>
      <c r="JHZ45" s="92" t="s">
        <v>54</v>
      </c>
      <c r="JIA45" s="92" t="s">
        <v>54</v>
      </c>
      <c r="JIB45" s="92" t="s">
        <v>54</v>
      </c>
      <c r="JIC45" s="92" t="s">
        <v>54</v>
      </c>
      <c r="JID45" s="92" t="s">
        <v>54</v>
      </c>
      <c r="JIE45" s="92" t="s">
        <v>54</v>
      </c>
      <c r="JIF45" s="92" t="s">
        <v>54</v>
      </c>
      <c r="JIG45" s="92" t="s">
        <v>54</v>
      </c>
      <c r="JIH45" s="92" t="s">
        <v>54</v>
      </c>
      <c r="JII45" s="92" t="s">
        <v>54</v>
      </c>
      <c r="JIJ45" s="92" t="s">
        <v>54</v>
      </c>
      <c r="JIK45" s="92" t="s">
        <v>54</v>
      </c>
      <c r="JIL45" s="92" t="s">
        <v>54</v>
      </c>
      <c r="JIM45" s="92" t="s">
        <v>54</v>
      </c>
      <c r="JIN45" s="92" t="s">
        <v>54</v>
      </c>
      <c r="JIO45" s="92" t="s">
        <v>54</v>
      </c>
      <c r="JIP45" s="92" t="s">
        <v>54</v>
      </c>
      <c r="JIQ45" s="92" t="s">
        <v>54</v>
      </c>
      <c r="JIR45" s="92" t="s">
        <v>54</v>
      </c>
      <c r="JIS45" s="92" t="s">
        <v>54</v>
      </c>
      <c r="JIT45" s="92" t="s">
        <v>54</v>
      </c>
      <c r="JIU45" s="92" t="s">
        <v>54</v>
      </c>
      <c r="JIV45" s="92" t="s">
        <v>54</v>
      </c>
      <c r="JIW45" s="92" t="s">
        <v>54</v>
      </c>
      <c r="JIX45" s="92" t="s">
        <v>54</v>
      </c>
      <c r="JIY45" s="92" t="s">
        <v>54</v>
      </c>
      <c r="JIZ45" s="92" t="s">
        <v>54</v>
      </c>
      <c r="JJA45" s="92" t="s">
        <v>54</v>
      </c>
      <c r="JJB45" s="92" t="s">
        <v>54</v>
      </c>
      <c r="JJC45" s="92" t="s">
        <v>54</v>
      </c>
      <c r="JJD45" s="92" t="s">
        <v>54</v>
      </c>
      <c r="JJE45" s="92" t="s">
        <v>54</v>
      </c>
      <c r="JJF45" s="92" t="s">
        <v>54</v>
      </c>
      <c r="JJG45" s="92" t="s">
        <v>54</v>
      </c>
      <c r="JJH45" s="92" t="s">
        <v>54</v>
      </c>
      <c r="JJI45" s="92" t="s">
        <v>54</v>
      </c>
      <c r="JJJ45" s="92" t="s">
        <v>54</v>
      </c>
      <c r="JJK45" s="92" t="s">
        <v>54</v>
      </c>
      <c r="JJL45" s="92" t="s">
        <v>54</v>
      </c>
      <c r="JJM45" s="92" t="s">
        <v>54</v>
      </c>
      <c r="JJN45" s="92" t="s">
        <v>54</v>
      </c>
      <c r="JJO45" s="92" t="s">
        <v>54</v>
      </c>
      <c r="JJP45" s="92" t="s">
        <v>54</v>
      </c>
      <c r="JJQ45" s="92" t="s">
        <v>54</v>
      </c>
      <c r="JJR45" s="92" t="s">
        <v>54</v>
      </c>
      <c r="JJS45" s="92" t="s">
        <v>54</v>
      </c>
      <c r="JJT45" s="92" t="s">
        <v>54</v>
      </c>
      <c r="JJU45" s="92" t="s">
        <v>54</v>
      </c>
      <c r="JJV45" s="92" t="s">
        <v>54</v>
      </c>
      <c r="JJW45" s="92" t="s">
        <v>54</v>
      </c>
      <c r="JJX45" s="92" t="s">
        <v>54</v>
      </c>
      <c r="JJY45" s="92" t="s">
        <v>54</v>
      </c>
      <c r="JJZ45" s="92" t="s">
        <v>54</v>
      </c>
      <c r="JKA45" s="92" t="s">
        <v>54</v>
      </c>
      <c r="JKB45" s="92" t="s">
        <v>54</v>
      </c>
      <c r="JKC45" s="92" t="s">
        <v>54</v>
      </c>
      <c r="JKD45" s="92" t="s">
        <v>54</v>
      </c>
      <c r="JKE45" s="92" t="s">
        <v>54</v>
      </c>
      <c r="JKF45" s="92" t="s">
        <v>54</v>
      </c>
      <c r="JKG45" s="92" t="s">
        <v>54</v>
      </c>
      <c r="JKH45" s="92" t="s">
        <v>54</v>
      </c>
      <c r="JKI45" s="92" t="s">
        <v>54</v>
      </c>
      <c r="JKJ45" s="92" t="s">
        <v>54</v>
      </c>
      <c r="JKK45" s="92" t="s">
        <v>54</v>
      </c>
      <c r="JKL45" s="92" t="s">
        <v>54</v>
      </c>
      <c r="JKM45" s="92" t="s">
        <v>54</v>
      </c>
      <c r="JKN45" s="92" t="s">
        <v>54</v>
      </c>
      <c r="JKO45" s="92" t="s">
        <v>54</v>
      </c>
      <c r="JKP45" s="92" t="s">
        <v>54</v>
      </c>
      <c r="JKQ45" s="92" t="s">
        <v>54</v>
      </c>
      <c r="JKR45" s="92" t="s">
        <v>54</v>
      </c>
      <c r="JKS45" s="92" t="s">
        <v>54</v>
      </c>
      <c r="JKT45" s="92" t="s">
        <v>54</v>
      </c>
      <c r="JKU45" s="92" t="s">
        <v>54</v>
      </c>
      <c r="JKV45" s="92" t="s">
        <v>54</v>
      </c>
      <c r="JKW45" s="92" t="s">
        <v>54</v>
      </c>
      <c r="JKX45" s="92" t="s">
        <v>54</v>
      </c>
      <c r="JKY45" s="92" t="s">
        <v>54</v>
      </c>
      <c r="JKZ45" s="92" t="s">
        <v>54</v>
      </c>
      <c r="JLA45" s="92" t="s">
        <v>54</v>
      </c>
      <c r="JLB45" s="92" t="s">
        <v>54</v>
      </c>
      <c r="JLC45" s="92" t="s">
        <v>54</v>
      </c>
      <c r="JLD45" s="92" t="s">
        <v>54</v>
      </c>
      <c r="JLE45" s="92" t="s">
        <v>54</v>
      </c>
      <c r="JLF45" s="92" t="s">
        <v>54</v>
      </c>
      <c r="JLG45" s="92" t="s">
        <v>54</v>
      </c>
      <c r="JLH45" s="92" t="s">
        <v>54</v>
      </c>
      <c r="JLI45" s="92" t="s">
        <v>54</v>
      </c>
      <c r="JLJ45" s="92" t="s">
        <v>54</v>
      </c>
      <c r="JLK45" s="92" t="s">
        <v>54</v>
      </c>
      <c r="JLL45" s="92" t="s">
        <v>54</v>
      </c>
      <c r="JLM45" s="92" t="s">
        <v>54</v>
      </c>
      <c r="JLN45" s="92" t="s">
        <v>54</v>
      </c>
      <c r="JLO45" s="92" t="s">
        <v>54</v>
      </c>
      <c r="JLP45" s="92" t="s">
        <v>54</v>
      </c>
      <c r="JLQ45" s="92" t="s">
        <v>54</v>
      </c>
      <c r="JLR45" s="92" t="s">
        <v>54</v>
      </c>
      <c r="JLS45" s="92" t="s">
        <v>54</v>
      </c>
      <c r="JLT45" s="92" t="s">
        <v>54</v>
      </c>
      <c r="JLU45" s="92" t="s">
        <v>54</v>
      </c>
      <c r="JLV45" s="92" t="s">
        <v>54</v>
      </c>
      <c r="JLW45" s="92" t="s">
        <v>54</v>
      </c>
      <c r="JLX45" s="92" t="s">
        <v>54</v>
      </c>
      <c r="JLY45" s="92" t="s">
        <v>54</v>
      </c>
      <c r="JLZ45" s="92" t="s">
        <v>54</v>
      </c>
      <c r="JMA45" s="92" t="s">
        <v>54</v>
      </c>
      <c r="JMB45" s="92" t="s">
        <v>54</v>
      </c>
      <c r="JMC45" s="92" t="s">
        <v>54</v>
      </c>
      <c r="JMD45" s="92" t="s">
        <v>54</v>
      </c>
      <c r="JME45" s="92" t="s">
        <v>54</v>
      </c>
      <c r="JMF45" s="92" t="s">
        <v>54</v>
      </c>
      <c r="JMG45" s="92" t="s">
        <v>54</v>
      </c>
      <c r="JMH45" s="92" t="s">
        <v>54</v>
      </c>
      <c r="JMI45" s="92" t="s">
        <v>54</v>
      </c>
      <c r="JMJ45" s="92" t="s">
        <v>54</v>
      </c>
      <c r="JMK45" s="92" t="s">
        <v>54</v>
      </c>
      <c r="JML45" s="92" t="s">
        <v>54</v>
      </c>
      <c r="JMM45" s="92" t="s">
        <v>54</v>
      </c>
      <c r="JMN45" s="92" t="s">
        <v>54</v>
      </c>
      <c r="JMO45" s="92" t="s">
        <v>54</v>
      </c>
      <c r="JMP45" s="92" t="s">
        <v>54</v>
      </c>
      <c r="JMQ45" s="92" t="s">
        <v>54</v>
      </c>
      <c r="JMR45" s="92" t="s">
        <v>54</v>
      </c>
      <c r="JMS45" s="92" t="s">
        <v>54</v>
      </c>
      <c r="JMT45" s="92" t="s">
        <v>54</v>
      </c>
      <c r="JMU45" s="92" t="s">
        <v>54</v>
      </c>
      <c r="JMV45" s="92" t="s">
        <v>54</v>
      </c>
      <c r="JMW45" s="92" t="s">
        <v>54</v>
      </c>
      <c r="JMX45" s="92" t="s">
        <v>54</v>
      </c>
      <c r="JMY45" s="92" t="s">
        <v>54</v>
      </c>
      <c r="JMZ45" s="92" t="s">
        <v>54</v>
      </c>
      <c r="JNA45" s="92" t="s">
        <v>54</v>
      </c>
      <c r="JNB45" s="92" t="s">
        <v>54</v>
      </c>
      <c r="JNC45" s="92" t="s">
        <v>54</v>
      </c>
      <c r="JND45" s="92" t="s">
        <v>54</v>
      </c>
      <c r="JNE45" s="92" t="s">
        <v>54</v>
      </c>
      <c r="JNF45" s="92" t="s">
        <v>54</v>
      </c>
      <c r="JNG45" s="92" t="s">
        <v>54</v>
      </c>
      <c r="JNH45" s="92" t="s">
        <v>54</v>
      </c>
      <c r="JNI45" s="92" t="s">
        <v>54</v>
      </c>
      <c r="JNJ45" s="92" t="s">
        <v>54</v>
      </c>
      <c r="JNK45" s="92" t="s">
        <v>54</v>
      </c>
      <c r="JNL45" s="92" t="s">
        <v>54</v>
      </c>
      <c r="JNM45" s="92" t="s">
        <v>54</v>
      </c>
      <c r="JNN45" s="92" t="s">
        <v>54</v>
      </c>
      <c r="JNO45" s="92" t="s">
        <v>54</v>
      </c>
      <c r="JNP45" s="92" t="s">
        <v>54</v>
      </c>
      <c r="JNQ45" s="92" t="s">
        <v>54</v>
      </c>
      <c r="JNR45" s="92" t="s">
        <v>54</v>
      </c>
      <c r="JNS45" s="92" t="s">
        <v>54</v>
      </c>
      <c r="JNT45" s="92" t="s">
        <v>54</v>
      </c>
      <c r="JNU45" s="92" t="s">
        <v>54</v>
      </c>
      <c r="JNV45" s="92" t="s">
        <v>54</v>
      </c>
      <c r="JNW45" s="92" t="s">
        <v>54</v>
      </c>
      <c r="JNX45" s="92" t="s">
        <v>54</v>
      </c>
      <c r="JNY45" s="92" t="s">
        <v>54</v>
      </c>
      <c r="JNZ45" s="92" t="s">
        <v>54</v>
      </c>
      <c r="JOA45" s="92" t="s">
        <v>54</v>
      </c>
      <c r="JOB45" s="92" t="s">
        <v>54</v>
      </c>
      <c r="JOC45" s="92" t="s">
        <v>54</v>
      </c>
      <c r="JOD45" s="92" t="s">
        <v>54</v>
      </c>
      <c r="JOE45" s="92" t="s">
        <v>54</v>
      </c>
      <c r="JOF45" s="92" t="s">
        <v>54</v>
      </c>
      <c r="JOG45" s="92" t="s">
        <v>54</v>
      </c>
      <c r="JOH45" s="92" t="s">
        <v>54</v>
      </c>
      <c r="JOI45" s="92" t="s">
        <v>54</v>
      </c>
      <c r="JOJ45" s="92" t="s">
        <v>54</v>
      </c>
      <c r="JOK45" s="92" t="s">
        <v>54</v>
      </c>
      <c r="JOL45" s="92" t="s">
        <v>54</v>
      </c>
      <c r="JOM45" s="92" t="s">
        <v>54</v>
      </c>
      <c r="JON45" s="92" t="s">
        <v>54</v>
      </c>
      <c r="JOO45" s="92" t="s">
        <v>54</v>
      </c>
      <c r="JOP45" s="92" t="s">
        <v>54</v>
      </c>
      <c r="JOQ45" s="92" t="s">
        <v>54</v>
      </c>
      <c r="JOR45" s="92" t="s">
        <v>54</v>
      </c>
      <c r="JOS45" s="92" t="s">
        <v>54</v>
      </c>
      <c r="JOT45" s="92" t="s">
        <v>54</v>
      </c>
      <c r="JOU45" s="92" t="s">
        <v>54</v>
      </c>
      <c r="JOV45" s="92" t="s">
        <v>54</v>
      </c>
      <c r="JOW45" s="92" t="s">
        <v>54</v>
      </c>
      <c r="JOX45" s="92" t="s">
        <v>54</v>
      </c>
      <c r="JOY45" s="92" t="s">
        <v>54</v>
      </c>
      <c r="JOZ45" s="92" t="s">
        <v>54</v>
      </c>
      <c r="JPA45" s="92" t="s">
        <v>54</v>
      </c>
      <c r="JPB45" s="92" t="s">
        <v>54</v>
      </c>
      <c r="JPC45" s="92" t="s">
        <v>54</v>
      </c>
      <c r="JPD45" s="92" t="s">
        <v>54</v>
      </c>
      <c r="JPE45" s="92" t="s">
        <v>54</v>
      </c>
      <c r="JPF45" s="92" t="s">
        <v>54</v>
      </c>
      <c r="JPG45" s="92" t="s">
        <v>54</v>
      </c>
      <c r="JPH45" s="92" t="s">
        <v>54</v>
      </c>
      <c r="JPI45" s="92" t="s">
        <v>54</v>
      </c>
      <c r="JPJ45" s="92" t="s">
        <v>54</v>
      </c>
      <c r="JPK45" s="92" t="s">
        <v>54</v>
      </c>
      <c r="JPL45" s="92" t="s">
        <v>54</v>
      </c>
      <c r="JPM45" s="92" t="s">
        <v>54</v>
      </c>
      <c r="JPN45" s="92" t="s">
        <v>54</v>
      </c>
      <c r="JPO45" s="92" t="s">
        <v>54</v>
      </c>
      <c r="JPP45" s="92" t="s">
        <v>54</v>
      </c>
      <c r="JPQ45" s="92" t="s">
        <v>54</v>
      </c>
      <c r="JPR45" s="92" t="s">
        <v>54</v>
      </c>
      <c r="JPS45" s="92" t="s">
        <v>54</v>
      </c>
      <c r="JPT45" s="92" t="s">
        <v>54</v>
      </c>
      <c r="JPU45" s="92" t="s">
        <v>54</v>
      </c>
      <c r="JPV45" s="92" t="s">
        <v>54</v>
      </c>
      <c r="JPW45" s="92" t="s">
        <v>54</v>
      </c>
      <c r="JPX45" s="92" t="s">
        <v>54</v>
      </c>
      <c r="JPY45" s="92" t="s">
        <v>54</v>
      </c>
      <c r="JPZ45" s="92" t="s">
        <v>54</v>
      </c>
      <c r="JQA45" s="92" t="s">
        <v>54</v>
      </c>
      <c r="JQB45" s="92" t="s">
        <v>54</v>
      </c>
      <c r="JQC45" s="92" t="s">
        <v>54</v>
      </c>
      <c r="JQD45" s="92" t="s">
        <v>54</v>
      </c>
      <c r="JQE45" s="92" t="s">
        <v>54</v>
      </c>
      <c r="JQF45" s="92" t="s">
        <v>54</v>
      </c>
      <c r="JQG45" s="92" t="s">
        <v>54</v>
      </c>
      <c r="JQH45" s="92" t="s">
        <v>54</v>
      </c>
      <c r="JQI45" s="92" t="s">
        <v>54</v>
      </c>
      <c r="JQJ45" s="92" t="s">
        <v>54</v>
      </c>
      <c r="JQK45" s="92" t="s">
        <v>54</v>
      </c>
      <c r="JQL45" s="92" t="s">
        <v>54</v>
      </c>
      <c r="JQM45" s="92" t="s">
        <v>54</v>
      </c>
      <c r="JQN45" s="92" t="s">
        <v>54</v>
      </c>
      <c r="JQO45" s="92" t="s">
        <v>54</v>
      </c>
      <c r="JQP45" s="92" t="s">
        <v>54</v>
      </c>
      <c r="JQQ45" s="92" t="s">
        <v>54</v>
      </c>
      <c r="JQR45" s="92" t="s">
        <v>54</v>
      </c>
      <c r="JQS45" s="92" t="s">
        <v>54</v>
      </c>
      <c r="JQT45" s="92" t="s">
        <v>54</v>
      </c>
      <c r="JQU45" s="92" t="s">
        <v>54</v>
      </c>
      <c r="JQV45" s="92" t="s">
        <v>54</v>
      </c>
      <c r="JQW45" s="92" t="s">
        <v>54</v>
      </c>
      <c r="JQX45" s="92" t="s">
        <v>54</v>
      </c>
      <c r="JQY45" s="92" t="s">
        <v>54</v>
      </c>
      <c r="JQZ45" s="92" t="s">
        <v>54</v>
      </c>
      <c r="JRA45" s="92" t="s">
        <v>54</v>
      </c>
      <c r="JRB45" s="92" t="s">
        <v>54</v>
      </c>
      <c r="JRC45" s="92" t="s">
        <v>54</v>
      </c>
      <c r="JRD45" s="92" t="s">
        <v>54</v>
      </c>
      <c r="JRE45" s="92" t="s">
        <v>54</v>
      </c>
      <c r="JRF45" s="92" t="s">
        <v>54</v>
      </c>
      <c r="JRG45" s="92" t="s">
        <v>54</v>
      </c>
      <c r="JRH45" s="92" t="s">
        <v>54</v>
      </c>
      <c r="JRI45" s="92" t="s">
        <v>54</v>
      </c>
      <c r="JRJ45" s="92" t="s">
        <v>54</v>
      </c>
      <c r="JRK45" s="92" t="s">
        <v>54</v>
      </c>
      <c r="JRL45" s="92" t="s">
        <v>54</v>
      </c>
      <c r="JRM45" s="92" t="s">
        <v>54</v>
      </c>
      <c r="JRN45" s="92" t="s">
        <v>54</v>
      </c>
      <c r="JRO45" s="92" t="s">
        <v>54</v>
      </c>
      <c r="JRP45" s="92" t="s">
        <v>54</v>
      </c>
      <c r="JRQ45" s="92" t="s">
        <v>54</v>
      </c>
      <c r="JRR45" s="92" t="s">
        <v>54</v>
      </c>
      <c r="JRS45" s="92" t="s">
        <v>54</v>
      </c>
      <c r="JRT45" s="92" t="s">
        <v>54</v>
      </c>
      <c r="JRU45" s="92" t="s">
        <v>54</v>
      </c>
      <c r="JRV45" s="92" t="s">
        <v>54</v>
      </c>
      <c r="JRW45" s="92" t="s">
        <v>54</v>
      </c>
      <c r="JRX45" s="92" t="s">
        <v>54</v>
      </c>
      <c r="JRY45" s="92" t="s">
        <v>54</v>
      </c>
      <c r="JRZ45" s="92" t="s">
        <v>54</v>
      </c>
      <c r="JSA45" s="92" t="s">
        <v>54</v>
      </c>
      <c r="JSB45" s="92" t="s">
        <v>54</v>
      </c>
      <c r="JSC45" s="92" t="s">
        <v>54</v>
      </c>
      <c r="JSD45" s="92" t="s">
        <v>54</v>
      </c>
      <c r="JSE45" s="92" t="s">
        <v>54</v>
      </c>
      <c r="JSF45" s="92" t="s">
        <v>54</v>
      </c>
      <c r="JSG45" s="92" t="s">
        <v>54</v>
      </c>
      <c r="JSH45" s="92" t="s">
        <v>54</v>
      </c>
      <c r="JSI45" s="92" t="s">
        <v>54</v>
      </c>
      <c r="JSJ45" s="92" t="s">
        <v>54</v>
      </c>
      <c r="JSK45" s="92" t="s">
        <v>54</v>
      </c>
      <c r="JSL45" s="92" t="s">
        <v>54</v>
      </c>
      <c r="JSM45" s="92" t="s">
        <v>54</v>
      </c>
      <c r="JSN45" s="92" t="s">
        <v>54</v>
      </c>
      <c r="JSO45" s="92" t="s">
        <v>54</v>
      </c>
      <c r="JSP45" s="92" t="s">
        <v>54</v>
      </c>
      <c r="JSQ45" s="92" t="s">
        <v>54</v>
      </c>
      <c r="JSR45" s="92" t="s">
        <v>54</v>
      </c>
      <c r="JSS45" s="92" t="s">
        <v>54</v>
      </c>
      <c r="JST45" s="92" t="s">
        <v>54</v>
      </c>
      <c r="JSU45" s="92" t="s">
        <v>54</v>
      </c>
      <c r="JSV45" s="92" t="s">
        <v>54</v>
      </c>
      <c r="JSW45" s="92" t="s">
        <v>54</v>
      </c>
      <c r="JSX45" s="92" t="s">
        <v>54</v>
      </c>
      <c r="JSY45" s="92" t="s">
        <v>54</v>
      </c>
      <c r="JSZ45" s="92" t="s">
        <v>54</v>
      </c>
      <c r="JTA45" s="92" t="s">
        <v>54</v>
      </c>
      <c r="JTB45" s="92" t="s">
        <v>54</v>
      </c>
      <c r="JTC45" s="92" t="s">
        <v>54</v>
      </c>
      <c r="JTD45" s="92" t="s">
        <v>54</v>
      </c>
      <c r="JTE45" s="92" t="s">
        <v>54</v>
      </c>
      <c r="JTF45" s="92" t="s">
        <v>54</v>
      </c>
      <c r="JTG45" s="92" t="s">
        <v>54</v>
      </c>
      <c r="JTH45" s="92" t="s">
        <v>54</v>
      </c>
      <c r="JTI45" s="92" t="s">
        <v>54</v>
      </c>
      <c r="JTJ45" s="92" t="s">
        <v>54</v>
      </c>
      <c r="JTK45" s="92" t="s">
        <v>54</v>
      </c>
      <c r="JTL45" s="92" t="s">
        <v>54</v>
      </c>
      <c r="JTM45" s="92" t="s">
        <v>54</v>
      </c>
      <c r="JTN45" s="92" t="s">
        <v>54</v>
      </c>
      <c r="JTO45" s="92" t="s">
        <v>54</v>
      </c>
      <c r="JTP45" s="92" t="s">
        <v>54</v>
      </c>
      <c r="JTQ45" s="92" t="s">
        <v>54</v>
      </c>
      <c r="JTR45" s="92" t="s">
        <v>54</v>
      </c>
      <c r="JTS45" s="92" t="s">
        <v>54</v>
      </c>
      <c r="JTT45" s="92" t="s">
        <v>54</v>
      </c>
      <c r="JTU45" s="92" t="s">
        <v>54</v>
      </c>
      <c r="JTV45" s="92" t="s">
        <v>54</v>
      </c>
      <c r="JTW45" s="92" t="s">
        <v>54</v>
      </c>
      <c r="JTX45" s="92" t="s">
        <v>54</v>
      </c>
      <c r="JTY45" s="92" t="s">
        <v>54</v>
      </c>
      <c r="JTZ45" s="92" t="s">
        <v>54</v>
      </c>
      <c r="JUA45" s="92" t="s">
        <v>54</v>
      </c>
      <c r="JUB45" s="92" t="s">
        <v>54</v>
      </c>
      <c r="JUC45" s="92" t="s">
        <v>54</v>
      </c>
      <c r="JUD45" s="92" t="s">
        <v>54</v>
      </c>
      <c r="JUE45" s="92" t="s">
        <v>54</v>
      </c>
      <c r="JUF45" s="92" t="s">
        <v>54</v>
      </c>
      <c r="JUG45" s="92" t="s">
        <v>54</v>
      </c>
      <c r="JUH45" s="92" t="s">
        <v>54</v>
      </c>
      <c r="JUI45" s="92" t="s">
        <v>54</v>
      </c>
      <c r="JUJ45" s="92" t="s">
        <v>54</v>
      </c>
      <c r="JUK45" s="92" t="s">
        <v>54</v>
      </c>
      <c r="JUL45" s="92" t="s">
        <v>54</v>
      </c>
      <c r="JUM45" s="92" t="s">
        <v>54</v>
      </c>
      <c r="JUN45" s="92" t="s">
        <v>54</v>
      </c>
      <c r="JUO45" s="92" t="s">
        <v>54</v>
      </c>
      <c r="JUP45" s="92" t="s">
        <v>54</v>
      </c>
      <c r="JUQ45" s="92" t="s">
        <v>54</v>
      </c>
      <c r="JUR45" s="92" t="s">
        <v>54</v>
      </c>
      <c r="JUS45" s="92" t="s">
        <v>54</v>
      </c>
      <c r="JUT45" s="92" t="s">
        <v>54</v>
      </c>
      <c r="JUU45" s="92" t="s">
        <v>54</v>
      </c>
      <c r="JUV45" s="92" t="s">
        <v>54</v>
      </c>
      <c r="JUW45" s="92" t="s">
        <v>54</v>
      </c>
      <c r="JUX45" s="92" t="s">
        <v>54</v>
      </c>
      <c r="JUY45" s="92" t="s">
        <v>54</v>
      </c>
      <c r="JUZ45" s="92" t="s">
        <v>54</v>
      </c>
      <c r="JVA45" s="92" t="s">
        <v>54</v>
      </c>
      <c r="JVB45" s="92" t="s">
        <v>54</v>
      </c>
      <c r="JVC45" s="92" t="s">
        <v>54</v>
      </c>
      <c r="JVD45" s="92" t="s">
        <v>54</v>
      </c>
      <c r="JVE45" s="92" t="s">
        <v>54</v>
      </c>
      <c r="JVF45" s="92" t="s">
        <v>54</v>
      </c>
      <c r="JVG45" s="92" t="s">
        <v>54</v>
      </c>
      <c r="JVH45" s="92" t="s">
        <v>54</v>
      </c>
      <c r="JVI45" s="92" t="s">
        <v>54</v>
      </c>
      <c r="JVJ45" s="92" t="s">
        <v>54</v>
      </c>
      <c r="JVK45" s="92" t="s">
        <v>54</v>
      </c>
      <c r="JVL45" s="92" t="s">
        <v>54</v>
      </c>
      <c r="JVM45" s="92" t="s">
        <v>54</v>
      </c>
      <c r="JVN45" s="92" t="s">
        <v>54</v>
      </c>
      <c r="JVO45" s="92" t="s">
        <v>54</v>
      </c>
      <c r="JVP45" s="92" t="s">
        <v>54</v>
      </c>
      <c r="JVQ45" s="92" t="s">
        <v>54</v>
      </c>
      <c r="JVR45" s="92" t="s">
        <v>54</v>
      </c>
      <c r="JVS45" s="92" t="s">
        <v>54</v>
      </c>
      <c r="JVT45" s="92" t="s">
        <v>54</v>
      </c>
      <c r="JVU45" s="92" t="s">
        <v>54</v>
      </c>
      <c r="JVV45" s="92" t="s">
        <v>54</v>
      </c>
      <c r="JVW45" s="92" t="s">
        <v>54</v>
      </c>
      <c r="JVX45" s="92" t="s">
        <v>54</v>
      </c>
      <c r="JVY45" s="92" t="s">
        <v>54</v>
      </c>
      <c r="JVZ45" s="92" t="s">
        <v>54</v>
      </c>
      <c r="JWA45" s="92" t="s">
        <v>54</v>
      </c>
      <c r="JWB45" s="92" t="s">
        <v>54</v>
      </c>
      <c r="JWC45" s="92" t="s">
        <v>54</v>
      </c>
      <c r="JWD45" s="92" t="s">
        <v>54</v>
      </c>
      <c r="JWE45" s="92" t="s">
        <v>54</v>
      </c>
      <c r="JWF45" s="92" t="s">
        <v>54</v>
      </c>
      <c r="JWG45" s="92" t="s">
        <v>54</v>
      </c>
      <c r="JWH45" s="92" t="s">
        <v>54</v>
      </c>
      <c r="JWI45" s="92" t="s">
        <v>54</v>
      </c>
      <c r="JWJ45" s="92" t="s">
        <v>54</v>
      </c>
      <c r="JWK45" s="92" t="s">
        <v>54</v>
      </c>
      <c r="JWL45" s="92" t="s">
        <v>54</v>
      </c>
      <c r="JWM45" s="92" t="s">
        <v>54</v>
      </c>
      <c r="JWN45" s="92" t="s">
        <v>54</v>
      </c>
      <c r="JWO45" s="92" t="s">
        <v>54</v>
      </c>
      <c r="JWP45" s="92" t="s">
        <v>54</v>
      </c>
      <c r="JWQ45" s="92" t="s">
        <v>54</v>
      </c>
      <c r="JWR45" s="92" t="s">
        <v>54</v>
      </c>
      <c r="JWS45" s="92" t="s">
        <v>54</v>
      </c>
      <c r="JWT45" s="92" t="s">
        <v>54</v>
      </c>
      <c r="JWU45" s="92" t="s">
        <v>54</v>
      </c>
      <c r="JWV45" s="92" t="s">
        <v>54</v>
      </c>
      <c r="JWW45" s="92" t="s">
        <v>54</v>
      </c>
      <c r="JWX45" s="92" t="s">
        <v>54</v>
      </c>
      <c r="JWY45" s="92" t="s">
        <v>54</v>
      </c>
      <c r="JWZ45" s="92" t="s">
        <v>54</v>
      </c>
      <c r="JXA45" s="92" t="s">
        <v>54</v>
      </c>
      <c r="JXB45" s="92" t="s">
        <v>54</v>
      </c>
      <c r="JXC45" s="92" t="s">
        <v>54</v>
      </c>
      <c r="JXD45" s="92" t="s">
        <v>54</v>
      </c>
      <c r="JXE45" s="92" t="s">
        <v>54</v>
      </c>
      <c r="JXF45" s="92" t="s">
        <v>54</v>
      </c>
      <c r="JXG45" s="92" t="s">
        <v>54</v>
      </c>
      <c r="JXH45" s="92" t="s">
        <v>54</v>
      </c>
      <c r="JXI45" s="92" t="s">
        <v>54</v>
      </c>
      <c r="JXJ45" s="92" t="s">
        <v>54</v>
      </c>
      <c r="JXK45" s="92" t="s">
        <v>54</v>
      </c>
      <c r="JXL45" s="92" t="s">
        <v>54</v>
      </c>
      <c r="JXM45" s="92" t="s">
        <v>54</v>
      </c>
      <c r="JXN45" s="92" t="s">
        <v>54</v>
      </c>
      <c r="JXO45" s="92" t="s">
        <v>54</v>
      </c>
      <c r="JXP45" s="92" t="s">
        <v>54</v>
      </c>
      <c r="JXQ45" s="92" t="s">
        <v>54</v>
      </c>
      <c r="JXR45" s="92" t="s">
        <v>54</v>
      </c>
      <c r="JXS45" s="92" t="s">
        <v>54</v>
      </c>
      <c r="JXT45" s="92" t="s">
        <v>54</v>
      </c>
      <c r="JXU45" s="92" t="s">
        <v>54</v>
      </c>
      <c r="JXV45" s="92" t="s">
        <v>54</v>
      </c>
      <c r="JXW45" s="92" t="s">
        <v>54</v>
      </c>
      <c r="JXX45" s="92" t="s">
        <v>54</v>
      </c>
      <c r="JXY45" s="92" t="s">
        <v>54</v>
      </c>
      <c r="JXZ45" s="92" t="s">
        <v>54</v>
      </c>
      <c r="JYA45" s="92" t="s">
        <v>54</v>
      </c>
      <c r="JYB45" s="92" t="s">
        <v>54</v>
      </c>
      <c r="JYC45" s="92" t="s">
        <v>54</v>
      </c>
      <c r="JYD45" s="92" t="s">
        <v>54</v>
      </c>
      <c r="JYE45" s="92" t="s">
        <v>54</v>
      </c>
      <c r="JYF45" s="92" t="s">
        <v>54</v>
      </c>
      <c r="JYG45" s="92" t="s">
        <v>54</v>
      </c>
      <c r="JYH45" s="92" t="s">
        <v>54</v>
      </c>
      <c r="JYI45" s="92" t="s">
        <v>54</v>
      </c>
      <c r="JYJ45" s="92" t="s">
        <v>54</v>
      </c>
      <c r="JYK45" s="92" t="s">
        <v>54</v>
      </c>
      <c r="JYL45" s="92" t="s">
        <v>54</v>
      </c>
      <c r="JYM45" s="92" t="s">
        <v>54</v>
      </c>
      <c r="JYN45" s="92" t="s">
        <v>54</v>
      </c>
      <c r="JYO45" s="92" t="s">
        <v>54</v>
      </c>
      <c r="JYP45" s="92" t="s">
        <v>54</v>
      </c>
      <c r="JYQ45" s="92" t="s">
        <v>54</v>
      </c>
      <c r="JYR45" s="92" t="s">
        <v>54</v>
      </c>
      <c r="JYS45" s="92" t="s">
        <v>54</v>
      </c>
      <c r="JYT45" s="92" t="s">
        <v>54</v>
      </c>
      <c r="JYU45" s="92" t="s">
        <v>54</v>
      </c>
      <c r="JYV45" s="92" t="s">
        <v>54</v>
      </c>
      <c r="JYW45" s="92" t="s">
        <v>54</v>
      </c>
      <c r="JYX45" s="92" t="s">
        <v>54</v>
      </c>
      <c r="JYY45" s="92" t="s">
        <v>54</v>
      </c>
      <c r="JYZ45" s="92" t="s">
        <v>54</v>
      </c>
      <c r="JZA45" s="92" t="s">
        <v>54</v>
      </c>
      <c r="JZB45" s="92" t="s">
        <v>54</v>
      </c>
      <c r="JZC45" s="92" t="s">
        <v>54</v>
      </c>
      <c r="JZD45" s="92" t="s">
        <v>54</v>
      </c>
      <c r="JZE45" s="92" t="s">
        <v>54</v>
      </c>
      <c r="JZF45" s="92" t="s">
        <v>54</v>
      </c>
      <c r="JZG45" s="92" t="s">
        <v>54</v>
      </c>
      <c r="JZH45" s="92" t="s">
        <v>54</v>
      </c>
      <c r="JZI45" s="92" t="s">
        <v>54</v>
      </c>
      <c r="JZJ45" s="92" t="s">
        <v>54</v>
      </c>
      <c r="JZK45" s="92" t="s">
        <v>54</v>
      </c>
      <c r="JZL45" s="92" t="s">
        <v>54</v>
      </c>
      <c r="JZM45" s="92" t="s">
        <v>54</v>
      </c>
      <c r="JZN45" s="92" t="s">
        <v>54</v>
      </c>
      <c r="JZO45" s="92" t="s">
        <v>54</v>
      </c>
      <c r="JZP45" s="92" t="s">
        <v>54</v>
      </c>
      <c r="JZQ45" s="92" t="s">
        <v>54</v>
      </c>
      <c r="JZR45" s="92" t="s">
        <v>54</v>
      </c>
      <c r="JZS45" s="92" t="s">
        <v>54</v>
      </c>
      <c r="JZT45" s="92" t="s">
        <v>54</v>
      </c>
      <c r="JZU45" s="92" t="s">
        <v>54</v>
      </c>
      <c r="JZV45" s="92" t="s">
        <v>54</v>
      </c>
      <c r="JZW45" s="92" t="s">
        <v>54</v>
      </c>
      <c r="JZX45" s="92" t="s">
        <v>54</v>
      </c>
      <c r="JZY45" s="92" t="s">
        <v>54</v>
      </c>
      <c r="JZZ45" s="92" t="s">
        <v>54</v>
      </c>
      <c r="KAA45" s="92" t="s">
        <v>54</v>
      </c>
      <c r="KAB45" s="92" t="s">
        <v>54</v>
      </c>
      <c r="KAC45" s="92" t="s">
        <v>54</v>
      </c>
      <c r="KAD45" s="92" t="s">
        <v>54</v>
      </c>
      <c r="KAE45" s="92" t="s">
        <v>54</v>
      </c>
      <c r="KAF45" s="92" t="s">
        <v>54</v>
      </c>
      <c r="KAG45" s="92" t="s">
        <v>54</v>
      </c>
      <c r="KAH45" s="92" t="s">
        <v>54</v>
      </c>
      <c r="KAI45" s="92" t="s">
        <v>54</v>
      </c>
      <c r="KAJ45" s="92" t="s">
        <v>54</v>
      </c>
      <c r="KAK45" s="92" t="s">
        <v>54</v>
      </c>
      <c r="KAL45" s="92" t="s">
        <v>54</v>
      </c>
      <c r="KAM45" s="92" t="s">
        <v>54</v>
      </c>
      <c r="KAN45" s="92" t="s">
        <v>54</v>
      </c>
      <c r="KAO45" s="92" t="s">
        <v>54</v>
      </c>
      <c r="KAP45" s="92" t="s">
        <v>54</v>
      </c>
      <c r="KAQ45" s="92" t="s">
        <v>54</v>
      </c>
      <c r="KAR45" s="92" t="s">
        <v>54</v>
      </c>
      <c r="KAS45" s="92" t="s">
        <v>54</v>
      </c>
      <c r="KAT45" s="92" t="s">
        <v>54</v>
      </c>
      <c r="KAU45" s="92" t="s">
        <v>54</v>
      </c>
      <c r="KAV45" s="92" t="s">
        <v>54</v>
      </c>
      <c r="KAW45" s="92" t="s">
        <v>54</v>
      </c>
      <c r="KAX45" s="92" t="s">
        <v>54</v>
      </c>
      <c r="KAY45" s="92" t="s">
        <v>54</v>
      </c>
      <c r="KAZ45" s="92" t="s">
        <v>54</v>
      </c>
      <c r="KBA45" s="92" t="s">
        <v>54</v>
      </c>
      <c r="KBB45" s="92" t="s">
        <v>54</v>
      </c>
      <c r="KBC45" s="92" t="s">
        <v>54</v>
      </c>
      <c r="KBD45" s="92" t="s">
        <v>54</v>
      </c>
      <c r="KBE45" s="92" t="s">
        <v>54</v>
      </c>
      <c r="KBF45" s="92" t="s">
        <v>54</v>
      </c>
      <c r="KBG45" s="92" t="s">
        <v>54</v>
      </c>
      <c r="KBH45" s="92" t="s">
        <v>54</v>
      </c>
      <c r="KBI45" s="92" t="s">
        <v>54</v>
      </c>
      <c r="KBJ45" s="92" t="s">
        <v>54</v>
      </c>
      <c r="KBK45" s="92" t="s">
        <v>54</v>
      </c>
      <c r="KBL45" s="92" t="s">
        <v>54</v>
      </c>
      <c r="KBM45" s="92" t="s">
        <v>54</v>
      </c>
      <c r="KBN45" s="92" t="s">
        <v>54</v>
      </c>
      <c r="KBO45" s="92" t="s">
        <v>54</v>
      </c>
      <c r="KBP45" s="92" t="s">
        <v>54</v>
      </c>
      <c r="KBQ45" s="92" t="s">
        <v>54</v>
      </c>
      <c r="KBR45" s="92" t="s">
        <v>54</v>
      </c>
      <c r="KBS45" s="92" t="s">
        <v>54</v>
      </c>
      <c r="KBT45" s="92" t="s">
        <v>54</v>
      </c>
      <c r="KBU45" s="92" t="s">
        <v>54</v>
      </c>
      <c r="KBV45" s="92" t="s">
        <v>54</v>
      </c>
      <c r="KBW45" s="92" t="s">
        <v>54</v>
      </c>
      <c r="KBX45" s="92" t="s">
        <v>54</v>
      </c>
      <c r="KBY45" s="92" t="s">
        <v>54</v>
      </c>
      <c r="KBZ45" s="92" t="s">
        <v>54</v>
      </c>
      <c r="KCA45" s="92" t="s">
        <v>54</v>
      </c>
      <c r="KCB45" s="92" t="s">
        <v>54</v>
      </c>
      <c r="KCC45" s="92" t="s">
        <v>54</v>
      </c>
      <c r="KCD45" s="92" t="s">
        <v>54</v>
      </c>
      <c r="KCE45" s="92" t="s">
        <v>54</v>
      </c>
      <c r="KCF45" s="92" t="s">
        <v>54</v>
      </c>
      <c r="KCG45" s="92" t="s">
        <v>54</v>
      </c>
      <c r="KCH45" s="92" t="s">
        <v>54</v>
      </c>
      <c r="KCI45" s="92" t="s">
        <v>54</v>
      </c>
      <c r="KCJ45" s="92" t="s">
        <v>54</v>
      </c>
      <c r="KCK45" s="92" t="s">
        <v>54</v>
      </c>
      <c r="KCL45" s="92" t="s">
        <v>54</v>
      </c>
      <c r="KCM45" s="92" t="s">
        <v>54</v>
      </c>
      <c r="KCN45" s="92" t="s">
        <v>54</v>
      </c>
      <c r="KCO45" s="92" t="s">
        <v>54</v>
      </c>
      <c r="KCP45" s="92" t="s">
        <v>54</v>
      </c>
      <c r="KCQ45" s="92" t="s">
        <v>54</v>
      </c>
      <c r="KCR45" s="92" t="s">
        <v>54</v>
      </c>
      <c r="KCS45" s="92" t="s">
        <v>54</v>
      </c>
      <c r="KCT45" s="92" t="s">
        <v>54</v>
      </c>
      <c r="KCU45" s="92" t="s">
        <v>54</v>
      </c>
      <c r="KCV45" s="92" t="s">
        <v>54</v>
      </c>
      <c r="KCW45" s="92" t="s">
        <v>54</v>
      </c>
      <c r="KCX45" s="92" t="s">
        <v>54</v>
      </c>
      <c r="KCY45" s="92" t="s">
        <v>54</v>
      </c>
      <c r="KCZ45" s="92" t="s">
        <v>54</v>
      </c>
      <c r="KDA45" s="92" t="s">
        <v>54</v>
      </c>
      <c r="KDB45" s="92" t="s">
        <v>54</v>
      </c>
      <c r="KDC45" s="92" t="s">
        <v>54</v>
      </c>
      <c r="KDD45" s="92" t="s">
        <v>54</v>
      </c>
      <c r="KDE45" s="92" t="s">
        <v>54</v>
      </c>
      <c r="KDF45" s="92" t="s">
        <v>54</v>
      </c>
      <c r="KDG45" s="92" t="s">
        <v>54</v>
      </c>
      <c r="KDH45" s="92" t="s">
        <v>54</v>
      </c>
      <c r="KDI45" s="92" t="s">
        <v>54</v>
      </c>
      <c r="KDJ45" s="92" t="s">
        <v>54</v>
      </c>
      <c r="KDK45" s="92" t="s">
        <v>54</v>
      </c>
      <c r="KDL45" s="92" t="s">
        <v>54</v>
      </c>
      <c r="KDM45" s="92" t="s">
        <v>54</v>
      </c>
      <c r="KDN45" s="92" t="s">
        <v>54</v>
      </c>
      <c r="KDO45" s="92" t="s">
        <v>54</v>
      </c>
      <c r="KDP45" s="92" t="s">
        <v>54</v>
      </c>
      <c r="KDQ45" s="92" t="s">
        <v>54</v>
      </c>
      <c r="KDR45" s="92" t="s">
        <v>54</v>
      </c>
      <c r="KDS45" s="92" t="s">
        <v>54</v>
      </c>
      <c r="KDT45" s="92" t="s">
        <v>54</v>
      </c>
      <c r="KDU45" s="92" t="s">
        <v>54</v>
      </c>
      <c r="KDV45" s="92" t="s">
        <v>54</v>
      </c>
      <c r="KDW45" s="92" t="s">
        <v>54</v>
      </c>
      <c r="KDX45" s="92" t="s">
        <v>54</v>
      </c>
      <c r="KDY45" s="92" t="s">
        <v>54</v>
      </c>
      <c r="KDZ45" s="92" t="s">
        <v>54</v>
      </c>
      <c r="KEA45" s="92" t="s">
        <v>54</v>
      </c>
      <c r="KEB45" s="92" t="s">
        <v>54</v>
      </c>
      <c r="KEC45" s="92" t="s">
        <v>54</v>
      </c>
      <c r="KED45" s="92" t="s">
        <v>54</v>
      </c>
      <c r="KEE45" s="92" t="s">
        <v>54</v>
      </c>
      <c r="KEF45" s="92" t="s">
        <v>54</v>
      </c>
      <c r="KEG45" s="92" t="s">
        <v>54</v>
      </c>
      <c r="KEH45" s="92" t="s">
        <v>54</v>
      </c>
      <c r="KEI45" s="92" t="s">
        <v>54</v>
      </c>
      <c r="KEJ45" s="92" t="s">
        <v>54</v>
      </c>
      <c r="KEK45" s="92" t="s">
        <v>54</v>
      </c>
      <c r="KEL45" s="92" t="s">
        <v>54</v>
      </c>
      <c r="KEM45" s="92" t="s">
        <v>54</v>
      </c>
      <c r="KEN45" s="92" t="s">
        <v>54</v>
      </c>
      <c r="KEO45" s="92" t="s">
        <v>54</v>
      </c>
      <c r="KEP45" s="92" t="s">
        <v>54</v>
      </c>
      <c r="KEQ45" s="92" t="s">
        <v>54</v>
      </c>
      <c r="KER45" s="92" t="s">
        <v>54</v>
      </c>
      <c r="KES45" s="92" t="s">
        <v>54</v>
      </c>
      <c r="KET45" s="92" t="s">
        <v>54</v>
      </c>
      <c r="KEU45" s="92" t="s">
        <v>54</v>
      </c>
      <c r="KEV45" s="92" t="s">
        <v>54</v>
      </c>
      <c r="KEW45" s="92" t="s">
        <v>54</v>
      </c>
      <c r="KEX45" s="92" t="s">
        <v>54</v>
      </c>
      <c r="KEY45" s="92" t="s">
        <v>54</v>
      </c>
      <c r="KEZ45" s="92" t="s">
        <v>54</v>
      </c>
      <c r="KFA45" s="92" t="s">
        <v>54</v>
      </c>
      <c r="KFB45" s="92" t="s">
        <v>54</v>
      </c>
      <c r="KFC45" s="92" t="s">
        <v>54</v>
      </c>
      <c r="KFD45" s="92" t="s">
        <v>54</v>
      </c>
      <c r="KFE45" s="92" t="s">
        <v>54</v>
      </c>
      <c r="KFF45" s="92" t="s">
        <v>54</v>
      </c>
      <c r="KFG45" s="92" t="s">
        <v>54</v>
      </c>
      <c r="KFH45" s="92" t="s">
        <v>54</v>
      </c>
      <c r="KFI45" s="92" t="s">
        <v>54</v>
      </c>
      <c r="KFJ45" s="92" t="s">
        <v>54</v>
      </c>
      <c r="KFK45" s="92" t="s">
        <v>54</v>
      </c>
      <c r="KFL45" s="92" t="s">
        <v>54</v>
      </c>
      <c r="KFM45" s="92" t="s">
        <v>54</v>
      </c>
      <c r="KFN45" s="92" t="s">
        <v>54</v>
      </c>
      <c r="KFO45" s="92" t="s">
        <v>54</v>
      </c>
      <c r="KFP45" s="92" t="s">
        <v>54</v>
      </c>
      <c r="KFQ45" s="92" t="s">
        <v>54</v>
      </c>
      <c r="KFR45" s="92" t="s">
        <v>54</v>
      </c>
      <c r="KFS45" s="92" t="s">
        <v>54</v>
      </c>
      <c r="KFT45" s="92" t="s">
        <v>54</v>
      </c>
      <c r="KFU45" s="92" t="s">
        <v>54</v>
      </c>
      <c r="KFV45" s="92" t="s">
        <v>54</v>
      </c>
      <c r="KFW45" s="92" t="s">
        <v>54</v>
      </c>
      <c r="KFX45" s="92" t="s">
        <v>54</v>
      </c>
      <c r="KFY45" s="92" t="s">
        <v>54</v>
      </c>
      <c r="KFZ45" s="92" t="s">
        <v>54</v>
      </c>
      <c r="KGA45" s="92" t="s">
        <v>54</v>
      </c>
      <c r="KGB45" s="92" t="s">
        <v>54</v>
      </c>
      <c r="KGC45" s="92" t="s">
        <v>54</v>
      </c>
      <c r="KGD45" s="92" t="s">
        <v>54</v>
      </c>
      <c r="KGE45" s="92" t="s">
        <v>54</v>
      </c>
      <c r="KGF45" s="92" t="s">
        <v>54</v>
      </c>
      <c r="KGG45" s="92" t="s">
        <v>54</v>
      </c>
      <c r="KGH45" s="92" t="s">
        <v>54</v>
      </c>
      <c r="KGI45" s="92" t="s">
        <v>54</v>
      </c>
      <c r="KGJ45" s="92" t="s">
        <v>54</v>
      </c>
      <c r="KGK45" s="92" t="s">
        <v>54</v>
      </c>
      <c r="KGL45" s="92" t="s">
        <v>54</v>
      </c>
      <c r="KGM45" s="92" t="s">
        <v>54</v>
      </c>
      <c r="KGN45" s="92" t="s">
        <v>54</v>
      </c>
      <c r="KGO45" s="92" t="s">
        <v>54</v>
      </c>
      <c r="KGP45" s="92" t="s">
        <v>54</v>
      </c>
      <c r="KGQ45" s="92" t="s">
        <v>54</v>
      </c>
      <c r="KGR45" s="92" t="s">
        <v>54</v>
      </c>
      <c r="KGS45" s="92" t="s">
        <v>54</v>
      </c>
      <c r="KGT45" s="92" t="s">
        <v>54</v>
      </c>
      <c r="KGU45" s="92" t="s">
        <v>54</v>
      </c>
      <c r="KGV45" s="92" t="s">
        <v>54</v>
      </c>
      <c r="KGW45" s="92" t="s">
        <v>54</v>
      </c>
      <c r="KGX45" s="92" t="s">
        <v>54</v>
      </c>
      <c r="KGY45" s="92" t="s">
        <v>54</v>
      </c>
      <c r="KGZ45" s="92" t="s">
        <v>54</v>
      </c>
      <c r="KHA45" s="92" t="s">
        <v>54</v>
      </c>
      <c r="KHB45" s="92" t="s">
        <v>54</v>
      </c>
      <c r="KHC45" s="92" t="s">
        <v>54</v>
      </c>
      <c r="KHD45" s="92" t="s">
        <v>54</v>
      </c>
      <c r="KHE45" s="92" t="s">
        <v>54</v>
      </c>
      <c r="KHF45" s="92" t="s">
        <v>54</v>
      </c>
      <c r="KHG45" s="92" t="s">
        <v>54</v>
      </c>
      <c r="KHH45" s="92" t="s">
        <v>54</v>
      </c>
      <c r="KHI45" s="92" t="s">
        <v>54</v>
      </c>
      <c r="KHJ45" s="92" t="s">
        <v>54</v>
      </c>
      <c r="KHK45" s="92" t="s">
        <v>54</v>
      </c>
      <c r="KHL45" s="92" t="s">
        <v>54</v>
      </c>
      <c r="KHM45" s="92" t="s">
        <v>54</v>
      </c>
      <c r="KHN45" s="92" t="s">
        <v>54</v>
      </c>
      <c r="KHO45" s="92" t="s">
        <v>54</v>
      </c>
      <c r="KHP45" s="92" t="s">
        <v>54</v>
      </c>
      <c r="KHQ45" s="92" t="s">
        <v>54</v>
      </c>
      <c r="KHR45" s="92" t="s">
        <v>54</v>
      </c>
      <c r="KHS45" s="92" t="s">
        <v>54</v>
      </c>
      <c r="KHT45" s="92" t="s">
        <v>54</v>
      </c>
      <c r="KHU45" s="92" t="s">
        <v>54</v>
      </c>
      <c r="KHV45" s="92" t="s">
        <v>54</v>
      </c>
      <c r="KHW45" s="92" t="s">
        <v>54</v>
      </c>
      <c r="KHX45" s="92" t="s">
        <v>54</v>
      </c>
      <c r="KHY45" s="92" t="s">
        <v>54</v>
      </c>
      <c r="KHZ45" s="92" t="s">
        <v>54</v>
      </c>
      <c r="KIA45" s="92" t="s">
        <v>54</v>
      </c>
      <c r="KIB45" s="92" t="s">
        <v>54</v>
      </c>
      <c r="KIC45" s="92" t="s">
        <v>54</v>
      </c>
      <c r="KID45" s="92" t="s">
        <v>54</v>
      </c>
      <c r="KIE45" s="92" t="s">
        <v>54</v>
      </c>
      <c r="KIF45" s="92" t="s">
        <v>54</v>
      </c>
      <c r="KIG45" s="92" t="s">
        <v>54</v>
      </c>
      <c r="KIH45" s="92" t="s">
        <v>54</v>
      </c>
      <c r="KII45" s="92" t="s">
        <v>54</v>
      </c>
      <c r="KIJ45" s="92" t="s">
        <v>54</v>
      </c>
      <c r="KIK45" s="92" t="s">
        <v>54</v>
      </c>
      <c r="KIL45" s="92" t="s">
        <v>54</v>
      </c>
      <c r="KIM45" s="92" t="s">
        <v>54</v>
      </c>
      <c r="KIN45" s="92" t="s">
        <v>54</v>
      </c>
      <c r="KIO45" s="92" t="s">
        <v>54</v>
      </c>
      <c r="KIP45" s="92" t="s">
        <v>54</v>
      </c>
      <c r="KIQ45" s="92" t="s">
        <v>54</v>
      </c>
      <c r="KIR45" s="92" t="s">
        <v>54</v>
      </c>
      <c r="KIS45" s="92" t="s">
        <v>54</v>
      </c>
      <c r="KIT45" s="92" t="s">
        <v>54</v>
      </c>
      <c r="KIU45" s="92" t="s">
        <v>54</v>
      </c>
      <c r="KIV45" s="92" t="s">
        <v>54</v>
      </c>
      <c r="KIW45" s="92" t="s">
        <v>54</v>
      </c>
      <c r="KIX45" s="92" t="s">
        <v>54</v>
      </c>
      <c r="KIY45" s="92" t="s">
        <v>54</v>
      </c>
      <c r="KIZ45" s="92" t="s">
        <v>54</v>
      </c>
      <c r="KJA45" s="92" t="s">
        <v>54</v>
      </c>
      <c r="KJB45" s="92" t="s">
        <v>54</v>
      </c>
      <c r="KJC45" s="92" t="s">
        <v>54</v>
      </c>
      <c r="KJD45" s="92" t="s">
        <v>54</v>
      </c>
      <c r="KJE45" s="92" t="s">
        <v>54</v>
      </c>
      <c r="KJF45" s="92" t="s">
        <v>54</v>
      </c>
      <c r="KJG45" s="92" t="s">
        <v>54</v>
      </c>
      <c r="KJH45" s="92" t="s">
        <v>54</v>
      </c>
      <c r="KJI45" s="92" t="s">
        <v>54</v>
      </c>
      <c r="KJJ45" s="92" t="s">
        <v>54</v>
      </c>
      <c r="KJK45" s="92" t="s">
        <v>54</v>
      </c>
      <c r="KJL45" s="92" t="s">
        <v>54</v>
      </c>
      <c r="KJM45" s="92" t="s">
        <v>54</v>
      </c>
      <c r="KJN45" s="92" t="s">
        <v>54</v>
      </c>
      <c r="KJO45" s="92" t="s">
        <v>54</v>
      </c>
      <c r="KJP45" s="92" t="s">
        <v>54</v>
      </c>
      <c r="KJQ45" s="92" t="s">
        <v>54</v>
      </c>
      <c r="KJR45" s="92" t="s">
        <v>54</v>
      </c>
      <c r="KJS45" s="92" t="s">
        <v>54</v>
      </c>
      <c r="KJT45" s="92" t="s">
        <v>54</v>
      </c>
      <c r="KJU45" s="92" t="s">
        <v>54</v>
      </c>
      <c r="KJV45" s="92" t="s">
        <v>54</v>
      </c>
      <c r="KJW45" s="92" t="s">
        <v>54</v>
      </c>
      <c r="KJX45" s="92" t="s">
        <v>54</v>
      </c>
      <c r="KJY45" s="92" t="s">
        <v>54</v>
      </c>
      <c r="KJZ45" s="92" t="s">
        <v>54</v>
      </c>
      <c r="KKA45" s="92" t="s">
        <v>54</v>
      </c>
      <c r="KKB45" s="92" t="s">
        <v>54</v>
      </c>
      <c r="KKC45" s="92" t="s">
        <v>54</v>
      </c>
      <c r="KKD45" s="92" t="s">
        <v>54</v>
      </c>
      <c r="KKE45" s="92" t="s">
        <v>54</v>
      </c>
      <c r="KKF45" s="92" t="s">
        <v>54</v>
      </c>
      <c r="KKG45" s="92" t="s">
        <v>54</v>
      </c>
      <c r="KKH45" s="92" t="s">
        <v>54</v>
      </c>
      <c r="KKI45" s="92" t="s">
        <v>54</v>
      </c>
      <c r="KKJ45" s="92" t="s">
        <v>54</v>
      </c>
      <c r="KKK45" s="92" t="s">
        <v>54</v>
      </c>
      <c r="KKL45" s="92" t="s">
        <v>54</v>
      </c>
      <c r="KKM45" s="92" t="s">
        <v>54</v>
      </c>
      <c r="KKN45" s="92" t="s">
        <v>54</v>
      </c>
      <c r="KKO45" s="92" t="s">
        <v>54</v>
      </c>
      <c r="KKP45" s="92" t="s">
        <v>54</v>
      </c>
      <c r="KKQ45" s="92" t="s">
        <v>54</v>
      </c>
      <c r="KKR45" s="92" t="s">
        <v>54</v>
      </c>
      <c r="KKS45" s="92" t="s">
        <v>54</v>
      </c>
      <c r="KKT45" s="92" t="s">
        <v>54</v>
      </c>
      <c r="KKU45" s="92" t="s">
        <v>54</v>
      </c>
      <c r="KKV45" s="92" t="s">
        <v>54</v>
      </c>
      <c r="KKW45" s="92" t="s">
        <v>54</v>
      </c>
      <c r="KKX45" s="92" t="s">
        <v>54</v>
      </c>
      <c r="KKY45" s="92" t="s">
        <v>54</v>
      </c>
      <c r="KKZ45" s="92" t="s">
        <v>54</v>
      </c>
      <c r="KLA45" s="92" t="s">
        <v>54</v>
      </c>
      <c r="KLB45" s="92" t="s">
        <v>54</v>
      </c>
      <c r="KLC45" s="92" t="s">
        <v>54</v>
      </c>
      <c r="KLD45" s="92" t="s">
        <v>54</v>
      </c>
      <c r="KLE45" s="92" t="s">
        <v>54</v>
      </c>
      <c r="KLF45" s="92" t="s">
        <v>54</v>
      </c>
      <c r="KLG45" s="92" t="s">
        <v>54</v>
      </c>
      <c r="KLH45" s="92" t="s">
        <v>54</v>
      </c>
      <c r="KLI45" s="92" t="s">
        <v>54</v>
      </c>
      <c r="KLJ45" s="92" t="s">
        <v>54</v>
      </c>
      <c r="KLK45" s="92" t="s">
        <v>54</v>
      </c>
      <c r="KLL45" s="92" t="s">
        <v>54</v>
      </c>
      <c r="KLM45" s="92" t="s">
        <v>54</v>
      </c>
      <c r="KLN45" s="92" t="s">
        <v>54</v>
      </c>
      <c r="KLO45" s="92" t="s">
        <v>54</v>
      </c>
      <c r="KLP45" s="92" t="s">
        <v>54</v>
      </c>
      <c r="KLQ45" s="92" t="s">
        <v>54</v>
      </c>
      <c r="KLR45" s="92" t="s">
        <v>54</v>
      </c>
      <c r="KLS45" s="92" t="s">
        <v>54</v>
      </c>
      <c r="KLT45" s="92" t="s">
        <v>54</v>
      </c>
      <c r="KLU45" s="92" t="s">
        <v>54</v>
      </c>
      <c r="KLV45" s="92" t="s">
        <v>54</v>
      </c>
      <c r="KLW45" s="92" t="s">
        <v>54</v>
      </c>
      <c r="KLX45" s="92" t="s">
        <v>54</v>
      </c>
      <c r="KLY45" s="92" t="s">
        <v>54</v>
      </c>
      <c r="KLZ45" s="92" t="s">
        <v>54</v>
      </c>
      <c r="KMA45" s="92" t="s">
        <v>54</v>
      </c>
      <c r="KMB45" s="92" t="s">
        <v>54</v>
      </c>
      <c r="KMC45" s="92" t="s">
        <v>54</v>
      </c>
      <c r="KMD45" s="92" t="s">
        <v>54</v>
      </c>
      <c r="KME45" s="92" t="s">
        <v>54</v>
      </c>
      <c r="KMF45" s="92" t="s">
        <v>54</v>
      </c>
      <c r="KMG45" s="92" t="s">
        <v>54</v>
      </c>
      <c r="KMH45" s="92" t="s">
        <v>54</v>
      </c>
      <c r="KMI45" s="92" t="s">
        <v>54</v>
      </c>
      <c r="KMJ45" s="92" t="s">
        <v>54</v>
      </c>
      <c r="KMK45" s="92" t="s">
        <v>54</v>
      </c>
      <c r="KML45" s="92" t="s">
        <v>54</v>
      </c>
      <c r="KMM45" s="92" t="s">
        <v>54</v>
      </c>
      <c r="KMN45" s="92" t="s">
        <v>54</v>
      </c>
      <c r="KMO45" s="92" t="s">
        <v>54</v>
      </c>
      <c r="KMP45" s="92" t="s">
        <v>54</v>
      </c>
      <c r="KMQ45" s="92" t="s">
        <v>54</v>
      </c>
      <c r="KMR45" s="92" t="s">
        <v>54</v>
      </c>
      <c r="KMS45" s="92" t="s">
        <v>54</v>
      </c>
      <c r="KMT45" s="92" t="s">
        <v>54</v>
      </c>
      <c r="KMU45" s="92" t="s">
        <v>54</v>
      </c>
      <c r="KMV45" s="92" t="s">
        <v>54</v>
      </c>
      <c r="KMW45" s="92" t="s">
        <v>54</v>
      </c>
      <c r="KMX45" s="92" t="s">
        <v>54</v>
      </c>
      <c r="KMY45" s="92" t="s">
        <v>54</v>
      </c>
      <c r="KMZ45" s="92" t="s">
        <v>54</v>
      </c>
      <c r="KNA45" s="92" t="s">
        <v>54</v>
      </c>
      <c r="KNB45" s="92" t="s">
        <v>54</v>
      </c>
      <c r="KNC45" s="92" t="s">
        <v>54</v>
      </c>
      <c r="KND45" s="92" t="s">
        <v>54</v>
      </c>
      <c r="KNE45" s="92" t="s">
        <v>54</v>
      </c>
      <c r="KNF45" s="92" t="s">
        <v>54</v>
      </c>
      <c r="KNG45" s="92" t="s">
        <v>54</v>
      </c>
      <c r="KNH45" s="92" t="s">
        <v>54</v>
      </c>
      <c r="KNI45" s="92" t="s">
        <v>54</v>
      </c>
      <c r="KNJ45" s="92" t="s">
        <v>54</v>
      </c>
      <c r="KNK45" s="92" t="s">
        <v>54</v>
      </c>
      <c r="KNL45" s="92" t="s">
        <v>54</v>
      </c>
      <c r="KNM45" s="92" t="s">
        <v>54</v>
      </c>
      <c r="KNN45" s="92" t="s">
        <v>54</v>
      </c>
      <c r="KNO45" s="92" t="s">
        <v>54</v>
      </c>
      <c r="KNP45" s="92" t="s">
        <v>54</v>
      </c>
      <c r="KNQ45" s="92" t="s">
        <v>54</v>
      </c>
      <c r="KNR45" s="92" t="s">
        <v>54</v>
      </c>
      <c r="KNS45" s="92" t="s">
        <v>54</v>
      </c>
      <c r="KNT45" s="92" t="s">
        <v>54</v>
      </c>
      <c r="KNU45" s="92" t="s">
        <v>54</v>
      </c>
      <c r="KNV45" s="92" t="s">
        <v>54</v>
      </c>
      <c r="KNW45" s="92" t="s">
        <v>54</v>
      </c>
      <c r="KNX45" s="92" t="s">
        <v>54</v>
      </c>
      <c r="KNY45" s="92" t="s">
        <v>54</v>
      </c>
      <c r="KNZ45" s="92" t="s">
        <v>54</v>
      </c>
      <c r="KOA45" s="92" t="s">
        <v>54</v>
      </c>
      <c r="KOB45" s="92" t="s">
        <v>54</v>
      </c>
      <c r="KOC45" s="92" t="s">
        <v>54</v>
      </c>
      <c r="KOD45" s="92" t="s">
        <v>54</v>
      </c>
      <c r="KOE45" s="92" t="s">
        <v>54</v>
      </c>
      <c r="KOF45" s="92" t="s">
        <v>54</v>
      </c>
      <c r="KOG45" s="92" t="s">
        <v>54</v>
      </c>
      <c r="KOH45" s="92" t="s">
        <v>54</v>
      </c>
      <c r="KOI45" s="92" t="s">
        <v>54</v>
      </c>
      <c r="KOJ45" s="92" t="s">
        <v>54</v>
      </c>
      <c r="KOK45" s="92" t="s">
        <v>54</v>
      </c>
      <c r="KOL45" s="92" t="s">
        <v>54</v>
      </c>
      <c r="KOM45" s="92" t="s">
        <v>54</v>
      </c>
      <c r="KON45" s="92" t="s">
        <v>54</v>
      </c>
      <c r="KOO45" s="92" t="s">
        <v>54</v>
      </c>
      <c r="KOP45" s="92" t="s">
        <v>54</v>
      </c>
      <c r="KOQ45" s="92" t="s">
        <v>54</v>
      </c>
      <c r="KOR45" s="92" t="s">
        <v>54</v>
      </c>
      <c r="KOS45" s="92" t="s">
        <v>54</v>
      </c>
      <c r="KOT45" s="92" t="s">
        <v>54</v>
      </c>
      <c r="KOU45" s="92" t="s">
        <v>54</v>
      </c>
      <c r="KOV45" s="92" t="s">
        <v>54</v>
      </c>
      <c r="KOW45" s="92" t="s">
        <v>54</v>
      </c>
      <c r="KOX45" s="92" t="s">
        <v>54</v>
      </c>
      <c r="KOY45" s="92" t="s">
        <v>54</v>
      </c>
      <c r="KOZ45" s="92" t="s">
        <v>54</v>
      </c>
      <c r="KPA45" s="92" t="s">
        <v>54</v>
      </c>
      <c r="KPB45" s="92" t="s">
        <v>54</v>
      </c>
      <c r="KPC45" s="92" t="s">
        <v>54</v>
      </c>
      <c r="KPD45" s="92" t="s">
        <v>54</v>
      </c>
      <c r="KPE45" s="92" t="s">
        <v>54</v>
      </c>
      <c r="KPF45" s="92" t="s">
        <v>54</v>
      </c>
      <c r="KPG45" s="92" t="s">
        <v>54</v>
      </c>
      <c r="KPH45" s="92" t="s">
        <v>54</v>
      </c>
      <c r="KPI45" s="92" t="s">
        <v>54</v>
      </c>
      <c r="KPJ45" s="92" t="s">
        <v>54</v>
      </c>
      <c r="KPK45" s="92" t="s">
        <v>54</v>
      </c>
      <c r="KPL45" s="92" t="s">
        <v>54</v>
      </c>
      <c r="KPM45" s="92" t="s">
        <v>54</v>
      </c>
      <c r="KPN45" s="92" t="s">
        <v>54</v>
      </c>
      <c r="KPO45" s="92" t="s">
        <v>54</v>
      </c>
      <c r="KPP45" s="92" t="s">
        <v>54</v>
      </c>
      <c r="KPQ45" s="92" t="s">
        <v>54</v>
      </c>
      <c r="KPR45" s="92" t="s">
        <v>54</v>
      </c>
      <c r="KPS45" s="92" t="s">
        <v>54</v>
      </c>
      <c r="KPT45" s="92" t="s">
        <v>54</v>
      </c>
      <c r="KPU45" s="92" t="s">
        <v>54</v>
      </c>
      <c r="KPV45" s="92" t="s">
        <v>54</v>
      </c>
      <c r="KPW45" s="92" t="s">
        <v>54</v>
      </c>
      <c r="KPX45" s="92" t="s">
        <v>54</v>
      </c>
      <c r="KPY45" s="92" t="s">
        <v>54</v>
      </c>
      <c r="KPZ45" s="92" t="s">
        <v>54</v>
      </c>
      <c r="KQA45" s="92" t="s">
        <v>54</v>
      </c>
      <c r="KQB45" s="92" t="s">
        <v>54</v>
      </c>
      <c r="KQC45" s="92" t="s">
        <v>54</v>
      </c>
      <c r="KQD45" s="92" t="s">
        <v>54</v>
      </c>
      <c r="KQE45" s="92" t="s">
        <v>54</v>
      </c>
      <c r="KQF45" s="92" t="s">
        <v>54</v>
      </c>
      <c r="KQG45" s="92" t="s">
        <v>54</v>
      </c>
      <c r="KQH45" s="92" t="s">
        <v>54</v>
      </c>
      <c r="KQI45" s="92" t="s">
        <v>54</v>
      </c>
      <c r="KQJ45" s="92" t="s">
        <v>54</v>
      </c>
      <c r="KQK45" s="92" t="s">
        <v>54</v>
      </c>
      <c r="KQL45" s="92" t="s">
        <v>54</v>
      </c>
      <c r="KQM45" s="92" t="s">
        <v>54</v>
      </c>
      <c r="KQN45" s="92" t="s">
        <v>54</v>
      </c>
      <c r="KQO45" s="92" t="s">
        <v>54</v>
      </c>
      <c r="KQP45" s="92" t="s">
        <v>54</v>
      </c>
      <c r="KQQ45" s="92" t="s">
        <v>54</v>
      </c>
      <c r="KQR45" s="92" t="s">
        <v>54</v>
      </c>
      <c r="KQS45" s="92" t="s">
        <v>54</v>
      </c>
      <c r="KQT45" s="92" t="s">
        <v>54</v>
      </c>
      <c r="KQU45" s="92" t="s">
        <v>54</v>
      </c>
      <c r="KQV45" s="92" t="s">
        <v>54</v>
      </c>
      <c r="KQW45" s="92" t="s">
        <v>54</v>
      </c>
      <c r="KQX45" s="92" t="s">
        <v>54</v>
      </c>
      <c r="KQY45" s="92" t="s">
        <v>54</v>
      </c>
      <c r="KQZ45" s="92" t="s">
        <v>54</v>
      </c>
      <c r="KRA45" s="92" t="s">
        <v>54</v>
      </c>
      <c r="KRB45" s="92" t="s">
        <v>54</v>
      </c>
      <c r="KRC45" s="92" t="s">
        <v>54</v>
      </c>
      <c r="KRD45" s="92" t="s">
        <v>54</v>
      </c>
      <c r="KRE45" s="92" t="s">
        <v>54</v>
      </c>
      <c r="KRF45" s="92" t="s">
        <v>54</v>
      </c>
      <c r="KRG45" s="92" t="s">
        <v>54</v>
      </c>
      <c r="KRH45" s="92" t="s">
        <v>54</v>
      </c>
      <c r="KRI45" s="92" t="s">
        <v>54</v>
      </c>
      <c r="KRJ45" s="92" t="s">
        <v>54</v>
      </c>
      <c r="KRK45" s="92" t="s">
        <v>54</v>
      </c>
      <c r="KRL45" s="92" t="s">
        <v>54</v>
      </c>
      <c r="KRM45" s="92" t="s">
        <v>54</v>
      </c>
      <c r="KRN45" s="92" t="s">
        <v>54</v>
      </c>
      <c r="KRO45" s="92" t="s">
        <v>54</v>
      </c>
      <c r="KRP45" s="92" t="s">
        <v>54</v>
      </c>
      <c r="KRQ45" s="92" t="s">
        <v>54</v>
      </c>
      <c r="KRR45" s="92" t="s">
        <v>54</v>
      </c>
      <c r="KRS45" s="92" t="s">
        <v>54</v>
      </c>
      <c r="KRT45" s="92" t="s">
        <v>54</v>
      </c>
      <c r="KRU45" s="92" t="s">
        <v>54</v>
      </c>
      <c r="KRV45" s="92" t="s">
        <v>54</v>
      </c>
      <c r="KRW45" s="92" t="s">
        <v>54</v>
      </c>
      <c r="KRX45" s="92" t="s">
        <v>54</v>
      </c>
      <c r="KRY45" s="92" t="s">
        <v>54</v>
      </c>
      <c r="KRZ45" s="92" t="s">
        <v>54</v>
      </c>
      <c r="KSA45" s="92" t="s">
        <v>54</v>
      </c>
      <c r="KSB45" s="92" t="s">
        <v>54</v>
      </c>
      <c r="KSC45" s="92" t="s">
        <v>54</v>
      </c>
      <c r="KSD45" s="92" t="s">
        <v>54</v>
      </c>
      <c r="KSE45" s="92" t="s">
        <v>54</v>
      </c>
      <c r="KSF45" s="92" t="s">
        <v>54</v>
      </c>
      <c r="KSG45" s="92" t="s">
        <v>54</v>
      </c>
      <c r="KSH45" s="92" t="s">
        <v>54</v>
      </c>
      <c r="KSI45" s="92" t="s">
        <v>54</v>
      </c>
      <c r="KSJ45" s="92" t="s">
        <v>54</v>
      </c>
      <c r="KSK45" s="92" t="s">
        <v>54</v>
      </c>
      <c r="KSL45" s="92" t="s">
        <v>54</v>
      </c>
      <c r="KSM45" s="92" t="s">
        <v>54</v>
      </c>
      <c r="KSN45" s="92" t="s">
        <v>54</v>
      </c>
      <c r="KSO45" s="92" t="s">
        <v>54</v>
      </c>
      <c r="KSP45" s="92" t="s">
        <v>54</v>
      </c>
      <c r="KSQ45" s="92" t="s">
        <v>54</v>
      </c>
      <c r="KSR45" s="92" t="s">
        <v>54</v>
      </c>
      <c r="KSS45" s="92" t="s">
        <v>54</v>
      </c>
      <c r="KST45" s="92" t="s">
        <v>54</v>
      </c>
      <c r="KSU45" s="92" t="s">
        <v>54</v>
      </c>
      <c r="KSV45" s="92" t="s">
        <v>54</v>
      </c>
      <c r="KSW45" s="92" t="s">
        <v>54</v>
      </c>
      <c r="KSX45" s="92" t="s">
        <v>54</v>
      </c>
      <c r="KSY45" s="92" t="s">
        <v>54</v>
      </c>
      <c r="KSZ45" s="92" t="s">
        <v>54</v>
      </c>
      <c r="KTA45" s="92" t="s">
        <v>54</v>
      </c>
      <c r="KTB45" s="92" t="s">
        <v>54</v>
      </c>
      <c r="KTC45" s="92" t="s">
        <v>54</v>
      </c>
      <c r="KTD45" s="92" t="s">
        <v>54</v>
      </c>
      <c r="KTE45" s="92" t="s">
        <v>54</v>
      </c>
      <c r="KTF45" s="92" t="s">
        <v>54</v>
      </c>
      <c r="KTG45" s="92" t="s">
        <v>54</v>
      </c>
      <c r="KTH45" s="92" t="s">
        <v>54</v>
      </c>
      <c r="KTI45" s="92" t="s">
        <v>54</v>
      </c>
      <c r="KTJ45" s="92" t="s">
        <v>54</v>
      </c>
      <c r="KTK45" s="92" t="s">
        <v>54</v>
      </c>
      <c r="KTL45" s="92" t="s">
        <v>54</v>
      </c>
      <c r="KTM45" s="92" t="s">
        <v>54</v>
      </c>
      <c r="KTN45" s="92" t="s">
        <v>54</v>
      </c>
      <c r="KTO45" s="92" t="s">
        <v>54</v>
      </c>
      <c r="KTP45" s="92" t="s">
        <v>54</v>
      </c>
      <c r="KTQ45" s="92" t="s">
        <v>54</v>
      </c>
      <c r="KTR45" s="92" t="s">
        <v>54</v>
      </c>
      <c r="KTS45" s="92" t="s">
        <v>54</v>
      </c>
      <c r="KTT45" s="92" t="s">
        <v>54</v>
      </c>
      <c r="KTU45" s="92" t="s">
        <v>54</v>
      </c>
      <c r="KTV45" s="92" t="s">
        <v>54</v>
      </c>
      <c r="KTW45" s="92" t="s">
        <v>54</v>
      </c>
      <c r="KTX45" s="92" t="s">
        <v>54</v>
      </c>
      <c r="KTY45" s="92" t="s">
        <v>54</v>
      </c>
      <c r="KTZ45" s="92" t="s">
        <v>54</v>
      </c>
      <c r="KUA45" s="92" t="s">
        <v>54</v>
      </c>
      <c r="KUB45" s="92" t="s">
        <v>54</v>
      </c>
      <c r="KUC45" s="92" t="s">
        <v>54</v>
      </c>
      <c r="KUD45" s="92" t="s">
        <v>54</v>
      </c>
      <c r="KUE45" s="92" t="s">
        <v>54</v>
      </c>
      <c r="KUF45" s="92" t="s">
        <v>54</v>
      </c>
      <c r="KUG45" s="92" t="s">
        <v>54</v>
      </c>
      <c r="KUH45" s="92" t="s">
        <v>54</v>
      </c>
      <c r="KUI45" s="92" t="s">
        <v>54</v>
      </c>
      <c r="KUJ45" s="92" t="s">
        <v>54</v>
      </c>
      <c r="KUK45" s="92" t="s">
        <v>54</v>
      </c>
      <c r="KUL45" s="92" t="s">
        <v>54</v>
      </c>
      <c r="KUM45" s="92" t="s">
        <v>54</v>
      </c>
      <c r="KUN45" s="92" t="s">
        <v>54</v>
      </c>
      <c r="KUO45" s="92" t="s">
        <v>54</v>
      </c>
      <c r="KUP45" s="92" t="s">
        <v>54</v>
      </c>
      <c r="KUQ45" s="92" t="s">
        <v>54</v>
      </c>
      <c r="KUR45" s="92" t="s">
        <v>54</v>
      </c>
      <c r="KUS45" s="92" t="s">
        <v>54</v>
      </c>
      <c r="KUT45" s="92" t="s">
        <v>54</v>
      </c>
      <c r="KUU45" s="92" t="s">
        <v>54</v>
      </c>
      <c r="KUV45" s="92" t="s">
        <v>54</v>
      </c>
      <c r="KUW45" s="92" t="s">
        <v>54</v>
      </c>
      <c r="KUX45" s="92" t="s">
        <v>54</v>
      </c>
      <c r="KUY45" s="92" t="s">
        <v>54</v>
      </c>
      <c r="KUZ45" s="92" t="s">
        <v>54</v>
      </c>
      <c r="KVA45" s="92" t="s">
        <v>54</v>
      </c>
      <c r="KVB45" s="92" t="s">
        <v>54</v>
      </c>
      <c r="KVC45" s="92" t="s">
        <v>54</v>
      </c>
      <c r="KVD45" s="92" t="s">
        <v>54</v>
      </c>
      <c r="KVE45" s="92" t="s">
        <v>54</v>
      </c>
      <c r="KVF45" s="92" t="s">
        <v>54</v>
      </c>
      <c r="KVG45" s="92" t="s">
        <v>54</v>
      </c>
      <c r="KVH45" s="92" t="s">
        <v>54</v>
      </c>
      <c r="KVI45" s="92" t="s">
        <v>54</v>
      </c>
      <c r="KVJ45" s="92" t="s">
        <v>54</v>
      </c>
      <c r="KVK45" s="92" t="s">
        <v>54</v>
      </c>
      <c r="KVL45" s="92" t="s">
        <v>54</v>
      </c>
      <c r="KVM45" s="92" t="s">
        <v>54</v>
      </c>
      <c r="KVN45" s="92" t="s">
        <v>54</v>
      </c>
      <c r="KVO45" s="92" t="s">
        <v>54</v>
      </c>
      <c r="KVP45" s="92" t="s">
        <v>54</v>
      </c>
      <c r="KVQ45" s="92" t="s">
        <v>54</v>
      </c>
      <c r="KVR45" s="92" t="s">
        <v>54</v>
      </c>
      <c r="KVS45" s="92" t="s">
        <v>54</v>
      </c>
      <c r="KVT45" s="92" t="s">
        <v>54</v>
      </c>
      <c r="KVU45" s="92" t="s">
        <v>54</v>
      </c>
      <c r="KVV45" s="92" t="s">
        <v>54</v>
      </c>
      <c r="KVW45" s="92" t="s">
        <v>54</v>
      </c>
      <c r="KVX45" s="92" t="s">
        <v>54</v>
      </c>
      <c r="KVY45" s="92" t="s">
        <v>54</v>
      </c>
      <c r="KVZ45" s="92" t="s">
        <v>54</v>
      </c>
      <c r="KWA45" s="92" t="s">
        <v>54</v>
      </c>
      <c r="KWB45" s="92" t="s">
        <v>54</v>
      </c>
      <c r="KWC45" s="92" t="s">
        <v>54</v>
      </c>
      <c r="KWD45" s="92" t="s">
        <v>54</v>
      </c>
      <c r="KWE45" s="92" t="s">
        <v>54</v>
      </c>
      <c r="KWF45" s="92" t="s">
        <v>54</v>
      </c>
      <c r="KWG45" s="92" t="s">
        <v>54</v>
      </c>
      <c r="KWH45" s="92" t="s">
        <v>54</v>
      </c>
      <c r="KWI45" s="92" t="s">
        <v>54</v>
      </c>
      <c r="KWJ45" s="92" t="s">
        <v>54</v>
      </c>
      <c r="KWK45" s="92" t="s">
        <v>54</v>
      </c>
      <c r="KWL45" s="92" t="s">
        <v>54</v>
      </c>
      <c r="KWM45" s="92" t="s">
        <v>54</v>
      </c>
      <c r="KWN45" s="92" t="s">
        <v>54</v>
      </c>
      <c r="KWO45" s="92" t="s">
        <v>54</v>
      </c>
      <c r="KWP45" s="92" t="s">
        <v>54</v>
      </c>
      <c r="KWQ45" s="92" t="s">
        <v>54</v>
      </c>
      <c r="KWR45" s="92" t="s">
        <v>54</v>
      </c>
      <c r="KWS45" s="92" t="s">
        <v>54</v>
      </c>
      <c r="KWT45" s="92" t="s">
        <v>54</v>
      </c>
      <c r="KWU45" s="92" t="s">
        <v>54</v>
      </c>
      <c r="KWV45" s="92" t="s">
        <v>54</v>
      </c>
      <c r="KWW45" s="92" t="s">
        <v>54</v>
      </c>
      <c r="KWX45" s="92" t="s">
        <v>54</v>
      </c>
      <c r="KWY45" s="92" t="s">
        <v>54</v>
      </c>
      <c r="KWZ45" s="92" t="s">
        <v>54</v>
      </c>
      <c r="KXA45" s="92" t="s">
        <v>54</v>
      </c>
      <c r="KXB45" s="92" t="s">
        <v>54</v>
      </c>
      <c r="KXC45" s="92" t="s">
        <v>54</v>
      </c>
      <c r="KXD45" s="92" t="s">
        <v>54</v>
      </c>
      <c r="KXE45" s="92" t="s">
        <v>54</v>
      </c>
      <c r="KXF45" s="92" t="s">
        <v>54</v>
      </c>
      <c r="KXG45" s="92" t="s">
        <v>54</v>
      </c>
      <c r="KXH45" s="92" t="s">
        <v>54</v>
      </c>
      <c r="KXI45" s="92" t="s">
        <v>54</v>
      </c>
      <c r="KXJ45" s="92" t="s">
        <v>54</v>
      </c>
      <c r="KXK45" s="92" t="s">
        <v>54</v>
      </c>
      <c r="KXL45" s="92" t="s">
        <v>54</v>
      </c>
      <c r="KXM45" s="92" t="s">
        <v>54</v>
      </c>
      <c r="KXN45" s="92" t="s">
        <v>54</v>
      </c>
      <c r="KXO45" s="92" t="s">
        <v>54</v>
      </c>
      <c r="KXP45" s="92" t="s">
        <v>54</v>
      </c>
      <c r="KXQ45" s="92" t="s">
        <v>54</v>
      </c>
      <c r="KXR45" s="92" t="s">
        <v>54</v>
      </c>
      <c r="KXS45" s="92" t="s">
        <v>54</v>
      </c>
      <c r="KXT45" s="92" t="s">
        <v>54</v>
      </c>
      <c r="KXU45" s="92" t="s">
        <v>54</v>
      </c>
      <c r="KXV45" s="92" t="s">
        <v>54</v>
      </c>
      <c r="KXW45" s="92" t="s">
        <v>54</v>
      </c>
      <c r="KXX45" s="92" t="s">
        <v>54</v>
      </c>
      <c r="KXY45" s="92" t="s">
        <v>54</v>
      </c>
      <c r="KXZ45" s="92" t="s">
        <v>54</v>
      </c>
      <c r="KYA45" s="92" t="s">
        <v>54</v>
      </c>
      <c r="KYB45" s="92" t="s">
        <v>54</v>
      </c>
      <c r="KYC45" s="92" t="s">
        <v>54</v>
      </c>
      <c r="KYD45" s="92" t="s">
        <v>54</v>
      </c>
      <c r="KYE45" s="92" t="s">
        <v>54</v>
      </c>
      <c r="KYF45" s="92" t="s">
        <v>54</v>
      </c>
      <c r="KYG45" s="92" t="s">
        <v>54</v>
      </c>
      <c r="KYH45" s="92" t="s">
        <v>54</v>
      </c>
      <c r="KYI45" s="92" t="s">
        <v>54</v>
      </c>
      <c r="KYJ45" s="92" t="s">
        <v>54</v>
      </c>
      <c r="KYK45" s="92" t="s">
        <v>54</v>
      </c>
      <c r="KYL45" s="92" t="s">
        <v>54</v>
      </c>
      <c r="KYM45" s="92" t="s">
        <v>54</v>
      </c>
      <c r="KYN45" s="92" t="s">
        <v>54</v>
      </c>
      <c r="KYO45" s="92" t="s">
        <v>54</v>
      </c>
      <c r="KYP45" s="92" t="s">
        <v>54</v>
      </c>
      <c r="KYQ45" s="92" t="s">
        <v>54</v>
      </c>
      <c r="KYR45" s="92" t="s">
        <v>54</v>
      </c>
      <c r="KYS45" s="92" t="s">
        <v>54</v>
      </c>
      <c r="KYT45" s="92" t="s">
        <v>54</v>
      </c>
      <c r="KYU45" s="92" t="s">
        <v>54</v>
      </c>
      <c r="KYV45" s="92" t="s">
        <v>54</v>
      </c>
      <c r="KYW45" s="92" t="s">
        <v>54</v>
      </c>
      <c r="KYX45" s="92" t="s">
        <v>54</v>
      </c>
      <c r="KYY45" s="92" t="s">
        <v>54</v>
      </c>
      <c r="KYZ45" s="92" t="s">
        <v>54</v>
      </c>
      <c r="KZA45" s="92" t="s">
        <v>54</v>
      </c>
      <c r="KZB45" s="92" t="s">
        <v>54</v>
      </c>
      <c r="KZC45" s="92" t="s">
        <v>54</v>
      </c>
      <c r="KZD45" s="92" t="s">
        <v>54</v>
      </c>
      <c r="KZE45" s="92" t="s">
        <v>54</v>
      </c>
      <c r="KZF45" s="92" t="s">
        <v>54</v>
      </c>
      <c r="KZG45" s="92" t="s">
        <v>54</v>
      </c>
      <c r="KZH45" s="92" t="s">
        <v>54</v>
      </c>
      <c r="KZI45" s="92" t="s">
        <v>54</v>
      </c>
      <c r="KZJ45" s="92" t="s">
        <v>54</v>
      </c>
      <c r="KZK45" s="92" t="s">
        <v>54</v>
      </c>
      <c r="KZL45" s="92" t="s">
        <v>54</v>
      </c>
      <c r="KZM45" s="92" t="s">
        <v>54</v>
      </c>
      <c r="KZN45" s="92" t="s">
        <v>54</v>
      </c>
      <c r="KZO45" s="92" t="s">
        <v>54</v>
      </c>
      <c r="KZP45" s="92" t="s">
        <v>54</v>
      </c>
      <c r="KZQ45" s="92" t="s">
        <v>54</v>
      </c>
      <c r="KZR45" s="92" t="s">
        <v>54</v>
      </c>
      <c r="KZS45" s="92" t="s">
        <v>54</v>
      </c>
      <c r="KZT45" s="92" t="s">
        <v>54</v>
      </c>
      <c r="KZU45" s="92" t="s">
        <v>54</v>
      </c>
      <c r="KZV45" s="92" t="s">
        <v>54</v>
      </c>
      <c r="KZW45" s="92" t="s">
        <v>54</v>
      </c>
      <c r="KZX45" s="92" t="s">
        <v>54</v>
      </c>
      <c r="KZY45" s="92" t="s">
        <v>54</v>
      </c>
      <c r="KZZ45" s="92" t="s">
        <v>54</v>
      </c>
      <c r="LAA45" s="92" t="s">
        <v>54</v>
      </c>
      <c r="LAB45" s="92" t="s">
        <v>54</v>
      </c>
      <c r="LAC45" s="92" t="s">
        <v>54</v>
      </c>
      <c r="LAD45" s="92" t="s">
        <v>54</v>
      </c>
      <c r="LAE45" s="92" t="s">
        <v>54</v>
      </c>
      <c r="LAF45" s="92" t="s">
        <v>54</v>
      </c>
      <c r="LAG45" s="92" t="s">
        <v>54</v>
      </c>
      <c r="LAH45" s="92" t="s">
        <v>54</v>
      </c>
      <c r="LAI45" s="92" t="s">
        <v>54</v>
      </c>
      <c r="LAJ45" s="92" t="s">
        <v>54</v>
      </c>
      <c r="LAK45" s="92" t="s">
        <v>54</v>
      </c>
      <c r="LAL45" s="92" t="s">
        <v>54</v>
      </c>
      <c r="LAM45" s="92" t="s">
        <v>54</v>
      </c>
      <c r="LAN45" s="92" t="s">
        <v>54</v>
      </c>
      <c r="LAO45" s="92" t="s">
        <v>54</v>
      </c>
      <c r="LAP45" s="92" t="s">
        <v>54</v>
      </c>
      <c r="LAQ45" s="92" t="s">
        <v>54</v>
      </c>
      <c r="LAR45" s="92" t="s">
        <v>54</v>
      </c>
      <c r="LAS45" s="92" t="s">
        <v>54</v>
      </c>
      <c r="LAT45" s="92" t="s">
        <v>54</v>
      </c>
      <c r="LAU45" s="92" t="s">
        <v>54</v>
      </c>
      <c r="LAV45" s="92" t="s">
        <v>54</v>
      </c>
      <c r="LAW45" s="92" t="s">
        <v>54</v>
      </c>
      <c r="LAX45" s="92" t="s">
        <v>54</v>
      </c>
      <c r="LAY45" s="92" t="s">
        <v>54</v>
      </c>
      <c r="LAZ45" s="92" t="s">
        <v>54</v>
      </c>
      <c r="LBA45" s="92" t="s">
        <v>54</v>
      </c>
      <c r="LBB45" s="92" t="s">
        <v>54</v>
      </c>
      <c r="LBC45" s="92" t="s">
        <v>54</v>
      </c>
      <c r="LBD45" s="92" t="s">
        <v>54</v>
      </c>
      <c r="LBE45" s="92" t="s">
        <v>54</v>
      </c>
      <c r="LBF45" s="92" t="s">
        <v>54</v>
      </c>
      <c r="LBG45" s="92" t="s">
        <v>54</v>
      </c>
      <c r="LBH45" s="92" t="s">
        <v>54</v>
      </c>
      <c r="LBI45" s="92" t="s">
        <v>54</v>
      </c>
      <c r="LBJ45" s="92" t="s">
        <v>54</v>
      </c>
      <c r="LBK45" s="92" t="s">
        <v>54</v>
      </c>
      <c r="LBL45" s="92" t="s">
        <v>54</v>
      </c>
      <c r="LBM45" s="92" t="s">
        <v>54</v>
      </c>
      <c r="LBN45" s="92" t="s">
        <v>54</v>
      </c>
      <c r="LBO45" s="92" t="s">
        <v>54</v>
      </c>
      <c r="LBP45" s="92" t="s">
        <v>54</v>
      </c>
      <c r="LBQ45" s="92" t="s">
        <v>54</v>
      </c>
      <c r="LBR45" s="92" t="s">
        <v>54</v>
      </c>
      <c r="LBS45" s="92" t="s">
        <v>54</v>
      </c>
      <c r="LBT45" s="92" t="s">
        <v>54</v>
      </c>
      <c r="LBU45" s="92" t="s">
        <v>54</v>
      </c>
      <c r="LBV45" s="92" t="s">
        <v>54</v>
      </c>
      <c r="LBW45" s="92" t="s">
        <v>54</v>
      </c>
      <c r="LBX45" s="92" t="s">
        <v>54</v>
      </c>
      <c r="LBY45" s="92" t="s">
        <v>54</v>
      </c>
      <c r="LBZ45" s="92" t="s">
        <v>54</v>
      </c>
      <c r="LCA45" s="92" t="s">
        <v>54</v>
      </c>
      <c r="LCB45" s="92" t="s">
        <v>54</v>
      </c>
      <c r="LCC45" s="92" t="s">
        <v>54</v>
      </c>
      <c r="LCD45" s="92" t="s">
        <v>54</v>
      </c>
      <c r="LCE45" s="92" t="s">
        <v>54</v>
      </c>
      <c r="LCF45" s="92" t="s">
        <v>54</v>
      </c>
      <c r="LCG45" s="92" t="s">
        <v>54</v>
      </c>
      <c r="LCH45" s="92" t="s">
        <v>54</v>
      </c>
      <c r="LCI45" s="92" t="s">
        <v>54</v>
      </c>
      <c r="LCJ45" s="92" t="s">
        <v>54</v>
      </c>
      <c r="LCK45" s="92" t="s">
        <v>54</v>
      </c>
      <c r="LCL45" s="92" t="s">
        <v>54</v>
      </c>
      <c r="LCM45" s="92" t="s">
        <v>54</v>
      </c>
      <c r="LCN45" s="92" t="s">
        <v>54</v>
      </c>
      <c r="LCO45" s="92" t="s">
        <v>54</v>
      </c>
      <c r="LCP45" s="92" t="s">
        <v>54</v>
      </c>
      <c r="LCQ45" s="92" t="s">
        <v>54</v>
      </c>
      <c r="LCR45" s="92" t="s">
        <v>54</v>
      </c>
      <c r="LCS45" s="92" t="s">
        <v>54</v>
      </c>
      <c r="LCT45" s="92" t="s">
        <v>54</v>
      </c>
      <c r="LCU45" s="92" t="s">
        <v>54</v>
      </c>
      <c r="LCV45" s="92" t="s">
        <v>54</v>
      </c>
      <c r="LCW45" s="92" t="s">
        <v>54</v>
      </c>
      <c r="LCX45" s="92" t="s">
        <v>54</v>
      </c>
      <c r="LCY45" s="92" t="s">
        <v>54</v>
      </c>
      <c r="LCZ45" s="92" t="s">
        <v>54</v>
      </c>
      <c r="LDA45" s="92" t="s">
        <v>54</v>
      </c>
      <c r="LDB45" s="92" t="s">
        <v>54</v>
      </c>
      <c r="LDC45" s="92" t="s">
        <v>54</v>
      </c>
      <c r="LDD45" s="92" t="s">
        <v>54</v>
      </c>
      <c r="LDE45" s="92" t="s">
        <v>54</v>
      </c>
      <c r="LDF45" s="92" t="s">
        <v>54</v>
      </c>
      <c r="LDG45" s="92" t="s">
        <v>54</v>
      </c>
      <c r="LDH45" s="92" t="s">
        <v>54</v>
      </c>
      <c r="LDI45" s="92" t="s">
        <v>54</v>
      </c>
      <c r="LDJ45" s="92" t="s">
        <v>54</v>
      </c>
      <c r="LDK45" s="92" t="s">
        <v>54</v>
      </c>
      <c r="LDL45" s="92" t="s">
        <v>54</v>
      </c>
      <c r="LDM45" s="92" t="s">
        <v>54</v>
      </c>
      <c r="LDN45" s="92" t="s">
        <v>54</v>
      </c>
      <c r="LDO45" s="92" t="s">
        <v>54</v>
      </c>
      <c r="LDP45" s="92" t="s">
        <v>54</v>
      </c>
      <c r="LDQ45" s="92" t="s">
        <v>54</v>
      </c>
      <c r="LDR45" s="92" t="s">
        <v>54</v>
      </c>
      <c r="LDS45" s="92" t="s">
        <v>54</v>
      </c>
      <c r="LDT45" s="92" t="s">
        <v>54</v>
      </c>
      <c r="LDU45" s="92" t="s">
        <v>54</v>
      </c>
      <c r="LDV45" s="92" t="s">
        <v>54</v>
      </c>
      <c r="LDW45" s="92" t="s">
        <v>54</v>
      </c>
      <c r="LDX45" s="92" t="s">
        <v>54</v>
      </c>
      <c r="LDY45" s="92" t="s">
        <v>54</v>
      </c>
      <c r="LDZ45" s="92" t="s">
        <v>54</v>
      </c>
      <c r="LEA45" s="92" t="s">
        <v>54</v>
      </c>
      <c r="LEB45" s="92" t="s">
        <v>54</v>
      </c>
      <c r="LEC45" s="92" t="s">
        <v>54</v>
      </c>
      <c r="LED45" s="92" t="s">
        <v>54</v>
      </c>
      <c r="LEE45" s="92" t="s">
        <v>54</v>
      </c>
      <c r="LEF45" s="92" t="s">
        <v>54</v>
      </c>
      <c r="LEG45" s="92" t="s">
        <v>54</v>
      </c>
      <c r="LEH45" s="92" t="s">
        <v>54</v>
      </c>
      <c r="LEI45" s="92" t="s">
        <v>54</v>
      </c>
      <c r="LEJ45" s="92" t="s">
        <v>54</v>
      </c>
      <c r="LEK45" s="92" t="s">
        <v>54</v>
      </c>
      <c r="LEL45" s="92" t="s">
        <v>54</v>
      </c>
      <c r="LEM45" s="92" t="s">
        <v>54</v>
      </c>
      <c r="LEN45" s="92" t="s">
        <v>54</v>
      </c>
      <c r="LEO45" s="92" t="s">
        <v>54</v>
      </c>
      <c r="LEP45" s="92" t="s">
        <v>54</v>
      </c>
      <c r="LEQ45" s="92" t="s">
        <v>54</v>
      </c>
      <c r="LER45" s="92" t="s">
        <v>54</v>
      </c>
      <c r="LES45" s="92" t="s">
        <v>54</v>
      </c>
      <c r="LET45" s="92" t="s">
        <v>54</v>
      </c>
      <c r="LEU45" s="92" t="s">
        <v>54</v>
      </c>
      <c r="LEV45" s="92" t="s">
        <v>54</v>
      </c>
      <c r="LEW45" s="92" t="s">
        <v>54</v>
      </c>
      <c r="LEX45" s="92" t="s">
        <v>54</v>
      </c>
      <c r="LEY45" s="92" t="s">
        <v>54</v>
      </c>
      <c r="LEZ45" s="92" t="s">
        <v>54</v>
      </c>
      <c r="LFA45" s="92" t="s">
        <v>54</v>
      </c>
      <c r="LFB45" s="92" t="s">
        <v>54</v>
      </c>
      <c r="LFC45" s="92" t="s">
        <v>54</v>
      </c>
      <c r="LFD45" s="92" t="s">
        <v>54</v>
      </c>
      <c r="LFE45" s="92" t="s">
        <v>54</v>
      </c>
      <c r="LFF45" s="92" t="s">
        <v>54</v>
      </c>
      <c r="LFG45" s="92" t="s">
        <v>54</v>
      </c>
      <c r="LFH45" s="92" t="s">
        <v>54</v>
      </c>
      <c r="LFI45" s="92" t="s">
        <v>54</v>
      </c>
      <c r="LFJ45" s="92" t="s">
        <v>54</v>
      </c>
      <c r="LFK45" s="92" t="s">
        <v>54</v>
      </c>
      <c r="LFL45" s="92" t="s">
        <v>54</v>
      </c>
      <c r="LFM45" s="92" t="s">
        <v>54</v>
      </c>
      <c r="LFN45" s="92" t="s">
        <v>54</v>
      </c>
      <c r="LFO45" s="92" t="s">
        <v>54</v>
      </c>
      <c r="LFP45" s="92" t="s">
        <v>54</v>
      </c>
      <c r="LFQ45" s="92" t="s">
        <v>54</v>
      </c>
      <c r="LFR45" s="92" t="s">
        <v>54</v>
      </c>
      <c r="LFS45" s="92" t="s">
        <v>54</v>
      </c>
      <c r="LFT45" s="92" t="s">
        <v>54</v>
      </c>
      <c r="LFU45" s="92" t="s">
        <v>54</v>
      </c>
      <c r="LFV45" s="92" t="s">
        <v>54</v>
      </c>
      <c r="LFW45" s="92" t="s">
        <v>54</v>
      </c>
      <c r="LFX45" s="92" t="s">
        <v>54</v>
      </c>
      <c r="LFY45" s="92" t="s">
        <v>54</v>
      </c>
      <c r="LFZ45" s="92" t="s">
        <v>54</v>
      </c>
      <c r="LGA45" s="92" t="s">
        <v>54</v>
      </c>
      <c r="LGB45" s="92" t="s">
        <v>54</v>
      </c>
      <c r="LGC45" s="92" t="s">
        <v>54</v>
      </c>
      <c r="LGD45" s="92" t="s">
        <v>54</v>
      </c>
      <c r="LGE45" s="92" t="s">
        <v>54</v>
      </c>
      <c r="LGF45" s="92" t="s">
        <v>54</v>
      </c>
      <c r="LGG45" s="92" t="s">
        <v>54</v>
      </c>
      <c r="LGH45" s="92" t="s">
        <v>54</v>
      </c>
      <c r="LGI45" s="92" t="s">
        <v>54</v>
      </c>
      <c r="LGJ45" s="92" t="s">
        <v>54</v>
      </c>
      <c r="LGK45" s="92" t="s">
        <v>54</v>
      </c>
      <c r="LGL45" s="92" t="s">
        <v>54</v>
      </c>
      <c r="LGM45" s="92" t="s">
        <v>54</v>
      </c>
      <c r="LGN45" s="92" t="s">
        <v>54</v>
      </c>
      <c r="LGO45" s="92" t="s">
        <v>54</v>
      </c>
      <c r="LGP45" s="92" t="s">
        <v>54</v>
      </c>
      <c r="LGQ45" s="92" t="s">
        <v>54</v>
      </c>
      <c r="LGR45" s="92" t="s">
        <v>54</v>
      </c>
      <c r="LGS45" s="92" t="s">
        <v>54</v>
      </c>
      <c r="LGT45" s="92" t="s">
        <v>54</v>
      </c>
      <c r="LGU45" s="92" t="s">
        <v>54</v>
      </c>
      <c r="LGV45" s="92" t="s">
        <v>54</v>
      </c>
      <c r="LGW45" s="92" t="s">
        <v>54</v>
      </c>
      <c r="LGX45" s="92" t="s">
        <v>54</v>
      </c>
      <c r="LGY45" s="92" t="s">
        <v>54</v>
      </c>
      <c r="LGZ45" s="92" t="s">
        <v>54</v>
      </c>
      <c r="LHA45" s="92" t="s">
        <v>54</v>
      </c>
      <c r="LHB45" s="92" t="s">
        <v>54</v>
      </c>
      <c r="LHC45" s="92" t="s">
        <v>54</v>
      </c>
      <c r="LHD45" s="92" t="s">
        <v>54</v>
      </c>
      <c r="LHE45" s="92" t="s">
        <v>54</v>
      </c>
      <c r="LHF45" s="92" t="s">
        <v>54</v>
      </c>
      <c r="LHG45" s="92" t="s">
        <v>54</v>
      </c>
      <c r="LHH45" s="92" t="s">
        <v>54</v>
      </c>
      <c r="LHI45" s="92" t="s">
        <v>54</v>
      </c>
      <c r="LHJ45" s="92" t="s">
        <v>54</v>
      </c>
      <c r="LHK45" s="92" t="s">
        <v>54</v>
      </c>
      <c r="LHL45" s="92" t="s">
        <v>54</v>
      </c>
      <c r="LHM45" s="92" t="s">
        <v>54</v>
      </c>
      <c r="LHN45" s="92" t="s">
        <v>54</v>
      </c>
      <c r="LHO45" s="92" t="s">
        <v>54</v>
      </c>
      <c r="LHP45" s="92" t="s">
        <v>54</v>
      </c>
      <c r="LHQ45" s="92" t="s">
        <v>54</v>
      </c>
      <c r="LHR45" s="92" t="s">
        <v>54</v>
      </c>
      <c r="LHS45" s="92" t="s">
        <v>54</v>
      </c>
      <c r="LHT45" s="92" t="s">
        <v>54</v>
      </c>
      <c r="LHU45" s="92" t="s">
        <v>54</v>
      </c>
      <c r="LHV45" s="92" t="s">
        <v>54</v>
      </c>
      <c r="LHW45" s="92" t="s">
        <v>54</v>
      </c>
      <c r="LHX45" s="92" t="s">
        <v>54</v>
      </c>
      <c r="LHY45" s="92" t="s">
        <v>54</v>
      </c>
      <c r="LHZ45" s="92" t="s">
        <v>54</v>
      </c>
      <c r="LIA45" s="92" t="s">
        <v>54</v>
      </c>
      <c r="LIB45" s="92" t="s">
        <v>54</v>
      </c>
      <c r="LIC45" s="92" t="s">
        <v>54</v>
      </c>
      <c r="LID45" s="92" t="s">
        <v>54</v>
      </c>
      <c r="LIE45" s="92" t="s">
        <v>54</v>
      </c>
      <c r="LIF45" s="92" t="s">
        <v>54</v>
      </c>
      <c r="LIG45" s="92" t="s">
        <v>54</v>
      </c>
      <c r="LIH45" s="92" t="s">
        <v>54</v>
      </c>
      <c r="LII45" s="92" t="s">
        <v>54</v>
      </c>
      <c r="LIJ45" s="92" t="s">
        <v>54</v>
      </c>
      <c r="LIK45" s="92" t="s">
        <v>54</v>
      </c>
      <c r="LIL45" s="92" t="s">
        <v>54</v>
      </c>
      <c r="LIM45" s="92" t="s">
        <v>54</v>
      </c>
      <c r="LIN45" s="92" t="s">
        <v>54</v>
      </c>
      <c r="LIO45" s="92" t="s">
        <v>54</v>
      </c>
      <c r="LIP45" s="92" t="s">
        <v>54</v>
      </c>
      <c r="LIQ45" s="92" t="s">
        <v>54</v>
      </c>
      <c r="LIR45" s="92" t="s">
        <v>54</v>
      </c>
      <c r="LIS45" s="92" t="s">
        <v>54</v>
      </c>
      <c r="LIT45" s="92" t="s">
        <v>54</v>
      </c>
      <c r="LIU45" s="92" t="s">
        <v>54</v>
      </c>
      <c r="LIV45" s="92" t="s">
        <v>54</v>
      </c>
      <c r="LIW45" s="92" t="s">
        <v>54</v>
      </c>
      <c r="LIX45" s="92" t="s">
        <v>54</v>
      </c>
      <c r="LIY45" s="92" t="s">
        <v>54</v>
      </c>
      <c r="LIZ45" s="92" t="s">
        <v>54</v>
      </c>
      <c r="LJA45" s="92" t="s">
        <v>54</v>
      </c>
      <c r="LJB45" s="92" t="s">
        <v>54</v>
      </c>
      <c r="LJC45" s="92" t="s">
        <v>54</v>
      </c>
      <c r="LJD45" s="92" t="s">
        <v>54</v>
      </c>
      <c r="LJE45" s="92" t="s">
        <v>54</v>
      </c>
      <c r="LJF45" s="92" t="s">
        <v>54</v>
      </c>
      <c r="LJG45" s="92" t="s">
        <v>54</v>
      </c>
      <c r="LJH45" s="92" t="s">
        <v>54</v>
      </c>
      <c r="LJI45" s="92" t="s">
        <v>54</v>
      </c>
      <c r="LJJ45" s="92" t="s">
        <v>54</v>
      </c>
      <c r="LJK45" s="92" t="s">
        <v>54</v>
      </c>
      <c r="LJL45" s="92" t="s">
        <v>54</v>
      </c>
      <c r="LJM45" s="92" t="s">
        <v>54</v>
      </c>
      <c r="LJN45" s="92" t="s">
        <v>54</v>
      </c>
      <c r="LJO45" s="92" t="s">
        <v>54</v>
      </c>
      <c r="LJP45" s="92" t="s">
        <v>54</v>
      </c>
      <c r="LJQ45" s="92" t="s">
        <v>54</v>
      </c>
      <c r="LJR45" s="92" t="s">
        <v>54</v>
      </c>
      <c r="LJS45" s="92" t="s">
        <v>54</v>
      </c>
      <c r="LJT45" s="92" t="s">
        <v>54</v>
      </c>
      <c r="LJU45" s="92" t="s">
        <v>54</v>
      </c>
      <c r="LJV45" s="92" t="s">
        <v>54</v>
      </c>
      <c r="LJW45" s="92" t="s">
        <v>54</v>
      </c>
      <c r="LJX45" s="92" t="s">
        <v>54</v>
      </c>
      <c r="LJY45" s="92" t="s">
        <v>54</v>
      </c>
      <c r="LJZ45" s="92" t="s">
        <v>54</v>
      </c>
      <c r="LKA45" s="92" t="s">
        <v>54</v>
      </c>
      <c r="LKB45" s="92" t="s">
        <v>54</v>
      </c>
      <c r="LKC45" s="92" t="s">
        <v>54</v>
      </c>
      <c r="LKD45" s="92" t="s">
        <v>54</v>
      </c>
      <c r="LKE45" s="92" t="s">
        <v>54</v>
      </c>
      <c r="LKF45" s="92" t="s">
        <v>54</v>
      </c>
      <c r="LKG45" s="92" t="s">
        <v>54</v>
      </c>
      <c r="LKH45" s="92" t="s">
        <v>54</v>
      </c>
      <c r="LKI45" s="92" t="s">
        <v>54</v>
      </c>
      <c r="LKJ45" s="92" t="s">
        <v>54</v>
      </c>
      <c r="LKK45" s="92" t="s">
        <v>54</v>
      </c>
      <c r="LKL45" s="92" t="s">
        <v>54</v>
      </c>
      <c r="LKM45" s="92" t="s">
        <v>54</v>
      </c>
      <c r="LKN45" s="92" t="s">
        <v>54</v>
      </c>
      <c r="LKO45" s="92" t="s">
        <v>54</v>
      </c>
      <c r="LKP45" s="92" t="s">
        <v>54</v>
      </c>
      <c r="LKQ45" s="92" t="s">
        <v>54</v>
      </c>
      <c r="LKR45" s="92" t="s">
        <v>54</v>
      </c>
      <c r="LKS45" s="92" t="s">
        <v>54</v>
      </c>
      <c r="LKT45" s="92" t="s">
        <v>54</v>
      </c>
      <c r="LKU45" s="92" t="s">
        <v>54</v>
      </c>
      <c r="LKV45" s="92" t="s">
        <v>54</v>
      </c>
      <c r="LKW45" s="92" t="s">
        <v>54</v>
      </c>
      <c r="LKX45" s="92" t="s">
        <v>54</v>
      </c>
      <c r="LKY45" s="92" t="s">
        <v>54</v>
      </c>
      <c r="LKZ45" s="92" t="s">
        <v>54</v>
      </c>
      <c r="LLA45" s="92" t="s">
        <v>54</v>
      </c>
      <c r="LLB45" s="92" t="s">
        <v>54</v>
      </c>
      <c r="LLC45" s="92" t="s">
        <v>54</v>
      </c>
      <c r="LLD45" s="92" t="s">
        <v>54</v>
      </c>
      <c r="LLE45" s="92" t="s">
        <v>54</v>
      </c>
      <c r="LLF45" s="92" t="s">
        <v>54</v>
      </c>
      <c r="LLG45" s="92" t="s">
        <v>54</v>
      </c>
      <c r="LLH45" s="92" t="s">
        <v>54</v>
      </c>
      <c r="LLI45" s="92" t="s">
        <v>54</v>
      </c>
      <c r="LLJ45" s="92" t="s">
        <v>54</v>
      </c>
      <c r="LLK45" s="92" t="s">
        <v>54</v>
      </c>
      <c r="LLL45" s="92" t="s">
        <v>54</v>
      </c>
      <c r="LLM45" s="92" t="s">
        <v>54</v>
      </c>
      <c r="LLN45" s="92" t="s">
        <v>54</v>
      </c>
      <c r="LLO45" s="92" t="s">
        <v>54</v>
      </c>
      <c r="LLP45" s="92" t="s">
        <v>54</v>
      </c>
      <c r="LLQ45" s="92" t="s">
        <v>54</v>
      </c>
      <c r="LLR45" s="92" t="s">
        <v>54</v>
      </c>
      <c r="LLS45" s="92" t="s">
        <v>54</v>
      </c>
      <c r="LLT45" s="92" t="s">
        <v>54</v>
      </c>
      <c r="LLU45" s="92" t="s">
        <v>54</v>
      </c>
      <c r="LLV45" s="92" t="s">
        <v>54</v>
      </c>
      <c r="LLW45" s="92" t="s">
        <v>54</v>
      </c>
      <c r="LLX45" s="92" t="s">
        <v>54</v>
      </c>
      <c r="LLY45" s="92" t="s">
        <v>54</v>
      </c>
      <c r="LLZ45" s="92" t="s">
        <v>54</v>
      </c>
      <c r="LMA45" s="92" t="s">
        <v>54</v>
      </c>
      <c r="LMB45" s="92" t="s">
        <v>54</v>
      </c>
      <c r="LMC45" s="92" t="s">
        <v>54</v>
      </c>
      <c r="LMD45" s="92" t="s">
        <v>54</v>
      </c>
      <c r="LME45" s="92" t="s">
        <v>54</v>
      </c>
      <c r="LMF45" s="92" t="s">
        <v>54</v>
      </c>
      <c r="LMG45" s="92" t="s">
        <v>54</v>
      </c>
      <c r="LMH45" s="92" t="s">
        <v>54</v>
      </c>
      <c r="LMI45" s="92" t="s">
        <v>54</v>
      </c>
      <c r="LMJ45" s="92" t="s">
        <v>54</v>
      </c>
      <c r="LMK45" s="92" t="s">
        <v>54</v>
      </c>
      <c r="LML45" s="92" t="s">
        <v>54</v>
      </c>
      <c r="LMM45" s="92" t="s">
        <v>54</v>
      </c>
      <c r="LMN45" s="92" t="s">
        <v>54</v>
      </c>
      <c r="LMO45" s="92" t="s">
        <v>54</v>
      </c>
      <c r="LMP45" s="92" t="s">
        <v>54</v>
      </c>
      <c r="LMQ45" s="92" t="s">
        <v>54</v>
      </c>
      <c r="LMR45" s="92" t="s">
        <v>54</v>
      </c>
      <c r="LMS45" s="92" t="s">
        <v>54</v>
      </c>
      <c r="LMT45" s="92" t="s">
        <v>54</v>
      </c>
      <c r="LMU45" s="92" t="s">
        <v>54</v>
      </c>
      <c r="LMV45" s="92" t="s">
        <v>54</v>
      </c>
      <c r="LMW45" s="92" t="s">
        <v>54</v>
      </c>
      <c r="LMX45" s="92" t="s">
        <v>54</v>
      </c>
      <c r="LMY45" s="92" t="s">
        <v>54</v>
      </c>
      <c r="LMZ45" s="92" t="s">
        <v>54</v>
      </c>
      <c r="LNA45" s="92" t="s">
        <v>54</v>
      </c>
      <c r="LNB45" s="92" t="s">
        <v>54</v>
      </c>
      <c r="LNC45" s="92" t="s">
        <v>54</v>
      </c>
      <c r="LND45" s="92" t="s">
        <v>54</v>
      </c>
      <c r="LNE45" s="92" t="s">
        <v>54</v>
      </c>
      <c r="LNF45" s="92" t="s">
        <v>54</v>
      </c>
      <c r="LNG45" s="92" t="s">
        <v>54</v>
      </c>
      <c r="LNH45" s="92" t="s">
        <v>54</v>
      </c>
      <c r="LNI45" s="92" t="s">
        <v>54</v>
      </c>
      <c r="LNJ45" s="92" t="s">
        <v>54</v>
      </c>
      <c r="LNK45" s="92" t="s">
        <v>54</v>
      </c>
      <c r="LNL45" s="92" t="s">
        <v>54</v>
      </c>
      <c r="LNM45" s="92" t="s">
        <v>54</v>
      </c>
      <c r="LNN45" s="92" t="s">
        <v>54</v>
      </c>
      <c r="LNO45" s="92" t="s">
        <v>54</v>
      </c>
      <c r="LNP45" s="92" t="s">
        <v>54</v>
      </c>
      <c r="LNQ45" s="92" t="s">
        <v>54</v>
      </c>
      <c r="LNR45" s="92" t="s">
        <v>54</v>
      </c>
      <c r="LNS45" s="92" t="s">
        <v>54</v>
      </c>
      <c r="LNT45" s="92" t="s">
        <v>54</v>
      </c>
      <c r="LNU45" s="92" t="s">
        <v>54</v>
      </c>
      <c r="LNV45" s="92" t="s">
        <v>54</v>
      </c>
      <c r="LNW45" s="92" t="s">
        <v>54</v>
      </c>
      <c r="LNX45" s="92" t="s">
        <v>54</v>
      </c>
      <c r="LNY45" s="92" t="s">
        <v>54</v>
      </c>
      <c r="LNZ45" s="92" t="s">
        <v>54</v>
      </c>
      <c r="LOA45" s="92" t="s">
        <v>54</v>
      </c>
      <c r="LOB45" s="92" t="s">
        <v>54</v>
      </c>
      <c r="LOC45" s="92" t="s">
        <v>54</v>
      </c>
      <c r="LOD45" s="92" t="s">
        <v>54</v>
      </c>
      <c r="LOE45" s="92" t="s">
        <v>54</v>
      </c>
      <c r="LOF45" s="92" t="s">
        <v>54</v>
      </c>
      <c r="LOG45" s="92" t="s">
        <v>54</v>
      </c>
      <c r="LOH45" s="92" t="s">
        <v>54</v>
      </c>
      <c r="LOI45" s="92" t="s">
        <v>54</v>
      </c>
      <c r="LOJ45" s="92" t="s">
        <v>54</v>
      </c>
      <c r="LOK45" s="92" t="s">
        <v>54</v>
      </c>
      <c r="LOL45" s="92" t="s">
        <v>54</v>
      </c>
      <c r="LOM45" s="92" t="s">
        <v>54</v>
      </c>
      <c r="LON45" s="92" t="s">
        <v>54</v>
      </c>
      <c r="LOO45" s="92" t="s">
        <v>54</v>
      </c>
      <c r="LOP45" s="92" t="s">
        <v>54</v>
      </c>
      <c r="LOQ45" s="92" t="s">
        <v>54</v>
      </c>
      <c r="LOR45" s="92" t="s">
        <v>54</v>
      </c>
      <c r="LOS45" s="92" t="s">
        <v>54</v>
      </c>
      <c r="LOT45" s="92" t="s">
        <v>54</v>
      </c>
      <c r="LOU45" s="92" t="s">
        <v>54</v>
      </c>
      <c r="LOV45" s="92" t="s">
        <v>54</v>
      </c>
      <c r="LOW45" s="92" t="s">
        <v>54</v>
      </c>
      <c r="LOX45" s="92" t="s">
        <v>54</v>
      </c>
      <c r="LOY45" s="92" t="s">
        <v>54</v>
      </c>
      <c r="LOZ45" s="92" t="s">
        <v>54</v>
      </c>
      <c r="LPA45" s="92" t="s">
        <v>54</v>
      </c>
      <c r="LPB45" s="92" t="s">
        <v>54</v>
      </c>
      <c r="LPC45" s="92" t="s">
        <v>54</v>
      </c>
      <c r="LPD45" s="92" t="s">
        <v>54</v>
      </c>
      <c r="LPE45" s="92" t="s">
        <v>54</v>
      </c>
      <c r="LPF45" s="92" t="s">
        <v>54</v>
      </c>
      <c r="LPG45" s="92" t="s">
        <v>54</v>
      </c>
      <c r="LPH45" s="92" t="s">
        <v>54</v>
      </c>
      <c r="LPI45" s="92" t="s">
        <v>54</v>
      </c>
      <c r="LPJ45" s="92" t="s">
        <v>54</v>
      </c>
      <c r="LPK45" s="92" t="s">
        <v>54</v>
      </c>
      <c r="LPL45" s="92" t="s">
        <v>54</v>
      </c>
      <c r="LPM45" s="92" t="s">
        <v>54</v>
      </c>
      <c r="LPN45" s="92" t="s">
        <v>54</v>
      </c>
      <c r="LPO45" s="92" t="s">
        <v>54</v>
      </c>
      <c r="LPP45" s="92" t="s">
        <v>54</v>
      </c>
      <c r="LPQ45" s="92" t="s">
        <v>54</v>
      </c>
      <c r="LPR45" s="92" t="s">
        <v>54</v>
      </c>
      <c r="LPS45" s="92" t="s">
        <v>54</v>
      </c>
      <c r="LPT45" s="92" t="s">
        <v>54</v>
      </c>
      <c r="LPU45" s="92" t="s">
        <v>54</v>
      </c>
      <c r="LPV45" s="92" t="s">
        <v>54</v>
      </c>
      <c r="LPW45" s="92" t="s">
        <v>54</v>
      </c>
      <c r="LPX45" s="92" t="s">
        <v>54</v>
      </c>
      <c r="LPY45" s="92" t="s">
        <v>54</v>
      </c>
      <c r="LPZ45" s="92" t="s">
        <v>54</v>
      </c>
      <c r="LQA45" s="92" t="s">
        <v>54</v>
      </c>
      <c r="LQB45" s="92" t="s">
        <v>54</v>
      </c>
      <c r="LQC45" s="92" t="s">
        <v>54</v>
      </c>
      <c r="LQD45" s="92" t="s">
        <v>54</v>
      </c>
      <c r="LQE45" s="92" t="s">
        <v>54</v>
      </c>
      <c r="LQF45" s="92" t="s">
        <v>54</v>
      </c>
      <c r="LQG45" s="92" t="s">
        <v>54</v>
      </c>
      <c r="LQH45" s="92" t="s">
        <v>54</v>
      </c>
      <c r="LQI45" s="92" t="s">
        <v>54</v>
      </c>
      <c r="LQJ45" s="92" t="s">
        <v>54</v>
      </c>
      <c r="LQK45" s="92" t="s">
        <v>54</v>
      </c>
      <c r="LQL45" s="92" t="s">
        <v>54</v>
      </c>
      <c r="LQM45" s="92" t="s">
        <v>54</v>
      </c>
      <c r="LQN45" s="92" t="s">
        <v>54</v>
      </c>
      <c r="LQO45" s="92" t="s">
        <v>54</v>
      </c>
      <c r="LQP45" s="92" t="s">
        <v>54</v>
      </c>
      <c r="LQQ45" s="92" t="s">
        <v>54</v>
      </c>
      <c r="LQR45" s="92" t="s">
        <v>54</v>
      </c>
      <c r="LQS45" s="92" t="s">
        <v>54</v>
      </c>
      <c r="LQT45" s="92" t="s">
        <v>54</v>
      </c>
      <c r="LQU45" s="92" t="s">
        <v>54</v>
      </c>
      <c r="LQV45" s="92" t="s">
        <v>54</v>
      </c>
      <c r="LQW45" s="92" t="s">
        <v>54</v>
      </c>
      <c r="LQX45" s="92" t="s">
        <v>54</v>
      </c>
      <c r="LQY45" s="92" t="s">
        <v>54</v>
      </c>
      <c r="LQZ45" s="92" t="s">
        <v>54</v>
      </c>
      <c r="LRA45" s="92" t="s">
        <v>54</v>
      </c>
      <c r="LRB45" s="92" t="s">
        <v>54</v>
      </c>
      <c r="LRC45" s="92" t="s">
        <v>54</v>
      </c>
      <c r="LRD45" s="92" t="s">
        <v>54</v>
      </c>
      <c r="LRE45" s="92" t="s">
        <v>54</v>
      </c>
      <c r="LRF45" s="92" t="s">
        <v>54</v>
      </c>
      <c r="LRG45" s="92" t="s">
        <v>54</v>
      </c>
      <c r="LRH45" s="92" t="s">
        <v>54</v>
      </c>
      <c r="LRI45" s="92" t="s">
        <v>54</v>
      </c>
      <c r="LRJ45" s="92" t="s">
        <v>54</v>
      </c>
      <c r="LRK45" s="92" t="s">
        <v>54</v>
      </c>
      <c r="LRL45" s="92" t="s">
        <v>54</v>
      </c>
      <c r="LRM45" s="92" t="s">
        <v>54</v>
      </c>
      <c r="LRN45" s="92" t="s">
        <v>54</v>
      </c>
      <c r="LRO45" s="92" t="s">
        <v>54</v>
      </c>
      <c r="LRP45" s="92" t="s">
        <v>54</v>
      </c>
      <c r="LRQ45" s="92" t="s">
        <v>54</v>
      </c>
      <c r="LRR45" s="92" t="s">
        <v>54</v>
      </c>
      <c r="LRS45" s="92" t="s">
        <v>54</v>
      </c>
      <c r="LRT45" s="92" t="s">
        <v>54</v>
      </c>
      <c r="LRU45" s="92" t="s">
        <v>54</v>
      </c>
      <c r="LRV45" s="92" t="s">
        <v>54</v>
      </c>
      <c r="LRW45" s="92" t="s">
        <v>54</v>
      </c>
      <c r="LRX45" s="92" t="s">
        <v>54</v>
      </c>
      <c r="LRY45" s="92" t="s">
        <v>54</v>
      </c>
      <c r="LRZ45" s="92" t="s">
        <v>54</v>
      </c>
      <c r="LSA45" s="92" t="s">
        <v>54</v>
      </c>
      <c r="LSB45" s="92" t="s">
        <v>54</v>
      </c>
      <c r="LSC45" s="92" t="s">
        <v>54</v>
      </c>
      <c r="LSD45" s="92" t="s">
        <v>54</v>
      </c>
      <c r="LSE45" s="92" t="s">
        <v>54</v>
      </c>
      <c r="LSF45" s="92" t="s">
        <v>54</v>
      </c>
      <c r="LSG45" s="92" t="s">
        <v>54</v>
      </c>
      <c r="LSH45" s="92" t="s">
        <v>54</v>
      </c>
      <c r="LSI45" s="92" t="s">
        <v>54</v>
      </c>
      <c r="LSJ45" s="92" t="s">
        <v>54</v>
      </c>
      <c r="LSK45" s="92" t="s">
        <v>54</v>
      </c>
      <c r="LSL45" s="92" t="s">
        <v>54</v>
      </c>
      <c r="LSM45" s="92" t="s">
        <v>54</v>
      </c>
      <c r="LSN45" s="92" t="s">
        <v>54</v>
      </c>
      <c r="LSO45" s="92" t="s">
        <v>54</v>
      </c>
      <c r="LSP45" s="92" t="s">
        <v>54</v>
      </c>
      <c r="LSQ45" s="92" t="s">
        <v>54</v>
      </c>
      <c r="LSR45" s="92" t="s">
        <v>54</v>
      </c>
      <c r="LSS45" s="92" t="s">
        <v>54</v>
      </c>
      <c r="LST45" s="92" t="s">
        <v>54</v>
      </c>
      <c r="LSU45" s="92" t="s">
        <v>54</v>
      </c>
      <c r="LSV45" s="92" t="s">
        <v>54</v>
      </c>
      <c r="LSW45" s="92" t="s">
        <v>54</v>
      </c>
      <c r="LSX45" s="92" t="s">
        <v>54</v>
      </c>
      <c r="LSY45" s="92" t="s">
        <v>54</v>
      </c>
      <c r="LSZ45" s="92" t="s">
        <v>54</v>
      </c>
      <c r="LTA45" s="92" t="s">
        <v>54</v>
      </c>
      <c r="LTB45" s="92" t="s">
        <v>54</v>
      </c>
      <c r="LTC45" s="92" t="s">
        <v>54</v>
      </c>
      <c r="LTD45" s="92" t="s">
        <v>54</v>
      </c>
      <c r="LTE45" s="92" t="s">
        <v>54</v>
      </c>
      <c r="LTF45" s="92" t="s">
        <v>54</v>
      </c>
      <c r="LTG45" s="92" t="s">
        <v>54</v>
      </c>
      <c r="LTH45" s="92" t="s">
        <v>54</v>
      </c>
      <c r="LTI45" s="92" t="s">
        <v>54</v>
      </c>
      <c r="LTJ45" s="92" t="s">
        <v>54</v>
      </c>
      <c r="LTK45" s="92" t="s">
        <v>54</v>
      </c>
      <c r="LTL45" s="92" t="s">
        <v>54</v>
      </c>
      <c r="LTM45" s="92" t="s">
        <v>54</v>
      </c>
      <c r="LTN45" s="92" t="s">
        <v>54</v>
      </c>
      <c r="LTO45" s="92" t="s">
        <v>54</v>
      </c>
      <c r="LTP45" s="92" t="s">
        <v>54</v>
      </c>
      <c r="LTQ45" s="92" t="s">
        <v>54</v>
      </c>
      <c r="LTR45" s="92" t="s">
        <v>54</v>
      </c>
      <c r="LTS45" s="92" t="s">
        <v>54</v>
      </c>
      <c r="LTT45" s="92" t="s">
        <v>54</v>
      </c>
      <c r="LTU45" s="92" t="s">
        <v>54</v>
      </c>
      <c r="LTV45" s="92" t="s">
        <v>54</v>
      </c>
      <c r="LTW45" s="92" t="s">
        <v>54</v>
      </c>
      <c r="LTX45" s="92" t="s">
        <v>54</v>
      </c>
      <c r="LTY45" s="92" t="s">
        <v>54</v>
      </c>
      <c r="LTZ45" s="92" t="s">
        <v>54</v>
      </c>
      <c r="LUA45" s="92" t="s">
        <v>54</v>
      </c>
      <c r="LUB45" s="92" t="s">
        <v>54</v>
      </c>
      <c r="LUC45" s="92" t="s">
        <v>54</v>
      </c>
      <c r="LUD45" s="92" t="s">
        <v>54</v>
      </c>
      <c r="LUE45" s="92" t="s">
        <v>54</v>
      </c>
      <c r="LUF45" s="92" t="s">
        <v>54</v>
      </c>
      <c r="LUG45" s="92" t="s">
        <v>54</v>
      </c>
      <c r="LUH45" s="92" t="s">
        <v>54</v>
      </c>
      <c r="LUI45" s="92" t="s">
        <v>54</v>
      </c>
      <c r="LUJ45" s="92" t="s">
        <v>54</v>
      </c>
      <c r="LUK45" s="92" t="s">
        <v>54</v>
      </c>
      <c r="LUL45" s="92" t="s">
        <v>54</v>
      </c>
      <c r="LUM45" s="92" t="s">
        <v>54</v>
      </c>
      <c r="LUN45" s="92" t="s">
        <v>54</v>
      </c>
      <c r="LUO45" s="92" t="s">
        <v>54</v>
      </c>
      <c r="LUP45" s="92" t="s">
        <v>54</v>
      </c>
      <c r="LUQ45" s="92" t="s">
        <v>54</v>
      </c>
      <c r="LUR45" s="92" t="s">
        <v>54</v>
      </c>
      <c r="LUS45" s="92" t="s">
        <v>54</v>
      </c>
      <c r="LUT45" s="92" t="s">
        <v>54</v>
      </c>
      <c r="LUU45" s="92" t="s">
        <v>54</v>
      </c>
      <c r="LUV45" s="92" t="s">
        <v>54</v>
      </c>
      <c r="LUW45" s="92" t="s">
        <v>54</v>
      </c>
      <c r="LUX45" s="92" t="s">
        <v>54</v>
      </c>
      <c r="LUY45" s="92" t="s">
        <v>54</v>
      </c>
      <c r="LUZ45" s="92" t="s">
        <v>54</v>
      </c>
      <c r="LVA45" s="92" t="s">
        <v>54</v>
      </c>
      <c r="LVB45" s="92" t="s">
        <v>54</v>
      </c>
      <c r="LVC45" s="92" t="s">
        <v>54</v>
      </c>
      <c r="LVD45" s="92" t="s">
        <v>54</v>
      </c>
      <c r="LVE45" s="92" t="s">
        <v>54</v>
      </c>
      <c r="LVF45" s="92" t="s">
        <v>54</v>
      </c>
      <c r="LVG45" s="92" t="s">
        <v>54</v>
      </c>
      <c r="LVH45" s="92" t="s">
        <v>54</v>
      </c>
      <c r="LVI45" s="92" t="s">
        <v>54</v>
      </c>
      <c r="LVJ45" s="92" t="s">
        <v>54</v>
      </c>
      <c r="LVK45" s="92" t="s">
        <v>54</v>
      </c>
      <c r="LVL45" s="92" t="s">
        <v>54</v>
      </c>
      <c r="LVM45" s="92" t="s">
        <v>54</v>
      </c>
      <c r="LVN45" s="92" t="s">
        <v>54</v>
      </c>
      <c r="LVO45" s="92" t="s">
        <v>54</v>
      </c>
      <c r="LVP45" s="92" t="s">
        <v>54</v>
      </c>
      <c r="LVQ45" s="92" t="s">
        <v>54</v>
      </c>
      <c r="LVR45" s="92" t="s">
        <v>54</v>
      </c>
      <c r="LVS45" s="92" t="s">
        <v>54</v>
      </c>
      <c r="LVT45" s="92" t="s">
        <v>54</v>
      </c>
      <c r="LVU45" s="92" t="s">
        <v>54</v>
      </c>
      <c r="LVV45" s="92" t="s">
        <v>54</v>
      </c>
      <c r="LVW45" s="92" t="s">
        <v>54</v>
      </c>
      <c r="LVX45" s="92" t="s">
        <v>54</v>
      </c>
      <c r="LVY45" s="92" t="s">
        <v>54</v>
      </c>
      <c r="LVZ45" s="92" t="s">
        <v>54</v>
      </c>
      <c r="LWA45" s="92" t="s">
        <v>54</v>
      </c>
      <c r="LWB45" s="92" t="s">
        <v>54</v>
      </c>
      <c r="LWC45" s="92" t="s">
        <v>54</v>
      </c>
      <c r="LWD45" s="92" t="s">
        <v>54</v>
      </c>
      <c r="LWE45" s="92" t="s">
        <v>54</v>
      </c>
      <c r="LWF45" s="92" t="s">
        <v>54</v>
      </c>
      <c r="LWG45" s="92" t="s">
        <v>54</v>
      </c>
      <c r="LWH45" s="92" t="s">
        <v>54</v>
      </c>
      <c r="LWI45" s="92" t="s">
        <v>54</v>
      </c>
      <c r="LWJ45" s="92" t="s">
        <v>54</v>
      </c>
      <c r="LWK45" s="92" t="s">
        <v>54</v>
      </c>
      <c r="LWL45" s="92" t="s">
        <v>54</v>
      </c>
      <c r="LWM45" s="92" t="s">
        <v>54</v>
      </c>
      <c r="LWN45" s="92" t="s">
        <v>54</v>
      </c>
      <c r="LWO45" s="92" t="s">
        <v>54</v>
      </c>
      <c r="LWP45" s="92" t="s">
        <v>54</v>
      </c>
      <c r="LWQ45" s="92" t="s">
        <v>54</v>
      </c>
      <c r="LWR45" s="92" t="s">
        <v>54</v>
      </c>
      <c r="LWS45" s="92" t="s">
        <v>54</v>
      </c>
      <c r="LWT45" s="92" t="s">
        <v>54</v>
      </c>
      <c r="LWU45" s="92" t="s">
        <v>54</v>
      </c>
      <c r="LWV45" s="92" t="s">
        <v>54</v>
      </c>
      <c r="LWW45" s="92" t="s">
        <v>54</v>
      </c>
      <c r="LWX45" s="92" t="s">
        <v>54</v>
      </c>
      <c r="LWY45" s="92" t="s">
        <v>54</v>
      </c>
      <c r="LWZ45" s="92" t="s">
        <v>54</v>
      </c>
      <c r="LXA45" s="92" t="s">
        <v>54</v>
      </c>
      <c r="LXB45" s="92" t="s">
        <v>54</v>
      </c>
      <c r="LXC45" s="92" t="s">
        <v>54</v>
      </c>
      <c r="LXD45" s="92" t="s">
        <v>54</v>
      </c>
      <c r="LXE45" s="92" t="s">
        <v>54</v>
      </c>
      <c r="LXF45" s="92" t="s">
        <v>54</v>
      </c>
      <c r="LXG45" s="92" t="s">
        <v>54</v>
      </c>
      <c r="LXH45" s="92" t="s">
        <v>54</v>
      </c>
      <c r="LXI45" s="92" t="s">
        <v>54</v>
      </c>
      <c r="LXJ45" s="92" t="s">
        <v>54</v>
      </c>
      <c r="LXK45" s="92" t="s">
        <v>54</v>
      </c>
      <c r="LXL45" s="92" t="s">
        <v>54</v>
      </c>
      <c r="LXM45" s="92" t="s">
        <v>54</v>
      </c>
      <c r="LXN45" s="92" t="s">
        <v>54</v>
      </c>
      <c r="LXO45" s="92" t="s">
        <v>54</v>
      </c>
      <c r="LXP45" s="92" t="s">
        <v>54</v>
      </c>
      <c r="LXQ45" s="92" t="s">
        <v>54</v>
      </c>
      <c r="LXR45" s="92" t="s">
        <v>54</v>
      </c>
      <c r="LXS45" s="92" t="s">
        <v>54</v>
      </c>
      <c r="LXT45" s="92" t="s">
        <v>54</v>
      </c>
      <c r="LXU45" s="92" t="s">
        <v>54</v>
      </c>
      <c r="LXV45" s="92" t="s">
        <v>54</v>
      </c>
      <c r="LXW45" s="92" t="s">
        <v>54</v>
      </c>
      <c r="LXX45" s="92" t="s">
        <v>54</v>
      </c>
      <c r="LXY45" s="92" t="s">
        <v>54</v>
      </c>
      <c r="LXZ45" s="92" t="s">
        <v>54</v>
      </c>
      <c r="LYA45" s="92" t="s">
        <v>54</v>
      </c>
      <c r="LYB45" s="92" t="s">
        <v>54</v>
      </c>
      <c r="LYC45" s="92" t="s">
        <v>54</v>
      </c>
      <c r="LYD45" s="92" t="s">
        <v>54</v>
      </c>
      <c r="LYE45" s="92" t="s">
        <v>54</v>
      </c>
      <c r="LYF45" s="92" t="s">
        <v>54</v>
      </c>
      <c r="LYG45" s="92" t="s">
        <v>54</v>
      </c>
      <c r="LYH45" s="92" t="s">
        <v>54</v>
      </c>
      <c r="LYI45" s="92" t="s">
        <v>54</v>
      </c>
      <c r="LYJ45" s="92" t="s">
        <v>54</v>
      </c>
      <c r="LYK45" s="92" t="s">
        <v>54</v>
      </c>
      <c r="LYL45" s="92" t="s">
        <v>54</v>
      </c>
      <c r="LYM45" s="92" t="s">
        <v>54</v>
      </c>
      <c r="LYN45" s="92" t="s">
        <v>54</v>
      </c>
      <c r="LYO45" s="92" t="s">
        <v>54</v>
      </c>
      <c r="LYP45" s="92" t="s">
        <v>54</v>
      </c>
      <c r="LYQ45" s="92" t="s">
        <v>54</v>
      </c>
      <c r="LYR45" s="92" t="s">
        <v>54</v>
      </c>
      <c r="LYS45" s="92" t="s">
        <v>54</v>
      </c>
      <c r="LYT45" s="92" t="s">
        <v>54</v>
      </c>
      <c r="LYU45" s="92" t="s">
        <v>54</v>
      </c>
      <c r="LYV45" s="92" t="s">
        <v>54</v>
      </c>
      <c r="LYW45" s="92" t="s">
        <v>54</v>
      </c>
      <c r="LYX45" s="92" t="s">
        <v>54</v>
      </c>
      <c r="LYY45" s="92" t="s">
        <v>54</v>
      </c>
      <c r="LYZ45" s="92" t="s">
        <v>54</v>
      </c>
      <c r="LZA45" s="92" t="s">
        <v>54</v>
      </c>
      <c r="LZB45" s="92" t="s">
        <v>54</v>
      </c>
      <c r="LZC45" s="92" t="s">
        <v>54</v>
      </c>
      <c r="LZD45" s="92" t="s">
        <v>54</v>
      </c>
      <c r="LZE45" s="92" t="s">
        <v>54</v>
      </c>
      <c r="LZF45" s="92" t="s">
        <v>54</v>
      </c>
      <c r="LZG45" s="92" t="s">
        <v>54</v>
      </c>
      <c r="LZH45" s="92" t="s">
        <v>54</v>
      </c>
      <c r="LZI45" s="92" t="s">
        <v>54</v>
      </c>
      <c r="LZJ45" s="92" t="s">
        <v>54</v>
      </c>
      <c r="LZK45" s="92" t="s">
        <v>54</v>
      </c>
      <c r="LZL45" s="92" t="s">
        <v>54</v>
      </c>
      <c r="LZM45" s="92" t="s">
        <v>54</v>
      </c>
      <c r="LZN45" s="92" t="s">
        <v>54</v>
      </c>
      <c r="LZO45" s="92" t="s">
        <v>54</v>
      </c>
      <c r="LZP45" s="92" t="s">
        <v>54</v>
      </c>
      <c r="LZQ45" s="92" t="s">
        <v>54</v>
      </c>
      <c r="LZR45" s="92" t="s">
        <v>54</v>
      </c>
      <c r="LZS45" s="92" t="s">
        <v>54</v>
      </c>
      <c r="LZT45" s="92" t="s">
        <v>54</v>
      </c>
      <c r="LZU45" s="92" t="s">
        <v>54</v>
      </c>
      <c r="LZV45" s="92" t="s">
        <v>54</v>
      </c>
      <c r="LZW45" s="92" t="s">
        <v>54</v>
      </c>
      <c r="LZX45" s="92" t="s">
        <v>54</v>
      </c>
      <c r="LZY45" s="92" t="s">
        <v>54</v>
      </c>
      <c r="LZZ45" s="92" t="s">
        <v>54</v>
      </c>
      <c r="MAA45" s="92" t="s">
        <v>54</v>
      </c>
      <c r="MAB45" s="92" t="s">
        <v>54</v>
      </c>
      <c r="MAC45" s="92" t="s">
        <v>54</v>
      </c>
      <c r="MAD45" s="92" t="s">
        <v>54</v>
      </c>
      <c r="MAE45" s="92" t="s">
        <v>54</v>
      </c>
      <c r="MAF45" s="92" t="s">
        <v>54</v>
      </c>
      <c r="MAG45" s="92" t="s">
        <v>54</v>
      </c>
      <c r="MAH45" s="92" t="s">
        <v>54</v>
      </c>
      <c r="MAI45" s="92" t="s">
        <v>54</v>
      </c>
      <c r="MAJ45" s="92" t="s">
        <v>54</v>
      </c>
      <c r="MAK45" s="92" t="s">
        <v>54</v>
      </c>
      <c r="MAL45" s="92" t="s">
        <v>54</v>
      </c>
      <c r="MAM45" s="92" t="s">
        <v>54</v>
      </c>
      <c r="MAN45" s="92" t="s">
        <v>54</v>
      </c>
      <c r="MAO45" s="92" t="s">
        <v>54</v>
      </c>
      <c r="MAP45" s="92" t="s">
        <v>54</v>
      </c>
      <c r="MAQ45" s="92" t="s">
        <v>54</v>
      </c>
      <c r="MAR45" s="92" t="s">
        <v>54</v>
      </c>
      <c r="MAS45" s="92" t="s">
        <v>54</v>
      </c>
      <c r="MAT45" s="92" t="s">
        <v>54</v>
      </c>
      <c r="MAU45" s="92" t="s">
        <v>54</v>
      </c>
      <c r="MAV45" s="92" t="s">
        <v>54</v>
      </c>
      <c r="MAW45" s="92" t="s">
        <v>54</v>
      </c>
      <c r="MAX45" s="92" t="s">
        <v>54</v>
      </c>
      <c r="MAY45" s="92" t="s">
        <v>54</v>
      </c>
      <c r="MAZ45" s="92" t="s">
        <v>54</v>
      </c>
      <c r="MBA45" s="92" t="s">
        <v>54</v>
      </c>
      <c r="MBB45" s="92" t="s">
        <v>54</v>
      </c>
      <c r="MBC45" s="92" t="s">
        <v>54</v>
      </c>
      <c r="MBD45" s="92" t="s">
        <v>54</v>
      </c>
      <c r="MBE45" s="92" t="s">
        <v>54</v>
      </c>
      <c r="MBF45" s="92" t="s">
        <v>54</v>
      </c>
      <c r="MBG45" s="92" t="s">
        <v>54</v>
      </c>
      <c r="MBH45" s="92" t="s">
        <v>54</v>
      </c>
      <c r="MBI45" s="92" t="s">
        <v>54</v>
      </c>
      <c r="MBJ45" s="92" t="s">
        <v>54</v>
      </c>
      <c r="MBK45" s="92" t="s">
        <v>54</v>
      </c>
      <c r="MBL45" s="92" t="s">
        <v>54</v>
      </c>
      <c r="MBM45" s="92" t="s">
        <v>54</v>
      </c>
      <c r="MBN45" s="92" t="s">
        <v>54</v>
      </c>
      <c r="MBO45" s="92" t="s">
        <v>54</v>
      </c>
      <c r="MBP45" s="92" t="s">
        <v>54</v>
      </c>
      <c r="MBQ45" s="92" t="s">
        <v>54</v>
      </c>
      <c r="MBR45" s="92" t="s">
        <v>54</v>
      </c>
      <c r="MBS45" s="92" t="s">
        <v>54</v>
      </c>
      <c r="MBT45" s="92" t="s">
        <v>54</v>
      </c>
      <c r="MBU45" s="92" t="s">
        <v>54</v>
      </c>
      <c r="MBV45" s="92" t="s">
        <v>54</v>
      </c>
      <c r="MBW45" s="92" t="s">
        <v>54</v>
      </c>
      <c r="MBX45" s="92" t="s">
        <v>54</v>
      </c>
      <c r="MBY45" s="92" t="s">
        <v>54</v>
      </c>
      <c r="MBZ45" s="92" t="s">
        <v>54</v>
      </c>
      <c r="MCA45" s="92" t="s">
        <v>54</v>
      </c>
      <c r="MCB45" s="92" t="s">
        <v>54</v>
      </c>
      <c r="MCC45" s="92" t="s">
        <v>54</v>
      </c>
      <c r="MCD45" s="92" t="s">
        <v>54</v>
      </c>
      <c r="MCE45" s="92" t="s">
        <v>54</v>
      </c>
      <c r="MCF45" s="92" t="s">
        <v>54</v>
      </c>
      <c r="MCG45" s="92" t="s">
        <v>54</v>
      </c>
      <c r="MCH45" s="92" t="s">
        <v>54</v>
      </c>
      <c r="MCI45" s="92" t="s">
        <v>54</v>
      </c>
      <c r="MCJ45" s="92" t="s">
        <v>54</v>
      </c>
      <c r="MCK45" s="92" t="s">
        <v>54</v>
      </c>
      <c r="MCL45" s="92" t="s">
        <v>54</v>
      </c>
      <c r="MCM45" s="92" t="s">
        <v>54</v>
      </c>
      <c r="MCN45" s="92" t="s">
        <v>54</v>
      </c>
      <c r="MCO45" s="92" t="s">
        <v>54</v>
      </c>
      <c r="MCP45" s="92" t="s">
        <v>54</v>
      </c>
      <c r="MCQ45" s="92" t="s">
        <v>54</v>
      </c>
      <c r="MCR45" s="92" t="s">
        <v>54</v>
      </c>
      <c r="MCS45" s="92" t="s">
        <v>54</v>
      </c>
      <c r="MCT45" s="92" t="s">
        <v>54</v>
      </c>
      <c r="MCU45" s="92" t="s">
        <v>54</v>
      </c>
      <c r="MCV45" s="92" t="s">
        <v>54</v>
      </c>
      <c r="MCW45" s="92" t="s">
        <v>54</v>
      </c>
      <c r="MCX45" s="92" t="s">
        <v>54</v>
      </c>
      <c r="MCY45" s="92" t="s">
        <v>54</v>
      </c>
      <c r="MCZ45" s="92" t="s">
        <v>54</v>
      </c>
      <c r="MDA45" s="92" t="s">
        <v>54</v>
      </c>
      <c r="MDB45" s="92" t="s">
        <v>54</v>
      </c>
      <c r="MDC45" s="92" t="s">
        <v>54</v>
      </c>
      <c r="MDD45" s="92" t="s">
        <v>54</v>
      </c>
      <c r="MDE45" s="92" t="s">
        <v>54</v>
      </c>
      <c r="MDF45" s="92" t="s">
        <v>54</v>
      </c>
      <c r="MDG45" s="92" t="s">
        <v>54</v>
      </c>
      <c r="MDH45" s="92" t="s">
        <v>54</v>
      </c>
      <c r="MDI45" s="92" t="s">
        <v>54</v>
      </c>
      <c r="MDJ45" s="92" t="s">
        <v>54</v>
      </c>
      <c r="MDK45" s="92" t="s">
        <v>54</v>
      </c>
      <c r="MDL45" s="92" t="s">
        <v>54</v>
      </c>
      <c r="MDM45" s="92" t="s">
        <v>54</v>
      </c>
      <c r="MDN45" s="92" t="s">
        <v>54</v>
      </c>
      <c r="MDO45" s="92" t="s">
        <v>54</v>
      </c>
      <c r="MDP45" s="92" t="s">
        <v>54</v>
      </c>
      <c r="MDQ45" s="92" t="s">
        <v>54</v>
      </c>
      <c r="MDR45" s="92" t="s">
        <v>54</v>
      </c>
      <c r="MDS45" s="92" t="s">
        <v>54</v>
      </c>
      <c r="MDT45" s="92" t="s">
        <v>54</v>
      </c>
      <c r="MDU45" s="92" t="s">
        <v>54</v>
      </c>
      <c r="MDV45" s="92" t="s">
        <v>54</v>
      </c>
      <c r="MDW45" s="92" t="s">
        <v>54</v>
      </c>
      <c r="MDX45" s="92" t="s">
        <v>54</v>
      </c>
      <c r="MDY45" s="92" t="s">
        <v>54</v>
      </c>
      <c r="MDZ45" s="92" t="s">
        <v>54</v>
      </c>
      <c r="MEA45" s="92" t="s">
        <v>54</v>
      </c>
      <c r="MEB45" s="92" t="s">
        <v>54</v>
      </c>
      <c r="MEC45" s="92" t="s">
        <v>54</v>
      </c>
      <c r="MED45" s="92" t="s">
        <v>54</v>
      </c>
      <c r="MEE45" s="92" t="s">
        <v>54</v>
      </c>
      <c r="MEF45" s="92" t="s">
        <v>54</v>
      </c>
      <c r="MEG45" s="92" t="s">
        <v>54</v>
      </c>
      <c r="MEH45" s="92" t="s">
        <v>54</v>
      </c>
      <c r="MEI45" s="92" t="s">
        <v>54</v>
      </c>
      <c r="MEJ45" s="92" t="s">
        <v>54</v>
      </c>
      <c r="MEK45" s="92" t="s">
        <v>54</v>
      </c>
      <c r="MEL45" s="92" t="s">
        <v>54</v>
      </c>
      <c r="MEM45" s="92" t="s">
        <v>54</v>
      </c>
      <c r="MEN45" s="92" t="s">
        <v>54</v>
      </c>
      <c r="MEO45" s="92" t="s">
        <v>54</v>
      </c>
      <c r="MEP45" s="92" t="s">
        <v>54</v>
      </c>
      <c r="MEQ45" s="92" t="s">
        <v>54</v>
      </c>
      <c r="MER45" s="92" t="s">
        <v>54</v>
      </c>
      <c r="MES45" s="92" t="s">
        <v>54</v>
      </c>
      <c r="MET45" s="92" t="s">
        <v>54</v>
      </c>
      <c r="MEU45" s="92" t="s">
        <v>54</v>
      </c>
      <c r="MEV45" s="92" t="s">
        <v>54</v>
      </c>
      <c r="MEW45" s="92" t="s">
        <v>54</v>
      </c>
      <c r="MEX45" s="92" t="s">
        <v>54</v>
      </c>
      <c r="MEY45" s="92" t="s">
        <v>54</v>
      </c>
      <c r="MEZ45" s="92" t="s">
        <v>54</v>
      </c>
      <c r="MFA45" s="92" t="s">
        <v>54</v>
      </c>
      <c r="MFB45" s="92" t="s">
        <v>54</v>
      </c>
      <c r="MFC45" s="92" t="s">
        <v>54</v>
      </c>
      <c r="MFD45" s="92" t="s">
        <v>54</v>
      </c>
      <c r="MFE45" s="92" t="s">
        <v>54</v>
      </c>
      <c r="MFF45" s="92" t="s">
        <v>54</v>
      </c>
      <c r="MFG45" s="92" t="s">
        <v>54</v>
      </c>
      <c r="MFH45" s="92" t="s">
        <v>54</v>
      </c>
      <c r="MFI45" s="92" t="s">
        <v>54</v>
      </c>
      <c r="MFJ45" s="92" t="s">
        <v>54</v>
      </c>
      <c r="MFK45" s="92" t="s">
        <v>54</v>
      </c>
      <c r="MFL45" s="92" t="s">
        <v>54</v>
      </c>
      <c r="MFM45" s="92" t="s">
        <v>54</v>
      </c>
      <c r="MFN45" s="92" t="s">
        <v>54</v>
      </c>
      <c r="MFO45" s="92" t="s">
        <v>54</v>
      </c>
      <c r="MFP45" s="92" t="s">
        <v>54</v>
      </c>
      <c r="MFQ45" s="92" t="s">
        <v>54</v>
      </c>
      <c r="MFR45" s="92" t="s">
        <v>54</v>
      </c>
      <c r="MFS45" s="92" t="s">
        <v>54</v>
      </c>
      <c r="MFT45" s="92" t="s">
        <v>54</v>
      </c>
      <c r="MFU45" s="92" t="s">
        <v>54</v>
      </c>
      <c r="MFV45" s="92" t="s">
        <v>54</v>
      </c>
      <c r="MFW45" s="92" t="s">
        <v>54</v>
      </c>
      <c r="MFX45" s="92" t="s">
        <v>54</v>
      </c>
      <c r="MFY45" s="92" t="s">
        <v>54</v>
      </c>
      <c r="MFZ45" s="92" t="s">
        <v>54</v>
      </c>
      <c r="MGA45" s="92" t="s">
        <v>54</v>
      </c>
      <c r="MGB45" s="92" t="s">
        <v>54</v>
      </c>
      <c r="MGC45" s="92" t="s">
        <v>54</v>
      </c>
      <c r="MGD45" s="92" t="s">
        <v>54</v>
      </c>
      <c r="MGE45" s="92" t="s">
        <v>54</v>
      </c>
      <c r="MGF45" s="92" t="s">
        <v>54</v>
      </c>
      <c r="MGG45" s="92" t="s">
        <v>54</v>
      </c>
      <c r="MGH45" s="92" t="s">
        <v>54</v>
      </c>
      <c r="MGI45" s="92" t="s">
        <v>54</v>
      </c>
      <c r="MGJ45" s="92" t="s">
        <v>54</v>
      </c>
      <c r="MGK45" s="92" t="s">
        <v>54</v>
      </c>
      <c r="MGL45" s="92" t="s">
        <v>54</v>
      </c>
      <c r="MGM45" s="92" t="s">
        <v>54</v>
      </c>
      <c r="MGN45" s="92" t="s">
        <v>54</v>
      </c>
      <c r="MGO45" s="92" t="s">
        <v>54</v>
      </c>
      <c r="MGP45" s="92" t="s">
        <v>54</v>
      </c>
      <c r="MGQ45" s="92" t="s">
        <v>54</v>
      </c>
      <c r="MGR45" s="92" t="s">
        <v>54</v>
      </c>
      <c r="MGS45" s="92" t="s">
        <v>54</v>
      </c>
      <c r="MGT45" s="92" t="s">
        <v>54</v>
      </c>
      <c r="MGU45" s="92" t="s">
        <v>54</v>
      </c>
      <c r="MGV45" s="92" t="s">
        <v>54</v>
      </c>
      <c r="MGW45" s="92" t="s">
        <v>54</v>
      </c>
      <c r="MGX45" s="92" t="s">
        <v>54</v>
      </c>
      <c r="MGY45" s="92" t="s">
        <v>54</v>
      </c>
      <c r="MGZ45" s="92" t="s">
        <v>54</v>
      </c>
      <c r="MHA45" s="92" t="s">
        <v>54</v>
      </c>
      <c r="MHB45" s="92" t="s">
        <v>54</v>
      </c>
      <c r="MHC45" s="92" t="s">
        <v>54</v>
      </c>
      <c r="MHD45" s="92" t="s">
        <v>54</v>
      </c>
      <c r="MHE45" s="92" t="s">
        <v>54</v>
      </c>
      <c r="MHF45" s="92" t="s">
        <v>54</v>
      </c>
      <c r="MHG45" s="92" t="s">
        <v>54</v>
      </c>
      <c r="MHH45" s="92" t="s">
        <v>54</v>
      </c>
      <c r="MHI45" s="92" t="s">
        <v>54</v>
      </c>
      <c r="MHJ45" s="92" t="s">
        <v>54</v>
      </c>
      <c r="MHK45" s="92" t="s">
        <v>54</v>
      </c>
      <c r="MHL45" s="92" t="s">
        <v>54</v>
      </c>
      <c r="MHM45" s="92" t="s">
        <v>54</v>
      </c>
      <c r="MHN45" s="92" t="s">
        <v>54</v>
      </c>
      <c r="MHO45" s="92" t="s">
        <v>54</v>
      </c>
      <c r="MHP45" s="92" t="s">
        <v>54</v>
      </c>
      <c r="MHQ45" s="92" t="s">
        <v>54</v>
      </c>
      <c r="MHR45" s="92" t="s">
        <v>54</v>
      </c>
      <c r="MHS45" s="92" t="s">
        <v>54</v>
      </c>
      <c r="MHT45" s="92" t="s">
        <v>54</v>
      </c>
      <c r="MHU45" s="92" t="s">
        <v>54</v>
      </c>
      <c r="MHV45" s="92" t="s">
        <v>54</v>
      </c>
      <c r="MHW45" s="92" t="s">
        <v>54</v>
      </c>
      <c r="MHX45" s="92" t="s">
        <v>54</v>
      </c>
      <c r="MHY45" s="92" t="s">
        <v>54</v>
      </c>
      <c r="MHZ45" s="92" t="s">
        <v>54</v>
      </c>
      <c r="MIA45" s="92" t="s">
        <v>54</v>
      </c>
      <c r="MIB45" s="92" t="s">
        <v>54</v>
      </c>
      <c r="MIC45" s="92" t="s">
        <v>54</v>
      </c>
      <c r="MID45" s="92" t="s">
        <v>54</v>
      </c>
      <c r="MIE45" s="92" t="s">
        <v>54</v>
      </c>
      <c r="MIF45" s="92" t="s">
        <v>54</v>
      </c>
      <c r="MIG45" s="92" t="s">
        <v>54</v>
      </c>
      <c r="MIH45" s="92" t="s">
        <v>54</v>
      </c>
      <c r="MII45" s="92" t="s">
        <v>54</v>
      </c>
      <c r="MIJ45" s="92" t="s">
        <v>54</v>
      </c>
      <c r="MIK45" s="92" t="s">
        <v>54</v>
      </c>
      <c r="MIL45" s="92" t="s">
        <v>54</v>
      </c>
      <c r="MIM45" s="92" t="s">
        <v>54</v>
      </c>
      <c r="MIN45" s="92" t="s">
        <v>54</v>
      </c>
      <c r="MIO45" s="92" t="s">
        <v>54</v>
      </c>
      <c r="MIP45" s="92" t="s">
        <v>54</v>
      </c>
      <c r="MIQ45" s="92" t="s">
        <v>54</v>
      </c>
      <c r="MIR45" s="92" t="s">
        <v>54</v>
      </c>
      <c r="MIS45" s="92" t="s">
        <v>54</v>
      </c>
      <c r="MIT45" s="92" t="s">
        <v>54</v>
      </c>
      <c r="MIU45" s="92" t="s">
        <v>54</v>
      </c>
      <c r="MIV45" s="92" t="s">
        <v>54</v>
      </c>
      <c r="MIW45" s="92" t="s">
        <v>54</v>
      </c>
      <c r="MIX45" s="92" t="s">
        <v>54</v>
      </c>
      <c r="MIY45" s="92" t="s">
        <v>54</v>
      </c>
      <c r="MIZ45" s="92" t="s">
        <v>54</v>
      </c>
      <c r="MJA45" s="92" t="s">
        <v>54</v>
      </c>
      <c r="MJB45" s="92" t="s">
        <v>54</v>
      </c>
      <c r="MJC45" s="92" t="s">
        <v>54</v>
      </c>
      <c r="MJD45" s="92" t="s">
        <v>54</v>
      </c>
      <c r="MJE45" s="92" t="s">
        <v>54</v>
      </c>
      <c r="MJF45" s="92" t="s">
        <v>54</v>
      </c>
      <c r="MJG45" s="92" t="s">
        <v>54</v>
      </c>
      <c r="MJH45" s="92" t="s">
        <v>54</v>
      </c>
      <c r="MJI45" s="92" t="s">
        <v>54</v>
      </c>
      <c r="MJJ45" s="92" t="s">
        <v>54</v>
      </c>
      <c r="MJK45" s="92" t="s">
        <v>54</v>
      </c>
      <c r="MJL45" s="92" t="s">
        <v>54</v>
      </c>
      <c r="MJM45" s="92" t="s">
        <v>54</v>
      </c>
      <c r="MJN45" s="92" t="s">
        <v>54</v>
      </c>
      <c r="MJO45" s="92" t="s">
        <v>54</v>
      </c>
      <c r="MJP45" s="92" t="s">
        <v>54</v>
      </c>
      <c r="MJQ45" s="92" t="s">
        <v>54</v>
      </c>
      <c r="MJR45" s="92" t="s">
        <v>54</v>
      </c>
      <c r="MJS45" s="92" t="s">
        <v>54</v>
      </c>
      <c r="MJT45" s="92" t="s">
        <v>54</v>
      </c>
      <c r="MJU45" s="92" t="s">
        <v>54</v>
      </c>
      <c r="MJV45" s="92" t="s">
        <v>54</v>
      </c>
      <c r="MJW45" s="92" t="s">
        <v>54</v>
      </c>
      <c r="MJX45" s="92" t="s">
        <v>54</v>
      </c>
      <c r="MJY45" s="92" t="s">
        <v>54</v>
      </c>
      <c r="MJZ45" s="92" t="s">
        <v>54</v>
      </c>
      <c r="MKA45" s="92" t="s">
        <v>54</v>
      </c>
      <c r="MKB45" s="92" t="s">
        <v>54</v>
      </c>
      <c r="MKC45" s="92" t="s">
        <v>54</v>
      </c>
      <c r="MKD45" s="92" t="s">
        <v>54</v>
      </c>
      <c r="MKE45" s="92" t="s">
        <v>54</v>
      </c>
      <c r="MKF45" s="92" t="s">
        <v>54</v>
      </c>
      <c r="MKG45" s="92" t="s">
        <v>54</v>
      </c>
      <c r="MKH45" s="92" t="s">
        <v>54</v>
      </c>
      <c r="MKI45" s="92" t="s">
        <v>54</v>
      </c>
      <c r="MKJ45" s="92" t="s">
        <v>54</v>
      </c>
      <c r="MKK45" s="92" t="s">
        <v>54</v>
      </c>
      <c r="MKL45" s="92" t="s">
        <v>54</v>
      </c>
      <c r="MKM45" s="92" t="s">
        <v>54</v>
      </c>
      <c r="MKN45" s="92" t="s">
        <v>54</v>
      </c>
      <c r="MKO45" s="92" t="s">
        <v>54</v>
      </c>
      <c r="MKP45" s="92" t="s">
        <v>54</v>
      </c>
      <c r="MKQ45" s="92" t="s">
        <v>54</v>
      </c>
      <c r="MKR45" s="92" t="s">
        <v>54</v>
      </c>
      <c r="MKS45" s="92" t="s">
        <v>54</v>
      </c>
      <c r="MKT45" s="92" t="s">
        <v>54</v>
      </c>
      <c r="MKU45" s="92" t="s">
        <v>54</v>
      </c>
      <c r="MKV45" s="92" t="s">
        <v>54</v>
      </c>
      <c r="MKW45" s="92" t="s">
        <v>54</v>
      </c>
      <c r="MKX45" s="92" t="s">
        <v>54</v>
      </c>
      <c r="MKY45" s="92" t="s">
        <v>54</v>
      </c>
      <c r="MKZ45" s="92" t="s">
        <v>54</v>
      </c>
      <c r="MLA45" s="92" t="s">
        <v>54</v>
      </c>
      <c r="MLB45" s="92" t="s">
        <v>54</v>
      </c>
      <c r="MLC45" s="92" t="s">
        <v>54</v>
      </c>
      <c r="MLD45" s="92" t="s">
        <v>54</v>
      </c>
      <c r="MLE45" s="92" t="s">
        <v>54</v>
      </c>
      <c r="MLF45" s="92" t="s">
        <v>54</v>
      </c>
      <c r="MLG45" s="92" t="s">
        <v>54</v>
      </c>
      <c r="MLH45" s="92" t="s">
        <v>54</v>
      </c>
      <c r="MLI45" s="92" t="s">
        <v>54</v>
      </c>
      <c r="MLJ45" s="92" t="s">
        <v>54</v>
      </c>
      <c r="MLK45" s="92" t="s">
        <v>54</v>
      </c>
      <c r="MLL45" s="92" t="s">
        <v>54</v>
      </c>
      <c r="MLM45" s="92" t="s">
        <v>54</v>
      </c>
      <c r="MLN45" s="92" t="s">
        <v>54</v>
      </c>
      <c r="MLO45" s="92" t="s">
        <v>54</v>
      </c>
      <c r="MLP45" s="92" t="s">
        <v>54</v>
      </c>
      <c r="MLQ45" s="92" t="s">
        <v>54</v>
      </c>
      <c r="MLR45" s="92" t="s">
        <v>54</v>
      </c>
      <c r="MLS45" s="92" t="s">
        <v>54</v>
      </c>
      <c r="MLT45" s="92" t="s">
        <v>54</v>
      </c>
      <c r="MLU45" s="92" t="s">
        <v>54</v>
      </c>
      <c r="MLV45" s="92" t="s">
        <v>54</v>
      </c>
      <c r="MLW45" s="92" t="s">
        <v>54</v>
      </c>
      <c r="MLX45" s="92" t="s">
        <v>54</v>
      </c>
      <c r="MLY45" s="92" t="s">
        <v>54</v>
      </c>
      <c r="MLZ45" s="92" t="s">
        <v>54</v>
      </c>
      <c r="MMA45" s="92" t="s">
        <v>54</v>
      </c>
      <c r="MMB45" s="92" t="s">
        <v>54</v>
      </c>
      <c r="MMC45" s="92" t="s">
        <v>54</v>
      </c>
      <c r="MMD45" s="92" t="s">
        <v>54</v>
      </c>
      <c r="MME45" s="92" t="s">
        <v>54</v>
      </c>
      <c r="MMF45" s="92" t="s">
        <v>54</v>
      </c>
      <c r="MMG45" s="92" t="s">
        <v>54</v>
      </c>
      <c r="MMH45" s="92" t="s">
        <v>54</v>
      </c>
      <c r="MMI45" s="92" t="s">
        <v>54</v>
      </c>
      <c r="MMJ45" s="92" t="s">
        <v>54</v>
      </c>
      <c r="MMK45" s="92" t="s">
        <v>54</v>
      </c>
      <c r="MML45" s="92" t="s">
        <v>54</v>
      </c>
      <c r="MMM45" s="92" t="s">
        <v>54</v>
      </c>
      <c r="MMN45" s="92" t="s">
        <v>54</v>
      </c>
      <c r="MMO45" s="92" t="s">
        <v>54</v>
      </c>
      <c r="MMP45" s="92" t="s">
        <v>54</v>
      </c>
      <c r="MMQ45" s="92" t="s">
        <v>54</v>
      </c>
      <c r="MMR45" s="92" t="s">
        <v>54</v>
      </c>
      <c r="MMS45" s="92" t="s">
        <v>54</v>
      </c>
      <c r="MMT45" s="92" t="s">
        <v>54</v>
      </c>
      <c r="MMU45" s="92" t="s">
        <v>54</v>
      </c>
      <c r="MMV45" s="92" t="s">
        <v>54</v>
      </c>
      <c r="MMW45" s="92" t="s">
        <v>54</v>
      </c>
      <c r="MMX45" s="92" t="s">
        <v>54</v>
      </c>
      <c r="MMY45" s="92" t="s">
        <v>54</v>
      </c>
      <c r="MMZ45" s="92" t="s">
        <v>54</v>
      </c>
      <c r="MNA45" s="92" t="s">
        <v>54</v>
      </c>
      <c r="MNB45" s="92" t="s">
        <v>54</v>
      </c>
      <c r="MNC45" s="92" t="s">
        <v>54</v>
      </c>
      <c r="MND45" s="92" t="s">
        <v>54</v>
      </c>
      <c r="MNE45" s="92" t="s">
        <v>54</v>
      </c>
      <c r="MNF45" s="92" t="s">
        <v>54</v>
      </c>
      <c r="MNG45" s="92" t="s">
        <v>54</v>
      </c>
      <c r="MNH45" s="92" t="s">
        <v>54</v>
      </c>
      <c r="MNI45" s="92" t="s">
        <v>54</v>
      </c>
      <c r="MNJ45" s="92" t="s">
        <v>54</v>
      </c>
      <c r="MNK45" s="92" t="s">
        <v>54</v>
      </c>
      <c r="MNL45" s="92" t="s">
        <v>54</v>
      </c>
      <c r="MNM45" s="92" t="s">
        <v>54</v>
      </c>
      <c r="MNN45" s="92" t="s">
        <v>54</v>
      </c>
      <c r="MNO45" s="92" t="s">
        <v>54</v>
      </c>
      <c r="MNP45" s="92" t="s">
        <v>54</v>
      </c>
      <c r="MNQ45" s="92" t="s">
        <v>54</v>
      </c>
      <c r="MNR45" s="92" t="s">
        <v>54</v>
      </c>
      <c r="MNS45" s="92" t="s">
        <v>54</v>
      </c>
      <c r="MNT45" s="92" t="s">
        <v>54</v>
      </c>
      <c r="MNU45" s="92" t="s">
        <v>54</v>
      </c>
      <c r="MNV45" s="92" t="s">
        <v>54</v>
      </c>
      <c r="MNW45" s="92" t="s">
        <v>54</v>
      </c>
      <c r="MNX45" s="92" t="s">
        <v>54</v>
      </c>
      <c r="MNY45" s="92" t="s">
        <v>54</v>
      </c>
      <c r="MNZ45" s="92" t="s">
        <v>54</v>
      </c>
      <c r="MOA45" s="92" t="s">
        <v>54</v>
      </c>
      <c r="MOB45" s="92" t="s">
        <v>54</v>
      </c>
      <c r="MOC45" s="92" t="s">
        <v>54</v>
      </c>
      <c r="MOD45" s="92" t="s">
        <v>54</v>
      </c>
      <c r="MOE45" s="92" t="s">
        <v>54</v>
      </c>
      <c r="MOF45" s="92" t="s">
        <v>54</v>
      </c>
      <c r="MOG45" s="92" t="s">
        <v>54</v>
      </c>
      <c r="MOH45" s="92" t="s">
        <v>54</v>
      </c>
      <c r="MOI45" s="92" t="s">
        <v>54</v>
      </c>
      <c r="MOJ45" s="92" t="s">
        <v>54</v>
      </c>
      <c r="MOK45" s="92" t="s">
        <v>54</v>
      </c>
      <c r="MOL45" s="92" t="s">
        <v>54</v>
      </c>
      <c r="MOM45" s="92" t="s">
        <v>54</v>
      </c>
      <c r="MON45" s="92" t="s">
        <v>54</v>
      </c>
      <c r="MOO45" s="92" t="s">
        <v>54</v>
      </c>
      <c r="MOP45" s="92" t="s">
        <v>54</v>
      </c>
      <c r="MOQ45" s="92" t="s">
        <v>54</v>
      </c>
      <c r="MOR45" s="92" t="s">
        <v>54</v>
      </c>
      <c r="MOS45" s="92" t="s">
        <v>54</v>
      </c>
      <c r="MOT45" s="92" t="s">
        <v>54</v>
      </c>
      <c r="MOU45" s="92" t="s">
        <v>54</v>
      </c>
      <c r="MOV45" s="92" t="s">
        <v>54</v>
      </c>
      <c r="MOW45" s="92" t="s">
        <v>54</v>
      </c>
      <c r="MOX45" s="92" t="s">
        <v>54</v>
      </c>
      <c r="MOY45" s="92" t="s">
        <v>54</v>
      </c>
      <c r="MOZ45" s="92" t="s">
        <v>54</v>
      </c>
      <c r="MPA45" s="92" t="s">
        <v>54</v>
      </c>
      <c r="MPB45" s="92" t="s">
        <v>54</v>
      </c>
      <c r="MPC45" s="92" t="s">
        <v>54</v>
      </c>
      <c r="MPD45" s="92" t="s">
        <v>54</v>
      </c>
      <c r="MPE45" s="92" t="s">
        <v>54</v>
      </c>
      <c r="MPF45" s="92" t="s">
        <v>54</v>
      </c>
      <c r="MPG45" s="92" t="s">
        <v>54</v>
      </c>
      <c r="MPH45" s="92" t="s">
        <v>54</v>
      </c>
      <c r="MPI45" s="92" t="s">
        <v>54</v>
      </c>
      <c r="MPJ45" s="92" t="s">
        <v>54</v>
      </c>
      <c r="MPK45" s="92" t="s">
        <v>54</v>
      </c>
      <c r="MPL45" s="92" t="s">
        <v>54</v>
      </c>
      <c r="MPM45" s="92" t="s">
        <v>54</v>
      </c>
      <c r="MPN45" s="92" t="s">
        <v>54</v>
      </c>
      <c r="MPO45" s="92" t="s">
        <v>54</v>
      </c>
      <c r="MPP45" s="92" t="s">
        <v>54</v>
      </c>
      <c r="MPQ45" s="92" t="s">
        <v>54</v>
      </c>
      <c r="MPR45" s="92" t="s">
        <v>54</v>
      </c>
      <c r="MPS45" s="92" t="s">
        <v>54</v>
      </c>
      <c r="MPT45" s="92" t="s">
        <v>54</v>
      </c>
      <c r="MPU45" s="92" t="s">
        <v>54</v>
      </c>
      <c r="MPV45" s="92" t="s">
        <v>54</v>
      </c>
      <c r="MPW45" s="92" t="s">
        <v>54</v>
      </c>
      <c r="MPX45" s="92" t="s">
        <v>54</v>
      </c>
      <c r="MPY45" s="92" t="s">
        <v>54</v>
      </c>
      <c r="MPZ45" s="92" t="s">
        <v>54</v>
      </c>
      <c r="MQA45" s="92" t="s">
        <v>54</v>
      </c>
      <c r="MQB45" s="92" t="s">
        <v>54</v>
      </c>
      <c r="MQC45" s="92" t="s">
        <v>54</v>
      </c>
      <c r="MQD45" s="92" t="s">
        <v>54</v>
      </c>
      <c r="MQE45" s="92" t="s">
        <v>54</v>
      </c>
      <c r="MQF45" s="92" t="s">
        <v>54</v>
      </c>
      <c r="MQG45" s="92" t="s">
        <v>54</v>
      </c>
      <c r="MQH45" s="92" t="s">
        <v>54</v>
      </c>
      <c r="MQI45" s="92" t="s">
        <v>54</v>
      </c>
      <c r="MQJ45" s="92" t="s">
        <v>54</v>
      </c>
      <c r="MQK45" s="92" t="s">
        <v>54</v>
      </c>
      <c r="MQL45" s="92" t="s">
        <v>54</v>
      </c>
      <c r="MQM45" s="92" t="s">
        <v>54</v>
      </c>
      <c r="MQN45" s="92" t="s">
        <v>54</v>
      </c>
      <c r="MQO45" s="92" t="s">
        <v>54</v>
      </c>
      <c r="MQP45" s="92" t="s">
        <v>54</v>
      </c>
      <c r="MQQ45" s="92" t="s">
        <v>54</v>
      </c>
      <c r="MQR45" s="92" t="s">
        <v>54</v>
      </c>
      <c r="MQS45" s="92" t="s">
        <v>54</v>
      </c>
      <c r="MQT45" s="92" t="s">
        <v>54</v>
      </c>
      <c r="MQU45" s="92" t="s">
        <v>54</v>
      </c>
      <c r="MQV45" s="92" t="s">
        <v>54</v>
      </c>
      <c r="MQW45" s="92" t="s">
        <v>54</v>
      </c>
      <c r="MQX45" s="92" t="s">
        <v>54</v>
      </c>
      <c r="MQY45" s="92" t="s">
        <v>54</v>
      </c>
      <c r="MQZ45" s="92" t="s">
        <v>54</v>
      </c>
      <c r="MRA45" s="92" t="s">
        <v>54</v>
      </c>
      <c r="MRB45" s="92" t="s">
        <v>54</v>
      </c>
      <c r="MRC45" s="92" t="s">
        <v>54</v>
      </c>
      <c r="MRD45" s="92" t="s">
        <v>54</v>
      </c>
      <c r="MRE45" s="92" t="s">
        <v>54</v>
      </c>
      <c r="MRF45" s="92" t="s">
        <v>54</v>
      </c>
      <c r="MRG45" s="92" t="s">
        <v>54</v>
      </c>
      <c r="MRH45" s="92" t="s">
        <v>54</v>
      </c>
      <c r="MRI45" s="92" t="s">
        <v>54</v>
      </c>
      <c r="MRJ45" s="92" t="s">
        <v>54</v>
      </c>
      <c r="MRK45" s="92" t="s">
        <v>54</v>
      </c>
      <c r="MRL45" s="92" t="s">
        <v>54</v>
      </c>
      <c r="MRM45" s="92" t="s">
        <v>54</v>
      </c>
      <c r="MRN45" s="92" t="s">
        <v>54</v>
      </c>
      <c r="MRO45" s="92" t="s">
        <v>54</v>
      </c>
      <c r="MRP45" s="92" t="s">
        <v>54</v>
      </c>
      <c r="MRQ45" s="92" t="s">
        <v>54</v>
      </c>
      <c r="MRR45" s="92" t="s">
        <v>54</v>
      </c>
      <c r="MRS45" s="92" t="s">
        <v>54</v>
      </c>
      <c r="MRT45" s="92" t="s">
        <v>54</v>
      </c>
      <c r="MRU45" s="92" t="s">
        <v>54</v>
      </c>
      <c r="MRV45" s="92" t="s">
        <v>54</v>
      </c>
      <c r="MRW45" s="92" t="s">
        <v>54</v>
      </c>
      <c r="MRX45" s="92" t="s">
        <v>54</v>
      </c>
      <c r="MRY45" s="92" t="s">
        <v>54</v>
      </c>
      <c r="MRZ45" s="92" t="s">
        <v>54</v>
      </c>
      <c r="MSA45" s="92" t="s">
        <v>54</v>
      </c>
      <c r="MSB45" s="92" t="s">
        <v>54</v>
      </c>
      <c r="MSC45" s="92" t="s">
        <v>54</v>
      </c>
      <c r="MSD45" s="92" t="s">
        <v>54</v>
      </c>
      <c r="MSE45" s="92" t="s">
        <v>54</v>
      </c>
      <c r="MSF45" s="92" t="s">
        <v>54</v>
      </c>
      <c r="MSG45" s="92" t="s">
        <v>54</v>
      </c>
      <c r="MSH45" s="92" t="s">
        <v>54</v>
      </c>
      <c r="MSI45" s="92" t="s">
        <v>54</v>
      </c>
      <c r="MSJ45" s="92" t="s">
        <v>54</v>
      </c>
      <c r="MSK45" s="92" t="s">
        <v>54</v>
      </c>
      <c r="MSL45" s="92" t="s">
        <v>54</v>
      </c>
      <c r="MSM45" s="92" t="s">
        <v>54</v>
      </c>
      <c r="MSN45" s="92" t="s">
        <v>54</v>
      </c>
      <c r="MSO45" s="92" t="s">
        <v>54</v>
      </c>
      <c r="MSP45" s="92" t="s">
        <v>54</v>
      </c>
      <c r="MSQ45" s="92" t="s">
        <v>54</v>
      </c>
      <c r="MSR45" s="92" t="s">
        <v>54</v>
      </c>
      <c r="MSS45" s="92" t="s">
        <v>54</v>
      </c>
      <c r="MST45" s="92" t="s">
        <v>54</v>
      </c>
      <c r="MSU45" s="92" t="s">
        <v>54</v>
      </c>
      <c r="MSV45" s="92" t="s">
        <v>54</v>
      </c>
      <c r="MSW45" s="92" t="s">
        <v>54</v>
      </c>
      <c r="MSX45" s="92" t="s">
        <v>54</v>
      </c>
      <c r="MSY45" s="92" t="s">
        <v>54</v>
      </c>
      <c r="MSZ45" s="92" t="s">
        <v>54</v>
      </c>
      <c r="MTA45" s="92" t="s">
        <v>54</v>
      </c>
      <c r="MTB45" s="92" t="s">
        <v>54</v>
      </c>
      <c r="MTC45" s="92" t="s">
        <v>54</v>
      </c>
      <c r="MTD45" s="92" t="s">
        <v>54</v>
      </c>
      <c r="MTE45" s="92" t="s">
        <v>54</v>
      </c>
      <c r="MTF45" s="92" t="s">
        <v>54</v>
      </c>
      <c r="MTG45" s="92" t="s">
        <v>54</v>
      </c>
      <c r="MTH45" s="92" t="s">
        <v>54</v>
      </c>
      <c r="MTI45" s="92" t="s">
        <v>54</v>
      </c>
      <c r="MTJ45" s="92" t="s">
        <v>54</v>
      </c>
      <c r="MTK45" s="92" t="s">
        <v>54</v>
      </c>
      <c r="MTL45" s="92" t="s">
        <v>54</v>
      </c>
      <c r="MTM45" s="92" t="s">
        <v>54</v>
      </c>
      <c r="MTN45" s="92" t="s">
        <v>54</v>
      </c>
      <c r="MTO45" s="92" t="s">
        <v>54</v>
      </c>
      <c r="MTP45" s="92" t="s">
        <v>54</v>
      </c>
      <c r="MTQ45" s="92" t="s">
        <v>54</v>
      </c>
      <c r="MTR45" s="92" t="s">
        <v>54</v>
      </c>
      <c r="MTS45" s="92" t="s">
        <v>54</v>
      </c>
      <c r="MTT45" s="92" t="s">
        <v>54</v>
      </c>
      <c r="MTU45" s="92" t="s">
        <v>54</v>
      </c>
      <c r="MTV45" s="92" t="s">
        <v>54</v>
      </c>
      <c r="MTW45" s="92" t="s">
        <v>54</v>
      </c>
      <c r="MTX45" s="92" t="s">
        <v>54</v>
      </c>
      <c r="MTY45" s="92" t="s">
        <v>54</v>
      </c>
      <c r="MTZ45" s="92" t="s">
        <v>54</v>
      </c>
      <c r="MUA45" s="92" t="s">
        <v>54</v>
      </c>
      <c r="MUB45" s="92" t="s">
        <v>54</v>
      </c>
      <c r="MUC45" s="92" t="s">
        <v>54</v>
      </c>
      <c r="MUD45" s="92" t="s">
        <v>54</v>
      </c>
      <c r="MUE45" s="92" t="s">
        <v>54</v>
      </c>
      <c r="MUF45" s="92" t="s">
        <v>54</v>
      </c>
      <c r="MUG45" s="92" t="s">
        <v>54</v>
      </c>
      <c r="MUH45" s="92" t="s">
        <v>54</v>
      </c>
      <c r="MUI45" s="92" t="s">
        <v>54</v>
      </c>
      <c r="MUJ45" s="92" t="s">
        <v>54</v>
      </c>
      <c r="MUK45" s="92" t="s">
        <v>54</v>
      </c>
      <c r="MUL45" s="92" t="s">
        <v>54</v>
      </c>
      <c r="MUM45" s="92" t="s">
        <v>54</v>
      </c>
      <c r="MUN45" s="92" t="s">
        <v>54</v>
      </c>
      <c r="MUO45" s="92" t="s">
        <v>54</v>
      </c>
      <c r="MUP45" s="92" t="s">
        <v>54</v>
      </c>
      <c r="MUQ45" s="92" t="s">
        <v>54</v>
      </c>
      <c r="MUR45" s="92" t="s">
        <v>54</v>
      </c>
      <c r="MUS45" s="92" t="s">
        <v>54</v>
      </c>
      <c r="MUT45" s="92" t="s">
        <v>54</v>
      </c>
      <c r="MUU45" s="92" t="s">
        <v>54</v>
      </c>
      <c r="MUV45" s="92" t="s">
        <v>54</v>
      </c>
      <c r="MUW45" s="92" t="s">
        <v>54</v>
      </c>
      <c r="MUX45" s="92" t="s">
        <v>54</v>
      </c>
      <c r="MUY45" s="92" t="s">
        <v>54</v>
      </c>
      <c r="MUZ45" s="92" t="s">
        <v>54</v>
      </c>
      <c r="MVA45" s="92" t="s">
        <v>54</v>
      </c>
      <c r="MVB45" s="92" t="s">
        <v>54</v>
      </c>
      <c r="MVC45" s="92" t="s">
        <v>54</v>
      </c>
      <c r="MVD45" s="92" t="s">
        <v>54</v>
      </c>
      <c r="MVE45" s="92" t="s">
        <v>54</v>
      </c>
      <c r="MVF45" s="92" t="s">
        <v>54</v>
      </c>
      <c r="MVG45" s="92" t="s">
        <v>54</v>
      </c>
      <c r="MVH45" s="92" t="s">
        <v>54</v>
      </c>
      <c r="MVI45" s="92" t="s">
        <v>54</v>
      </c>
      <c r="MVJ45" s="92" t="s">
        <v>54</v>
      </c>
      <c r="MVK45" s="92" t="s">
        <v>54</v>
      </c>
      <c r="MVL45" s="92" t="s">
        <v>54</v>
      </c>
      <c r="MVM45" s="92" t="s">
        <v>54</v>
      </c>
      <c r="MVN45" s="92" t="s">
        <v>54</v>
      </c>
      <c r="MVO45" s="92" t="s">
        <v>54</v>
      </c>
      <c r="MVP45" s="92" t="s">
        <v>54</v>
      </c>
      <c r="MVQ45" s="92" t="s">
        <v>54</v>
      </c>
      <c r="MVR45" s="92" t="s">
        <v>54</v>
      </c>
      <c r="MVS45" s="92" t="s">
        <v>54</v>
      </c>
      <c r="MVT45" s="92" t="s">
        <v>54</v>
      </c>
      <c r="MVU45" s="92" t="s">
        <v>54</v>
      </c>
      <c r="MVV45" s="92" t="s">
        <v>54</v>
      </c>
      <c r="MVW45" s="92" t="s">
        <v>54</v>
      </c>
      <c r="MVX45" s="92" t="s">
        <v>54</v>
      </c>
      <c r="MVY45" s="92" t="s">
        <v>54</v>
      </c>
      <c r="MVZ45" s="92" t="s">
        <v>54</v>
      </c>
      <c r="MWA45" s="92" t="s">
        <v>54</v>
      </c>
      <c r="MWB45" s="92" t="s">
        <v>54</v>
      </c>
      <c r="MWC45" s="92" t="s">
        <v>54</v>
      </c>
      <c r="MWD45" s="92" t="s">
        <v>54</v>
      </c>
      <c r="MWE45" s="92" t="s">
        <v>54</v>
      </c>
      <c r="MWF45" s="92" t="s">
        <v>54</v>
      </c>
      <c r="MWG45" s="92" t="s">
        <v>54</v>
      </c>
      <c r="MWH45" s="92" t="s">
        <v>54</v>
      </c>
      <c r="MWI45" s="92" t="s">
        <v>54</v>
      </c>
      <c r="MWJ45" s="92" t="s">
        <v>54</v>
      </c>
      <c r="MWK45" s="92" t="s">
        <v>54</v>
      </c>
      <c r="MWL45" s="92" t="s">
        <v>54</v>
      </c>
      <c r="MWM45" s="92" t="s">
        <v>54</v>
      </c>
      <c r="MWN45" s="92" t="s">
        <v>54</v>
      </c>
      <c r="MWO45" s="92" t="s">
        <v>54</v>
      </c>
      <c r="MWP45" s="92" t="s">
        <v>54</v>
      </c>
      <c r="MWQ45" s="92" t="s">
        <v>54</v>
      </c>
      <c r="MWR45" s="92" t="s">
        <v>54</v>
      </c>
      <c r="MWS45" s="92" t="s">
        <v>54</v>
      </c>
      <c r="MWT45" s="92" t="s">
        <v>54</v>
      </c>
      <c r="MWU45" s="92" t="s">
        <v>54</v>
      </c>
      <c r="MWV45" s="92" t="s">
        <v>54</v>
      </c>
      <c r="MWW45" s="92" t="s">
        <v>54</v>
      </c>
      <c r="MWX45" s="92" t="s">
        <v>54</v>
      </c>
      <c r="MWY45" s="92" t="s">
        <v>54</v>
      </c>
      <c r="MWZ45" s="92" t="s">
        <v>54</v>
      </c>
      <c r="MXA45" s="92" t="s">
        <v>54</v>
      </c>
      <c r="MXB45" s="92" t="s">
        <v>54</v>
      </c>
      <c r="MXC45" s="92" t="s">
        <v>54</v>
      </c>
      <c r="MXD45" s="92" t="s">
        <v>54</v>
      </c>
      <c r="MXE45" s="92" t="s">
        <v>54</v>
      </c>
      <c r="MXF45" s="92" t="s">
        <v>54</v>
      </c>
      <c r="MXG45" s="92" t="s">
        <v>54</v>
      </c>
      <c r="MXH45" s="92" t="s">
        <v>54</v>
      </c>
      <c r="MXI45" s="92" t="s">
        <v>54</v>
      </c>
      <c r="MXJ45" s="92" t="s">
        <v>54</v>
      </c>
      <c r="MXK45" s="92" t="s">
        <v>54</v>
      </c>
      <c r="MXL45" s="92" t="s">
        <v>54</v>
      </c>
      <c r="MXM45" s="92" t="s">
        <v>54</v>
      </c>
      <c r="MXN45" s="92" t="s">
        <v>54</v>
      </c>
      <c r="MXO45" s="92" t="s">
        <v>54</v>
      </c>
      <c r="MXP45" s="92" t="s">
        <v>54</v>
      </c>
      <c r="MXQ45" s="92" t="s">
        <v>54</v>
      </c>
      <c r="MXR45" s="92" t="s">
        <v>54</v>
      </c>
      <c r="MXS45" s="92" t="s">
        <v>54</v>
      </c>
      <c r="MXT45" s="92" t="s">
        <v>54</v>
      </c>
      <c r="MXU45" s="92" t="s">
        <v>54</v>
      </c>
      <c r="MXV45" s="92" t="s">
        <v>54</v>
      </c>
      <c r="MXW45" s="92" t="s">
        <v>54</v>
      </c>
      <c r="MXX45" s="92" t="s">
        <v>54</v>
      </c>
      <c r="MXY45" s="92" t="s">
        <v>54</v>
      </c>
      <c r="MXZ45" s="92" t="s">
        <v>54</v>
      </c>
      <c r="MYA45" s="92" t="s">
        <v>54</v>
      </c>
      <c r="MYB45" s="92" t="s">
        <v>54</v>
      </c>
      <c r="MYC45" s="92" t="s">
        <v>54</v>
      </c>
      <c r="MYD45" s="92" t="s">
        <v>54</v>
      </c>
      <c r="MYE45" s="92" t="s">
        <v>54</v>
      </c>
      <c r="MYF45" s="92" t="s">
        <v>54</v>
      </c>
      <c r="MYG45" s="92" t="s">
        <v>54</v>
      </c>
      <c r="MYH45" s="92" t="s">
        <v>54</v>
      </c>
      <c r="MYI45" s="92" t="s">
        <v>54</v>
      </c>
      <c r="MYJ45" s="92" t="s">
        <v>54</v>
      </c>
      <c r="MYK45" s="92" t="s">
        <v>54</v>
      </c>
      <c r="MYL45" s="92" t="s">
        <v>54</v>
      </c>
      <c r="MYM45" s="92" t="s">
        <v>54</v>
      </c>
      <c r="MYN45" s="92" t="s">
        <v>54</v>
      </c>
      <c r="MYO45" s="92" t="s">
        <v>54</v>
      </c>
      <c r="MYP45" s="92" t="s">
        <v>54</v>
      </c>
      <c r="MYQ45" s="92" t="s">
        <v>54</v>
      </c>
      <c r="MYR45" s="92" t="s">
        <v>54</v>
      </c>
      <c r="MYS45" s="92" t="s">
        <v>54</v>
      </c>
      <c r="MYT45" s="92" t="s">
        <v>54</v>
      </c>
      <c r="MYU45" s="92" t="s">
        <v>54</v>
      </c>
      <c r="MYV45" s="92" t="s">
        <v>54</v>
      </c>
      <c r="MYW45" s="92" t="s">
        <v>54</v>
      </c>
      <c r="MYX45" s="92" t="s">
        <v>54</v>
      </c>
      <c r="MYY45" s="92" t="s">
        <v>54</v>
      </c>
      <c r="MYZ45" s="92" t="s">
        <v>54</v>
      </c>
      <c r="MZA45" s="92" t="s">
        <v>54</v>
      </c>
      <c r="MZB45" s="92" t="s">
        <v>54</v>
      </c>
      <c r="MZC45" s="92" t="s">
        <v>54</v>
      </c>
      <c r="MZD45" s="92" t="s">
        <v>54</v>
      </c>
      <c r="MZE45" s="92" t="s">
        <v>54</v>
      </c>
      <c r="MZF45" s="92" t="s">
        <v>54</v>
      </c>
      <c r="MZG45" s="92" t="s">
        <v>54</v>
      </c>
      <c r="MZH45" s="92" t="s">
        <v>54</v>
      </c>
      <c r="MZI45" s="92" t="s">
        <v>54</v>
      </c>
      <c r="MZJ45" s="92" t="s">
        <v>54</v>
      </c>
      <c r="MZK45" s="92" t="s">
        <v>54</v>
      </c>
      <c r="MZL45" s="92" t="s">
        <v>54</v>
      </c>
      <c r="MZM45" s="92" t="s">
        <v>54</v>
      </c>
      <c r="MZN45" s="92" t="s">
        <v>54</v>
      </c>
      <c r="MZO45" s="92" t="s">
        <v>54</v>
      </c>
      <c r="MZP45" s="92" t="s">
        <v>54</v>
      </c>
      <c r="MZQ45" s="92" t="s">
        <v>54</v>
      </c>
      <c r="MZR45" s="92" t="s">
        <v>54</v>
      </c>
      <c r="MZS45" s="92" t="s">
        <v>54</v>
      </c>
      <c r="MZT45" s="92" t="s">
        <v>54</v>
      </c>
      <c r="MZU45" s="92" t="s">
        <v>54</v>
      </c>
      <c r="MZV45" s="92" t="s">
        <v>54</v>
      </c>
      <c r="MZW45" s="92" t="s">
        <v>54</v>
      </c>
      <c r="MZX45" s="92" t="s">
        <v>54</v>
      </c>
      <c r="MZY45" s="92" t="s">
        <v>54</v>
      </c>
      <c r="MZZ45" s="92" t="s">
        <v>54</v>
      </c>
      <c r="NAA45" s="92" t="s">
        <v>54</v>
      </c>
      <c r="NAB45" s="92" t="s">
        <v>54</v>
      </c>
      <c r="NAC45" s="92" t="s">
        <v>54</v>
      </c>
      <c r="NAD45" s="92" t="s">
        <v>54</v>
      </c>
      <c r="NAE45" s="92" t="s">
        <v>54</v>
      </c>
      <c r="NAF45" s="92" t="s">
        <v>54</v>
      </c>
      <c r="NAG45" s="92" t="s">
        <v>54</v>
      </c>
      <c r="NAH45" s="92" t="s">
        <v>54</v>
      </c>
      <c r="NAI45" s="92" t="s">
        <v>54</v>
      </c>
      <c r="NAJ45" s="92" t="s">
        <v>54</v>
      </c>
      <c r="NAK45" s="92" t="s">
        <v>54</v>
      </c>
      <c r="NAL45" s="92" t="s">
        <v>54</v>
      </c>
      <c r="NAM45" s="92" t="s">
        <v>54</v>
      </c>
      <c r="NAN45" s="92" t="s">
        <v>54</v>
      </c>
      <c r="NAO45" s="92" t="s">
        <v>54</v>
      </c>
      <c r="NAP45" s="92" t="s">
        <v>54</v>
      </c>
      <c r="NAQ45" s="92" t="s">
        <v>54</v>
      </c>
      <c r="NAR45" s="92" t="s">
        <v>54</v>
      </c>
      <c r="NAS45" s="92" t="s">
        <v>54</v>
      </c>
      <c r="NAT45" s="92" t="s">
        <v>54</v>
      </c>
      <c r="NAU45" s="92" t="s">
        <v>54</v>
      </c>
      <c r="NAV45" s="92" t="s">
        <v>54</v>
      </c>
      <c r="NAW45" s="92" t="s">
        <v>54</v>
      </c>
      <c r="NAX45" s="92" t="s">
        <v>54</v>
      </c>
      <c r="NAY45" s="92" t="s">
        <v>54</v>
      </c>
      <c r="NAZ45" s="92" t="s">
        <v>54</v>
      </c>
      <c r="NBA45" s="92" t="s">
        <v>54</v>
      </c>
      <c r="NBB45" s="92" t="s">
        <v>54</v>
      </c>
      <c r="NBC45" s="92" t="s">
        <v>54</v>
      </c>
      <c r="NBD45" s="92" t="s">
        <v>54</v>
      </c>
      <c r="NBE45" s="92" t="s">
        <v>54</v>
      </c>
      <c r="NBF45" s="92" t="s">
        <v>54</v>
      </c>
      <c r="NBG45" s="92" t="s">
        <v>54</v>
      </c>
      <c r="NBH45" s="92" t="s">
        <v>54</v>
      </c>
      <c r="NBI45" s="92" t="s">
        <v>54</v>
      </c>
      <c r="NBJ45" s="92" t="s">
        <v>54</v>
      </c>
      <c r="NBK45" s="92" t="s">
        <v>54</v>
      </c>
      <c r="NBL45" s="92" t="s">
        <v>54</v>
      </c>
      <c r="NBM45" s="92" t="s">
        <v>54</v>
      </c>
      <c r="NBN45" s="92" t="s">
        <v>54</v>
      </c>
      <c r="NBO45" s="92" t="s">
        <v>54</v>
      </c>
      <c r="NBP45" s="92" t="s">
        <v>54</v>
      </c>
      <c r="NBQ45" s="92" t="s">
        <v>54</v>
      </c>
      <c r="NBR45" s="92" t="s">
        <v>54</v>
      </c>
      <c r="NBS45" s="92" t="s">
        <v>54</v>
      </c>
      <c r="NBT45" s="92" t="s">
        <v>54</v>
      </c>
      <c r="NBU45" s="92" t="s">
        <v>54</v>
      </c>
      <c r="NBV45" s="92" t="s">
        <v>54</v>
      </c>
      <c r="NBW45" s="92" t="s">
        <v>54</v>
      </c>
      <c r="NBX45" s="92" t="s">
        <v>54</v>
      </c>
      <c r="NBY45" s="92" t="s">
        <v>54</v>
      </c>
      <c r="NBZ45" s="92" t="s">
        <v>54</v>
      </c>
      <c r="NCA45" s="92" t="s">
        <v>54</v>
      </c>
      <c r="NCB45" s="92" t="s">
        <v>54</v>
      </c>
      <c r="NCC45" s="92" t="s">
        <v>54</v>
      </c>
      <c r="NCD45" s="92" t="s">
        <v>54</v>
      </c>
      <c r="NCE45" s="92" t="s">
        <v>54</v>
      </c>
      <c r="NCF45" s="92" t="s">
        <v>54</v>
      </c>
      <c r="NCG45" s="92" t="s">
        <v>54</v>
      </c>
      <c r="NCH45" s="92" t="s">
        <v>54</v>
      </c>
      <c r="NCI45" s="92" t="s">
        <v>54</v>
      </c>
      <c r="NCJ45" s="92" t="s">
        <v>54</v>
      </c>
      <c r="NCK45" s="92" t="s">
        <v>54</v>
      </c>
      <c r="NCL45" s="92" t="s">
        <v>54</v>
      </c>
      <c r="NCM45" s="92" t="s">
        <v>54</v>
      </c>
      <c r="NCN45" s="92" t="s">
        <v>54</v>
      </c>
      <c r="NCO45" s="92" t="s">
        <v>54</v>
      </c>
      <c r="NCP45" s="92" t="s">
        <v>54</v>
      </c>
      <c r="NCQ45" s="92" t="s">
        <v>54</v>
      </c>
      <c r="NCR45" s="92" t="s">
        <v>54</v>
      </c>
      <c r="NCS45" s="92" t="s">
        <v>54</v>
      </c>
      <c r="NCT45" s="92" t="s">
        <v>54</v>
      </c>
      <c r="NCU45" s="92" t="s">
        <v>54</v>
      </c>
      <c r="NCV45" s="92" t="s">
        <v>54</v>
      </c>
      <c r="NCW45" s="92" t="s">
        <v>54</v>
      </c>
      <c r="NCX45" s="92" t="s">
        <v>54</v>
      </c>
      <c r="NCY45" s="92" t="s">
        <v>54</v>
      </c>
      <c r="NCZ45" s="92" t="s">
        <v>54</v>
      </c>
      <c r="NDA45" s="92" t="s">
        <v>54</v>
      </c>
      <c r="NDB45" s="92" t="s">
        <v>54</v>
      </c>
      <c r="NDC45" s="92" t="s">
        <v>54</v>
      </c>
      <c r="NDD45" s="92" t="s">
        <v>54</v>
      </c>
      <c r="NDE45" s="92" t="s">
        <v>54</v>
      </c>
      <c r="NDF45" s="92" t="s">
        <v>54</v>
      </c>
      <c r="NDG45" s="92" t="s">
        <v>54</v>
      </c>
      <c r="NDH45" s="92" t="s">
        <v>54</v>
      </c>
      <c r="NDI45" s="92" t="s">
        <v>54</v>
      </c>
      <c r="NDJ45" s="92" t="s">
        <v>54</v>
      </c>
      <c r="NDK45" s="92" t="s">
        <v>54</v>
      </c>
      <c r="NDL45" s="92" t="s">
        <v>54</v>
      </c>
      <c r="NDM45" s="92" t="s">
        <v>54</v>
      </c>
      <c r="NDN45" s="92" t="s">
        <v>54</v>
      </c>
      <c r="NDO45" s="92" t="s">
        <v>54</v>
      </c>
      <c r="NDP45" s="92" t="s">
        <v>54</v>
      </c>
      <c r="NDQ45" s="92" t="s">
        <v>54</v>
      </c>
      <c r="NDR45" s="92" t="s">
        <v>54</v>
      </c>
      <c r="NDS45" s="92" t="s">
        <v>54</v>
      </c>
      <c r="NDT45" s="92" t="s">
        <v>54</v>
      </c>
      <c r="NDU45" s="92" t="s">
        <v>54</v>
      </c>
      <c r="NDV45" s="92" t="s">
        <v>54</v>
      </c>
      <c r="NDW45" s="92" t="s">
        <v>54</v>
      </c>
      <c r="NDX45" s="92" t="s">
        <v>54</v>
      </c>
      <c r="NDY45" s="92" t="s">
        <v>54</v>
      </c>
      <c r="NDZ45" s="92" t="s">
        <v>54</v>
      </c>
      <c r="NEA45" s="92" t="s">
        <v>54</v>
      </c>
      <c r="NEB45" s="92" t="s">
        <v>54</v>
      </c>
      <c r="NEC45" s="92" t="s">
        <v>54</v>
      </c>
      <c r="NED45" s="92" t="s">
        <v>54</v>
      </c>
      <c r="NEE45" s="92" t="s">
        <v>54</v>
      </c>
      <c r="NEF45" s="92" t="s">
        <v>54</v>
      </c>
      <c r="NEG45" s="92" t="s">
        <v>54</v>
      </c>
      <c r="NEH45" s="92" t="s">
        <v>54</v>
      </c>
      <c r="NEI45" s="92" t="s">
        <v>54</v>
      </c>
      <c r="NEJ45" s="92" t="s">
        <v>54</v>
      </c>
      <c r="NEK45" s="92" t="s">
        <v>54</v>
      </c>
      <c r="NEL45" s="92" t="s">
        <v>54</v>
      </c>
      <c r="NEM45" s="92" t="s">
        <v>54</v>
      </c>
      <c r="NEN45" s="92" t="s">
        <v>54</v>
      </c>
      <c r="NEO45" s="92" t="s">
        <v>54</v>
      </c>
      <c r="NEP45" s="92" t="s">
        <v>54</v>
      </c>
      <c r="NEQ45" s="92" t="s">
        <v>54</v>
      </c>
      <c r="NER45" s="92" t="s">
        <v>54</v>
      </c>
      <c r="NES45" s="92" t="s">
        <v>54</v>
      </c>
      <c r="NET45" s="92" t="s">
        <v>54</v>
      </c>
      <c r="NEU45" s="92" t="s">
        <v>54</v>
      </c>
      <c r="NEV45" s="92" t="s">
        <v>54</v>
      </c>
      <c r="NEW45" s="92" t="s">
        <v>54</v>
      </c>
      <c r="NEX45" s="92" t="s">
        <v>54</v>
      </c>
      <c r="NEY45" s="92" t="s">
        <v>54</v>
      </c>
      <c r="NEZ45" s="92" t="s">
        <v>54</v>
      </c>
      <c r="NFA45" s="92" t="s">
        <v>54</v>
      </c>
      <c r="NFB45" s="92" t="s">
        <v>54</v>
      </c>
      <c r="NFC45" s="92" t="s">
        <v>54</v>
      </c>
      <c r="NFD45" s="92" t="s">
        <v>54</v>
      </c>
      <c r="NFE45" s="92" t="s">
        <v>54</v>
      </c>
      <c r="NFF45" s="92" t="s">
        <v>54</v>
      </c>
      <c r="NFG45" s="92" t="s">
        <v>54</v>
      </c>
      <c r="NFH45" s="92" t="s">
        <v>54</v>
      </c>
      <c r="NFI45" s="92" t="s">
        <v>54</v>
      </c>
      <c r="NFJ45" s="92" t="s">
        <v>54</v>
      </c>
      <c r="NFK45" s="92" t="s">
        <v>54</v>
      </c>
      <c r="NFL45" s="92" t="s">
        <v>54</v>
      </c>
      <c r="NFM45" s="92" t="s">
        <v>54</v>
      </c>
      <c r="NFN45" s="92" t="s">
        <v>54</v>
      </c>
      <c r="NFO45" s="92" t="s">
        <v>54</v>
      </c>
      <c r="NFP45" s="92" t="s">
        <v>54</v>
      </c>
      <c r="NFQ45" s="92" t="s">
        <v>54</v>
      </c>
      <c r="NFR45" s="92" t="s">
        <v>54</v>
      </c>
      <c r="NFS45" s="92" t="s">
        <v>54</v>
      </c>
      <c r="NFT45" s="92" t="s">
        <v>54</v>
      </c>
      <c r="NFU45" s="92" t="s">
        <v>54</v>
      </c>
      <c r="NFV45" s="92" t="s">
        <v>54</v>
      </c>
      <c r="NFW45" s="92" t="s">
        <v>54</v>
      </c>
      <c r="NFX45" s="92" t="s">
        <v>54</v>
      </c>
      <c r="NFY45" s="92" t="s">
        <v>54</v>
      </c>
      <c r="NFZ45" s="92" t="s">
        <v>54</v>
      </c>
      <c r="NGA45" s="92" t="s">
        <v>54</v>
      </c>
      <c r="NGB45" s="92" t="s">
        <v>54</v>
      </c>
      <c r="NGC45" s="92" t="s">
        <v>54</v>
      </c>
      <c r="NGD45" s="92" t="s">
        <v>54</v>
      </c>
      <c r="NGE45" s="92" t="s">
        <v>54</v>
      </c>
      <c r="NGF45" s="92" t="s">
        <v>54</v>
      </c>
      <c r="NGG45" s="92" t="s">
        <v>54</v>
      </c>
      <c r="NGH45" s="92" t="s">
        <v>54</v>
      </c>
      <c r="NGI45" s="92" t="s">
        <v>54</v>
      </c>
      <c r="NGJ45" s="92" t="s">
        <v>54</v>
      </c>
      <c r="NGK45" s="92" t="s">
        <v>54</v>
      </c>
      <c r="NGL45" s="92" t="s">
        <v>54</v>
      </c>
      <c r="NGM45" s="92" t="s">
        <v>54</v>
      </c>
      <c r="NGN45" s="92" t="s">
        <v>54</v>
      </c>
      <c r="NGO45" s="92" t="s">
        <v>54</v>
      </c>
      <c r="NGP45" s="92" t="s">
        <v>54</v>
      </c>
      <c r="NGQ45" s="92" t="s">
        <v>54</v>
      </c>
      <c r="NGR45" s="92" t="s">
        <v>54</v>
      </c>
      <c r="NGS45" s="92" t="s">
        <v>54</v>
      </c>
      <c r="NGT45" s="92" t="s">
        <v>54</v>
      </c>
      <c r="NGU45" s="92" t="s">
        <v>54</v>
      </c>
      <c r="NGV45" s="92" t="s">
        <v>54</v>
      </c>
      <c r="NGW45" s="92" t="s">
        <v>54</v>
      </c>
      <c r="NGX45" s="92" t="s">
        <v>54</v>
      </c>
      <c r="NGY45" s="92" t="s">
        <v>54</v>
      </c>
      <c r="NGZ45" s="92" t="s">
        <v>54</v>
      </c>
      <c r="NHA45" s="92" t="s">
        <v>54</v>
      </c>
      <c r="NHB45" s="92" t="s">
        <v>54</v>
      </c>
      <c r="NHC45" s="92" t="s">
        <v>54</v>
      </c>
      <c r="NHD45" s="92" t="s">
        <v>54</v>
      </c>
      <c r="NHE45" s="92" t="s">
        <v>54</v>
      </c>
      <c r="NHF45" s="92" t="s">
        <v>54</v>
      </c>
      <c r="NHG45" s="92" t="s">
        <v>54</v>
      </c>
      <c r="NHH45" s="92" t="s">
        <v>54</v>
      </c>
      <c r="NHI45" s="92" t="s">
        <v>54</v>
      </c>
      <c r="NHJ45" s="92" t="s">
        <v>54</v>
      </c>
      <c r="NHK45" s="92" t="s">
        <v>54</v>
      </c>
      <c r="NHL45" s="92" t="s">
        <v>54</v>
      </c>
      <c r="NHM45" s="92" t="s">
        <v>54</v>
      </c>
      <c r="NHN45" s="92" t="s">
        <v>54</v>
      </c>
      <c r="NHO45" s="92" t="s">
        <v>54</v>
      </c>
      <c r="NHP45" s="92" t="s">
        <v>54</v>
      </c>
      <c r="NHQ45" s="92" t="s">
        <v>54</v>
      </c>
      <c r="NHR45" s="92" t="s">
        <v>54</v>
      </c>
      <c r="NHS45" s="92" t="s">
        <v>54</v>
      </c>
      <c r="NHT45" s="92" t="s">
        <v>54</v>
      </c>
      <c r="NHU45" s="92" t="s">
        <v>54</v>
      </c>
      <c r="NHV45" s="92" t="s">
        <v>54</v>
      </c>
      <c r="NHW45" s="92" t="s">
        <v>54</v>
      </c>
      <c r="NHX45" s="92" t="s">
        <v>54</v>
      </c>
      <c r="NHY45" s="92" t="s">
        <v>54</v>
      </c>
      <c r="NHZ45" s="92" t="s">
        <v>54</v>
      </c>
      <c r="NIA45" s="92" t="s">
        <v>54</v>
      </c>
      <c r="NIB45" s="92" t="s">
        <v>54</v>
      </c>
      <c r="NIC45" s="92" t="s">
        <v>54</v>
      </c>
      <c r="NID45" s="92" t="s">
        <v>54</v>
      </c>
      <c r="NIE45" s="92" t="s">
        <v>54</v>
      </c>
      <c r="NIF45" s="92" t="s">
        <v>54</v>
      </c>
      <c r="NIG45" s="92" t="s">
        <v>54</v>
      </c>
      <c r="NIH45" s="92" t="s">
        <v>54</v>
      </c>
      <c r="NII45" s="92" t="s">
        <v>54</v>
      </c>
      <c r="NIJ45" s="92" t="s">
        <v>54</v>
      </c>
      <c r="NIK45" s="92" t="s">
        <v>54</v>
      </c>
      <c r="NIL45" s="92" t="s">
        <v>54</v>
      </c>
      <c r="NIM45" s="92" t="s">
        <v>54</v>
      </c>
      <c r="NIN45" s="92" t="s">
        <v>54</v>
      </c>
      <c r="NIO45" s="92" t="s">
        <v>54</v>
      </c>
      <c r="NIP45" s="92" t="s">
        <v>54</v>
      </c>
      <c r="NIQ45" s="92" t="s">
        <v>54</v>
      </c>
      <c r="NIR45" s="92" t="s">
        <v>54</v>
      </c>
      <c r="NIS45" s="92" t="s">
        <v>54</v>
      </c>
      <c r="NIT45" s="92" t="s">
        <v>54</v>
      </c>
      <c r="NIU45" s="92" t="s">
        <v>54</v>
      </c>
      <c r="NIV45" s="92" t="s">
        <v>54</v>
      </c>
      <c r="NIW45" s="92" t="s">
        <v>54</v>
      </c>
      <c r="NIX45" s="92" t="s">
        <v>54</v>
      </c>
      <c r="NIY45" s="92" t="s">
        <v>54</v>
      </c>
      <c r="NIZ45" s="92" t="s">
        <v>54</v>
      </c>
      <c r="NJA45" s="92" t="s">
        <v>54</v>
      </c>
      <c r="NJB45" s="92" t="s">
        <v>54</v>
      </c>
      <c r="NJC45" s="92" t="s">
        <v>54</v>
      </c>
      <c r="NJD45" s="92" t="s">
        <v>54</v>
      </c>
      <c r="NJE45" s="92" t="s">
        <v>54</v>
      </c>
      <c r="NJF45" s="92" t="s">
        <v>54</v>
      </c>
      <c r="NJG45" s="92" t="s">
        <v>54</v>
      </c>
      <c r="NJH45" s="92" t="s">
        <v>54</v>
      </c>
      <c r="NJI45" s="92" t="s">
        <v>54</v>
      </c>
      <c r="NJJ45" s="92" t="s">
        <v>54</v>
      </c>
      <c r="NJK45" s="92" t="s">
        <v>54</v>
      </c>
      <c r="NJL45" s="92" t="s">
        <v>54</v>
      </c>
      <c r="NJM45" s="92" t="s">
        <v>54</v>
      </c>
      <c r="NJN45" s="92" t="s">
        <v>54</v>
      </c>
      <c r="NJO45" s="92" t="s">
        <v>54</v>
      </c>
      <c r="NJP45" s="92" t="s">
        <v>54</v>
      </c>
      <c r="NJQ45" s="92" t="s">
        <v>54</v>
      </c>
      <c r="NJR45" s="92" t="s">
        <v>54</v>
      </c>
      <c r="NJS45" s="92" t="s">
        <v>54</v>
      </c>
      <c r="NJT45" s="92" t="s">
        <v>54</v>
      </c>
      <c r="NJU45" s="92" t="s">
        <v>54</v>
      </c>
      <c r="NJV45" s="92" t="s">
        <v>54</v>
      </c>
      <c r="NJW45" s="92" t="s">
        <v>54</v>
      </c>
      <c r="NJX45" s="92" t="s">
        <v>54</v>
      </c>
      <c r="NJY45" s="92" t="s">
        <v>54</v>
      </c>
      <c r="NJZ45" s="92" t="s">
        <v>54</v>
      </c>
      <c r="NKA45" s="92" t="s">
        <v>54</v>
      </c>
      <c r="NKB45" s="92" t="s">
        <v>54</v>
      </c>
      <c r="NKC45" s="92" t="s">
        <v>54</v>
      </c>
      <c r="NKD45" s="92" t="s">
        <v>54</v>
      </c>
      <c r="NKE45" s="92" t="s">
        <v>54</v>
      </c>
      <c r="NKF45" s="92" t="s">
        <v>54</v>
      </c>
      <c r="NKG45" s="92" t="s">
        <v>54</v>
      </c>
      <c r="NKH45" s="92" t="s">
        <v>54</v>
      </c>
      <c r="NKI45" s="92" t="s">
        <v>54</v>
      </c>
      <c r="NKJ45" s="92" t="s">
        <v>54</v>
      </c>
      <c r="NKK45" s="92" t="s">
        <v>54</v>
      </c>
      <c r="NKL45" s="92" t="s">
        <v>54</v>
      </c>
      <c r="NKM45" s="92" t="s">
        <v>54</v>
      </c>
      <c r="NKN45" s="92" t="s">
        <v>54</v>
      </c>
      <c r="NKO45" s="92" t="s">
        <v>54</v>
      </c>
      <c r="NKP45" s="92" t="s">
        <v>54</v>
      </c>
      <c r="NKQ45" s="92" t="s">
        <v>54</v>
      </c>
      <c r="NKR45" s="92" t="s">
        <v>54</v>
      </c>
      <c r="NKS45" s="92" t="s">
        <v>54</v>
      </c>
      <c r="NKT45" s="92" t="s">
        <v>54</v>
      </c>
      <c r="NKU45" s="92" t="s">
        <v>54</v>
      </c>
      <c r="NKV45" s="92" t="s">
        <v>54</v>
      </c>
      <c r="NKW45" s="92" t="s">
        <v>54</v>
      </c>
      <c r="NKX45" s="92" t="s">
        <v>54</v>
      </c>
      <c r="NKY45" s="92" t="s">
        <v>54</v>
      </c>
      <c r="NKZ45" s="92" t="s">
        <v>54</v>
      </c>
      <c r="NLA45" s="92" t="s">
        <v>54</v>
      </c>
      <c r="NLB45" s="92" t="s">
        <v>54</v>
      </c>
      <c r="NLC45" s="92" t="s">
        <v>54</v>
      </c>
      <c r="NLD45" s="92" t="s">
        <v>54</v>
      </c>
      <c r="NLE45" s="92" t="s">
        <v>54</v>
      </c>
      <c r="NLF45" s="92" t="s">
        <v>54</v>
      </c>
      <c r="NLG45" s="92" t="s">
        <v>54</v>
      </c>
      <c r="NLH45" s="92" t="s">
        <v>54</v>
      </c>
      <c r="NLI45" s="92" t="s">
        <v>54</v>
      </c>
      <c r="NLJ45" s="92" t="s">
        <v>54</v>
      </c>
      <c r="NLK45" s="92" t="s">
        <v>54</v>
      </c>
      <c r="NLL45" s="92" t="s">
        <v>54</v>
      </c>
      <c r="NLM45" s="92" t="s">
        <v>54</v>
      </c>
      <c r="NLN45" s="92" t="s">
        <v>54</v>
      </c>
      <c r="NLO45" s="92" t="s">
        <v>54</v>
      </c>
      <c r="NLP45" s="92" t="s">
        <v>54</v>
      </c>
      <c r="NLQ45" s="92" t="s">
        <v>54</v>
      </c>
      <c r="NLR45" s="92" t="s">
        <v>54</v>
      </c>
      <c r="NLS45" s="92" t="s">
        <v>54</v>
      </c>
      <c r="NLT45" s="92" t="s">
        <v>54</v>
      </c>
      <c r="NLU45" s="92" t="s">
        <v>54</v>
      </c>
      <c r="NLV45" s="92" t="s">
        <v>54</v>
      </c>
      <c r="NLW45" s="92" t="s">
        <v>54</v>
      </c>
      <c r="NLX45" s="92" t="s">
        <v>54</v>
      </c>
      <c r="NLY45" s="92" t="s">
        <v>54</v>
      </c>
      <c r="NLZ45" s="92" t="s">
        <v>54</v>
      </c>
      <c r="NMA45" s="92" t="s">
        <v>54</v>
      </c>
      <c r="NMB45" s="92" t="s">
        <v>54</v>
      </c>
      <c r="NMC45" s="92" t="s">
        <v>54</v>
      </c>
      <c r="NMD45" s="92" t="s">
        <v>54</v>
      </c>
      <c r="NME45" s="92" t="s">
        <v>54</v>
      </c>
      <c r="NMF45" s="92" t="s">
        <v>54</v>
      </c>
      <c r="NMG45" s="92" t="s">
        <v>54</v>
      </c>
      <c r="NMH45" s="92" t="s">
        <v>54</v>
      </c>
      <c r="NMI45" s="92" t="s">
        <v>54</v>
      </c>
      <c r="NMJ45" s="92" t="s">
        <v>54</v>
      </c>
      <c r="NMK45" s="92" t="s">
        <v>54</v>
      </c>
      <c r="NML45" s="92" t="s">
        <v>54</v>
      </c>
      <c r="NMM45" s="92" t="s">
        <v>54</v>
      </c>
      <c r="NMN45" s="92" t="s">
        <v>54</v>
      </c>
      <c r="NMO45" s="92" t="s">
        <v>54</v>
      </c>
      <c r="NMP45" s="92" t="s">
        <v>54</v>
      </c>
      <c r="NMQ45" s="92" t="s">
        <v>54</v>
      </c>
      <c r="NMR45" s="92" t="s">
        <v>54</v>
      </c>
      <c r="NMS45" s="92" t="s">
        <v>54</v>
      </c>
      <c r="NMT45" s="92" t="s">
        <v>54</v>
      </c>
      <c r="NMU45" s="92" t="s">
        <v>54</v>
      </c>
      <c r="NMV45" s="92" t="s">
        <v>54</v>
      </c>
      <c r="NMW45" s="92" t="s">
        <v>54</v>
      </c>
      <c r="NMX45" s="92" t="s">
        <v>54</v>
      </c>
      <c r="NMY45" s="92" t="s">
        <v>54</v>
      </c>
      <c r="NMZ45" s="92" t="s">
        <v>54</v>
      </c>
      <c r="NNA45" s="92" t="s">
        <v>54</v>
      </c>
      <c r="NNB45" s="92" t="s">
        <v>54</v>
      </c>
      <c r="NNC45" s="92" t="s">
        <v>54</v>
      </c>
      <c r="NND45" s="92" t="s">
        <v>54</v>
      </c>
      <c r="NNE45" s="92" t="s">
        <v>54</v>
      </c>
      <c r="NNF45" s="92" t="s">
        <v>54</v>
      </c>
      <c r="NNG45" s="92" t="s">
        <v>54</v>
      </c>
      <c r="NNH45" s="92" t="s">
        <v>54</v>
      </c>
      <c r="NNI45" s="92" t="s">
        <v>54</v>
      </c>
      <c r="NNJ45" s="92" t="s">
        <v>54</v>
      </c>
      <c r="NNK45" s="92" t="s">
        <v>54</v>
      </c>
      <c r="NNL45" s="92" t="s">
        <v>54</v>
      </c>
      <c r="NNM45" s="92" t="s">
        <v>54</v>
      </c>
      <c r="NNN45" s="92" t="s">
        <v>54</v>
      </c>
      <c r="NNO45" s="92" t="s">
        <v>54</v>
      </c>
      <c r="NNP45" s="92" t="s">
        <v>54</v>
      </c>
      <c r="NNQ45" s="92" t="s">
        <v>54</v>
      </c>
      <c r="NNR45" s="92" t="s">
        <v>54</v>
      </c>
      <c r="NNS45" s="92" t="s">
        <v>54</v>
      </c>
      <c r="NNT45" s="92" t="s">
        <v>54</v>
      </c>
      <c r="NNU45" s="92" t="s">
        <v>54</v>
      </c>
      <c r="NNV45" s="92" t="s">
        <v>54</v>
      </c>
      <c r="NNW45" s="92" t="s">
        <v>54</v>
      </c>
      <c r="NNX45" s="92" t="s">
        <v>54</v>
      </c>
      <c r="NNY45" s="92" t="s">
        <v>54</v>
      </c>
      <c r="NNZ45" s="92" t="s">
        <v>54</v>
      </c>
      <c r="NOA45" s="92" t="s">
        <v>54</v>
      </c>
      <c r="NOB45" s="92" t="s">
        <v>54</v>
      </c>
      <c r="NOC45" s="92" t="s">
        <v>54</v>
      </c>
      <c r="NOD45" s="92" t="s">
        <v>54</v>
      </c>
      <c r="NOE45" s="92" t="s">
        <v>54</v>
      </c>
      <c r="NOF45" s="92" t="s">
        <v>54</v>
      </c>
      <c r="NOG45" s="92" t="s">
        <v>54</v>
      </c>
      <c r="NOH45" s="92" t="s">
        <v>54</v>
      </c>
      <c r="NOI45" s="92" t="s">
        <v>54</v>
      </c>
      <c r="NOJ45" s="92" t="s">
        <v>54</v>
      </c>
      <c r="NOK45" s="92" t="s">
        <v>54</v>
      </c>
      <c r="NOL45" s="92" t="s">
        <v>54</v>
      </c>
      <c r="NOM45" s="92" t="s">
        <v>54</v>
      </c>
      <c r="NON45" s="92" t="s">
        <v>54</v>
      </c>
      <c r="NOO45" s="92" t="s">
        <v>54</v>
      </c>
      <c r="NOP45" s="92" t="s">
        <v>54</v>
      </c>
      <c r="NOQ45" s="92" t="s">
        <v>54</v>
      </c>
      <c r="NOR45" s="92" t="s">
        <v>54</v>
      </c>
      <c r="NOS45" s="92" t="s">
        <v>54</v>
      </c>
      <c r="NOT45" s="92" t="s">
        <v>54</v>
      </c>
      <c r="NOU45" s="92" t="s">
        <v>54</v>
      </c>
      <c r="NOV45" s="92" t="s">
        <v>54</v>
      </c>
      <c r="NOW45" s="92" t="s">
        <v>54</v>
      </c>
      <c r="NOX45" s="92" t="s">
        <v>54</v>
      </c>
      <c r="NOY45" s="92" t="s">
        <v>54</v>
      </c>
      <c r="NOZ45" s="92" t="s">
        <v>54</v>
      </c>
      <c r="NPA45" s="92" t="s">
        <v>54</v>
      </c>
      <c r="NPB45" s="92" t="s">
        <v>54</v>
      </c>
      <c r="NPC45" s="92" t="s">
        <v>54</v>
      </c>
      <c r="NPD45" s="92" t="s">
        <v>54</v>
      </c>
      <c r="NPE45" s="92" t="s">
        <v>54</v>
      </c>
      <c r="NPF45" s="92" t="s">
        <v>54</v>
      </c>
      <c r="NPG45" s="92" t="s">
        <v>54</v>
      </c>
      <c r="NPH45" s="92" t="s">
        <v>54</v>
      </c>
      <c r="NPI45" s="92" t="s">
        <v>54</v>
      </c>
      <c r="NPJ45" s="92" t="s">
        <v>54</v>
      </c>
      <c r="NPK45" s="92" t="s">
        <v>54</v>
      </c>
      <c r="NPL45" s="92" t="s">
        <v>54</v>
      </c>
      <c r="NPM45" s="92" t="s">
        <v>54</v>
      </c>
      <c r="NPN45" s="92" t="s">
        <v>54</v>
      </c>
      <c r="NPO45" s="92" t="s">
        <v>54</v>
      </c>
      <c r="NPP45" s="92" t="s">
        <v>54</v>
      </c>
      <c r="NPQ45" s="92" t="s">
        <v>54</v>
      </c>
      <c r="NPR45" s="92" t="s">
        <v>54</v>
      </c>
      <c r="NPS45" s="92" t="s">
        <v>54</v>
      </c>
      <c r="NPT45" s="92" t="s">
        <v>54</v>
      </c>
      <c r="NPU45" s="92" t="s">
        <v>54</v>
      </c>
      <c r="NPV45" s="92" t="s">
        <v>54</v>
      </c>
      <c r="NPW45" s="92" t="s">
        <v>54</v>
      </c>
      <c r="NPX45" s="92" t="s">
        <v>54</v>
      </c>
      <c r="NPY45" s="92" t="s">
        <v>54</v>
      </c>
      <c r="NPZ45" s="92" t="s">
        <v>54</v>
      </c>
      <c r="NQA45" s="92" t="s">
        <v>54</v>
      </c>
      <c r="NQB45" s="92" t="s">
        <v>54</v>
      </c>
      <c r="NQC45" s="92" t="s">
        <v>54</v>
      </c>
      <c r="NQD45" s="92" t="s">
        <v>54</v>
      </c>
      <c r="NQE45" s="92" t="s">
        <v>54</v>
      </c>
      <c r="NQF45" s="92" t="s">
        <v>54</v>
      </c>
      <c r="NQG45" s="92" t="s">
        <v>54</v>
      </c>
      <c r="NQH45" s="92" t="s">
        <v>54</v>
      </c>
      <c r="NQI45" s="92" t="s">
        <v>54</v>
      </c>
      <c r="NQJ45" s="92" t="s">
        <v>54</v>
      </c>
      <c r="NQK45" s="92" t="s">
        <v>54</v>
      </c>
      <c r="NQL45" s="92" t="s">
        <v>54</v>
      </c>
      <c r="NQM45" s="92" t="s">
        <v>54</v>
      </c>
      <c r="NQN45" s="92" t="s">
        <v>54</v>
      </c>
      <c r="NQO45" s="92" t="s">
        <v>54</v>
      </c>
      <c r="NQP45" s="92" t="s">
        <v>54</v>
      </c>
      <c r="NQQ45" s="92" t="s">
        <v>54</v>
      </c>
      <c r="NQR45" s="92" t="s">
        <v>54</v>
      </c>
      <c r="NQS45" s="92" t="s">
        <v>54</v>
      </c>
      <c r="NQT45" s="92" t="s">
        <v>54</v>
      </c>
      <c r="NQU45" s="92" t="s">
        <v>54</v>
      </c>
      <c r="NQV45" s="92" t="s">
        <v>54</v>
      </c>
      <c r="NQW45" s="92" t="s">
        <v>54</v>
      </c>
      <c r="NQX45" s="92" t="s">
        <v>54</v>
      </c>
      <c r="NQY45" s="92" t="s">
        <v>54</v>
      </c>
      <c r="NQZ45" s="92" t="s">
        <v>54</v>
      </c>
      <c r="NRA45" s="92" t="s">
        <v>54</v>
      </c>
      <c r="NRB45" s="92" t="s">
        <v>54</v>
      </c>
      <c r="NRC45" s="92" t="s">
        <v>54</v>
      </c>
      <c r="NRD45" s="92" t="s">
        <v>54</v>
      </c>
      <c r="NRE45" s="92" t="s">
        <v>54</v>
      </c>
      <c r="NRF45" s="92" t="s">
        <v>54</v>
      </c>
      <c r="NRG45" s="92" t="s">
        <v>54</v>
      </c>
      <c r="NRH45" s="92" t="s">
        <v>54</v>
      </c>
      <c r="NRI45" s="92" t="s">
        <v>54</v>
      </c>
      <c r="NRJ45" s="92" t="s">
        <v>54</v>
      </c>
      <c r="NRK45" s="92" t="s">
        <v>54</v>
      </c>
      <c r="NRL45" s="92" t="s">
        <v>54</v>
      </c>
      <c r="NRM45" s="92" t="s">
        <v>54</v>
      </c>
      <c r="NRN45" s="92" t="s">
        <v>54</v>
      </c>
      <c r="NRO45" s="92" t="s">
        <v>54</v>
      </c>
      <c r="NRP45" s="92" t="s">
        <v>54</v>
      </c>
      <c r="NRQ45" s="92" t="s">
        <v>54</v>
      </c>
      <c r="NRR45" s="92" t="s">
        <v>54</v>
      </c>
      <c r="NRS45" s="92" t="s">
        <v>54</v>
      </c>
      <c r="NRT45" s="92" t="s">
        <v>54</v>
      </c>
      <c r="NRU45" s="92" t="s">
        <v>54</v>
      </c>
      <c r="NRV45" s="92" t="s">
        <v>54</v>
      </c>
      <c r="NRW45" s="92" t="s">
        <v>54</v>
      </c>
      <c r="NRX45" s="92" t="s">
        <v>54</v>
      </c>
      <c r="NRY45" s="92" t="s">
        <v>54</v>
      </c>
      <c r="NRZ45" s="92" t="s">
        <v>54</v>
      </c>
      <c r="NSA45" s="92" t="s">
        <v>54</v>
      </c>
      <c r="NSB45" s="92" t="s">
        <v>54</v>
      </c>
      <c r="NSC45" s="92" t="s">
        <v>54</v>
      </c>
      <c r="NSD45" s="92" t="s">
        <v>54</v>
      </c>
      <c r="NSE45" s="92" t="s">
        <v>54</v>
      </c>
      <c r="NSF45" s="92" t="s">
        <v>54</v>
      </c>
      <c r="NSG45" s="92" t="s">
        <v>54</v>
      </c>
      <c r="NSH45" s="92" t="s">
        <v>54</v>
      </c>
      <c r="NSI45" s="92" t="s">
        <v>54</v>
      </c>
      <c r="NSJ45" s="92" t="s">
        <v>54</v>
      </c>
      <c r="NSK45" s="92" t="s">
        <v>54</v>
      </c>
      <c r="NSL45" s="92" t="s">
        <v>54</v>
      </c>
      <c r="NSM45" s="92" t="s">
        <v>54</v>
      </c>
      <c r="NSN45" s="92" t="s">
        <v>54</v>
      </c>
      <c r="NSO45" s="92" t="s">
        <v>54</v>
      </c>
      <c r="NSP45" s="92" t="s">
        <v>54</v>
      </c>
      <c r="NSQ45" s="92" t="s">
        <v>54</v>
      </c>
      <c r="NSR45" s="92" t="s">
        <v>54</v>
      </c>
      <c r="NSS45" s="92" t="s">
        <v>54</v>
      </c>
      <c r="NST45" s="92" t="s">
        <v>54</v>
      </c>
      <c r="NSU45" s="92" t="s">
        <v>54</v>
      </c>
      <c r="NSV45" s="92" t="s">
        <v>54</v>
      </c>
      <c r="NSW45" s="92" t="s">
        <v>54</v>
      </c>
      <c r="NSX45" s="92" t="s">
        <v>54</v>
      </c>
      <c r="NSY45" s="92" t="s">
        <v>54</v>
      </c>
      <c r="NSZ45" s="92" t="s">
        <v>54</v>
      </c>
      <c r="NTA45" s="92" t="s">
        <v>54</v>
      </c>
      <c r="NTB45" s="92" t="s">
        <v>54</v>
      </c>
      <c r="NTC45" s="92" t="s">
        <v>54</v>
      </c>
      <c r="NTD45" s="92" t="s">
        <v>54</v>
      </c>
      <c r="NTE45" s="92" t="s">
        <v>54</v>
      </c>
      <c r="NTF45" s="92" t="s">
        <v>54</v>
      </c>
      <c r="NTG45" s="92" t="s">
        <v>54</v>
      </c>
      <c r="NTH45" s="92" t="s">
        <v>54</v>
      </c>
      <c r="NTI45" s="92" t="s">
        <v>54</v>
      </c>
      <c r="NTJ45" s="92" t="s">
        <v>54</v>
      </c>
      <c r="NTK45" s="92" t="s">
        <v>54</v>
      </c>
      <c r="NTL45" s="92" t="s">
        <v>54</v>
      </c>
      <c r="NTM45" s="92" t="s">
        <v>54</v>
      </c>
      <c r="NTN45" s="92" t="s">
        <v>54</v>
      </c>
      <c r="NTO45" s="92" t="s">
        <v>54</v>
      </c>
      <c r="NTP45" s="92" t="s">
        <v>54</v>
      </c>
      <c r="NTQ45" s="92" t="s">
        <v>54</v>
      </c>
      <c r="NTR45" s="92" t="s">
        <v>54</v>
      </c>
      <c r="NTS45" s="92" t="s">
        <v>54</v>
      </c>
      <c r="NTT45" s="92" t="s">
        <v>54</v>
      </c>
      <c r="NTU45" s="92" t="s">
        <v>54</v>
      </c>
      <c r="NTV45" s="92" t="s">
        <v>54</v>
      </c>
      <c r="NTW45" s="92" t="s">
        <v>54</v>
      </c>
      <c r="NTX45" s="92" t="s">
        <v>54</v>
      </c>
      <c r="NTY45" s="92" t="s">
        <v>54</v>
      </c>
      <c r="NTZ45" s="92" t="s">
        <v>54</v>
      </c>
      <c r="NUA45" s="92" t="s">
        <v>54</v>
      </c>
      <c r="NUB45" s="92" t="s">
        <v>54</v>
      </c>
      <c r="NUC45" s="92" t="s">
        <v>54</v>
      </c>
      <c r="NUD45" s="92" t="s">
        <v>54</v>
      </c>
      <c r="NUE45" s="92" t="s">
        <v>54</v>
      </c>
      <c r="NUF45" s="92" t="s">
        <v>54</v>
      </c>
      <c r="NUG45" s="92" t="s">
        <v>54</v>
      </c>
      <c r="NUH45" s="92" t="s">
        <v>54</v>
      </c>
      <c r="NUI45" s="92" t="s">
        <v>54</v>
      </c>
      <c r="NUJ45" s="92" t="s">
        <v>54</v>
      </c>
      <c r="NUK45" s="92" t="s">
        <v>54</v>
      </c>
      <c r="NUL45" s="92" t="s">
        <v>54</v>
      </c>
      <c r="NUM45" s="92" t="s">
        <v>54</v>
      </c>
      <c r="NUN45" s="92" t="s">
        <v>54</v>
      </c>
      <c r="NUO45" s="92" t="s">
        <v>54</v>
      </c>
      <c r="NUP45" s="92" t="s">
        <v>54</v>
      </c>
      <c r="NUQ45" s="92" t="s">
        <v>54</v>
      </c>
      <c r="NUR45" s="92" t="s">
        <v>54</v>
      </c>
      <c r="NUS45" s="92" t="s">
        <v>54</v>
      </c>
      <c r="NUT45" s="92" t="s">
        <v>54</v>
      </c>
      <c r="NUU45" s="92" t="s">
        <v>54</v>
      </c>
      <c r="NUV45" s="92" t="s">
        <v>54</v>
      </c>
      <c r="NUW45" s="92" t="s">
        <v>54</v>
      </c>
      <c r="NUX45" s="92" t="s">
        <v>54</v>
      </c>
      <c r="NUY45" s="92" t="s">
        <v>54</v>
      </c>
      <c r="NUZ45" s="92" t="s">
        <v>54</v>
      </c>
      <c r="NVA45" s="92" t="s">
        <v>54</v>
      </c>
      <c r="NVB45" s="92" t="s">
        <v>54</v>
      </c>
      <c r="NVC45" s="92" t="s">
        <v>54</v>
      </c>
      <c r="NVD45" s="92" t="s">
        <v>54</v>
      </c>
      <c r="NVE45" s="92" t="s">
        <v>54</v>
      </c>
      <c r="NVF45" s="92" t="s">
        <v>54</v>
      </c>
      <c r="NVG45" s="92" t="s">
        <v>54</v>
      </c>
      <c r="NVH45" s="92" t="s">
        <v>54</v>
      </c>
      <c r="NVI45" s="92" t="s">
        <v>54</v>
      </c>
      <c r="NVJ45" s="92" t="s">
        <v>54</v>
      </c>
      <c r="NVK45" s="92" t="s">
        <v>54</v>
      </c>
      <c r="NVL45" s="92" t="s">
        <v>54</v>
      </c>
      <c r="NVM45" s="92" t="s">
        <v>54</v>
      </c>
      <c r="NVN45" s="92" t="s">
        <v>54</v>
      </c>
      <c r="NVO45" s="92" t="s">
        <v>54</v>
      </c>
      <c r="NVP45" s="92" t="s">
        <v>54</v>
      </c>
      <c r="NVQ45" s="92" t="s">
        <v>54</v>
      </c>
      <c r="NVR45" s="92" t="s">
        <v>54</v>
      </c>
      <c r="NVS45" s="92" t="s">
        <v>54</v>
      </c>
      <c r="NVT45" s="92" t="s">
        <v>54</v>
      </c>
      <c r="NVU45" s="92" t="s">
        <v>54</v>
      </c>
      <c r="NVV45" s="92" t="s">
        <v>54</v>
      </c>
      <c r="NVW45" s="92" t="s">
        <v>54</v>
      </c>
      <c r="NVX45" s="92" t="s">
        <v>54</v>
      </c>
      <c r="NVY45" s="92" t="s">
        <v>54</v>
      </c>
      <c r="NVZ45" s="92" t="s">
        <v>54</v>
      </c>
      <c r="NWA45" s="92" t="s">
        <v>54</v>
      </c>
      <c r="NWB45" s="92" t="s">
        <v>54</v>
      </c>
      <c r="NWC45" s="92" t="s">
        <v>54</v>
      </c>
      <c r="NWD45" s="92" t="s">
        <v>54</v>
      </c>
      <c r="NWE45" s="92" t="s">
        <v>54</v>
      </c>
      <c r="NWF45" s="92" t="s">
        <v>54</v>
      </c>
      <c r="NWG45" s="92" t="s">
        <v>54</v>
      </c>
      <c r="NWH45" s="92" t="s">
        <v>54</v>
      </c>
      <c r="NWI45" s="92" t="s">
        <v>54</v>
      </c>
      <c r="NWJ45" s="92" t="s">
        <v>54</v>
      </c>
      <c r="NWK45" s="92" t="s">
        <v>54</v>
      </c>
      <c r="NWL45" s="92" t="s">
        <v>54</v>
      </c>
      <c r="NWM45" s="92" t="s">
        <v>54</v>
      </c>
      <c r="NWN45" s="92" t="s">
        <v>54</v>
      </c>
      <c r="NWO45" s="92" t="s">
        <v>54</v>
      </c>
      <c r="NWP45" s="92" t="s">
        <v>54</v>
      </c>
      <c r="NWQ45" s="92" t="s">
        <v>54</v>
      </c>
      <c r="NWR45" s="92" t="s">
        <v>54</v>
      </c>
      <c r="NWS45" s="92" t="s">
        <v>54</v>
      </c>
      <c r="NWT45" s="92" t="s">
        <v>54</v>
      </c>
      <c r="NWU45" s="92" t="s">
        <v>54</v>
      </c>
      <c r="NWV45" s="92" t="s">
        <v>54</v>
      </c>
      <c r="NWW45" s="92" t="s">
        <v>54</v>
      </c>
      <c r="NWX45" s="92" t="s">
        <v>54</v>
      </c>
      <c r="NWY45" s="92" t="s">
        <v>54</v>
      </c>
      <c r="NWZ45" s="92" t="s">
        <v>54</v>
      </c>
      <c r="NXA45" s="92" t="s">
        <v>54</v>
      </c>
      <c r="NXB45" s="92" t="s">
        <v>54</v>
      </c>
      <c r="NXC45" s="92" t="s">
        <v>54</v>
      </c>
      <c r="NXD45" s="92" t="s">
        <v>54</v>
      </c>
      <c r="NXE45" s="92" t="s">
        <v>54</v>
      </c>
      <c r="NXF45" s="92" t="s">
        <v>54</v>
      </c>
      <c r="NXG45" s="92" t="s">
        <v>54</v>
      </c>
      <c r="NXH45" s="92" t="s">
        <v>54</v>
      </c>
      <c r="NXI45" s="92" t="s">
        <v>54</v>
      </c>
      <c r="NXJ45" s="92" t="s">
        <v>54</v>
      </c>
      <c r="NXK45" s="92" t="s">
        <v>54</v>
      </c>
      <c r="NXL45" s="92" t="s">
        <v>54</v>
      </c>
      <c r="NXM45" s="92" t="s">
        <v>54</v>
      </c>
      <c r="NXN45" s="92" t="s">
        <v>54</v>
      </c>
      <c r="NXO45" s="92" t="s">
        <v>54</v>
      </c>
      <c r="NXP45" s="92" t="s">
        <v>54</v>
      </c>
      <c r="NXQ45" s="92" t="s">
        <v>54</v>
      </c>
      <c r="NXR45" s="92" t="s">
        <v>54</v>
      </c>
      <c r="NXS45" s="92" t="s">
        <v>54</v>
      </c>
      <c r="NXT45" s="92" t="s">
        <v>54</v>
      </c>
      <c r="NXU45" s="92" t="s">
        <v>54</v>
      </c>
      <c r="NXV45" s="92" t="s">
        <v>54</v>
      </c>
      <c r="NXW45" s="92" t="s">
        <v>54</v>
      </c>
      <c r="NXX45" s="92" t="s">
        <v>54</v>
      </c>
      <c r="NXY45" s="92" t="s">
        <v>54</v>
      </c>
      <c r="NXZ45" s="92" t="s">
        <v>54</v>
      </c>
      <c r="NYA45" s="92" t="s">
        <v>54</v>
      </c>
      <c r="NYB45" s="92" t="s">
        <v>54</v>
      </c>
      <c r="NYC45" s="92" t="s">
        <v>54</v>
      </c>
      <c r="NYD45" s="92" t="s">
        <v>54</v>
      </c>
      <c r="NYE45" s="92" t="s">
        <v>54</v>
      </c>
      <c r="NYF45" s="92" t="s">
        <v>54</v>
      </c>
      <c r="NYG45" s="92" t="s">
        <v>54</v>
      </c>
      <c r="NYH45" s="92" t="s">
        <v>54</v>
      </c>
      <c r="NYI45" s="92" t="s">
        <v>54</v>
      </c>
      <c r="NYJ45" s="92" t="s">
        <v>54</v>
      </c>
      <c r="NYK45" s="92" t="s">
        <v>54</v>
      </c>
      <c r="NYL45" s="92" t="s">
        <v>54</v>
      </c>
      <c r="NYM45" s="92" t="s">
        <v>54</v>
      </c>
      <c r="NYN45" s="92" t="s">
        <v>54</v>
      </c>
      <c r="NYO45" s="92" t="s">
        <v>54</v>
      </c>
      <c r="NYP45" s="92" t="s">
        <v>54</v>
      </c>
      <c r="NYQ45" s="92" t="s">
        <v>54</v>
      </c>
      <c r="NYR45" s="92" t="s">
        <v>54</v>
      </c>
      <c r="NYS45" s="92" t="s">
        <v>54</v>
      </c>
      <c r="NYT45" s="92" t="s">
        <v>54</v>
      </c>
      <c r="NYU45" s="92" t="s">
        <v>54</v>
      </c>
      <c r="NYV45" s="92" t="s">
        <v>54</v>
      </c>
      <c r="NYW45" s="92" t="s">
        <v>54</v>
      </c>
      <c r="NYX45" s="92" t="s">
        <v>54</v>
      </c>
      <c r="NYY45" s="92" t="s">
        <v>54</v>
      </c>
      <c r="NYZ45" s="92" t="s">
        <v>54</v>
      </c>
      <c r="NZA45" s="92" t="s">
        <v>54</v>
      </c>
      <c r="NZB45" s="92" t="s">
        <v>54</v>
      </c>
      <c r="NZC45" s="92" t="s">
        <v>54</v>
      </c>
      <c r="NZD45" s="92" t="s">
        <v>54</v>
      </c>
      <c r="NZE45" s="92" t="s">
        <v>54</v>
      </c>
      <c r="NZF45" s="92" t="s">
        <v>54</v>
      </c>
      <c r="NZG45" s="92" t="s">
        <v>54</v>
      </c>
      <c r="NZH45" s="92" t="s">
        <v>54</v>
      </c>
      <c r="NZI45" s="92" t="s">
        <v>54</v>
      </c>
      <c r="NZJ45" s="92" t="s">
        <v>54</v>
      </c>
      <c r="NZK45" s="92" t="s">
        <v>54</v>
      </c>
      <c r="NZL45" s="92" t="s">
        <v>54</v>
      </c>
      <c r="NZM45" s="92" t="s">
        <v>54</v>
      </c>
      <c r="NZN45" s="92" t="s">
        <v>54</v>
      </c>
      <c r="NZO45" s="92" t="s">
        <v>54</v>
      </c>
      <c r="NZP45" s="92" t="s">
        <v>54</v>
      </c>
      <c r="NZQ45" s="92" t="s">
        <v>54</v>
      </c>
      <c r="NZR45" s="92" t="s">
        <v>54</v>
      </c>
      <c r="NZS45" s="92" t="s">
        <v>54</v>
      </c>
      <c r="NZT45" s="92" t="s">
        <v>54</v>
      </c>
      <c r="NZU45" s="92" t="s">
        <v>54</v>
      </c>
      <c r="NZV45" s="92" t="s">
        <v>54</v>
      </c>
      <c r="NZW45" s="92" t="s">
        <v>54</v>
      </c>
      <c r="NZX45" s="92" t="s">
        <v>54</v>
      </c>
      <c r="NZY45" s="92" t="s">
        <v>54</v>
      </c>
      <c r="NZZ45" s="92" t="s">
        <v>54</v>
      </c>
      <c r="OAA45" s="92" t="s">
        <v>54</v>
      </c>
      <c r="OAB45" s="92" t="s">
        <v>54</v>
      </c>
      <c r="OAC45" s="92" t="s">
        <v>54</v>
      </c>
      <c r="OAD45" s="92" t="s">
        <v>54</v>
      </c>
      <c r="OAE45" s="92" t="s">
        <v>54</v>
      </c>
      <c r="OAF45" s="92" t="s">
        <v>54</v>
      </c>
      <c r="OAG45" s="92" t="s">
        <v>54</v>
      </c>
      <c r="OAH45" s="92" t="s">
        <v>54</v>
      </c>
      <c r="OAI45" s="92" t="s">
        <v>54</v>
      </c>
      <c r="OAJ45" s="92" t="s">
        <v>54</v>
      </c>
      <c r="OAK45" s="92" t="s">
        <v>54</v>
      </c>
      <c r="OAL45" s="92" t="s">
        <v>54</v>
      </c>
      <c r="OAM45" s="92" t="s">
        <v>54</v>
      </c>
      <c r="OAN45" s="92" t="s">
        <v>54</v>
      </c>
      <c r="OAO45" s="92" t="s">
        <v>54</v>
      </c>
      <c r="OAP45" s="92" t="s">
        <v>54</v>
      </c>
      <c r="OAQ45" s="92" t="s">
        <v>54</v>
      </c>
      <c r="OAR45" s="92" t="s">
        <v>54</v>
      </c>
      <c r="OAS45" s="92" t="s">
        <v>54</v>
      </c>
      <c r="OAT45" s="92" t="s">
        <v>54</v>
      </c>
      <c r="OAU45" s="92" t="s">
        <v>54</v>
      </c>
      <c r="OAV45" s="92" t="s">
        <v>54</v>
      </c>
      <c r="OAW45" s="92" t="s">
        <v>54</v>
      </c>
      <c r="OAX45" s="92" t="s">
        <v>54</v>
      </c>
      <c r="OAY45" s="92" t="s">
        <v>54</v>
      </c>
      <c r="OAZ45" s="92" t="s">
        <v>54</v>
      </c>
      <c r="OBA45" s="92" t="s">
        <v>54</v>
      </c>
      <c r="OBB45" s="92" t="s">
        <v>54</v>
      </c>
      <c r="OBC45" s="92" t="s">
        <v>54</v>
      </c>
      <c r="OBD45" s="92" t="s">
        <v>54</v>
      </c>
      <c r="OBE45" s="92" t="s">
        <v>54</v>
      </c>
      <c r="OBF45" s="92" t="s">
        <v>54</v>
      </c>
      <c r="OBG45" s="92" t="s">
        <v>54</v>
      </c>
      <c r="OBH45" s="92" t="s">
        <v>54</v>
      </c>
      <c r="OBI45" s="92" t="s">
        <v>54</v>
      </c>
      <c r="OBJ45" s="92" t="s">
        <v>54</v>
      </c>
      <c r="OBK45" s="92" t="s">
        <v>54</v>
      </c>
      <c r="OBL45" s="92" t="s">
        <v>54</v>
      </c>
      <c r="OBM45" s="92" t="s">
        <v>54</v>
      </c>
      <c r="OBN45" s="92" t="s">
        <v>54</v>
      </c>
      <c r="OBO45" s="92" t="s">
        <v>54</v>
      </c>
      <c r="OBP45" s="92" t="s">
        <v>54</v>
      </c>
      <c r="OBQ45" s="92" t="s">
        <v>54</v>
      </c>
      <c r="OBR45" s="92" t="s">
        <v>54</v>
      </c>
      <c r="OBS45" s="92" t="s">
        <v>54</v>
      </c>
      <c r="OBT45" s="92" t="s">
        <v>54</v>
      </c>
      <c r="OBU45" s="92" t="s">
        <v>54</v>
      </c>
      <c r="OBV45" s="92" t="s">
        <v>54</v>
      </c>
      <c r="OBW45" s="92" t="s">
        <v>54</v>
      </c>
      <c r="OBX45" s="92" t="s">
        <v>54</v>
      </c>
      <c r="OBY45" s="92" t="s">
        <v>54</v>
      </c>
      <c r="OBZ45" s="92" t="s">
        <v>54</v>
      </c>
      <c r="OCA45" s="92" t="s">
        <v>54</v>
      </c>
      <c r="OCB45" s="92" t="s">
        <v>54</v>
      </c>
      <c r="OCC45" s="92" t="s">
        <v>54</v>
      </c>
      <c r="OCD45" s="92" t="s">
        <v>54</v>
      </c>
      <c r="OCE45" s="92" t="s">
        <v>54</v>
      </c>
      <c r="OCF45" s="92" t="s">
        <v>54</v>
      </c>
      <c r="OCG45" s="92" t="s">
        <v>54</v>
      </c>
      <c r="OCH45" s="92" t="s">
        <v>54</v>
      </c>
      <c r="OCI45" s="92" t="s">
        <v>54</v>
      </c>
      <c r="OCJ45" s="92" t="s">
        <v>54</v>
      </c>
      <c r="OCK45" s="92" t="s">
        <v>54</v>
      </c>
      <c r="OCL45" s="92" t="s">
        <v>54</v>
      </c>
      <c r="OCM45" s="92" t="s">
        <v>54</v>
      </c>
      <c r="OCN45" s="92" t="s">
        <v>54</v>
      </c>
      <c r="OCO45" s="92" t="s">
        <v>54</v>
      </c>
      <c r="OCP45" s="92" t="s">
        <v>54</v>
      </c>
      <c r="OCQ45" s="92" t="s">
        <v>54</v>
      </c>
      <c r="OCR45" s="92" t="s">
        <v>54</v>
      </c>
      <c r="OCS45" s="92" t="s">
        <v>54</v>
      </c>
      <c r="OCT45" s="92" t="s">
        <v>54</v>
      </c>
      <c r="OCU45" s="92" t="s">
        <v>54</v>
      </c>
      <c r="OCV45" s="92" t="s">
        <v>54</v>
      </c>
      <c r="OCW45" s="92" t="s">
        <v>54</v>
      </c>
      <c r="OCX45" s="92" t="s">
        <v>54</v>
      </c>
      <c r="OCY45" s="92" t="s">
        <v>54</v>
      </c>
      <c r="OCZ45" s="92" t="s">
        <v>54</v>
      </c>
      <c r="ODA45" s="92" t="s">
        <v>54</v>
      </c>
      <c r="ODB45" s="92" t="s">
        <v>54</v>
      </c>
      <c r="ODC45" s="92" t="s">
        <v>54</v>
      </c>
      <c r="ODD45" s="92" t="s">
        <v>54</v>
      </c>
      <c r="ODE45" s="92" t="s">
        <v>54</v>
      </c>
      <c r="ODF45" s="92" t="s">
        <v>54</v>
      </c>
      <c r="ODG45" s="92" t="s">
        <v>54</v>
      </c>
      <c r="ODH45" s="92" t="s">
        <v>54</v>
      </c>
      <c r="ODI45" s="92" t="s">
        <v>54</v>
      </c>
      <c r="ODJ45" s="92" t="s">
        <v>54</v>
      </c>
      <c r="ODK45" s="92" t="s">
        <v>54</v>
      </c>
      <c r="ODL45" s="92" t="s">
        <v>54</v>
      </c>
      <c r="ODM45" s="92" t="s">
        <v>54</v>
      </c>
      <c r="ODN45" s="92" t="s">
        <v>54</v>
      </c>
      <c r="ODO45" s="92" t="s">
        <v>54</v>
      </c>
      <c r="ODP45" s="92" t="s">
        <v>54</v>
      </c>
      <c r="ODQ45" s="92" t="s">
        <v>54</v>
      </c>
      <c r="ODR45" s="92" t="s">
        <v>54</v>
      </c>
      <c r="ODS45" s="92" t="s">
        <v>54</v>
      </c>
      <c r="ODT45" s="92" t="s">
        <v>54</v>
      </c>
      <c r="ODU45" s="92" t="s">
        <v>54</v>
      </c>
      <c r="ODV45" s="92" t="s">
        <v>54</v>
      </c>
      <c r="ODW45" s="92" t="s">
        <v>54</v>
      </c>
      <c r="ODX45" s="92" t="s">
        <v>54</v>
      </c>
      <c r="ODY45" s="92" t="s">
        <v>54</v>
      </c>
      <c r="ODZ45" s="92" t="s">
        <v>54</v>
      </c>
      <c r="OEA45" s="92" t="s">
        <v>54</v>
      </c>
      <c r="OEB45" s="92" t="s">
        <v>54</v>
      </c>
      <c r="OEC45" s="92" t="s">
        <v>54</v>
      </c>
      <c r="OED45" s="92" t="s">
        <v>54</v>
      </c>
      <c r="OEE45" s="92" t="s">
        <v>54</v>
      </c>
      <c r="OEF45" s="92" t="s">
        <v>54</v>
      </c>
      <c r="OEG45" s="92" t="s">
        <v>54</v>
      </c>
      <c r="OEH45" s="92" t="s">
        <v>54</v>
      </c>
      <c r="OEI45" s="92" t="s">
        <v>54</v>
      </c>
      <c r="OEJ45" s="92" t="s">
        <v>54</v>
      </c>
      <c r="OEK45" s="92" t="s">
        <v>54</v>
      </c>
      <c r="OEL45" s="92" t="s">
        <v>54</v>
      </c>
      <c r="OEM45" s="92" t="s">
        <v>54</v>
      </c>
      <c r="OEN45" s="92" t="s">
        <v>54</v>
      </c>
      <c r="OEO45" s="92" t="s">
        <v>54</v>
      </c>
      <c r="OEP45" s="92" t="s">
        <v>54</v>
      </c>
      <c r="OEQ45" s="92" t="s">
        <v>54</v>
      </c>
      <c r="OER45" s="92" t="s">
        <v>54</v>
      </c>
      <c r="OES45" s="92" t="s">
        <v>54</v>
      </c>
      <c r="OET45" s="92" t="s">
        <v>54</v>
      </c>
      <c r="OEU45" s="92" t="s">
        <v>54</v>
      </c>
      <c r="OEV45" s="92" t="s">
        <v>54</v>
      </c>
      <c r="OEW45" s="92" t="s">
        <v>54</v>
      </c>
      <c r="OEX45" s="92" t="s">
        <v>54</v>
      </c>
      <c r="OEY45" s="92" t="s">
        <v>54</v>
      </c>
      <c r="OEZ45" s="92" t="s">
        <v>54</v>
      </c>
      <c r="OFA45" s="92" t="s">
        <v>54</v>
      </c>
      <c r="OFB45" s="92" t="s">
        <v>54</v>
      </c>
      <c r="OFC45" s="92" t="s">
        <v>54</v>
      </c>
      <c r="OFD45" s="92" t="s">
        <v>54</v>
      </c>
      <c r="OFE45" s="92" t="s">
        <v>54</v>
      </c>
      <c r="OFF45" s="92" t="s">
        <v>54</v>
      </c>
      <c r="OFG45" s="92" t="s">
        <v>54</v>
      </c>
      <c r="OFH45" s="92" t="s">
        <v>54</v>
      </c>
      <c r="OFI45" s="92" t="s">
        <v>54</v>
      </c>
      <c r="OFJ45" s="92" t="s">
        <v>54</v>
      </c>
      <c r="OFK45" s="92" t="s">
        <v>54</v>
      </c>
      <c r="OFL45" s="92" t="s">
        <v>54</v>
      </c>
      <c r="OFM45" s="92" t="s">
        <v>54</v>
      </c>
      <c r="OFN45" s="92" t="s">
        <v>54</v>
      </c>
      <c r="OFO45" s="92" t="s">
        <v>54</v>
      </c>
      <c r="OFP45" s="92" t="s">
        <v>54</v>
      </c>
      <c r="OFQ45" s="92" t="s">
        <v>54</v>
      </c>
      <c r="OFR45" s="92" t="s">
        <v>54</v>
      </c>
      <c r="OFS45" s="92" t="s">
        <v>54</v>
      </c>
      <c r="OFT45" s="92" t="s">
        <v>54</v>
      </c>
      <c r="OFU45" s="92" t="s">
        <v>54</v>
      </c>
      <c r="OFV45" s="92" t="s">
        <v>54</v>
      </c>
      <c r="OFW45" s="92" t="s">
        <v>54</v>
      </c>
      <c r="OFX45" s="92" t="s">
        <v>54</v>
      </c>
      <c r="OFY45" s="92" t="s">
        <v>54</v>
      </c>
      <c r="OFZ45" s="92" t="s">
        <v>54</v>
      </c>
      <c r="OGA45" s="92" t="s">
        <v>54</v>
      </c>
      <c r="OGB45" s="92" t="s">
        <v>54</v>
      </c>
      <c r="OGC45" s="92" t="s">
        <v>54</v>
      </c>
      <c r="OGD45" s="92" t="s">
        <v>54</v>
      </c>
      <c r="OGE45" s="92" t="s">
        <v>54</v>
      </c>
      <c r="OGF45" s="92" t="s">
        <v>54</v>
      </c>
      <c r="OGG45" s="92" t="s">
        <v>54</v>
      </c>
      <c r="OGH45" s="92" t="s">
        <v>54</v>
      </c>
      <c r="OGI45" s="92" t="s">
        <v>54</v>
      </c>
      <c r="OGJ45" s="92" t="s">
        <v>54</v>
      </c>
      <c r="OGK45" s="92" t="s">
        <v>54</v>
      </c>
      <c r="OGL45" s="92" t="s">
        <v>54</v>
      </c>
      <c r="OGM45" s="92" t="s">
        <v>54</v>
      </c>
      <c r="OGN45" s="92" t="s">
        <v>54</v>
      </c>
      <c r="OGO45" s="92" t="s">
        <v>54</v>
      </c>
      <c r="OGP45" s="92" t="s">
        <v>54</v>
      </c>
      <c r="OGQ45" s="92" t="s">
        <v>54</v>
      </c>
      <c r="OGR45" s="92" t="s">
        <v>54</v>
      </c>
      <c r="OGS45" s="92" t="s">
        <v>54</v>
      </c>
      <c r="OGT45" s="92" t="s">
        <v>54</v>
      </c>
      <c r="OGU45" s="92" t="s">
        <v>54</v>
      </c>
      <c r="OGV45" s="92" t="s">
        <v>54</v>
      </c>
      <c r="OGW45" s="92" t="s">
        <v>54</v>
      </c>
      <c r="OGX45" s="92" t="s">
        <v>54</v>
      </c>
      <c r="OGY45" s="92" t="s">
        <v>54</v>
      </c>
      <c r="OGZ45" s="92" t="s">
        <v>54</v>
      </c>
      <c r="OHA45" s="92" t="s">
        <v>54</v>
      </c>
      <c r="OHB45" s="92" t="s">
        <v>54</v>
      </c>
      <c r="OHC45" s="92" t="s">
        <v>54</v>
      </c>
      <c r="OHD45" s="92" t="s">
        <v>54</v>
      </c>
      <c r="OHE45" s="92" t="s">
        <v>54</v>
      </c>
      <c r="OHF45" s="92" t="s">
        <v>54</v>
      </c>
      <c r="OHG45" s="92" t="s">
        <v>54</v>
      </c>
      <c r="OHH45" s="92" t="s">
        <v>54</v>
      </c>
      <c r="OHI45" s="92" t="s">
        <v>54</v>
      </c>
      <c r="OHJ45" s="92" t="s">
        <v>54</v>
      </c>
      <c r="OHK45" s="92" t="s">
        <v>54</v>
      </c>
      <c r="OHL45" s="92" t="s">
        <v>54</v>
      </c>
      <c r="OHM45" s="92" t="s">
        <v>54</v>
      </c>
      <c r="OHN45" s="92" t="s">
        <v>54</v>
      </c>
      <c r="OHO45" s="92" t="s">
        <v>54</v>
      </c>
      <c r="OHP45" s="92" t="s">
        <v>54</v>
      </c>
      <c r="OHQ45" s="92" t="s">
        <v>54</v>
      </c>
      <c r="OHR45" s="92" t="s">
        <v>54</v>
      </c>
      <c r="OHS45" s="92" t="s">
        <v>54</v>
      </c>
      <c r="OHT45" s="92" t="s">
        <v>54</v>
      </c>
      <c r="OHU45" s="92" t="s">
        <v>54</v>
      </c>
      <c r="OHV45" s="92" t="s">
        <v>54</v>
      </c>
      <c r="OHW45" s="92" t="s">
        <v>54</v>
      </c>
      <c r="OHX45" s="92" t="s">
        <v>54</v>
      </c>
      <c r="OHY45" s="92" t="s">
        <v>54</v>
      </c>
      <c r="OHZ45" s="92" t="s">
        <v>54</v>
      </c>
      <c r="OIA45" s="92" t="s">
        <v>54</v>
      </c>
      <c r="OIB45" s="92" t="s">
        <v>54</v>
      </c>
      <c r="OIC45" s="92" t="s">
        <v>54</v>
      </c>
      <c r="OID45" s="92" t="s">
        <v>54</v>
      </c>
      <c r="OIE45" s="92" t="s">
        <v>54</v>
      </c>
      <c r="OIF45" s="92" t="s">
        <v>54</v>
      </c>
      <c r="OIG45" s="92" t="s">
        <v>54</v>
      </c>
      <c r="OIH45" s="92" t="s">
        <v>54</v>
      </c>
      <c r="OII45" s="92" t="s">
        <v>54</v>
      </c>
      <c r="OIJ45" s="92" t="s">
        <v>54</v>
      </c>
      <c r="OIK45" s="92" t="s">
        <v>54</v>
      </c>
      <c r="OIL45" s="92" t="s">
        <v>54</v>
      </c>
      <c r="OIM45" s="92" t="s">
        <v>54</v>
      </c>
      <c r="OIN45" s="92" t="s">
        <v>54</v>
      </c>
      <c r="OIO45" s="92" t="s">
        <v>54</v>
      </c>
      <c r="OIP45" s="92" t="s">
        <v>54</v>
      </c>
      <c r="OIQ45" s="92" t="s">
        <v>54</v>
      </c>
      <c r="OIR45" s="92" t="s">
        <v>54</v>
      </c>
      <c r="OIS45" s="92" t="s">
        <v>54</v>
      </c>
      <c r="OIT45" s="92" t="s">
        <v>54</v>
      </c>
      <c r="OIU45" s="92" t="s">
        <v>54</v>
      </c>
      <c r="OIV45" s="92" t="s">
        <v>54</v>
      </c>
      <c r="OIW45" s="92" t="s">
        <v>54</v>
      </c>
      <c r="OIX45" s="92" t="s">
        <v>54</v>
      </c>
      <c r="OIY45" s="92" t="s">
        <v>54</v>
      </c>
      <c r="OIZ45" s="92" t="s">
        <v>54</v>
      </c>
      <c r="OJA45" s="92" t="s">
        <v>54</v>
      </c>
      <c r="OJB45" s="92" t="s">
        <v>54</v>
      </c>
      <c r="OJC45" s="92" t="s">
        <v>54</v>
      </c>
      <c r="OJD45" s="92" t="s">
        <v>54</v>
      </c>
      <c r="OJE45" s="92" t="s">
        <v>54</v>
      </c>
      <c r="OJF45" s="92" t="s">
        <v>54</v>
      </c>
      <c r="OJG45" s="92" t="s">
        <v>54</v>
      </c>
      <c r="OJH45" s="92" t="s">
        <v>54</v>
      </c>
      <c r="OJI45" s="92" t="s">
        <v>54</v>
      </c>
      <c r="OJJ45" s="92" t="s">
        <v>54</v>
      </c>
      <c r="OJK45" s="92" t="s">
        <v>54</v>
      </c>
      <c r="OJL45" s="92" t="s">
        <v>54</v>
      </c>
      <c r="OJM45" s="92" t="s">
        <v>54</v>
      </c>
      <c r="OJN45" s="92" t="s">
        <v>54</v>
      </c>
      <c r="OJO45" s="92" t="s">
        <v>54</v>
      </c>
      <c r="OJP45" s="92" t="s">
        <v>54</v>
      </c>
      <c r="OJQ45" s="92" t="s">
        <v>54</v>
      </c>
      <c r="OJR45" s="92" t="s">
        <v>54</v>
      </c>
      <c r="OJS45" s="92" t="s">
        <v>54</v>
      </c>
      <c r="OJT45" s="92" t="s">
        <v>54</v>
      </c>
      <c r="OJU45" s="92" t="s">
        <v>54</v>
      </c>
      <c r="OJV45" s="92" t="s">
        <v>54</v>
      </c>
      <c r="OJW45" s="92" t="s">
        <v>54</v>
      </c>
      <c r="OJX45" s="92" t="s">
        <v>54</v>
      </c>
      <c r="OJY45" s="92" t="s">
        <v>54</v>
      </c>
      <c r="OJZ45" s="92" t="s">
        <v>54</v>
      </c>
      <c r="OKA45" s="92" t="s">
        <v>54</v>
      </c>
      <c r="OKB45" s="92" t="s">
        <v>54</v>
      </c>
      <c r="OKC45" s="92" t="s">
        <v>54</v>
      </c>
      <c r="OKD45" s="92" t="s">
        <v>54</v>
      </c>
      <c r="OKE45" s="92" t="s">
        <v>54</v>
      </c>
      <c r="OKF45" s="92" t="s">
        <v>54</v>
      </c>
      <c r="OKG45" s="92" t="s">
        <v>54</v>
      </c>
      <c r="OKH45" s="92" t="s">
        <v>54</v>
      </c>
      <c r="OKI45" s="92" t="s">
        <v>54</v>
      </c>
      <c r="OKJ45" s="92" t="s">
        <v>54</v>
      </c>
      <c r="OKK45" s="92" t="s">
        <v>54</v>
      </c>
      <c r="OKL45" s="92" t="s">
        <v>54</v>
      </c>
      <c r="OKM45" s="92" t="s">
        <v>54</v>
      </c>
      <c r="OKN45" s="92" t="s">
        <v>54</v>
      </c>
      <c r="OKO45" s="92" t="s">
        <v>54</v>
      </c>
      <c r="OKP45" s="92" t="s">
        <v>54</v>
      </c>
      <c r="OKQ45" s="92" t="s">
        <v>54</v>
      </c>
      <c r="OKR45" s="92" t="s">
        <v>54</v>
      </c>
      <c r="OKS45" s="92" t="s">
        <v>54</v>
      </c>
      <c r="OKT45" s="92" t="s">
        <v>54</v>
      </c>
      <c r="OKU45" s="92" t="s">
        <v>54</v>
      </c>
      <c r="OKV45" s="92" t="s">
        <v>54</v>
      </c>
      <c r="OKW45" s="92" t="s">
        <v>54</v>
      </c>
      <c r="OKX45" s="92" t="s">
        <v>54</v>
      </c>
      <c r="OKY45" s="92" t="s">
        <v>54</v>
      </c>
      <c r="OKZ45" s="92" t="s">
        <v>54</v>
      </c>
      <c r="OLA45" s="92" t="s">
        <v>54</v>
      </c>
      <c r="OLB45" s="92" t="s">
        <v>54</v>
      </c>
      <c r="OLC45" s="92" t="s">
        <v>54</v>
      </c>
      <c r="OLD45" s="92" t="s">
        <v>54</v>
      </c>
      <c r="OLE45" s="92" t="s">
        <v>54</v>
      </c>
      <c r="OLF45" s="92" t="s">
        <v>54</v>
      </c>
      <c r="OLG45" s="92" t="s">
        <v>54</v>
      </c>
      <c r="OLH45" s="92" t="s">
        <v>54</v>
      </c>
      <c r="OLI45" s="92" t="s">
        <v>54</v>
      </c>
      <c r="OLJ45" s="92" t="s">
        <v>54</v>
      </c>
      <c r="OLK45" s="92" t="s">
        <v>54</v>
      </c>
      <c r="OLL45" s="92" t="s">
        <v>54</v>
      </c>
      <c r="OLM45" s="92" t="s">
        <v>54</v>
      </c>
      <c r="OLN45" s="92" t="s">
        <v>54</v>
      </c>
      <c r="OLO45" s="92" t="s">
        <v>54</v>
      </c>
      <c r="OLP45" s="92" t="s">
        <v>54</v>
      </c>
      <c r="OLQ45" s="92" t="s">
        <v>54</v>
      </c>
      <c r="OLR45" s="92" t="s">
        <v>54</v>
      </c>
      <c r="OLS45" s="92" t="s">
        <v>54</v>
      </c>
      <c r="OLT45" s="92" t="s">
        <v>54</v>
      </c>
      <c r="OLU45" s="92" t="s">
        <v>54</v>
      </c>
      <c r="OLV45" s="92" t="s">
        <v>54</v>
      </c>
      <c r="OLW45" s="92" t="s">
        <v>54</v>
      </c>
      <c r="OLX45" s="92" t="s">
        <v>54</v>
      </c>
      <c r="OLY45" s="92" t="s">
        <v>54</v>
      </c>
      <c r="OLZ45" s="92" t="s">
        <v>54</v>
      </c>
      <c r="OMA45" s="92" t="s">
        <v>54</v>
      </c>
      <c r="OMB45" s="92" t="s">
        <v>54</v>
      </c>
      <c r="OMC45" s="92" t="s">
        <v>54</v>
      </c>
      <c r="OMD45" s="92" t="s">
        <v>54</v>
      </c>
      <c r="OME45" s="92" t="s">
        <v>54</v>
      </c>
      <c r="OMF45" s="92" t="s">
        <v>54</v>
      </c>
      <c r="OMG45" s="92" t="s">
        <v>54</v>
      </c>
      <c r="OMH45" s="92" t="s">
        <v>54</v>
      </c>
      <c r="OMI45" s="92" t="s">
        <v>54</v>
      </c>
      <c r="OMJ45" s="92" t="s">
        <v>54</v>
      </c>
      <c r="OMK45" s="92" t="s">
        <v>54</v>
      </c>
      <c r="OML45" s="92" t="s">
        <v>54</v>
      </c>
      <c r="OMM45" s="92" t="s">
        <v>54</v>
      </c>
      <c r="OMN45" s="92" t="s">
        <v>54</v>
      </c>
      <c r="OMO45" s="92" t="s">
        <v>54</v>
      </c>
      <c r="OMP45" s="92" t="s">
        <v>54</v>
      </c>
      <c r="OMQ45" s="92" t="s">
        <v>54</v>
      </c>
      <c r="OMR45" s="92" t="s">
        <v>54</v>
      </c>
      <c r="OMS45" s="92" t="s">
        <v>54</v>
      </c>
      <c r="OMT45" s="92" t="s">
        <v>54</v>
      </c>
      <c r="OMU45" s="92" t="s">
        <v>54</v>
      </c>
      <c r="OMV45" s="92" t="s">
        <v>54</v>
      </c>
      <c r="OMW45" s="92" t="s">
        <v>54</v>
      </c>
      <c r="OMX45" s="92" t="s">
        <v>54</v>
      </c>
      <c r="OMY45" s="92" t="s">
        <v>54</v>
      </c>
      <c r="OMZ45" s="92" t="s">
        <v>54</v>
      </c>
      <c r="ONA45" s="92" t="s">
        <v>54</v>
      </c>
      <c r="ONB45" s="92" t="s">
        <v>54</v>
      </c>
      <c r="ONC45" s="92" t="s">
        <v>54</v>
      </c>
      <c r="OND45" s="92" t="s">
        <v>54</v>
      </c>
      <c r="ONE45" s="92" t="s">
        <v>54</v>
      </c>
      <c r="ONF45" s="92" t="s">
        <v>54</v>
      </c>
      <c r="ONG45" s="92" t="s">
        <v>54</v>
      </c>
      <c r="ONH45" s="92" t="s">
        <v>54</v>
      </c>
      <c r="ONI45" s="92" t="s">
        <v>54</v>
      </c>
      <c r="ONJ45" s="92" t="s">
        <v>54</v>
      </c>
      <c r="ONK45" s="92" t="s">
        <v>54</v>
      </c>
      <c r="ONL45" s="92" t="s">
        <v>54</v>
      </c>
      <c r="ONM45" s="92" t="s">
        <v>54</v>
      </c>
      <c r="ONN45" s="92" t="s">
        <v>54</v>
      </c>
      <c r="ONO45" s="92" t="s">
        <v>54</v>
      </c>
      <c r="ONP45" s="92" t="s">
        <v>54</v>
      </c>
      <c r="ONQ45" s="92" t="s">
        <v>54</v>
      </c>
      <c r="ONR45" s="92" t="s">
        <v>54</v>
      </c>
      <c r="ONS45" s="92" t="s">
        <v>54</v>
      </c>
      <c r="ONT45" s="92" t="s">
        <v>54</v>
      </c>
      <c r="ONU45" s="92" t="s">
        <v>54</v>
      </c>
      <c r="ONV45" s="92" t="s">
        <v>54</v>
      </c>
      <c r="ONW45" s="92" t="s">
        <v>54</v>
      </c>
      <c r="ONX45" s="92" t="s">
        <v>54</v>
      </c>
      <c r="ONY45" s="92" t="s">
        <v>54</v>
      </c>
      <c r="ONZ45" s="92" t="s">
        <v>54</v>
      </c>
      <c r="OOA45" s="92" t="s">
        <v>54</v>
      </c>
      <c r="OOB45" s="92" t="s">
        <v>54</v>
      </c>
      <c r="OOC45" s="92" t="s">
        <v>54</v>
      </c>
      <c r="OOD45" s="92" t="s">
        <v>54</v>
      </c>
      <c r="OOE45" s="92" t="s">
        <v>54</v>
      </c>
      <c r="OOF45" s="92" t="s">
        <v>54</v>
      </c>
      <c r="OOG45" s="92" t="s">
        <v>54</v>
      </c>
      <c r="OOH45" s="92" t="s">
        <v>54</v>
      </c>
      <c r="OOI45" s="92" t="s">
        <v>54</v>
      </c>
      <c r="OOJ45" s="92" t="s">
        <v>54</v>
      </c>
      <c r="OOK45" s="92" t="s">
        <v>54</v>
      </c>
      <c r="OOL45" s="92" t="s">
        <v>54</v>
      </c>
      <c r="OOM45" s="92" t="s">
        <v>54</v>
      </c>
      <c r="OON45" s="92" t="s">
        <v>54</v>
      </c>
      <c r="OOO45" s="92" t="s">
        <v>54</v>
      </c>
      <c r="OOP45" s="92" t="s">
        <v>54</v>
      </c>
      <c r="OOQ45" s="92" t="s">
        <v>54</v>
      </c>
      <c r="OOR45" s="92" t="s">
        <v>54</v>
      </c>
      <c r="OOS45" s="92" t="s">
        <v>54</v>
      </c>
      <c r="OOT45" s="92" t="s">
        <v>54</v>
      </c>
      <c r="OOU45" s="92" t="s">
        <v>54</v>
      </c>
      <c r="OOV45" s="92" t="s">
        <v>54</v>
      </c>
      <c r="OOW45" s="92" t="s">
        <v>54</v>
      </c>
      <c r="OOX45" s="92" t="s">
        <v>54</v>
      </c>
      <c r="OOY45" s="92" t="s">
        <v>54</v>
      </c>
      <c r="OOZ45" s="92" t="s">
        <v>54</v>
      </c>
      <c r="OPA45" s="92" t="s">
        <v>54</v>
      </c>
      <c r="OPB45" s="92" t="s">
        <v>54</v>
      </c>
      <c r="OPC45" s="92" t="s">
        <v>54</v>
      </c>
      <c r="OPD45" s="92" t="s">
        <v>54</v>
      </c>
      <c r="OPE45" s="92" t="s">
        <v>54</v>
      </c>
      <c r="OPF45" s="92" t="s">
        <v>54</v>
      </c>
      <c r="OPG45" s="92" t="s">
        <v>54</v>
      </c>
      <c r="OPH45" s="92" t="s">
        <v>54</v>
      </c>
      <c r="OPI45" s="92" t="s">
        <v>54</v>
      </c>
      <c r="OPJ45" s="92" t="s">
        <v>54</v>
      </c>
      <c r="OPK45" s="92" t="s">
        <v>54</v>
      </c>
      <c r="OPL45" s="92" t="s">
        <v>54</v>
      </c>
      <c r="OPM45" s="92" t="s">
        <v>54</v>
      </c>
      <c r="OPN45" s="92" t="s">
        <v>54</v>
      </c>
      <c r="OPO45" s="92" t="s">
        <v>54</v>
      </c>
      <c r="OPP45" s="92" t="s">
        <v>54</v>
      </c>
      <c r="OPQ45" s="92" t="s">
        <v>54</v>
      </c>
      <c r="OPR45" s="92" t="s">
        <v>54</v>
      </c>
      <c r="OPS45" s="92" t="s">
        <v>54</v>
      </c>
      <c r="OPT45" s="92" t="s">
        <v>54</v>
      </c>
      <c r="OPU45" s="92" t="s">
        <v>54</v>
      </c>
      <c r="OPV45" s="92" t="s">
        <v>54</v>
      </c>
      <c r="OPW45" s="92" t="s">
        <v>54</v>
      </c>
      <c r="OPX45" s="92" t="s">
        <v>54</v>
      </c>
      <c r="OPY45" s="92" t="s">
        <v>54</v>
      </c>
      <c r="OPZ45" s="92" t="s">
        <v>54</v>
      </c>
      <c r="OQA45" s="92" t="s">
        <v>54</v>
      </c>
      <c r="OQB45" s="92" t="s">
        <v>54</v>
      </c>
      <c r="OQC45" s="92" t="s">
        <v>54</v>
      </c>
      <c r="OQD45" s="92" t="s">
        <v>54</v>
      </c>
      <c r="OQE45" s="92" t="s">
        <v>54</v>
      </c>
      <c r="OQF45" s="92" t="s">
        <v>54</v>
      </c>
      <c r="OQG45" s="92" t="s">
        <v>54</v>
      </c>
      <c r="OQH45" s="92" t="s">
        <v>54</v>
      </c>
      <c r="OQI45" s="92" t="s">
        <v>54</v>
      </c>
      <c r="OQJ45" s="92" t="s">
        <v>54</v>
      </c>
      <c r="OQK45" s="92" t="s">
        <v>54</v>
      </c>
      <c r="OQL45" s="92" t="s">
        <v>54</v>
      </c>
      <c r="OQM45" s="92" t="s">
        <v>54</v>
      </c>
      <c r="OQN45" s="92" t="s">
        <v>54</v>
      </c>
      <c r="OQO45" s="92" t="s">
        <v>54</v>
      </c>
      <c r="OQP45" s="92" t="s">
        <v>54</v>
      </c>
      <c r="OQQ45" s="92" t="s">
        <v>54</v>
      </c>
      <c r="OQR45" s="92" t="s">
        <v>54</v>
      </c>
      <c r="OQS45" s="92" t="s">
        <v>54</v>
      </c>
      <c r="OQT45" s="92" t="s">
        <v>54</v>
      </c>
      <c r="OQU45" s="92" t="s">
        <v>54</v>
      </c>
      <c r="OQV45" s="92" t="s">
        <v>54</v>
      </c>
      <c r="OQW45" s="92" t="s">
        <v>54</v>
      </c>
      <c r="OQX45" s="92" t="s">
        <v>54</v>
      </c>
      <c r="OQY45" s="92" t="s">
        <v>54</v>
      </c>
      <c r="OQZ45" s="92" t="s">
        <v>54</v>
      </c>
      <c r="ORA45" s="92" t="s">
        <v>54</v>
      </c>
      <c r="ORB45" s="92" t="s">
        <v>54</v>
      </c>
      <c r="ORC45" s="92" t="s">
        <v>54</v>
      </c>
      <c r="ORD45" s="92" t="s">
        <v>54</v>
      </c>
      <c r="ORE45" s="92" t="s">
        <v>54</v>
      </c>
      <c r="ORF45" s="92" t="s">
        <v>54</v>
      </c>
      <c r="ORG45" s="92" t="s">
        <v>54</v>
      </c>
      <c r="ORH45" s="92" t="s">
        <v>54</v>
      </c>
      <c r="ORI45" s="92" t="s">
        <v>54</v>
      </c>
      <c r="ORJ45" s="92" t="s">
        <v>54</v>
      </c>
      <c r="ORK45" s="92" t="s">
        <v>54</v>
      </c>
      <c r="ORL45" s="92" t="s">
        <v>54</v>
      </c>
      <c r="ORM45" s="92" t="s">
        <v>54</v>
      </c>
      <c r="ORN45" s="92" t="s">
        <v>54</v>
      </c>
      <c r="ORO45" s="92" t="s">
        <v>54</v>
      </c>
      <c r="ORP45" s="92" t="s">
        <v>54</v>
      </c>
      <c r="ORQ45" s="92" t="s">
        <v>54</v>
      </c>
      <c r="ORR45" s="92" t="s">
        <v>54</v>
      </c>
      <c r="ORS45" s="92" t="s">
        <v>54</v>
      </c>
      <c r="ORT45" s="92" t="s">
        <v>54</v>
      </c>
      <c r="ORU45" s="92" t="s">
        <v>54</v>
      </c>
      <c r="ORV45" s="92" t="s">
        <v>54</v>
      </c>
      <c r="ORW45" s="92" t="s">
        <v>54</v>
      </c>
      <c r="ORX45" s="92" t="s">
        <v>54</v>
      </c>
      <c r="ORY45" s="92" t="s">
        <v>54</v>
      </c>
      <c r="ORZ45" s="92" t="s">
        <v>54</v>
      </c>
      <c r="OSA45" s="92" t="s">
        <v>54</v>
      </c>
      <c r="OSB45" s="92" t="s">
        <v>54</v>
      </c>
      <c r="OSC45" s="92" t="s">
        <v>54</v>
      </c>
      <c r="OSD45" s="92" t="s">
        <v>54</v>
      </c>
      <c r="OSE45" s="92" t="s">
        <v>54</v>
      </c>
      <c r="OSF45" s="92" t="s">
        <v>54</v>
      </c>
      <c r="OSG45" s="92" t="s">
        <v>54</v>
      </c>
      <c r="OSH45" s="92" t="s">
        <v>54</v>
      </c>
      <c r="OSI45" s="92" t="s">
        <v>54</v>
      </c>
      <c r="OSJ45" s="92" t="s">
        <v>54</v>
      </c>
      <c r="OSK45" s="92" t="s">
        <v>54</v>
      </c>
      <c r="OSL45" s="92" t="s">
        <v>54</v>
      </c>
      <c r="OSM45" s="92" t="s">
        <v>54</v>
      </c>
      <c r="OSN45" s="92" t="s">
        <v>54</v>
      </c>
      <c r="OSO45" s="92" t="s">
        <v>54</v>
      </c>
      <c r="OSP45" s="92" t="s">
        <v>54</v>
      </c>
      <c r="OSQ45" s="92" t="s">
        <v>54</v>
      </c>
      <c r="OSR45" s="92" t="s">
        <v>54</v>
      </c>
      <c r="OSS45" s="92" t="s">
        <v>54</v>
      </c>
      <c r="OST45" s="92" t="s">
        <v>54</v>
      </c>
      <c r="OSU45" s="92" t="s">
        <v>54</v>
      </c>
      <c r="OSV45" s="92" t="s">
        <v>54</v>
      </c>
      <c r="OSW45" s="92" t="s">
        <v>54</v>
      </c>
      <c r="OSX45" s="92" t="s">
        <v>54</v>
      </c>
      <c r="OSY45" s="92" t="s">
        <v>54</v>
      </c>
      <c r="OSZ45" s="92" t="s">
        <v>54</v>
      </c>
      <c r="OTA45" s="92" t="s">
        <v>54</v>
      </c>
      <c r="OTB45" s="92" t="s">
        <v>54</v>
      </c>
      <c r="OTC45" s="92" t="s">
        <v>54</v>
      </c>
      <c r="OTD45" s="92" t="s">
        <v>54</v>
      </c>
      <c r="OTE45" s="92" t="s">
        <v>54</v>
      </c>
      <c r="OTF45" s="92" t="s">
        <v>54</v>
      </c>
      <c r="OTG45" s="92" t="s">
        <v>54</v>
      </c>
      <c r="OTH45" s="92" t="s">
        <v>54</v>
      </c>
      <c r="OTI45" s="92" t="s">
        <v>54</v>
      </c>
      <c r="OTJ45" s="92" t="s">
        <v>54</v>
      </c>
      <c r="OTK45" s="92" t="s">
        <v>54</v>
      </c>
      <c r="OTL45" s="92" t="s">
        <v>54</v>
      </c>
      <c r="OTM45" s="92" t="s">
        <v>54</v>
      </c>
      <c r="OTN45" s="92" t="s">
        <v>54</v>
      </c>
      <c r="OTO45" s="92" t="s">
        <v>54</v>
      </c>
      <c r="OTP45" s="92" t="s">
        <v>54</v>
      </c>
      <c r="OTQ45" s="92" t="s">
        <v>54</v>
      </c>
      <c r="OTR45" s="92" t="s">
        <v>54</v>
      </c>
      <c r="OTS45" s="92" t="s">
        <v>54</v>
      </c>
      <c r="OTT45" s="92" t="s">
        <v>54</v>
      </c>
      <c r="OTU45" s="92" t="s">
        <v>54</v>
      </c>
      <c r="OTV45" s="92" t="s">
        <v>54</v>
      </c>
      <c r="OTW45" s="92" t="s">
        <v>54</v>
      </c>
      <c r="OTX45" s="92" t="s">
        <v>54</v>
      </c>
      <c r="OTY45" s="92" t="s">
        <v>54</v>
      </c>
      <c r="OTZ45" s="92" t="s">
        <v>54</v>
      </c>
      <c r="OUA45" s="92" t="s">
        <v>54</v>
      </c>
      <c r="OUB45" s="92" t="s">
        <v>54</v>
      </c>
      <c r="OUC45" s="92" t="s">
        <v>54</v>
      </c>
      <c r="OUD45" s="92" t="s">
        <v>54</v>
      </c>
      <c r="OUE45" s="92" t="s">
        <v>54</v>
      </c>
      <c r="OUF45" s="92" t="s">
        <v>54</v>
      </c>
      <c r="OUG45" s="92" t="s">
        <v>54</v>
      </c>
      <c r="OUH45" s="92" t="s">
        <v>54</v>
      </c>
      <c r="OUI45" s="92" t="s">
        <v>54</v>
      </c>
      <c r="OUJ45" s="92" t="s">
        <v>54</v>
      </c>
      <c r="OUK45" s="92" t="s">
        <v>54</v>
      </c>
      <c r="OUL45" s="92" t="s">
        <v>54</v>
      </c>
      <c r="OUM45" s="92" t="s">
        <v>54</v>
      </c>
      <c r="OUN45" s="92" t="s">
        <v>54</v>
      </c>
      <c r="OUO45" s="92" t="s">
        <v>54</v>
      </c>
      <c r="OUP45" s="92" t="s">
        <v>54</v>
      </c>
      <c r="OUQ45" s="92" t="s">
        <v>54</v>
      </c>
      <c r="OUR45" s="92" t="s">
        <v>54</v>
      </c>
      <c r="OUS45" s="92" t="s">
        <v>54</v>
      </c>
      <c r="OUT45" s="92" t="s">
        <v>54</v>
      </c>
      <c r="OUU45" s="92" t="s">
        <v>54</v>
      </c>
      <c r="OUV45" s="92" t="s">
        <v>54</v>
      </c>
      <c r="OUW45" s="92" t="s">
        <v>54</v>
      </c>
      <c r="OUX45" s="92" t="s">
        <v>54</v>
      </c>
      <c r="OUY45" s="92" t="s">
        <v>54</v>
      </c>
      <c r="OUZ45" s="92" t="s">
        <v>54</v>
      </c>
      <c r="OVA45" s="92" t="s">
        <v>54</v>
      </c>
      <c r="OVB45" s="92" t="s">
        <v>54</v>
      </c>
      <c r="OVC45" s="92" t="s">
        <v>54</v>
      </c>
      <c r="OVD45" s="92" t="s">
        <v>54</v>
      </c>
      <c r="OVE45" s="92" t="s">
        <v>54</v>
      </c>
      <c r="OVF45" s="92" t="s">
        <v>54</v>
      </c>
      <c r="OVG45" s="92" t="s">
        <v>54</v>
      </c>
      <c r="OVH45" s="92" t="s">
        <v>54</v>
      </c>
      <c r="OVI45" s="92" t="s">
        <v>54</v>
      </c>
      <c r="OVJ45" s="92" t="s">
        <v>54</v>
      </c>
      <c r="OVK45" s="92" t="s">
        <v>54</v>
      </c>
      <c r="OVL45" s="92" t="s">
        <v>54</v>
      </c>
      <c r="OVM45" s="92" t="s">
        <v>54</v>
      </c>
      <c r="OVN45" s="92" t="s">
        <v>54</v>
      </c>
      <c r="OVO45" s="92" t="s">
        <v>54</v>
      </c>
      <c r="OVP45" s="92" t="s">
        <v>54</v>
      </c>
      <c r="OVQ45" s="92" t="s">
        <v>54</v>
      </c>
      <c r="OVR45" s="92" t="s">
        <v>54</v>
      </c>
      <c r="OVS45" s="92" t="s">
        <v>54</v>
      </c>
      <c r="OVT45" s="92" t="s">
        <v>54</v>
      </c>
      <c r="OVU45" s="92" t="s">
        <v>54</v>
      </c>
      <c r="OVV45" s="92" t="s">
        <v>54</v>
      </c>
      <c r="OVW45" s="92" t="s">
        <v>54</v>
      </c>
      <c r="OVX45" s="92" t="s">
        <v>54</v>
      </c>
      <c r="OVY45" s="92" t="s">
        <v>54</v>
      </c>
      <c r="OVZ45" s="92" t="s">
        <v>54</v>
      </c>
      <c r="OWA45" s="92" t="s">
        <v>54</v>
      </c>
      <c r="OWB45" s="92" t="s">
        <v>54</v>
      </c>
      <c r="OWC45" s="92" t="s">
        <v>54</v>
      </c>
      <c r="OWD45" s="92" t="s">
        <v>54</v>
      </c>
      <c r="OWE45" s="92" t="s">
        <v>54</v>
      </c>
      <c r="OWF45" s="92" t="s">
        <v>54</v>
      </c>
      <c r="OWG45" s="92" t="s">
        <v>54</v>
      </c>
      <c r="OWH45" s="92" t="s">
        <v>54</v>
      </c>
      <c r="OWI45" s="92" t="s">
        <v>54</v>
      </c>
      <c r="OWJ45" s="92" t="s">
        <v>54</v>
      </c>
      <c r="OWK45" s="92" t="s">
        <v>54</v>
      </c>
      <c r="OWL45" s="92" t="s">
        <v>54</v>
      </c>
      <c r="OWM45" s="92" t="s">
        <v>54</v>
      </c>
      <c r="OWN45" s="92" t="s">
        <v>54</v>
      </c>
      <c r="OWO45" s="92" t="s">
        <v>54</v>
      </c>
      <c r="OWP45" s="92" t="s">
        <v>54</v>
      </c>
      <c r="OWQ45" s="92" t="s">
        <v>54</v>
      </c>
      <c r="OWR45" s="92" t="s">
        <v>54</v>
      </c>
      <c r="OWS45" s="92" t="s">
        <v>54</v>
      </c>
      <c r="OWT45" s="92" t="s">
        <v>54</v>
      </c>
      <c r="OWU45" s="92" t="s">
        <v>54</v>
      </c>
      <c r="OWV45" s="92" t="s">
        <v>54</v>
      </c>
      <c r="OWW45" s="92" t="s">
        <v>54</v>
      </c>
      <c r="OWX45" s="92" t="s">
        <v>54</v>
      </c>
      <c r="OWY45" s="92" t="s">
        <v>54</v>
      </c>
      <c r="OWZ45" s="92" t="s">
        <v>54</v>
      </c>
      <c r="OXA45" s="92" t="s">
        <v>54</v>
      </c>
      <c r="OXB45" s="92" t="s">
        <v>54</v>
      </c>
      <c r="OXC45" s="92" t="s">
        <v>54</v>
      </c>
      <c r="OXD45" s="92" t="s">
        <v>54</v>
      </c>
      <c r="OXE45" s="92" t="s">
        <v>54</v>
      </c>
      <c r="OXF45" s="92" t="s">
        <v>54</v>
      </c>
      <c r="OXG45" s="92" t="s">
        <v>54</v>
      </c>
      <c r="OXH45" s="92" t="s">
        <v>54</v>
      </c>
      <c r="OXI45" s="92" t="s">
        <v>54</v>
      </c>
      <c r="OXJ45" s="92" t="s">
        <v>54</v>
      </c>
      <c r="OXK45" s="92" t="s">
        <v>54</v>
      </c>
      <c r="OXL45" s="92" t="s">
        <v>54</v>
      </c>
      <c r="OXM45" s="92" t="s">
        <v>54</v>
      </c>
      <c r="OXN45" s="92" t="s">
        <v>54</v>
      </c>
      <c r="OXO45" s="92" t="s">
        <v>54</v>
      </c>
      <c r="OXP45" s="92" t="s">
        <v>54</v>
      </c>
      <c r="OXQ45" s="92" t="s">
        <v>54</v>
      </c>
      <c r="OXR45" s="92" t="s">
        <v>54</v>
      </c>
      <c r="OXS45" s="92" t="s">
        <v>54</v>
      </c>
      <c r="OXT45" s="92" t="s">
        <v>54</v>
      </c>
      <c r="OXU45" s="92" t="s">
        <v>54</v>
      </c>
      <c r="OXV45" s="92" t="s">
        <v>54</v>
      </c>
      <c r="OXW45" s="92" t="s">
        <v>54</v>
      </c>
      <c r="OXX45" s="92" t="s">
        <v>54</v>
      </c>
      <c r="OXY45" s="92" t="s">
        <v>54</v>
      </c>
      <c r="OXZ45" s="92" t="s">
        <v>54</v>
      </c>
      <c r="OYA45" s="92" t="s">
        <v>54</v>
      </c>
      <c r="OYB45" s="92" t="s">
        <v>54</v>
      </c>
      <c r="OYC45" s="92" t="s">
        <v>54</v>
      </c>
      <c r="OYD45" s="92" t="s">
        <v>54</v>
      </c>
      <c r="OYE45" s="92" t="s">
        <v>54</v>
      </c>
      <c r="OYF45" s="92" t="s">
        <v>54</v>
      </c>
      <c r="OYG45" s="92" t="s">
        <v>54</v>
      </c>
      <c r="OYH45" s="92" t="s">
        <v>54</v>
      </c>
      <c r="OYI45" s="92" t="s">
        <v>54</v>
      </c>
      <c r="OYJ45" s="92" t="s">
        <v>54</v>
      </c>
      <c r="OYK45" s="92" t="s">
        <v>54</v>
      </c>
      <c r="OYL45" s="92" t="s">
        <v>54</v>
      </c>
      <c r="OYM45" s="92" t="s">
        <v>54</v>
      </c>
      <c r="OYN45" s="92" t="s">
        <v>54</v>
      </c>
      <c r="OYO45" s="92" t="s">
        <v>54</v>
      </c>
      <c r="OYP45" s="92" t="s">
        <v>54</v>
      </c>
      <c r="OYQ45" s="92" t="s">
        <v>54</v>
      </c>
      <c r="OYR45" s="92" t="s">
        <v>54</v>
      </c>
      <c r="OYS45" s="92" t="s">
        <v>54</v>
      </c>
      <c r="OYT45" s="92" t="s">
        <v>54</v>
      </c>
      <c r="OYU45" s="92" t="s">
        <v>54</v>
      </c>
      <c r="OYV45" s="92" t="s">
        <v>54</v>
      </c>
      <c r="OYW45" s="92" t="s">
        <v>54</v>
      </c>
      <c r="OYX45" s="92" t="s">
        <v>54</v>
      </c>
      <c r="OYY45" s="92" t="s">
        <v>54</v>
      </c>
      <c r="OYZ45" s="92" t="s">
        <v>54</v>
      </c>
      <c r="OZA45" s="92" t="s">
        <v>54</v>
      </c>
      <c r="OZB45" s="92" t="s">
        <v>54</v>
      </c>
      <c r="OZC45" s="92" t="s">
        <v>54</v>
      </c>
      <c r="OZD45" s="92" t="s">
        <v>54</v>
      </c>
      <c r="OZE45" s="92" t="s">
        <v>54</v>
      </c>
      <c r="OZF45" s="92" t="s">
        <v>54</v>
      </c>
      <c r="OZG45" s="92" t="s">
        <v>54</v>
      </c>
      <c r="OZH45" s="92" t="s">
        <v>54</v>
      </c>
      <c r="OZI45" s="92" t="s">
        <v>54</v>
      </c>
      <c r="OZJ45" s="92" t="s">
        <v>54</v>
      </c>
      <c r="OZK45" s="92" t="s">
        <v>54</v>
      </c>
      <c r="OZL45" s="92" t="s">
        <v>54</v>
      </c>
      <c r="OZM45" s="92" t="s">
        <v>54</v>
      </c>
      <c r="OZN45" s="92" t="s">
        <v>54</v>
      </c>
      <c r="OZO45" s="92" t="s">
        <v>54</v>
      </c>
      <c r="OZP45" s="92" t="s">
        <v>54</v>
      </c>
      <c r="OZQ45" s="92" t="s">
        <v>54</v>
      </c>
      <c r="OZR45" s="92" t="s">
        <v>54</v>
      </c>
      <c r="OZS45" s="92" t="s">
        <v>54</v>
      </c>
      <c r="OZT45" s="92" t="s">
        <v>54</v>
      </c>
      <c r="OZU45" s="92" t="s">
        <v>54</v>
      </c>
      <c r="OZV45" s="92" t="s">
        <v>54</v>
      </c>
      <c r="OZW45" s="92" t="s">
        <v>54</v>
      </c>
      <c r="OZX45" s="92" t="s">
        <v>54</v>
      </c>
      <c r="OZY45" s="92" t="s">
        <v>54</v>
      </c>
      <c r="OZZ45" s="92" t="s">
        <v>54</v>
      </c>
      <c r="PAA45" s="92" t="s">
        <v>54</v>
      </c>
      <c r="PAB45" s="92" t="s">
        <v>54</v>
      </c>
      <c r="PAC45" s="92" t="s">
        <v>54</v>
      </c>
      <c r="PAD45" s="92" t="s">
        <v>54</v>
      </c>
      <c r="PAE45" s="92" t="s">
        <v>54</v>
      </c>
      <c r="PAF45" s="92" t="s">
        <v>54</v>
      </c>
      <c r="PAG45" s="92" t="s">
        <v>54</v>
      </c>
      <c r="PAH45" s="92" t="s">
        <v>54</v>
      </c>
      <c r="PAI45" s="92" t="s">
        <v>54</v>
      </c>
      <c r="PAJ45" s="92" t="s">
        <v>54</v>
      </c>
      <c r="PAK45" s="92" t="s">
        <v>54</v>
      </c>
      <c r="PAL45" s="92" t="s">
        <v>54</v>
      </c>
      <c r="PAM45" s="92" t="s">
        <v>54</v>
      </c>
      <c r="PAN45" s="92" t="s">
        <v>54</v>
      </c>
      <c r="PAO45" s="92" t="s">
        <v>54</v>
      </c>
      <c r="PAP45" s="92" t="s">
        <v>54</v>
      </c>
      <c r="PAQ45" s="92" t="s">
        <v>54</v>
      </c>
      <c r="PAR45" s="92" t="s">
        <v>54</v>
      </c>
      <c r="PAS45" s="92" t="s">
        <v>54</v>
      </c>
      <c r="PAT45" s="92" t="s">
        <v>54</v>
      </c>
      <c r="PAU45" s="92" t="s">
        <v>54</v>
      </c>
      <c r="PAV45" s="92" t="s">
        <v>54</v>
      </c>
      <c r="PAW45" s="92" t="s">
        <v>54</v>
      </c>
      <c r="PAX45" s="92" t="s">
        <v>54</v>
      </c>
      <c r="PAY45" s="92" t="s">
        <v>54</v>
      </c>
      <c r="PAZ45" s="92" t="s">
        <v>54</v>
      </c>
      <c r="PBA45" s="92" t="s">
        <v>54</v>
      </c>
      <c r="PBB45" s="92" t="s">
        <v>54</v>
      </c>
      <c r="PBC45" s="92" t="s">
        <v>54</v>
      </c>
      <c r="PBD45" s="92" t="s">
        <v>54</v>
      </c>
      <c r="PBE45" s="92" t="s">
        <v>54</v>
      </c>
      <c r="PBF45" s="92" t="s">
        <v>54</v>
      </c>
      <c r="PBG45" s="92" t="s">
        <v>54</v>
      </c>
      <c r="PBH45" s="92" t="s">
        <v>54</v>
      </c>
      <c r="PBI45" s="92" t="s">
        <v>54</v>
      </c>
      <c r="PBJ45" s="92" t="s">
        <v>54</v>
      </c>
      <c r="PBK45" s="92" t="s">
        <v>54</v>
      </c>
      <c r="PBL45" s="92" t="s">
        <v>54</v>
      </c>
      <c r="PBM45" s="92" t="s">
        <v>54</v>
      </c>
      <c r="PBN45" s="92" t="s">
        <v>54</v>
      </c>
      <c r="PBO45" s="92" t="s">
        <v>54</v>
      </c>
      <c r="PBP45" s="92" t="s">
        <v>54</v>
      </c>
      <c r="PBQ45" s="92" t="s">
        <v>54</v>
      </c>
      <c r="PBR45" s="92" t="s">
        <v>54</v>
      </c>
      <c r="PBS45" s="92" t="s">
        <v>54</v>
      </c>
      <c r="PBT45" s="92" t="s">
        <v>54</v>
      </c>
      <c r="PBU45" s="92" t="s">
        <v>54</v>
      </c>
      <c r="PBV45" s="92" t="s">
        <v>54</v>
      </c>
      <c r="PBW45" s="92" t="s">
        <v>54</v>
      </c>
      <c r="PBX45" s="92" t="s">
        <v>54</v>
      </c>
      <c r="PBY45" s="92" t="s">
        <v>54</v>
      </c>
      <c r="PBZ45" s="92" t="s">
        <v>54</v>
      </c>
      <c r="PCA45" s="92" t="s">
        <v>54</v>
      </c>
      <c r="PCB45" s="92" t="s">
        <v>54</v>
      </c>
      <c r="PCC45" s="92" t="s">
        <v>54</v>
      </c>
      <c r="PCD45" s="92" t="s">
        <v>54</v>
      </c>
      <c r="PCE45" s="92" t="s">
        <v>54</v>
      </c>
      <c r="PCF45" s="92" t="s">
        <v>54</v>
      </c>
      <c r="PCG45" s="92" t="s">
        <v>54</v>
      </c>
      <c r="PCH45" s="92" t="s">
        <v>54</v>
      </c>
      <c r="PCI45" s="92" t="s">
        <v>54</v>
      </c>
      <c r="PCJ45" s="92" t="s">
        <v>54</v>
      </c>
      <c r="PCK45" s="92" t="s">
        <v>54</v>
      </c>
      <c r="PCL45" s="92" t="s">
        <v>54</v>
      </c>
      <c r="PCM45" s="92" t="s">
        <v>54</v>
      </c>
      <c r="PCN45" s="92" t="s">
        <v>54</v>
      </c>
      <c r="PCO45" s="92" t="s">
        <v>54</v>
      </c>
      <c r="PCP45" s="92" t="s">
        <v>54</v>
      </c>
      <c r="PCQ45" s="92" t="s">
        <v>54</v>
      </c>
      <c r="PCR45" s="92" t="s">
        <v>54</v>
      </c>
      <c r="PCS45" s="92" t="s">
        <v>54</v>
      </c>
      <c r="PCT45" s="92" t="s">
        <v>54</v>
      </c>
      <c r="PCU45" s="92" t="s">
        <v>54</v>
      </c>
      <c r="PCV45" s="92" t="s">
        <v>54</v>
      </c>
      <c r="PCW45" s="92" t="s">
        <v>54</v>
      </c>
      <c r="PCX45" s="92" t="s">
        <v>54</v>
      </c>
      <c r="PCY45" s="92" t="s">
        <v>54</v>
      </c>
      <c r="PCZ45" s="92" t="s">
        <v>54</v>
      </c>
      <c r="PDA45" s="92" t="s">
        <v>54</v>
      </c>
      <c r="PDB45" s="92" t="s">
        <v>54</v>
      </c>
      <c r="PDC45" s="92" t="s">
        <v>54</v>
      </c>
      <c r="PDD45" s="92" t="s">
        <v>54</v>
      </c>
      <c r="PDE45" s="92" t="s">
        <v>54</v>
      </c>
      <c r="PDF45" s="92" t="s">
        <v>54</v>
      </c>
      <c r="PDG45" s="92" t="s">
        <v>54</v>
      </c>
      <c r="PDH45" s="92" t="s">
        <v>54</v>
      </c>
      <c r="PDI45" s="92" t="s">
        <v>54</v>
      </c>
      <c r="PDJ45" s="92" t="s">
        <v>54</v>
      </c>
      <c r="PDK45" s="92" t="s">
        <v>54</v>
      </c>
      <c r="PDL45" s="92" t="s">
        <v>54</v>
      </c>
      <c r="PDM45" s="92" t="s">
        <v>54</v>
      </c>
      <c r="PDN45" s="92" t="s">
        <v>54</v>
      </c>
      <c r="PDO45" s="92" t="s">
        <v>54</v>
      </c>
      <c r="PDP45" s="92" t="s">
        <v>54</v>
      </c>
      <c r="PDQ45" s="92" t="s">
        <v>54</v>
      </c>
      <c r="PDR45" s="92" t="s">
        <v>54</v>
      </c>
      <c r="PDS45" s="92" t="s">
        <v>54</v>
      </c>
      <c r="PDT45" s="92" t="s">
        <v>54</v>
      </c>
      <c r="PDU45" s="92" t="s">
        <v>54</v>
      </c>
      <c r="PDV45" s="92" t="s">
        <v>54</v>
      </c>
      <c r="PDW45" s="92" t="s">
        <v>54</v>
      </c>
      <c r="PDX45" s="92" t="s">
        <v>54</v>
      </c>
      <c r="PDY45" s="92" t="s">
        <v>54</v>
      </c>
      <c r="PDZ45" s="92" t="s">
        <v>54</v>
      </c>
      <c r="PEA45" s="92" t="s">
        <v>54</v>
      </c>
      <c r="PEB45" s="92" t="s">
        <v>54</v>
      </c>
      <c r="PEC45" s="92" t="s">
        <v>54</v>
      </c>
      <c r="PED45" s="92" t="s">
        <v>54</v>
      </c>
      <c r="PEE45" s="92" t="s">
        <v>54</v>
      </c>
      <c r="PEF45" s="92" t="s">
        <v>54</v>
      </c>
      <c r="PEG45" s="92" t="s">
        <v>54</v>
      </c>
      <c r="PEH45" s="92" t="s">
        <v>54</v>
      </c>
      <c r="PEI45" s="92" t="s">
        <v>54</v>
      </c>
      <c r="PEJ45" s="92" t="s">
        <v>54</v>
      </c>
      <c r="PEK45" s="92" t="s">
        <v>54</v>
      </c>
      <c r="PEL45" s="92" t="s">
        <v>54</v>
      </c>
      <c r="PEM45" s="92" t="s">
        <v>54</v>
      </c>
      <c r="PEN45" s="92" t="s">
        <v>54</v>
      </c>
      <c r="PEO45" s="92" t="s">
        <v>54</v>
      </c>
      <c r="PEP45" s="92" t="s">
        <v>54</v>
      </c>
      <c r="PEQ45" s="92" t="s">
        <v>54</v>
      </c>
      <c r="PER45" s="92" t="s">
        <v>54</v>
      </c>
      <c r="PES45" s="92" t="s">
        <v>54</v>
      </c>
      <c r="PET45" s="92" t="s">
        <v>54</v>
      </c>
      <c r="PEU45" s="92" t="s">
        <v>54</v>
      </c>
      <c r="PEV45" s="92" t="s">
        <v>54</v>
      </c>
      <c r="PEW45" s="92" t="s">
        <v>54</v>
      </c>
      <c r="PEX45" s="92" t="s">
        <v>54</v>
      </c>
      <c r="PEY45" s="92" t="s">
        <v>54</v>
      </c>
      <c r="PEZ45" s="92" t="s">
        <v>54</v>
      </c>
      <c r="PFA45" s="92" t="s">
        <v>54</v>
      </c>
      <c r="PFB45" s="92" t="s">
        <v>54</v>
      </c>
      <c r="PFC45" s="92" t="s">
        <v>54</v>
      </c>
      <c r="PFD45" s="92" t="s">
        <v>54</v>
      </c>
      <c r="PFE45" s="92" t="s">
        <v>54</v>
      </c>
      <c r="PFF45" s="92" t="s">
        <v>54</v>
      </c>
      <c r="PFG45" s="92" t="s">
        <v>54</v>
      </c>
      <c r="PFH45" s="92" t="s">
        <v>54</v>
      </c>
      <c r="PFI45" s="92" t="s">
        <v>54</v>
      </c>
      <c r="PFJ45" s="92" t="s">
        <v>54</v>
      </c>
      <c r="PFK45" s="92" t="s">
        <v>54</v>
      </c>
      <c r="PFL45" s="92" t="s">
        <v>54</v>
      </c>
      <c r="PFM45" s="92" t="s">
        <v>54</v>
      </c>
      <c r="PFN45" s="92" t="s">
        <v>54</v>
      </c>
      <c r="PFO45" s="92" t="s">
        <v>54</v>
      </c>
      <c r="PFP45" s="92" t="s">
        <v>54</v>
      </c>
      <c r="PFQ45" s="92" t="s">
        <v>54</v>
      </c>
      <c r="PFR45" s="92" t="s">
        <v>54</v>
      </c>
      <c r="PFS45" s="92" t="s">
        <v>54</v>
      </c>
      <c r="PFT45" s="92" t="s">
        <v>54</v>
      </c>
      <c r="PFU45" s="92" t="s">
        <v>54</v>
      </c>
      <c r="PFV45" s="92" t="s">
        <v>54</v>
      </c>
      <c r="PFW45" s="92" t="s">
        <v>54</v>
      </c>
      <c r="PFX45" s="92" t="s">
        <v>54</v>
      </c>
      <c r="PFY45" s="92" t="s">
        <v>54</v>
      </c>
      <c r="PFZ45" s="92" t="s">
        <v>54</v>
      </c>
      <c r="PGA45" s="92" t="s">
        <v>54</v>
      </c>
      <c r="PGB45" s="92" t="s">
        <v>54</v>
      </c>
      <c r="PGC45" s="92" t="s">
        <v>54</v>
      </c>
      <c r="PGD45" s="92" t="s">
        <v>54</v>
      </c>
      <c r="PGE45" s="92" t="s">
        <v>54</v>
      </c>
      <c r="PGF45" s="92" t="s">
        <v>54</v>
      </c>
      <c r="PGG45" s="92" t="s">
        <v>54</v>
      </c>
      <c r="PGH45" s="92" t="s">
        <v>54</v>
      </c>
      <c r="PGI45" s="92" t="s">
        <v>54</v>
      </c>
      <c r="PGJ45" s="92" t="s">
        <v>54</v>
      </c>
      <c r="PGK45" s="92" t="s">
        <v>54</v>
      </c>
      <c r="PGL45" s="92" t="s">
        <v>54</v>
      </c>
      <c r="PGM45" s="92" t="s">
        <v>54</v>
      </c>
      <c r="PGN45" s="92" t="s">
        <v>54</v>
      </c>
      <c r="PGO45" s="92" t="s">
        <v>54</v>
      </c>
      <c r="PGP45" s="92" t="s">
        <v>54</v>
      </c>
      <c r="PGQ45" s="92" t="s">
        <v>54</v>
      </c>
      <c r="PGR45" s="92" t="s">
        <v>54</v>
      </c>
      <c r="PGS45" s="92" t="s">
        <v>54</v>
      </c>
      <c r="PGT45" s="92" t="s">
        <v>54</v>
      </c>
      <c r="PGU45" s="92" t="s">
        <v>54</v>
      </c>
      <c r="PGV45" s="92" t="s">
        <v>54</v>
      </c>
      <c r="PGW45" s="92" t="s">
        <v>54</v>
      </c>
      <c r="PGX45" s="92" t="s">
        <v>54</v>
      </c>
      <c r="PGY45" s="92" t="s">
        <v>54</v>
      </c>
      <c r="PGZ45" s="92" t="s">
        <v>54</v>
      </c>
      <c r="PHA45" s="92" t="s">
        <v>54</v>
      </c>
      <c r="PHB45" s="92" t="s">
        <v>54</v>
      </c>
      <c r="PHC45" s="92" t="s">
        <v>54</v>
      </c>
      <c r="PHD45" s="92" t="s">
        <v>54</v>
      </c>
      <c r="PHE45" s="92" t="s">
        <v>54</v>
      </c>
      <c r="PHF45" s="92" t="s">
        <v>54</v>
      </c>
      <c r="PHG45" s="92" t="s">
        <v>54</v>
      </c>
      <c r="PHH45" s="92" t="s">
        <v>54</v>
      </c>
      <c r="PHI45" s="92" t="s">
        <v>54</v>
      </c>
      <c r="PHJ45" s="92" t="s">
        <v>54</v>
      </c>
      <c r="PHK45" s="92" t="s">
        <v>54</v>
      </c>
      <c r="PHL45" s="92" t="s">
        <v>54</v>
      </c>
      <c r="PHM45" s="92" t="s">
        <v>54</v>
      </c>
      <c r="PHN45" s="92" t="s">
        <v>54</v>
      </c>
      <c r="PHO45" s="92" t="s">
        <v>54</v>
      </c>
      <c r="PHP45" s="92" t="s">
        <v>54</v>
      </c>
      <c r="PHQ45" s="92" t="s">
        <v>54</v>
      </c>
      <c r="PHR45" s="92" t="s">
        <v>54</v>
      </c>
      <c r="PHS45" s="92" t="s">
        <v>54</v>
      </c>
      <c r="PHT45" s="92" t="s">
        <v>54</v>
      </c>
      <c r="PHU45" s="92" t="s">
        <v>54</v>
      </c>
      <c r="PHV45" s="92" t="s">
        <v>54</v>
      </c>
      <c r="PHW45" s="92" t="s">
        <v>54</v>
      </c>
      <c r="PHX45" s="92" t="s">
        <v>54</v>
      </c>
      <c r="PHY45" s="92" t="s">
        <v>54</v>
      </c>
      <c r="PHZ45" s="92" t="s">
        <v>54</v>
      </c>
      <c r="PIA45" s="92" t="s">
        <v>54</v>
      </c>
      <c r="PIB45" s="92" t="s">
        <v>54</v>
      </c>
      <c r="PIC45" s="92" t="s">
        <v>54</v>
      </c>
      <c r="PID45" s="92" t="s">
        <v>54</v>
      </c>
      <c r="PIE45" s="92" t="s">
        <v>54</v>
      </c>
      <c r="PIF45" s="92" t="s">
        <v>54</v>
      </c>
      <c r="PIG45" s="92" t="s">
        <v>54</v>
      </c>
      <c r="PIH45" s="92" t="s">
        <v>54</v>
      </c>
      <c r="PII45" s="92" t="s">
        <v>54</v>
      </c>
      <c r="PIJ45" s="92" t="s">
        <v>54</v>
      </c>
      <c r="PIK45" s="92" t="s">
        <v>54</v>
      </c>
      <c r="PIL45" s="92" t="s">
        <v>54</v>
      </c>
      <c r="PIM45" s="92" t="s">
        <v>54</v>
      </c>
      <c r="PIN45" s="92" t="s">
        <v>54</v>
      </c>
      <c r="PIO45" s="92" t="s">
        <v>54</v>
      </c>
      <c r="PIP45" s="92" t="s">
        <v>54</v>
      </c>
      <c r="PIQ45" s="92" t="s">
        <v>54</v>
      </c>
      <c r="PIR45" s="92" t="s">
        <v>54</v>
      </c>
      <c r="PIS45" s="92" t="s">
        <v>54</v>
      </c>
      <c r="PIT45" s="92" t="s">
        <v>54</v>
      </c>
      <c r="PIU45" s="92" t="s">
        <v>54</v>
      </c>
      <c r="PIV45" s="92" t="s">
        <v>54</v>
      </c>
      <c r="PIW45" s="92" t="s">
        <v>54</v>
      </c>
      <c r="PIX45" s="92" t="s">
        <v>54</v>
      </c>
      <c r="PIY45" s="92" t="s">
        <v>54</v>
      </c>
      <c r="PIZ45" s="92" t="s">
        <v>54</v>
      </c>
      <c r="PJA45" s="92" t="s">
        <v>54</v>
      </c>
      <c r="PJB45" s="92" t="s">
        <v>54</v>
      </c>
      <c r="PJC45" s="92" t="s">
        <v>54</v>
      </c>
      <c r="PJD45" s="92" t="s">
        <v>54</v>
      </c>
      <c r="PJE45" s="92" t="s">
        <v>54</v>
      </c>
      <c r="PJF45" s="92" t="s">
        <v>54</v>
      </c>
      <c r="PJG45" s="92" t="s">
        <v>54</v>
      </c>
      <c r="PJH45" s="92" t="s">
        <v>54</v>
      </c>
      <c r="PJI45" s="92" t="s">
        <v>54</v>
      </c>
      <c r="PJJ45" s="92" t="s">
        <v>54</v>
      </c>
      <c r="PJK45" s="92" t="s">
        <v>54</v>
      </c>
      <c r="PJL45" s="92" t="s">
        <v>54</v>
      </c>
      <c r="PJM45" s="92" t="s">
        <v>54</v>
      </c>
      <c r="PJN45" s="92" t="s">
        <v>54</v>
      </c>
      <c r="PJO45" s="92" t="s">
        <v>54</v>
      </c>
      <c r="PJP45" s="92" t="s">
        <v>54</v>
      </c>
      <c r="PJQ45" s="92" t="s">
        <v>54</v>
      </c>
      <c r="PJR45" s="92" t="s">
        <v>54</v>
      </c>
      <c r="PJS45" s="92" t="s">
        <v>54</v>
      </c>
      <c r="PJT45" s="92" t="s">
        <v>54</v>
      </c>
      <c r="PJU45" s="92" t="s">
        <v>54</v>
      </c>
      <c r="PJV45" s="92" t="s">
        <v>54</v>
      </c>
      <c r="PJW45" s="92" t="s">
        <v>54</v>
      </c>
      <c r="PJX45" s="92" t="s">
        <v>54</v>
      </c>
      <c r="PJY45" s="92" t="s">
        <v>54</v>
      </c>
      <c r="PJZ45" s="92" t="s">
        <v>54</v>
      </c>
      <c r="PKA45" s="92" t="s">
        <v>54</v>
      </c>
      <c r="PKB45" s="92" t="s">
        <v>54</v>
      </c>
      <c r="PKC45" s="92" t="s">
        <v>54</v>
      </c>
      <c r="PKD45" s="92" t="s">
        <v>54</v>
      </c>
      <c r="PKE45" s="92" t="s">
        <v>54</v>
      </c>
      <c r="PKF45" s="92" t="s">
        <v>54</v>
      </c>
      <c r="PKG45" s="92" t="s">
        <v>54</v>
      </c>
      <c r="PKH45" s="92" t="s">
        <v>54</v>
      </c>
      <c r="PKI45" s="92" t="s">
        <v>54</v>
      </c>
      <c r="PKJ45" s="92" t="s">
        <v>54</v>
      </c>
      <c r="PKK45" s="92" t="s">
        <v>54</v>
      </c>
      <c r="PKL45" s="92" t="s">
        <v>54</v>
      </c>
      <c r="PKM45" s="92" t="s">
        <v>54</v>
      </c>
      <c r="PKN45" s="92" t="s">
        <v>54</v>
      </c>
      <c r="PKO45" s="92" t="s">
        <v>54</v>
      </c>
      <c r="PKP45" s="92" t="s">
        <v>54</v>
      </c>
      <c r="PKQ45" s="92" t="s">
        <v>54</v>
      </c>
      <c r="PKR45" s="92" t="s">
        <v>54</v>
      </c>
      <c r="PKS45" s="92" t="s">
        <v>54</v>
      </c>
      <c r="PKT45" s="92" t="s">
        <v>54</v>
      </c>
      <c r="PKU45" s="92" t="s">
        <v>54</v>
      </c>
      <c r="PKV45" s="92" t="s">
        <v>54</v>
      </c>
      <c r="PKW45" s="92" t="s">
        <v>54</v>
      </c>
      <c r="PKX45" s="92" t="s">
        <v>54</v>
      </c>
      <c r="PKY45" s="92" t="s">
        <v>54</v>
      </c>
      <c r="PKZ45" s="92" t="s">
        <v>54</v>
      </c>
      <c r="PLA45" s="92" t="s">
        <v>54</v>
      </c>
      <c r="PLB45" s="92" t="s">
        <v>54</v>
      </c>
      <c r="PLC45" s="92" t="s">
        <v>54</v>
      </c>
      <c r="PLD45" s="92" t="s">
        <v>54</v>
      </c>
      <c r="PLE45" s="92" t="s">
        <v>54</v>
      </c>
      <c r="PLF45" s="92" t="s">
        <v>54</v>
      </c>
      <c r="PLG45" s="92" t="s">
        <v>54</v>
      </c>
      <c r="PLH45" s="92" t="s">
        <v>54</v>
      </c>
      <c r="PLI45" s="92" t="s">
        <v>54</v>
      </c>
      <c r="PLJ45" s="92" t="s">
        <v>54</v>
      </c>
      <c r="PLK45" s="92" t="s">
        <v>54</v>
      </c>
      <c r="PLL45" s="92" t="s">
        <v>54</v>
      </c>
      <c r="PLM45" s="92" t="s">
        <v>54</v>
      </c>
      <c r="PLN45" s="92" t="s">
        <v>54</v>
      </c>
      <c r="PLO45" s="92" t="s">
        <v>54</v>
      </c>
      <c r="PLP45" s="92" t="s">
        <v>54</v>
      </c>
      <c r="PLQ45" s="92" t="s">
        <v>54</v>
      </c>
      <c r="PLR45" s="92" t="s">
        <v>54</v>
      </c>
      <c r="PLS45" s="92" t="s">
        <v>54</v>
      </c>
      <c r="PLT45" s="92" t="s">
        <v>54</v>
      </c>
      <c r="PLU45" s="92" t="s">
        <v>54</v>
      </c>
      <c r="PLV45" s="92" t="s">
        <v>54</v>
      </c>
      <c r="PLW45" s="92" t="s">
        <v>54</v>
      </c>
      <c r="PLX45" s="92" t="s">
        <v>54</v>
      </c>
      <c r="PLY45" s="92" t="s">
        <v>54</v>
      </c>
      <c r="PLZ45" s="92" t="s">
        <v>54</v>
      </c>
      <c r="PMA45" s="92" t="s">
        <v>54</v>
      </c>
      <c r="PMB45" s="92" t="s">
        <v>54</v>
      </c>
      <c r="PMC45" s="92" t="s">
        <v>54</v>
      </c>
      <c r="PMD45" s="92" t="s">
        <v>54</v>
      </c>
      <c r="PME45" s="92" t="s">
        <v>54</v>
      </c>
      <c r="PMF45" s="92" t="s">
        <v>54</v>
      </c>
      <c r="PMG45" s="92" t="s">
        <v>54</v>
      </c>
      <c r="PMH45" s="92" t="s">
        <v>54</v>
      </c>
      <c r="PMI45" s="92" t="s">
        <v>54</v>
      </c>
      <c r="PMJ45" s="92" t="s">
        <v>54</v>
      </c>
      <c r="PMK45" s="92" t="s">
        <v>54</v>
      </c>
      <c r="PML45" s="92" t="s">
        <v>54</v>
      </c>
      <c r="PMM45" s="92" t="s">
        <v>54</v>
      </c>
      <c r="PMN45" s="92" t="s">
        <v>54</v>
      </c>
      <c r="PMO45" s="92" t="s">
        <v>54</v>
      </c>
      <c r="PMP45" s="92" t="s">
        <v>54</v>
      </c>
      <c r="PMQ45" s="92" t="s">
        <v>54</v>
      </c>
      <c r="PMR45" s="92" t="s">
        <v>54</v>
      </c>
      <c r="PMS45" s="92" t="s">
        <v>54</v>
      </c>
      <c r="PMT45" s="92" t="s">
        <v>54</v>
      </c>
      <c r="PMU45" s="92" t="s">
        <v>54</v>
      </c>
      <c r="PMV45" s="92" t="s">
        <v>54</v>
      </c>
      <c r="PMW45" s="92" t="s">
        <v>54</v>
      </c>
      <c r="PMX45" s="92" t="s">
        <v>54</v>
      </c>
      <c r="PMY45" s="92" t="s">
        <v>54</v>
      </c>
      <c r="PMZ45" s="92" t="s">
        <v>54</v>
      </c>
      <c r="PNA45" s="92" t="s">
        <v>54</v>
      </c>
      <c r="PNB45" s="92" t="s">
        <v>54</v>
      </c>
      <c r="PNC45" s="92" t="s">
        <v>54</v>
      </c>
      <c r="PND45" s="92" t="s">
        <v>54</v>
      </c>
      <c r="PNE45" s="92" t="s">
        <v>54</v>
      </c>
      <c r="PNF45" s="92" t="s">
        <v>54</v>
      </c>
      <c r="PNG45" s="92" t="s">
        <v>54</v>
      </c>
      <c r="PNH45" s="92" t="s">
        <v>54</v>
      </c>
      <c r="PNI45" s="92" t="s">
        <v>54</v>
      </c>
      <c r="PNJ45" s="92" t="s">
        <v>54</v>
      </c>
      <c r="PNK45" s="92" t="s">
        <v>54</v>
      </c>
      <c r="PNL45" s="92" t="s">
        <v>54</v>
      </c>
      <c r="PNM45" s="92" t="s">
        <v>54</v>
      </c>
      <c r="PNN45" s="92" t="s">
        <v>54</v>
      </c>
      <c r="PNO45" s="92" t="s">
        <v>54</v>
      </c>
      <c r="PNP45" s="92" t="s">
        <v>54</v>
      </c>
      <c r="PNQ45" s="92" t="s">
        <v>54</v>
      </c>
      <c r="PNR45" s="92" t="s">
        <v>54</v>
      </c>
      <c r="PNS45" s="92" t="s">
        <v>54</v>
      </c>
      <c r="PNT45" s="92" t="s">
        <v>54</v>
      </c>
      <c r="PNU45" s="92" t="s">
        <v>54</v>
      </c>
      <c r="PNV45" s="92" t="s">
        <v>54</v>
      </c>
      <c r="PNW45" s="92" t="s">
        <v>54</v>
      </c>
      <c r="PNX45" s="92" t="s">
        <v>54</v>
      </c>
      <c r="PNY45" s="92" t="s">
        <v>54</v>
      </c>
      <c r="PNZ45" s="92" t="s">
        <v>54</v>
      </c>
      <c r="POA45" s="92" t="s">
        <v>54</v>
      </c>
      <c r="POB45" s="92" t="s">
        <v>54</v>
      </c>
      <c r="POC45" s="92" t="s">
        <v>54</v>
      </c>
      <c r="POD45" s="92" t="s">
        <v>54</v>
      </c>
      <c r="POE45" s="92" t="s">
        <v>54</v>
      </c>
      <c r="POF45" s="92" t="s">
        <v>54</v>
      </c>
      <c r="POG45" s="92" t="s">
        <v>54</v>
      </c>
      <c r="POH45" s="92" t="s">
        <v>54</v>
      </c>
      <c r="POI45" s="92" t="s">
        <v>54</v>
      </c>
      <c r="POJ45" s="92" t="s">
        <v>54</v>
      </c>
      <c r="POK45" s="92" t="s">
        <v>54</v>
      </c>
      <c r="POL45" s="92" t="s">
        <v>54</v>
      </c>
      <c r="POM45" s="92" t="s">
        <v>54</v>
      </c>
      <c r="PON45" s="92" t="s">
        <v>54</v>
      </c>
      <c r="POO45" s="92" t="s">
        <v>54</v>
      </c>
      <c r="POP45" s="92" t="s">
        <v>54</v>
      </c>
      <c r="POQ45" s="92" t="s">
        <v>54</v>
      </c>
      <c r="POR45" s="92" t="s">
        <v>54</v>
      </c>
      <c r="POS45" s="92" t="s">
        <v>54</v>
      </c>
      <c r="POT45" s="92" t="s">
        <v>54</v>
      </c>
      <c r="POU45" s="92" t="s">
        <v>54</v>
      </c>
      <c r="POV45" s="92" t="s">
        <v>54</v>
      </c>
      <c r="POW45" s="92" t="s">
        <v>54</v>
      </c>
      <c r="POX45" s="92" t="s">
        <v>54</v>
      </c>
      <c r="POY45" s="92" t="s">
        <v>54</v>
      </c>
      <c r="POZ45" s="92" t="s">
        <v>54</v>
      </c>
      <c r="PPA45" s="92" t="s">
        <v>54</v>
      </c>
      <c r="PPB45" s="92" t="s">
        <v>54</v>
      </c>
      <c r="PPC45" s="92" t="s">
        <v>54</v>
      </c>
      <c r="PPD45" s="92" t="s">
        <v>54</v>
      </c>
      <c r="PPE45" s="92" t="s">
        <v>54</v>
      </c>
      <c r="PPF45" s="92" t="s">
        <v>54</v>
      </c>
      <c r="PPG45" s="92" t="s">
        <v>54</v>
      </c>
      <c r="PPH45" s="92" t="s">
        <v>54</v>
      </c>
      <c r="PPI45" s="92" t="s">
        <v>54</v>
      </c>
      <c r="PPJ45" s="92" t="s">
        <v>54</v>
      </c>
      <c r="PPK45" s="92" t="s">
        <v>54</v>
      </c>
      <c r="PPL45" s="92" t="s">
        <v>54</v>
      </c>
      <c r="PPM45" s="92" t="s">
        <v>54</v>
      </c>
      <c r="PPN45" s="92" t="s">
        <v>54</v>
      </c>
      <c r="PPO45" s="92" t="s">
        <v>54</v>
      </c>
      <c r="PPP45" s="92" t="s">
        <v>54</v>
      </c>
      <c r="PPQ45" s="92" t="s">
        <v>54</v>
      </c>
      <c r="PPR45" s="92" t="s">
        <v>54</v>
      </c>
      <c r="PPS45" s="92" t="s">
        <v>54</v>
      </c>
      <c r="PPT45" s="92" t="s">
        <v>54</v>
      </c>
      <c r="PPU45" s="92" t="s">
        <v>54</v>
      </c>
      <c r="PPV45" s="92" t="s">
        <v>54</v>
      </c>
      <c r="PPW45" s="92" t="s">
        <v>54</v>
      </c>
      <c r="PPX45" s="92" t="s">
        <v>54</v>
      </c>
      <c r="PPY45" s="92" t="s">
        <v>54</v>
      </c>
      <c r="PPZ45" s="92" t="s">
        <v>54</v>
      </c>
      <c r="PQA45" s="92" t="s">
        <v>54</v>
      </c>
      <c r="PQB45" s="92" t="s">
        <v>54</v>
      </c>
      <c r="PQC45" s="92" t="s">
        <v>54</v>
      </c>
      <c r="PQD45" s="92" t="s">
        <v>54</v>
      </c>
      <c r="PQE45" s="92" t="s">
        <v>54</v>
      </c>
      <c r="PQF45" s="92" t="s">
        <v>54</v>
      </c>
      <c r="PQG45" s="92" t="s">
        <v>54</v>
      </c>
      <c r="PQH45" s="92" t="s">
        <v>54</v>
      </c>
      <c r="PQI45" s="92" t="s">
        <v>54</v>
      </c>
      <c r="PQJ45" s="92" t="s">
        <v>54</v>
      </c>
      <c r="PQK45" s="92" t="s">
        <v>54</v>
      </c>
      <c r="PQL45" s="92" t="s">
        <v>54</v>
      </c>
      <c r="PQM45" s="92" t="s">
        <v>54</v>
      </c>
      <c r="PQN45" s="92" t="s">
        <v>54</v>
      </c>
      <c r="PQO45" s="92" t="s">
        <v>54</v>
      </c>
      <c r="PQP45" s="92" t="s">
        <v>54</v>
      </c>
      <c r="PQQ45" s="92" t="s">
        <v>54</v>
      </c>
      <c r="PQR45" s="92" t="s">
        <v>54</v>
      </c>
      <c r="PQS45" s="92" t="s">
        <v>54</v>
      </c>
      <c r="PQT45" s="92" t="s">
        <v>54</v>
      </c>
      <c r="PQU45" s="92" t="s">
        <v>54</v>
      </c>
      <c r="PQV45" s="92" t="s">
        <v>54</v>
      </c>
      <c r="PQW45" s="92" t="s">
        <v>54</v>
      </c>
      <c r="PQX45" s="92" t="s">
        <v>54</v>
      </c>
      <c r="PQY45" s="92" t="s">
        <v>54</v>
      </c>
      <c r="PQZ45" s="92" t="s">
        <v>54</v>
      </c>
      <c r="PRA45" s="92" t="s">
        <v>54</v>
      </c>
      <c r="PRB45" s="92" t="s">
        <v>54</v>
      </c>
      <c r="PRC45" s="92" t="s">
        <v>54</v>
      </c>
      <c r="PRD45" s="92" t="s">
        <v>54</v>
      </c>
      <c r="PRE45" s="92" t="s">
        <v>54</v>
      </c>
      <c r="PRF45" s="92" t="s">
        <v>54</v>
      </c>
      <c r="PRG45" s="92" t="s">
        <v>54</v>
      </c>
      <c r="PRH45" s="92" t="s">
        <v>54</v>
      </c>
      <c r="PRI45" s="92" t="s">
        <v>54</v>
      </c>
      <c r="PRJ45" s="92" t="s">
        <v>54</v>
      </c>
      <c r="PRK45" s="92" t="s">
        <v>54</v>
      </c>
      <c r="PRL45" s="92" t="s">
        <v>54</v>
      </c>
      <c r="PRM45" s="92" t="s">
        <v>54</v>
      </c>
      <c r="PRN45" s="92" t="s">
        <v>54</v>
      </c>
      <c r="PRO45" s="92" t="s">
        <v>54</v>
      </c>
      <c r="PRP45" s="92" t="s">
        <v>54</v>
      </c>
      <c r="PRQ45" s="92" t="s">
        <v>54</v>
      </c>
      <c r="PRR45" s="92" t="s">
        <v>54</v>
      </c>
      <c r="PRS45" s="92" t="s">
        <v>54</v>
      </c>
      <c r="PRT45" s="92" t="s">
        <v>54</v>
      </c>
      <c r="PRU45" s="92" t="s">
        <v>54</v>
      </c>
      <c r="PRV45" s="92" t="s">
        <v>54</v>
      </c>
      <c r="PRW45" s="92" t="s">
        <v>54</v>
      </c>
      <c r="PRX45" s="92" t="s">
        <v>54</v>
      </c>
      <c r="PRY45" s="92" t="s">
        <v>54</v>
      </c>
      <c r="PRZ45" s="92" t="s">
        <v>54</v>
      </c>
      <c r="PSA45" s="92" t="s">
        <v>54</v>
      </c>
      <c r="PSB45" s="92" t="s">
        <v>54</v>
      </c>
      <c r="PSC45" s="92" t="s">
        <v>54</v>
      </c>
      <c r="PSD45" s="92" t="s">
        <v>54</v>
      </c>
      <c r="PSE45" s="92" t="s">
        <v>54</v>
      </c>
      <c r="PSF45" s="92" t="s">
        <v>54</v>
      </c>
      <c r="PSG45" s="92" t="s">
        <v>54</v>
      </c>
      <c r="PSH45" s="92" t="s">
        <v>54</v>
      </c>
      <c r="PSI45" s="92" t="s">
        <v>54</v>
      </c>
      <c r="PSJ45" s="92" t="s">
        <v>54</v>
      </c>
      <c r="PSK45" s="92" t="s">
        <v>54</v>
      </c>
      <c r="PSL45" s="92" t="s">
        <v>54</v>
      </c>
      <c r="PSM45" s="92" t="s">
        <v>54</v>
      </c>
      <c r="PSN45" s="92" t="s">
        <v>54</v>
      </c>
      <c r="PSO45" s="92" t="s">
        <v>54</v>
      </c>
      <c r="PSP45" s="92" t="s">
        <v>54</v>
      </c>
      <c r="PSQ45" s="92" t="s">
        <v>54</v>
      </c>
      <c r="PSR45" s="92" t="s">
        <v>54</v>
      </c>
      <c r="PSS45" s="92" t="s">
        <v>54</v>
      </c>
      <c r="PST45" s="92" t="s">
        <v>54</v>
      </c>
      <c r="PSU45" s="92" t="s">
        <v>54</v>
      </c>
      <c r="PSV45" s="92" t="s">
        <v>54</v>
      </c>
      <c r="PSW45" s="92" t="s">
        <v>54</v>
      </c>
      <c r="PSX45" s="92" t="s">
        <v>54</v>
      </c>
      <c r="PSY45" s="92" t="s">
        <v>54</v>
      </c>
      <c r="PSZ45" s="92" t="s">
        <v>54</v>
      </c>
      <c r="PTA45" s="92" t="s">
        <v>54</v>
      </c>
      <c r="PTB45" s="92" t="s">
        <v>54</v>
      </c>
      <c r="PTC45" s="92" t="s">
        <v>54</v>
      </c>
      <c r="PTD45" s="92" t="s">
        <v>54</v>
      </c>
      <c r="PTE45" s="92" t="s">
        <v>54</v>
      </c>
      <c r="PTF45" s="92" t="s">
        <v>54</v>
      </c>
      <c r="PTG45" s="92" t="s">
        <v>54</v>
      </c>
      <c r="PTH45" s="92" t="s">
        <v>54</v>
      </c>
      <c r="PTI45" s="92" t="s">
        <v>54</v>
      </c>
      <c r="PTJ45" s="92" t="s">
        <v>54</v>
      </c>
      <c r="PTK45" s="92" t="s">
        <v>54</v>
      </c>
      <c r="PTL45" s="92" t="s">
        <v>54</v>
      </c>
      <c r="PTM45" s="92" t="s">
        <v>54</v>
      </c>
      <c r="PTN45" s="92" t="s">
        <v>54</v>
      </c>
      <c r="PTO45" s="92" t="s">
        <v>54</v>
      </c>
      <c r="PTP45" s="92" t="s">
        <v>54</v>
      </c>
      <c r="PTQ45" s="92" t="s">
        <v>54</v>
      </c>
      <c r="PTR45" s="92" t="s">
        <v>54</v>
      </c>
      <c r="PTS45" s="92" t="s">
        <v>54</v>
      </c>
      <c r="PTT45" s="92" t="s">
        <v>54</v>
      </c>
      <c r="PTU45" s="92" t="s">
        <v>54</v>
      </c>
      <c r="PTV45" s="92" t="s">
        <v>54</v>
      </c>
      <c r="PTW45" s="92" t="s">
        <v>54</v>
      </c>
      <c r="PTX45" s="92" t="s">
        <v>54</v>
      </c>
      <c r="PTY45" s="92" t="s">
        <v>54</v>
      </c>
      <c r="PTZ45" s="92" t="s">
        <v>54</v>
      </c>
      <c r="PUA45" s="92" t="s">
        <v>54</v>
      </c>
      <c r="PUB45" s="92" t="s">
        <v>54</v>
      </c>
      <c r="PUC45" s="92" t="s">
        <v>54</v>
      </c>
      <c r="PUD45" s="92" t="s">
        <v>54</v>
      </c>
      <c r="PUE45" s="92" t="s">
        <v>54</v>
      </c>
      <c r="PUF45" s="92" t="s">
        <v>54</v>
      </c>
      <c r="PUG45" s="92" t="s">
        <v>54</v>
      </c>
      <c r="PUH45" s="92" t="s">
        <v>54</v>
      </c>
      <c r="PUI45" s="92" t="s">
        <v>54</v>
      </c>
      <c r="PUJ45" s="92" t="s">
        <v>54</v>
      </c>
      <c r="PUK45" s="92" t="s">
        <v>54</v>
      </c>
      <c r="PUL45" s="92" t="s">
        <v>54</v>
      </c>
      <c r="PUM45" s="92" t="s">
        <v>54</v>
      </c>
      <c r="PUN45" s="92" t="s">
        <v>54</v>
      </c>
      <c r="PUO45" s="92" t="s">
        <v>54</v>
      </c>
      <c r="PUP45" s="92" t="s">
        <v>54</v>
      </c>
      <c r="PUQ45" s="92" t="s">
        <v>54</v>
      </c>
      <c r="PUR45" s="92" t="s">
        <v>54</v>
      </c>
      <c r="PUS45" s="92" t="s">
        <v>54</v>
      </c>
      <c r="PUT45" s="92" t="s">
        <v>54</v>
      </c>
      <c r="PUU45" s="92" t="s">
        <v>54</v>
      </c>
      <c r="PUV45" s="92" t="s">
        <v>54</v>
      </c>
      <c r="PUW45" s="92" t="s">
        <v>54</v>
      </c>
      <c r="PUX45" s="92" t="s">
        <v>54</v>
      </c>
      <c r="PUY45" s="92" t="s">
        <v>54</v>
      </c>
      <c r="PUZ45" s="92" t="s">
        <v>54</v>
      </c>
      <c r="PVA45" s="92" t="s">
        <v>54</v>
      </c>
      <c r="PVB45" s="92" t="s">
        <v>54</v>
      </c>
      <c r="PVC45" s="92" t="s">
        <v>54</v>
      </c>
      <c r="PVD45" s="92" t="s">
        <v>54</v>
      </c>
      <c r="PVE45" s="92" t="s">
        <v>54</v>
      </c>
      <c r="PVF45" s="92" t="s">
        <v>54</v>
      </c>
      <c r="PVG45" s="92" t="s">
        <v>54</v>
      </c>
      <c r="PVH45" s="92" t="s">
        <v>54</v>
      </c>
      <c r="PVI45" s="92" t="s">
        <v>54</v>
      </c>
      <c r="PVJ45" s="92" t="s">
        <v>54</v>
      </c>
      <c r="PVK45" s="92" t="s">
        <v>54</v>
      </c>
      <c r="PVL45" s="92" t="s">
        <v>54</v>
      </c>
      <c r="PVM45" s="92" t="s">
        <v>54</v>
      </c>
      <c r="PVN45" s="92" t="s">
        <v>54</v>
      </c>
      <c r="PVO45" s="92" t="s">
        <v>54</v>
      </c>
      <c r="PVP45" s="92" t="s">
        <v>54</v>
      </c>
      <c r="PVQ45" s="92" t="s">
        <v>54</v>
      </c>
      <c r="PVR45" s="92" t="s">
        <v>54</v>
      </c>
      <c r="PVS45" s="92" t="s">
        <v>54</v>
      </c>
      <c r="PVT45" s="92" t="s">
        <v>54</v>
      </c>
      <c r="PVU45" s="92" t="s">
        <v>54</v>
      </c>
      <c r="PVV45" s="92" t="s">
        <v>54</v>
      </c>
      <c r="PVW45" s="92" t="s">
        <v>54</v>
      </c>
      <c r="PVX45" s="92" t="s">
        <v>54</v>
      </c>
      <c r="PVY45" s="92" t="s">
        <v>54</v>
      </c>
      <c r="PVZ45" s="92" t="s">
        <v>54</v>
      </c>
      <c r="PWA45" s="92" t="s">
        <v>54</v>
      </c>
      <c r="PWB45" s="92" t="s">
        <v>54</v>
      </c>
      <c r="PWC45" s="92" t="s">
        <v>54</v>
      </c>
      <c r="PWD45" s="92" t="s">
        <v>54</v>
      </c>
      <c r="PWE45" s="92" t="s">
        <v>54</v>
      </c>
      <c r="PWF45" s="92" t="s">
        <v>54</v>
      </c>
      <c r="PWG45" s="92" t="s">
        <v>54</v>
      </c>
      <c r="PWH45" s="92" t="s">
        <v>54</v>
      </c>
      <c r="PWI45" s="92" t="s">
        <v>54</v>
      </c>
      <c r="PWJ45" s="92" t="s">
        <v>54</v>
      </c>
      <c r="PWK45" s="92" t="s">
        <v>54</v>
      </c>
      <c r="PWL45" s="92" t="s">
        <v>54</v>
      </c>
      <c r="PWM45" s="92" t="s">
        <v>54</v>
      </c>
      <c r="PWN45" s="92" t="s">
        <v>54</v>
      </c>
      <c r="PWO45" s="92" t="s">
        <v>54</v>
      </c>
      <c r="PWP45" s="92" t="s">
        <v>54</v>
      </c>
      <c r="PWQ45" s="92" t="s">
        <v>54</v>
      </c>
      <c r="PWR45" s="92" t="s">
        <v>54</v>
      </c>
      <c r="PWS45" s="92" t="s">
        <v>54</v>
      </c>
      <c r="PWT45" s="92" t="s">
        <v>54</v>
      </c>
      <c r="PWU45" s="92" t="s">
        <v>54</v>
      </c>
      <c r="PWV45" s="92" t="s">
        <v>54</v>
      </c>
      <c r="PWW45" s="92" t="s">
        <v>54</v>
      </c>
      <c r="PWX45" s="92" t="s">
        <v>54</v>
      </c>
      <c r="PWY45" s="92" t="s">
        <v>54</v>
      </c>
      <c r="PWZ45" s="92" t="s">
        <v>54</v>
      </c>
      <c r="PXA45" s="92" t="s">
        <v>54</v>
      </c>
      <c r="PXB45" s="92" t="s">
        <v>54</v>
      </c>
      <c r="PXC45" s="92" t="s">
        <v>54</v>
      </c>
      <c r="PXD45" s="92" t="s">
        <v>54</v>
      </c>
      <c r="PXE45" s="92" t="s">
        <v>54</v>
      </c>
      <c r="PXF45" s="92" t="s">
        <v>54</v>
      </c>
      <c r="PXG45" s="92" t="s">
        <v>54</v>
      </c>
      <c r="PXH45" s="92" t="s">
        <v>54</v>
      </c>
      <c r="PXI45" s="92" t="s">
        <v>54</v>
      </c>
      <c r="PXJ45" s="92" t="s">
        <v>54</v>
      </c>
      <c r="PXK45" s="92" t="s">
        <v>54</v>
      </c>
      <c r="PXL45" s="92" t="s">
        <v>54</v>
      </c>
      <c r="PXM45" s="92" t="s">
        <v>54</v>
      </c>
      <c r="PXN45" s="92" t="s">
        <v>54</v>
      </c>
      <c r="PXO45" s="92" t="s">
        <v>54</v>
      </c>
      <c r="PXP45" s="92" t="s">
        <v>54</v>
      </c>
      <c r="PXQ45" s="92" t="s">
        <v>54</v>
      </c>
      <c r="PXR45" s="92" t="s">
        <v>54</v>
      </c>
      <c r="PXS45" s="92" t="s">
        <v>54</v>
      </c>
      <c r="PXT45" s="92" t="s">
        <v>54</v>
      </c>
      <c r="PXU45" s="92" t="s">
        <v>54</v>
      </c>
      <c r="PXV45" s="92" t="s">
        <v>54</v>
      </c>
      <c r="PXW45" s="92" t="s">
        <v>54</v>
      </c>
      <c r="PXX45" s="92" t="s">
        <v>54</v>
      </c>
      <c r="PXY45" s="92" t="s">
        <v>54</v>
      </c>
      <c r="PXZ45" s="92" t="s">
        <v>54</v>
      </c>
      <c r="PYA45" s="92" t="s">
        <v>54</v>
      </c>
      <c r="PYB45" s="92" t="s">
        <v>54</v>
      </c>
      <c r="PYC45" s="92" t="s">
        <v>54</v>
      </c>
      <c r="PYD45" s="92" t="s">
        <v>54</v>
      </c>
      <c r="PYE45" s="92" t="s">
        <v>54</v>
      </c>
      <c r="PYF45" s="92" t="s">
        <v>54</v>
      </c>
      <c r="PYG45" s="92" t="s">
        <v>54</v>
      </c>
      <c r="PYH45" s="92" t="s">
        <v>54</v>
      </c>
      <c r="PYI45" s="92" t="s">
        <v>54</v>
      </c>
      <c r="PYJ45" s="92" t="s">
        <v>54</v>
      </c>
      <c r="PYK45" s="92" t="s">
        <v>54</v>
      </c>
      <c r="PYL45" s="92" t="s">
        <v>54</v>
      </c>
      <c r="PYM45" s="92" t="s">
        <v>54</v>
      </c>
      <c r="PYN45" s="92" t="s">
        <v>54</v>
      </c>
      <c r="PYO45" s="92" t="s">
        <v>54</v>
      </c>
      <c r="PYP45" s="92" t="s">
        <v>54</v>
      </c>
      <c r="PYQ45" s="92" t="s">
        <v>54</v>
      </c>
      <c r="PYR45" s="92" t="s">
        <v>54</v>
      </c>
      <c r="PYS45" s="92" t="s">
        <v>54</v>
      </c>
      <c r="PYT45" s="92" t="s">
        <v>54</v>
      </c>
      <c r="PYU45" s="92" t="s">
        <v>54</v>
      </c>
      <c r="PYV45" s="92" t="s">
        <v>54</v>
      </c>
      <c r="PYW45" s="92" t="s">
        <v>54</v>
      </c>
      <c r="PYX45" s="92" t="s">
        <v>54</v>
      </c>
      <c r="PYY45" s="92" t="s">
        <v>54</v>
      </c>
      <c r="PYZ45" s="92" t="s">
        <v>54</v>
      </c>
      <c r="PZA45" s="92" t="s">
        <v>54</v>
      </c>
      <c r="PZB45" s="92" t="s">
        <v>54</v>
      </c>
      <c r="PZC45" s="92" t="s">
        <v>54</v>
      </c>
      <c r="PZD45" s="92" t="s">
        <v>54</v>
      </c>
      <c r="PZE45" s="92" t="s">
        <v>54</v>
      </c>
      <c r="PZF45" s="92" t="s">
        <v>54</v>
      </c>
      <c r="PZG45" s="92" t="s">
        <v>54</v>
      </c>
      <c r="PZH45" s="92" t="s">
        <v>54</v>
      </c>
      <c r="PZI45" s="92" t="s">
        <v>54</v>
      </c>
      <c r="PZJ45" s="92" t="s">
        <v>54</v>
      </c>
      <c r="PZK45" s="92" t="s">
        <v>54</v>
      </c>
      <c r="PZL45" s="92" t="s">
        <v>54</v>
      </c>
      <c r="PZM45" s="92" t="s">
        <v>54</v>
      </c>
      <c r="PZN45" s="92" t="s">
        <v>54</v>
      </c>
      <c r="PZO45" s="92" t="s">
        <v>54</v>
      </c>
      <c r="PZP45" s="92" t="s">
        <v>54</v>
      </c>
      <c r="PZQ45" s="92" t="s">
        <v>54</v>
      </c>
      <c r="PZR45" s="92" t="s">
        <v>54</v>
      </c>
      <c r="PZS45" s="92" t="s">
        <v>54</v>
      </c>
      <c r="PZT45" s="92" t="s">
        <v>54</v>
      </c>
      <c r="PZU45" s="92" t="s">
        <v>54</v>
      </c>
      <c r="PZV45" s="92" t="s">
        <v>54</v>
      </c>
      <c r="PZW45" s="92" t="s">
        <v>54</v>
      </c>
      <c r="PZX45" s="92" t="s">
        <v>54</v>
      </c>
      <c r="PZY45" s="92" t="s">
        <v>54</v>
      </c>
      <c r="PZZ45" s="92" t="s">
        <v>54</v>
      </c>
      <c r="QAA45" s="92" t="s">
        <v>54</v>
      </c>
      <c r="QAB45" s="92" t="s">
        <v>54</v>
      </c>
      <c r="QAC45" s="92" t="s">
        <v>54</v>
      </c>
      <c r="QAD45" s="92" t="s">
        <v>54</v>
      </c>
      <c r="QAE45" s="92" t="s">
        <v>54</v>
      </c>
      <c r="QAF45" s="92" t="s">
        <v>54</v>
      </c>
      <c r="QAG45" s="92" t="s">
        <v>54</v>
      </c>
      <c r="QAH45" s="92" t="s">
        <v>54</v>
      </c>
      <c r="QAI45" s="92" t="s">
        <v>54</v>
      </c>
      <c r="QAJ45" s="92" t="s">
        <v>54</v>
      </c>
      <c r="QAK45" s="92" t="s">
        <v>54</v>
      </c>
      <c r="QAL45" s="92" t="s">
        <v>54</v>
      </c>
      <c r="QAM45" s="92" t="s">
        <v>54</v>
      </c>
      <c r="QAN45" s="92" t="s">
        <v>54</v>
      </c>
      <c r="QAO45" s="92" t="s">
        <v>54</v>
      </c>
      <c r="QAP45" s="92" t="s">
        <v>54</v>
      </c>
      <c r="QAQ45" s="92" t="s">
        <v>54</v>
      </c>
      <c r="QAR45" s="92" t="s">
        <v>54</v>
      </c>
      <c r="QAS45" s="92" t="s">
        <v>54</v>
      </c>
      <c r="QAT45" s="92" t="s">
        <v>54</v>
      </c>
      <c r="QAU45" s="92" t="s">
        <v>54</v>
      </c>
      <c r="QAV45" s="92" t="s">
        <v>54</v>
      </c>
      <c r="QAW45" s="92" t="s">
        <v>54</v>
      </c>
      <c r="QAX45" s="92" t="s">
        <v>54</v>
      </c>
      <c r="QAY45" s="92" t="s">
        <v>54</v>
      </c>
      <c r="QAZ45" s="92" t="s">
        <v>54</v>
      </c>
      <c r="QBA45" s="92" t="s">
        <v>54</v>
      </c>
      <c r="QBB45" s="92" t="s">
        <v>54</v>
      </c>
      <c r="QBC45" s="92" t="s">
        <v>54</v>
      </c>
      <c r="QBD45" s="92" t="s">
        <v>54</v>
      </c>
      <c r="QBE45" s="92" t="s">
        <v>54</v>
      </c>
      <c r="QBF45" s="92" t="s">
        <v>54</v>
      </c>
      <c r="QBG45" s="92" t="s">
        <v>54</v>
      </c>
      <c r="QBH45" s="92" t="s">
        <v>54</v>
      </c>
      <c r="QBI45" s="92" t="s">
        <v>54</v>
      </c>
      <c r="QBJ45" s="92" t="s">
        <v>54</v>
      </c>
      <c r="QBK45" s="92" t="s">
        <v>54</v>
      </c>
      <c r="QBL45" s="92" t="s">
        <v>54</v>
      </c>
      <c r="QBM45" s="92" t="s">
        <v>54</v>
      </c>
      <c r="QBN45" s="92" t="s">
        <v>54</v>
      </c>
      <c r="QBO45" s="92" t="s">
        <v>54</v>
      </c>
      <c r="QBP45" s="92" t="s">
        <v>54</v>
      </c>
      <c r="QBQ45" s="92" t="s">
        <v>54</v>
      </c>
      <c r="QBR45" s="92" t="s">
        <v>54</v>
      </c>
      <c r="QBS45" s="92" t="s">
        <v>54</v>
      </c>
      <c r="QBT45" s="92" t="s">
        <v>54</v>
      </c>
      <c r="QBU45" s="92" t="s">
        <v>54</v>
      </c>
      <c r="QBV45" s="92" t="s">
        <v>54</v>
      </c>
      <c r="QBW45" s="92" t="s">
        <v>54</v>
      </c>
      <c r="QBX45" s="92" t="s">
        <v>54</v>
      </c>
      <c r="QBY45" s="92" t="s">
        <v>54</v>
      </c>
      <c r="QBZ45" s="92" t="s">
        <v>54</v>
      </c>
      <c r="QCA45" s="92" t="s">
        <v>54</v>
      </c>
      <c r="QCB45" s="92" t="s">
        <v>54</v>
      </c>
      <c r="QCC45" s="92" t="s">
        <v>54</v>
      </c>
      <c r="QCD45" s="92" t="s">
        <v>54</v>
      </c>
      <c r="QCE45" s="92" t="s">
        <v>54</v>
      </c>
      <c r="QCF45" s="92" t="s">
        <v>54</v>
      </c>
      <c r="QCG45" s="92" t="s">
        <v>54</v>
      </c>
      <c r="QCH45" s="92" t="s">
        <v>54</v>
      </c>
      <c r="QCI45" s="92" t="s">
        <v>54</v>
      </c>
      <c r="QCJ45" s="92" t="s">
        <v>54</v>
      </c>
      <c r="QCK45" s="92" t="s">
        <v>54</v>
      </c>
      <c r="QCL45" s="92" t="s">
        <v>54</v>
      </c>
      <c r="QCM45" s="92" t="s">
        <v>54</v>
      </c>
      <c r="QCN45" s="92" t="s">
        <v>54</v>
      </c>
      <c r="QCO45" s="92" t="s">
        <v>54</v>
      </c>
      <c r="QCP45" s="92" t="s">
        <v>54</v>
      </c>
      <c r="QCQ45" s="92" t="s">
        <v>54</v>
      </c>
      <c r="QCR45" s="92" t="s">
        <v>54</v>
      </c>
      <c r="QCS45" s="92" t="s">
        <v>54</v>
      </c>
      <c r="QCT45" s="92" t="s">
        <v>54</v>
      </c>
      <c r="QCU45" s="92" t="s">
        <v>54</v>
      </c>
      <c r="QCV45" s="92" t="s">
        <v>54</v>
      </c>
      <c r="QCW45" s="92" t="s">
        <v>54</v>
      </c>
      <c r="QCX45" s="92" t="s">
        <v>54</v>
      </c>
      <c r="QCY45" s="92" t="s">
        <v>54</v>
      </c>
      <c r="QCZ45" s="92" t="s">
        <v>54</v>
      </c>
      <c r="QDA45" s="92" t="s">
        <v>54</v>
      </c>
      <c r="QDB45" s="92" t="s">
        <v>54</v>
      </c>
      <c r="QDC45" s="92" t="s">
        <v>54</v>
      </c>
      <c r="QDD45" s="92" t="s">
        <v>54</v>
      </c>
      <c r="QDE45" s="92" t="s">
        <v>54</v>
      </c>
      <c r="QDF45" s="92" t="s">
        <v>54</v>
      </c>
      <c r="QDG45" s="92" t="s">
        <v>54</v>
      </c>
      <c r="QDH45" s="92" t="s">
        <v>54</v>
      </c>
      <c r="QDI45" s="92" t="s">
        <v>54</v>
      </c>
      <c r="QDJ45" s="92" t="s">
        <v>54</v>
      </c>
      <c r="QDK45" s="92" t="s">
        <v>54</v>
      </c>
      <c r="QDL45" s="92" t="s">
        <v>54</v>
      </c>
      <c r="QDM45" s="92" t="s">
        <v>54</v>
      </c>
      <c r="QDN45" s="92" t="s">
        <v>54</v>
      </c>
      <c r="QDO45" s="92" t="s">
        <v>54</v>
      </c>
      <c r="QDP45" s="92" t="s">
        <v>54</v>
      </c>
      <c r="QDQ45" s="92" t="s">
        <v>54</v>
      </c>
      <c r="QDR45" s="92" t="s">
        <v>54</v>
      </c>
      <c r="QDS45" s="92" t="s">
        <v>54</v>
      </c>
      <c r="QDT45" s="92" t="s">
        <v>54</v>
      </c>
      <c r="QDU45" s="92" t="s">
        <v>54</v>
      </c>
      <c r="QDV45" s="92" t="s">
        <v>54</v>
      </c>
      <c r="QDW45" s="92" t="s">
        <v>54</v>
      </c>
      <c r="QDX45" s="92" t="s">
        <v>54</v>
      </c>
      <c r="QDY45" s="92" t="s">
        <v>54</v>
      </c>
      <c r="QDZ45" s="92" t="s">
        <v>54</v>
      </c>
      <c r="QEA45" s="92" t="s">
        <v>54</v>
      </c>
      <c r="QEB45" s="92" t="s">
        <v>54</v>
      </c>
      <c r="QEC45" s="92" t="s">
        <v>54</v>
      </c>
      <c r="QED45" s="92" t="s">
        <v>54</v>
      </c>
      <c r="QEE45" s="92" t="s">
        <v>54</v>
      </c>
      <c r="QEF45" s="92" t="s">
        <v>54</v>
      </c>
      <c r="QEG45" s="92" t="s">
        <v>54</v>
      </c>
      <c r="QEH45" s="92" t="s">
        <v>54</v>
      </c>
      <c r="QEI45" s="92" t="s">
        <v>54</v>
      </c>
      <c r="QEJ45" s="92" t="s">
        <v>54</v>
      </c>
      <c r="QEK45" s="92" t="s">
        <v>54</v>
      </c>
      <c r="QEL45" s="92" t="s">
        <v>54</v>
      </c>
      <c r="QEM45" s="92" t="s">
        <v>54</v>
      </c>
      <c r="QEN45" s="92" t="s">
        <v>54</v>
      </c>
      <c r="QEO45" s="92" t="s">
        <v>54</v>
      </c>
      <c r="QEP45" s="92" t="s">
        <v>54</v>
      </c>
      <c r="QEQ45" s="92" t="s">
        <v>54</v>
      </c>
      <c r="QER45" s="92" t="s">
        <v>54</v>
      </c>
      <c r="QES45" s="92" t="s">
        <v>54</v>
      </c>
      <c r="QET45" s="92" t="s">
        <v>54</v>
      </c>
      <c r="QEU45" s="92" t="s">
        <v>54</v>
      </c>
      <c r="QEV45" s="92" t="s">
        <v>54</v>
      </c>
      <c r="QEW45" s="92" t="s">
        <v>54</v>
      </c>
      <c r="QEX45" s="92" t="s">
        <v>54</v>
      </c>
      <c r="QEY45" s="92" t="s">
        <v>54</v>
      </c>
      <c r="QEZ45" s="92" t="s">
        <v>54</v>
      </c>
      <c r="QFA45" s="92" t="s">
        <v>54</v>
      </c>
      <c r="QFB45" s="92" t="s">
        <v>54</v>
      </c>
      <c r="QFC45" s="92" t="s">
        <v>54</v>
      </c>
      <c r="QFD45" s="92" t="s">
        <v>54</v>
      </c>
      <c r="QFE45" s="92" t="s">
        <v>54</v>
      </c>
      <c r="QFF45" s="92" t="s">
        <v>54</v>
      </c>
      <c r="QFG45" s="92" t="s">
        <v>54</v>
      </c>
      <c r="QFH45" s="92" t="s">
        <v>54</v>
      </c>
      <c r="QFI45" s="92" t="s">
        <v>54</v>
      </c>
      <c r="QFJ45" s="92" t="s">
        <v>54</v>
      </c>
      <c r="QFK45" s="92" t="s">
        <v>54</v>
      </c>
      <c r="QFL45" s="92" t="s">
        <v>54</v>
      </c>
      <c r="QFM45" s="92" t="s">
        <v>54</v>
      </c>
      <c r="QFN45" s="92" t="s">
        <v>54</v>
      </c>
      <c r="QFO45" s="92" t="s">
        <v>54</v>
      </c>
      <c r="QFP45" s="92" t="s">
        <v>54</v>
      </c>
      <c r="QFQ45" s="92" t="s">
        <v>54</v>
      </c>
      <c r="QFR45" s="92" t="s">
        <v>54</v>
      </c>
      <c r="QFS45" s="92" t="s">
        <v>54</v>
      </c>
      <c r="QFT45" s="92" t="s">
        <v>54</v>
      </c>
      <c r="QFU45" s="92" t="s">
        <v>54</v>
      </c>
      <c r="QFV45" s="92" t="s">
        <v>54</v>
      </c>
      <c r="QFW45" s="92" t="s">
        <v>54</v>
      </c>
      <c r="QFX45" s="92" t="s">
        <v>54</v>
      </c>
      <c r="QFY45" s="92" t="s">
        <v>54</v>
      </c>
      <c r="QFZ45" s="92" t="s">
        <v>54</v>
      </c>
      <c r="QGA45" s="92" t="s">
        <v>54</v>
      </c>
      <c r="QGB45" s="92" t="s">
        <v>54</v>
      </c>
      <c r="QGC45" s="92" t="s">
        <v>54</v>
      </c>
      <c r="QGD45" s="92" t="s">
        <v>54</v>
      </c>
      <c r="QGE45" s="92" t="s">
        <v>54</v>
      </c>
      <c r="QGF45" s="92" t="s">
        <v>54</v>
      </c>
      <c r="QGG45" s="92" t="s">
        <v>54</v>
      </c>
      <c r="QGH45" s="92" t="s">
        <v>54</v>
      </c>
      <c r="QGI45" s="92" t="s">
        <v>54</v>
      </c>
      <c r="QGJ45" s="92" t="s">
        <v>54</v>
      </c>
      <c r="QGK45" s="92" t="s">
        <v>54</v>
      </c>
      <c r="QGL45" s="92" t="s">
        <v>54</v>
      </c>
      <c r="QGM45" s="92" t="s">
        <v>54</v>
      </c>
      <c r="QGN45" s="92" t="s">
        <v>54</v>
      </c>
      <c r="QGO45" s="92" t="s">
        <v>54</v>
      </c>
      <c r="QGP45" s="92" t="s">
        <v>54</v>
      </c>
      <c r="QGQ45" s="92" t="s">
        <v>54</v>
      </c>
      <c r="QGR45" s="92" t="s">
        <v>54</v>
      </c>
      <c r="QGS45" s="92" t="s">
        <v>54</v>
      </c>
      <c r="QGT45" s="92" t="s">
        <v>54</v>
      </c>
      <c r="QGU45" s="92" t="s">
        <v>54</v>
      </c>
      <c r="QGV45" s="92" t="s">
        <v>54</v>
      </c>
      <c r="QGW45" s="92" t="s">
        <v>54</v>
      </c>
      <c r="QGX45" s="92" t="s">
        <v>54</v>
      </c>
      <c r="QGY45" s="92" t="s">
        <v>54</v>
      </c>
      <c r="QGZ45" s="92" t="s">
        <v>54</v>
      </c>
      <c r="QHA45" s="92" t="s">
        <v>54</v>
      </c>
      <c r="QHB45" s="92" t="s">
        <v>54</v>
      </c>
      <c r="QHC45" s="92" t="s">
        <v>54</v>
      </c>
      <c r="QHD45" s="92" t="s">
        <v>54</v>
      </c>
      <c r="QHE45" s="92" t="s">
        <v>54</v>
      </c>
      <c r="QHF45" s="92" t="s">
        <v>54</v>
      </c>
      <c r="QHG45" s="92" t="s">
        <v>54</v>
      </c>
      <c r="QHH45" s="92" t="s">
        <v>54</v>
      </c>
      <c r="QHI45" s="92" t="s">
        <v>54</v>
      </c>
      <c r="QHJ45" s="92" t="s">
        <v>54</v>
      </c>
      <c r="QHK45" s="92" t="s">
        <v>54</v>
      </c>
      <c r="QHL45" s="92" t="s">
        <v>54</v>
      </c>
      <c r="QHM45" s="92" t="s">
        <v>54</v>
      </c>
      <c r="QHN45" s="92" t="s">
        <v>54</v>
      </c>
      <c r="QHO45" s="92" t="s">
        <v>54</v>
      </c>
      <c r="QHP45" s="92" t="s">
        <v>54</v>
      </c>
      <c r="QHQ45" s="92" t="s">
        <v>54</v>
      </c>
      <c r="QHR45" s="92" t="s">
        <v>54</v>
      </c>
      <c r="QHS45" s="92" t="s">
        <v>54</v>
      </c>
      <c r="QHT45" s="92" t="s">
        <v>54</v>
      </c>
      <c r="QHU45" s="92" t="s">
        <v>54</v>
      </c>
      <c r="QHV45" s="92" t="s">
        <v>54</v>
      </c>
      <c r="QHW45" s="92" t="s">
        <v>54</v>
      </c>
      <c r="QHX45" s="92" t="s">
        <v>54</v>
      </c>
      <c r="QHY45" s="92" t="s">
        <v>54</v>
      </c>
      <c r="QHZ45" s="92" t="s">
        <v>54</v>
      </c>
      <c r="QIA45" s="92" t="s">
        <v>54</v>
      </c>
      <c r="QIB45" s="92" t="s">
        <v>54</v>
      </c>
      <c r="QIC45" s="92" t="s">
        <v>54</v>
      </c>
      <c r="QID45" s="92" t="s">
        <v>54</v>
      </c>
      <c r="QIE45" s="92" t="s">
        <v>54</v>
      </c>
      <c r="QIF45" s="92" t="s">
        <v>54</v>
      </c>
      <c r="QIG45" s="92" t="s">
        <v>54</v>
      </c>
      <c r="QIH45" s="92" t="s">
        <v>54</v>
      </c>
      <c r="QII45" s="92" t="s">
        <v>54</v>
      </c>
      <c r="QIJ45" s="92" t="s">
        <v>54</v>
      </c>
      <c r="QIK45" s="92" t="s">
        <v>54</v>
      </c>
      <c r="QIL45" s="92" t="s">
        <v>54</v>
      </c>
      <c r="QIM45" s="92" t="s">
        <v>54</v>
      </c>
      <c r="QIN45" s="92" t="s">
        <v>54</v>
      </c>
      <c r="QIO45" s="92" t="s">
        <v>54</v>
      </c>
      <c r="QIP45" s="92" t="s">
        <v>54</v>
      </c>
      <c r="QIQ45" s="92" t="s">
        <v>54</v>
      </c>
      <c r="QIR45" s="92" t="s">
        <v>54</v>
      </c>
      <c r="QIS45" s="92" t="s">
        <v>54</v>
      </c>
      <c r="QIT45" s="92" t="s">
        <v>54</v>
      </c>
      <c r="QIU45" s="92" t="s">
        <v>54</v>
      </c>
      <c r="QIV45" s="92" t="s">
        <v>54</v>
      </c>
      <c r="QIW45" s="92" t="s">
        <v>54</v>
      </c>
      <c r="QIX45" s="92" t="s">
        <v>54</v>
      </c>
      <c r="QIY45" s="92" t="s">
        <v>54</v>
      </c>
      <c r="QIZ45" s="92" t="s">
        <v>54</v>
      </c>
      <c r="QJA45" s="92" t="s">
        <v>54</v>
      </c>
      <c r="QJB45" s="92" t="s">
        <v>54</v>
      </c>
      <c r="QJC45" s="92" t="s">
        <v>54</v>
      </c>
      <c r="QJD45" s="92" t="s">
        <v>54</v>
      </c>
      <c r="QJE45" s="92" t="s">
        <v>54</v>
      </c>
      <c r="QJF45" s="92" t="s">
        <v>54</v>
      </c>
      <c r="QJG45" s="92" t="s">
        <v>54</v>
      </c>
      <c r="QJH45" s="92" t="s">
        <v>54</v>
      </c>
      <c r="QJI45" s="92" t="s">
        <v>54</v>
      </c>
      <c r="QJJ45" s="92" t="s">
        <v>54</v>
      </c>
      <c r="QJK45" s="92" t="s">
        <v>54</v>
      </c>
      <c r="QJL45" s="92" t="s">
        <v>54</v>
      </c>
      <c r="QJM45" s="92" t="s">
        <v>54</v>
      </c>
      <c r="QJN45" s="92" t="s">
        <v>54</v>
      </c>
      <c r="QJO45" s="92" t="s">
        <v>54</v>
      </c>
      <c r="QJP45" s="92" t="s">
        <v>54</v>
      </c>
      <c r="QJQ45" s="92" t="s">
        <v>54</v>
      </c>
      <c r="QJR45" s="92" t="s">
        <v>54</v>
      </c>
      <c r="QJS45" s="92" t="s">
        <v>54</v>
      </c>
      <c r="QJT45" s="92" t="s">
        <v>54</v>
      </c>
      <c r="QJU45" s="92" t="s">
        <v>54</v>
      </c>
      <c r="QJV45" s="92" t="s">
        <v>54</v>
      </c>
      <c r="QJW45" s="92" t="s">
        <v>54</v>
      </c>
      <c r="QJX45" s="92" t="s">
        <v>54</v>
      </c>
      <c r="QJY45" s="92" t="s">
        <v>54</v>
      </c>
      <c r="QJZ45" s="92" t="s">
        <v>54</v>
      </c>
      <c r="QKA45" s="92" t="s">
        <v>54</v>
      </c>
      <c r="QKB45" s="92" t="s">
        <v>54</v>
      </c>
      <c r="QKC45" s="92" t="s">
        <v>54</v>
      </c>
      <c r="QKD45" s="92" t="s">
        <v>54</v>
      </c>
      <c r="QKE45" s="92" t="s">
        <v>54</v>
      </c>
      <c r="QKF45" s="92" t="s">
        <v>54</v>
      </c>
      <c r="QKG45" s="92" t="s">
        <v>54</v>
      </c>
      <c r="QKH45" s="92" t="s">
        <v>54</v>
      </c>
      <c r="QKI45" s="92" t="s">
        <v>54</v>
      </c>
      <c r="QKJ45" s="92" t="s">
        <v>54</v>
      </c>
      <c r="QKK45" s="92" t="s">
        <v>54</v>
      </c>
      <c r="QKL45" s="92" t="s">
        <v>54</v>
      </c>
      <c r="QKM45" s="92" t="s">
        <v>54</v>
      </c>
      <c r="QKN45" s="92" t="s">
        <v>54</v>
      </c>
      <c r="QKO45" s="92" t="s">
        <v>54</v>
      </c>
      <c r="QKP45" s="92" t="s">
        <v>54</v>
      </c>
      <c r="QKQ45" s="92" t="s">
        <v>54</v>
      </c>
      <c r="QKR45" s="92" t="s">
        <v>54</v>
      </c>
      <c r="QKS45" s="92" t="s">
        <v>54</v>
      </c>
      <c r="QKT45" s="92" t="s">
        <v>54</v>
      </c>
      <c r="QKU45" s="92" t="s">
        <v>54</v>
      </c>
      <c r="QKV45" s="92" t="s">
        <v>54</v>
      </c>
      <c r="QKW45" s="92" t="s">
        <v>54</v>
      </c>
      <c r="QKX45" s="92" t="s">
        <v>54</v>
      </c>
      <c r="QKY45" s="92" t="s">
        <v>54</v>
      </c>
      <c r="QKZ45" s="92" t="s">
        <v>54</v>
      </c>
      <c r="QLA45" s="92" t="s">
        <v>54</v>
      </c>
      <c r="QLB45" s="92" t="s">
        <v>54</v>
      </c>
      <c r="QLC45" s="92" t="s">
        <v>54</v>
      </c>
      <c r="QLD45" s="92" t="s">
        <v>54</v>
      </c>
      <c r="QLE45" s="92" t="s">
        <v>54</v>
      </c>
      <c r="QLF45" s="92" t="s">
        <v>54</v>
      </c>
      <c r="QLG45" s="92" t="s">
        <v>54</v>
      </c>
      <c r="QLH45" s="92" t="s">
        <v>54</v>
      </c>
      <c r="QLI45" s="92" t="s">
        <v>54</v>
      </c>
      <c r="QLJ45" s="92" t="s">
        <v>54</v>
      </c>
      <c r="QLK45" s="92" t="s">
        <v>54</v>
      </c>
      <c r="QLL45" s="92" t="s">
        <v>54</v>
      </c>
      <c r="QLM45" s="92" t="s">
        <v>54</v>
      </c>
      <c r="QLN45" s="92" t="s">
        <v>54</v>
      </c>
      <c r="QLO45" s="92" t="s">
        <v>54</v>
      </c>
      <c r="QLP45" s="92" t="s">
        <v>54</v>
      </c>
      <c r="QLQ45" s="92" t="s">
        <v>54</v>
      </c>
      <c r="QLR45" s="92" t="s">
        <v>54</v>
      </c>
      <c r="QLS45" s="92" t="s">
        <v>54</v>
      </c>
      <c r="QLT45" s="92" t="s">
        <v>54</v>
      </c>
      <c r="QLU45" s="92" t="s">
        <v>54</v>
      </c>
      <c r="QLV45" s="92" t="s">
        <v>54</v>
      </c>
      <c r="QLW45" s="92" t="s">
        <v>54</v>
      </c>
      <c r="QLX45" s="92" t="s">
        <v>54</v>
      </c>
      <c r="QLY45" s="92" t="s">
        <v>54</v>
      </c>
      <c r="QLZ45" s="92" t="s">
        <v>54</v>
      </c>
      <c r="QMA45" s="92" t="s">
        <v>54</v>
      </c>
      <c r="QMB45" s="92" t="s">
        <v>54</v>
      </c>
      <c r="QMC45" s="92" t="s">
        <v>54</v>
      </c>
      <c r="QMD45" s="92" t="s">
        <v>54</v>
      </c>
      <c r="QME45" s="92" t="s">
        <v>54</v>
      </c>
      <c r="QMF45" s="92" t="s">
        <v>54</v>
      </c>
      <c r="QMG45" s="92" t="s">
        <v>54</v>
      </c>
      <c r="QMH45" s="92" t="s">
        <v>54</v>
      </c>
      <c r="QMI45" s="92" t="s">
        <v>54</v>
      </c>
      <c r="QMJ45" s="92" t="s">
        <v>54</v>
      </c>
      <c r="QMK45" s="92" t="s">
        <v>54</v>
      </c>
      <c r="QML45" s="92" t="s">
        <v>54</v>
      </c>
      <c r="QMM45" s="92" t="s">
        <v>54</v>
      </c>
      <c r="QMN45" s="92" t="s">
        <v>54</v>
      </c>
      <c r="QMO45" s="92" t="s">
        <v>54</v>
      </c>
      <c r="QMP45" s="92" t="s">
        <v>54</v>
      </c>
      <c r="QMQ45" s="92" t="s">
        <v>54</v>
      </c>
      <c r="QMR45" s="92" t="s">
        <v>54</v>
      </c>
      <c r="QMS45" s="92" t="s">
        <v>54</v>
      </c>
      <c r="QMT45" s="92" t="s">
        <v>54</v>
      </c>
      <c r="QMU45" s="92" t="s">
        <v>54</v>
      </c>
      <c r="QMV45" s="92" t="s">
        <v>54</v>
      </c>
      <c r="QMW45" s="92" t="s">
        <v>54</v>
      </c>
      <c r="QMX45" s="92" t="s">
        <v>54</v>
      </c>
      <c r="QMY45" s="92" t="s">
        <v>54</v>
      </c>
      <c r="QMZ45" s="92" t="s">
        <v>54</v>
      </c>
      <c r="QNA45" s="92" t="s">
        <v>54</v>
      </c>
      <c r="QNB45" s="92" t="s">
        <v>54</v>
      </c>
      <c r="QNC45" s="92" t="s">
        <v>54</v>
      </c>
      <c r="QND45" s="92" t="s">
        <v>54</v>
      </c>
      <c r="QNE45" s="92" t="s">
        <v>54</v>
      </c>
      <c r="QNF45" s="92" t="s">
        <v>54</v>
      </c>
      <c r="QNG45" s="92" t="s">
        <v>54</v>
      </c>
      <c r="QNH45" s="92" t="s">
        <v>54</v>
      </c>
      <c r="QNI45" s="92" t="s">
        <v>54</v>
      </c>
      <c r="QNJ45" s="92" t="s">
        <v>54</v>
      </c>
      <c r="QNK45" s="92" t="s">
        <v>54</v>
      </c>
      <c r="QNL45" s="92" t="s">
        <v>54</v>
      </c>
      <c r="QNM45" s="92" t="s">
        <v>54</v>
      </c>
      <c r="QNN45" s="92" t="s">
        <v>54</v>
      </c>
      <c r="QNO45" s="92" t="s">
        <v>54</v>
      </c>
      <c r="QNP45" s="92" t="s">
        <v>54</v>
      </c>
      <c r="QNQ45" s="92" t="s">
        <v>54</v>
      </c>
      <c r="QNR45" s="92" t="s">
        <v>54</v>
      </c>
      <c r="QNS45" s="92" t="s">
        <v>54</v>
      </c>
      <c r="QNT45" s="92" t="s">
        <v>54</v>
      </c>
      <c r="QNU45" s="92" t="s">
        <v>54</v>
      </c>
      <c r="QNV45" s="92" t="s">
        <v>54</v>
      </c>
      <c r="QNW45" s="92" t="s">
        <v>54</v>
      </c>
      <c r="QNX45" s="92" t="s">
        <v>54</v>
      </c>
      <c r="QNY45" s="92" t="s">
        <v>54</v>
      </c>
      <c r="QNZ45" s="92" t="s">
        <v>54</v>
      </c>
      <c r="QOA45" s="92" t="s">
        <v>54</v>
      </c>
      <c r="QOB45" s="92" t="s">
        <v>54</v>
      </c>
      <c r="QOC45" s="92" t="s">
        <v>54</v>
      </c>
      <c r="QOD45" s="92" t="s">
        <v>54</v>
      </c>
      <c r="QOE45" s="92" t="s">
        <v>54</v>
      </c>
      <c r="QOF45" s="92" t="s">
        <v>54</v>
      </c>
      <c r="QOG45" s="92" t="s">
        <v>54</v>
      </c>
      <c r="QOH45" s="92" t="s">
        <v>54</v>
      </c>
      <c r="QOI45" s="92" t="s">
        <v>54</v>
      </c>
      <c r="QOJ45" s="92" t="s">
        <v>54</v>
      </c>
      <c r="QOK45" s="92" t="s">
        <v>54</v>
      </c>
      <c r="QOL45" s="92" t="s">
        <v>54</v>
      </c>
      <c r="QOM45" s="92" t="s">
        <v>54</v>
      </c>
      <c r="QON45" s="92" t="s">
        <v>54</v>
      </c>
      <c r="QOO45" s="92" t="s">
        <v>54</v>
      </c>
      <c r="QOP45" s="92" t="s">
        <v>54</v>
      </c>
      <c r="QOQ45" s="92" t="s">
        <v>54</v>
      </c>
      <c r="QOR45" s="92" t="s">
        <v>54</v>
      </c>
      <c r="QOS45" s="92" t="s">
        <v>54</v>
      </c>
      <c r="QOT45" s="92" t="s">
        <v>54</v>
      </c>
      <c r="QOU45" s="92" t="s">
        <v>54</v>
      </c>
      <c r="QOV45" s="92" t="s">
        <v>54</v>
      </c>
      <c r="QOW45" s="92" t="s">
        <v>54</v>
      </c>
      <c r="QOX45" s="92" t="s">
        <v>54</v>
      </c>
      <c r="QOY45" s="92" t="s">
        <v>54</v>
      </c>
      <c r="QOZ45" s="92" t="s">
        <v>54</v>
      </c>
      <c r="QPA45" s="92" t="s">
        <v>54</v>
      </c>
      <c r="QPB45" s="92" t="s">
        <v>54</v>
      </c>
      <c r="QPC45" s="92" t="s">
        <v>54</v>
      </c>
      <c r="QPD45" s="92" t="s">
        <v>54</v>
      </c>
      <c r="QPE45" s="92" t="s">
        <v>54</v>
      </c>
      <c r="QPF45" s="92" t="s">
        <v>54</v>
      </c>
      <c r="QPG45" s="92" t="s">
        <v>54</v>
      </c>
      <c r="QPH45" s="92" t="s">
        <v>54</v>
      </c>
      <c r="QPI45" s="92" t="s">
        <v>54</v>
      </c>
      <c r="QPJ45" s="92" t="s">
        <v>54</v>
      </c>
      <c r="QPK45" s="92" t="s">
        <v>54</v>
      </c>
      <c r="QPL45" s="92" t="s">
        <v>54</v>
      </c>
      <c r="QPM45" s="92" t="s">
        <v>54</v>
      </c>
      <c r="QPN45" s="92" t="s">
        <v>54</v>
      </c>
      <c r="QPO45" s="92" t="s">
        <v>54</v>
      </c>
      <c r="QPP45" s="92" t="s">
        <v>54</v>
      </c>
      <c r="QPQ45" s="92" t="s">
        <v>54</v>
      </c>
      <c r="QPR45" s="92" t="s">
        <v>54</v>
      </c>
      <c r="QPS45" s="92" t="s">
        <v>54</v>
      </c>
      <c r="QPT45" s="92" t="s">
        <v>54</v>
      </c>
      <c r="QPU45" s="92" t="s">
        <v>54</v>
      </c>
      <c r="QPV45" s="92" t="s">
        <v>54</v>
      </c>
      <c r="QPW45" s="92" t="s">
        <v>54</v>
      </c>
      <c r="QPX45" s="92" t="s">
        <v>54</v>
      </c>
      <c r="QPY45" s="92" t="s">
        <v>54</v>
      </c>
      <c r="QPZ45" s="92" t="s">
        <v>54</v>
      </c>
      <c r="QQA45" s="92" t="s">
        <v>54</v>
      </c>
      <c r="QQB45" s="92" t="s">
        <v>54</v>
      </c>
      <c r="QQC45" s="92" t="s">
        <v>54</v>
      </c>
      <c r="QQD45" s="92" t="s">
        <v>54</v>
      </c>
      <c r="QQE45" s="92" t="s">
        <v>54</v>
      </c>
      <c r="QQF45" s="92" t="s">
        <v>54</v>
      </c>
      <c r="QQG45" s="92" t="s">
        <v>54</v>
      </c>
      <c r="QQH45" s="92" t="s">
        <v>54</v>
      </c>
      <c r="QQI45" s="92" t="s">
        <v>54</v>
      </c>
      <c r="QQJ45" s="92" t="s">
        <v>54</v>
      </c>
      <c r="QQK45" s="92" t="s">
        <v>54</v>
      </c>
      <c r="QQL45" s="92" t="s">
        <v>54</v>
      </c>
      <c r="QQM45" s="92" t="s">
        <v>54</v>
      </c>
      <c r="QQN45" s="92" t="s">
        <v>54</v>
      </c>
      <c r="QQO45" s="92" t="s">
        <v>54</v>
      </c>
      <c r="QQP45" s="92" t="s">
        <v>54</v>
      </c>
      <c r="QQQ45" s="92" t="s">
        <v>54</v>
      </c>
      <c r="QQR45" s="92" t="s">
        <v>54</v>
      </c>
      <c r="QQS45" s="92" t="s">
        <v>54</v>
      </c>
      <c r="QQT45" s="92" t="s">
        <v>54</v>
      </c>
      <c r="QQU45" s="92" t="s">
        <v>54</v>
      </c>
      <c r="QQV45" s="92" t="s">
        <v>54</v>
      </c>
      <c r="QQW45" s="92" t="s">
        <v>54</v>
      </c>
      <c r="QQX45" s="92" t="s">
        <v>54</v>
      </c>
      <c r="QQY45" s="92" t="s">
        <v>54</v>
      </c>
      <c r="QQZ45" s="92" t="s">
        <v>54</v>
      </c>
      <c r="QRA45" s="92" t="s">
        <v>54</v>
      </c>
      <c r="QRB45" s="92" t="s">
        <v>54</v>
      </c>
      <c r="QRC45" s="92" t="s">
        <v>54</v>
      </c>
      <c r="QRD45" s="92" t="s">
        <v>54</v>
      </c>
      <c r="QRE45" s="92" t="s">
        <v>54</v>
      </c>
      <c r="QRF45" s="92" t="s">
        <v>54</v>
      </c>
      <c r="QRG45" s="92" t="s">
        <v>54</v>
      </c>
      <c r="QRH45" s="92" t="s">
        <v>54</v>
      </c>
      <c r="QRI45" s="92" t="s">
        <v>54</v>
      </c>
      <c r="QRJ45" s="92" t="s">
        <v>54</v>
      </c>
      <c r="QRK45" s="92" t="s">
        <v>54</v>
      </c>
      <c r="QRL45" s="92" t="s">
        <v>54</v>
      </c>
      <c r="QRM45" s="92" t="s">
        <v>54</v>
      </c>
      <c r="QRN45" s="92" t="s">
        <v>54</v>
      </c>
      <c r="QRO45" s="92" t="s">
        <v>54</v>
      </c>
      <c r="QRP45" s="92" t="s">
        <v>54</v>
      </c>
      <c r="QRQ45" s="92" t="s">
        <v>54</v>
      </c>
      <c r="QRR45" s="92" t="s">
        <v>54</v>
      </c>
      <c r="QRS45" s="92" t="s">
        <v>54</v>
      </c>
      <c r="QRT45" s="92" t="s">
        <v>54</v>
      </c>
      <c r="QRU45" s="92" t="s">
        <v>54</v>
      </c>
      <c r="QRV45" s="92" t="s">
        <v>54</v>
      </c>
      <c r="QRW45" s="92" t="s">
        <v>54</v>
      </c>
      <c r="QRX45" s="92" t="s">
        <v>54</v>
      </c>
      <c r="QRY45" s="92" t="s">
        <v>54</v>
      </c>
      <c r="QRZ45" s="92" t="s">
        <v>54</v>
      </c>
      <c r="QSA45" s="92" t="s">
        <v>54</v>
      </c>
      <c r="QSB45" s="92" t="s">
        <v>54</v>
      </c>
      <c r="QSC45" s="92" t="s">
        <v>54</v>
      </c>
      <c r="QSD45" s="92" t="s">
        <v>54</v>
      </c>
      <c r="QSE45" s="92" t="s">
        <v>54</v>
      </c>
      <c r="QSF45" s="92" t="s">
        <v>54</v>
      </c>
      <c r="QSG45" s="92" t="s">
        <v>54</v>
      </c>
      <c r="QSH45" s="92" t="s">
        <v>54</v>
      </c>
      <c r="QSI45" s="92" t="s">
        <v>54</v>
      </c>
      <c r="QSJ45" s="92" t="s">
        <v>54</v>
      </c>
      <c r="QSK45" s="92" t="s">
        <v>54</v>
      </c>
      <c r="QSL45" s="92" t="s">
        <v>54</v>
      </c>
      <c r="QSM45" s="92" t="s">
        <v>54</v>
      </c>
      <c r="QSN45" s="92" t="s">
        <v>54</v>
      </c>
      <c r="QSO45" s="92" t="s">
        <v>54</v>
      </c>
      <c r="QSP45" s="92" t="s">
        <v>54</v>
      </c>
      <c r="QSQ45" s="92" t="s">
        <v>54</v>
      </c>
      <c r="QSR45" s="92" t="s">
        <v>54</v>
      </c>
      <c r="QSS45" s="92" t="s">
        <v>54</v>
      </c>
      <c r="QST45" s="92" t="s">
        <v>54</v>
      </c>
      <c r="QSU45" s="92" t="s">
        <v>54</v>
      </c>
      <c r="QSV45" s="92" t="s">
        <v>54</v>
      </c>
      <c r="QSW45" s="92" t="s">
        <v>54</v>
      </c>
      <c r="QSX45" s="92" t="s">
        <v>54</v>
      </c>
      <c r="QSY45" s="92" t="s">
        <v>54</v>
      </c>
      <c r="QSZ45" s="92" t="s">
        <v>54</v>
      </c>
      <c r="QTA45" s="92" t="s">
        <v>54</v>
      </c>
      <c r="QTB45" s="92" t="s">
        <v>54</v>
      </c>
      <c r="QTC45" s="92" t="s">
        <v>54</v>
      </c>
      <c r="QTD45" s="92" t="s">
        <v>54</v>
      </c>
      <c r="QTE45" s="92" t="s">
        <v>54</v>
      </c>
      <c r="QTF45" s="92" t="s">
        <v>54</v>
      </c>
      <c r="QTG45" s="92" t="s">
        <v>54</v>
      </c>
      <c r="QTH45" s="92" t="s">
        <v>54</v>
      </c>
      <c r="QTI45" s="92" t="s">
        <v>54</v>
      </c>
      <c r="QTJ45" s="92" t="s">
        <v>54</v>
      </c>
      <c r="QTK45" s="92" t="s">
        <v>54</v>
      </c>
      <c r="QTL45" s="92" t="s">
        <v>54</v>
      </c>
      <c r="QTM45" s="92" t="s">
        <v>54</v>
      </c>
      <c r="QTN45" s="92" t="s">
        <v>54</v>
      </c>
      <c r="QTO45" s="92" t="s">
        <v>54</v>
      </c>
      <c r="QTP45" s="92" t="s">
        <v>54</v>
      </c>
      <c r="QTQ45" s="92" t="s">
        <v>54</v>
      </c>
      <c r="QTR45" s="92" t="s">
        <v>54</v>
      </c>
      <c r="QTS45" s="92" t="s">
        <v>54</v>
      </c>
      <c r="QTT45" s="92" t="s">
        <v>54</v>
      </c>
      <c r="QTU45" s="92" t="s">
        <v>54</v>
      </c>
      <c r="QTV45" s="92" t="s">
        <v>54</v>
      </c>
      <c r="QTW45" s="92" t="s">
        <v>54</v>
      </c>
      <c r="QTX45" s="92" t="s">
        <v>54</v>
      </c>
      <c r="QTY45" s="92" t="s">
        <v>54</v>
      </c>
      <c r="QTZ45" s="92" t="s">
        <v>54</v>
      </c>
      <c r="QUA45" s="92" t="s">
        <v>54</v>
      </c>
      <c r="QUB45" s="92" t="s">
        <v>54</v>
      </c>
      <c r="QUC45" s="92" t="s">
        <v>54</v>
      </c>
      <c r="QUD45" s="92" t="s">
        <v>54</v>
      </c>
      <c r="QUE45" s="92" t="s">
        <v>54</v>
      </c>
      <c r="QUF45" s="92" t="s">
        <v>54</v>
      </c>
      <c r="QUG45" s="92" t="s">
        <v>54</v>
      </c>
      <c r="QUH45" s="92" t="s">
        <v>54</v>
      </c>
      <c r="QUI45" s="92" t="s">
        <v>54</v>
      </c>
      <c r="QUJ45" s="92" t="s">
        <v>54</v>
      </c>
      <c r="QUK45" s="92" t="s">
        <v>54</v>
      </c>
      <c r="QUL45" s="92" t="s">
        <v>54</v>
      </c>
      <c r="QUM45" s="92" t="s">
        <v>54</v>
      </c>
      <c r="QUN45" s="92" t="s">
        <v>54</v>
      </c>
      <c r="QUO45" s="92" t="s">
        <v>54</v>
      </c>
      <c r="QUP45" s="92" t="s">
        <v>54</v>
      </c>
      <c r="QUQ45" s="92" t="s">
        <v>54</v>
      </c>
      <c r="QUR45" s="92" t="s">
        <v>54</v>
      </c>
      <c r="QUS45" s="92" t="s">
        <v>54</v>
      </c>
      <c r="QUT45" s="92" t="s">
        <v>54</v>
      </c>
      <c r="QUU45" s="92" t="s">
        <v>54</v>
      </c>
      <c r="QUV45" s="92" t="s">
        <v>54</v>
      </c>
      <c r="QUW45" s="92" t="s">
        <v>54</v>
      </c>
      <c r="QUX45" s="92" t="s">
        <v>54</v>
      </c>
      <c r="QUY45" s="92" t="s">
        <v>54</v>
      </c>
      <c r="QUZ45" s="92" t="s">
        <v>54</v>
      </c>
      <c r="QVA45" s="92" t="s">
        <v>54</v>
      </c>
      <c r="QVB45" s="92" t="s">
        <v>54</v>
      </c>
      <c r="QVC45" s="92" t="s">
        <v>54</v>
      </c>
      <c r="QVD45" s="92" t="s">
        <v>54</v>
      </c>
      <c r="QVE45" s="92" t="s">
        <v>54</v>
      </c>
      <c r="QVF45" s="92" t="s">
        <v>54</v>
      </c>
      <c r="QVG45" s="92" t="s">
        <v>54</v>
      </c>
      <c r="QVH45" s="92" t="s">
        <v>54</v>
      </c>
      <c r="QVI45" s="92" t="s">
        <v>54</v>
      </c>
      <c r="QVJ45" s="92" t="s">
        <v>54</v>
      </c>
      <c r="QVK45" s="92" t="s">
        <v>54</v>
      </c>
      <c r="QVL45" s="92" t="s">
        <v>54</v>
      </c>
      <c r="QVM45" s="92" t="s">
        <v>54</v>
      </c>
      <c r="QVN45" s="92" t="s">
        <v>54</v>
      </c>
      <c r="QVO45" s="92" t="s">
        <v>54</v>
      </c>
      <c r="QVP45" s="92" t="s">
        <v>54</v>
      </c>
      <c r="QVQ45" s="92" t="s">
        <v>54</v>
      </c>
      <c r="QVR45" s="92" t="s">
        <v>54</v>
      </c>
      <c r="QVS45" s="92" t="s">
        <v>54</v>
      </c>
      <c r="QVT45" s="92" t="s">
        <v>54</v>
      </c>
      <c r="QVU45" s="92" t="s">
        <v>54</v>
      </c>
      <c r="QVV45" s="92" t="s">
        <v>54</v>
      </c>
      <c r="QVW45" s="92" t="s">
        <v>54</v>
      </c>
      <c r="QVX45" s="92" t="s">
        <v>54</v>
      </c>
      <c r="QVY45" s="92" t="s">
        <v>54</v>
      </c>
      <c r="QVZ45" s="92" t="s">
        <v>54</v>
      </c>
      <c r="QWA45" s="92" t="s">
        <v>54</v>
      </c>
      <c r="QWB45" s="92" t="s">
        <v>54</v>
      </c>
      <c r="QWC45" s="92" t="s">
        <v>54</v>
      </c>
      <c r="QWD45" s="92" t="s">
        <v>54</v>
      </c>
      <c r="QWE45" s="92" t="s">
        <v>54</v>
      </c>
      <c r="QWF45" s="92" t="s">
        <v>54</v>
      </c>
      <c r="QWG45" s="92" t="s">
        <v>54</v>
      </c>
      <c r="QWH45" s="92" t="s">
        <v>54</v>
      </c>
      <c r="QWI45" s="92" t="s">
        <v>54</v>
      </c>
      <c r="QWJ45" s="92" t="s">
        <v>54</v>
      </c>
      <c r="QWK45" s="92" t="s">
        <v>54</v>
      </c>
      <c r="QWL45" s="92" t="s">
        <v>54</v>
      </c>
      <c r="QWM45" s="92" t="s">
        <v>54</v>
      </c>
      <c r="QWN45" s="92" t="s">
        <v>54</v>
      </c>
      <c r="QWO45" s="92" t="s">
        <v>54</v>
      </c>
      <c r="QWP45" s="92" t="s">
        <v>54</v>
      </c>
      <c r="QWQ45" s="92" t="s">
        <v>54</v>
      </c>
      <c r="QWR45" s="92" t="s">
        <v>54</v>
      </c>
      <c r="QWS45" s="92" t="s">
        <v>54</v>
      </c>
      <c r="QWT45" s="92" t="s">
        <v>54</v>
      </c>
      <c r="QWU45" s="92" t="s">
        <v>54</v>
      </c>
      <c r="QWV45" s="92" t="s">
        <v>54</v>
      </c>
      <c r="QWW45" s="92" t="s">
        <v>54</v>
      </c>
      <c r="QWX45" s="92" t="s">
        <v>54</v>
      </c>
      <c r="QWY45" s="92" t="s">
        <v>54</v>
      </c>
      <c r="QWZ45" s="92" t="s">
        <v>54</v>
      </c>
      <c r="QXA45" s="92" t="s">
        <v>54</v>
      </c>
      <c r="QXB45" s="92" t="s">
        <v>54</v>
      </c>
      <c r="QXC45" s="92" t="s">
        <v>54</v>
      </c>
      <c r="QXD45" s="92" t="s">
        <v>54</v>
      </c>
      <c r="QXE45" s="92" t="s">
        <v>54</v>
      </c>
      <c r="QXF45" s="92" t="s">
        <v>54</v>
      </c>
      <c r="QXG45" s="92" t="s">
        <v>54</v>
      </c>
      <c r="QXH45" s="92" t="s">
        <v>54</v>
      </c>
      <c r="QXI45" s="92" t="s">
        <v>54</v>
      </c>
      <c r="QXJ45" s="92" t="s">
        <v>54</v>
      </c>
      <c r="QXK45" s="92" t="s">
        <v>54</v>
      </c>
      <c r="QXL45" s="92" t="s">
        <v>54</v>
      </c>
      <c r="QXM45" s="92" t="s">
        <v>54</v>
      </c>
      <c r="QXN45" s="92" t="s">
        <v>54</v>
      </c>
      <c r="QXO45" s="92" t="s">
        <v>54</v>
      </c>
      <c r="QXP45" s="92" t="s">
        <v>54</v>
      </c>
      <c r="QXQ45" s="92" t="s">
        <v>54</v>
      </c>
      <c r="QXR45" s="92" t="s">
        <v>54</v>
      </c>
      <c r="QXS45" s="92" t="s">
        <v>54</v>
      </c>
      <c r="QXT45" s="92" t="s">
        <v>54</v>
      </c>
      <c r="QXU45" s="92" t="s">
        <v>54</v>
      </c>
      <c r="QXV45" s="92" t="s">
        <v>54</v>
      </c>
      <c r="QXW45" s="92" t="s">
        <v>54</v>
      </c>
      <c r="QXX45" s="92" t="s">
        <v>54</v>
      </c>
      <c r="QXY45" s="92" t="s">
        <v>54</v>
      </c>
      <c r="QXZ45" s="92" t="s">
        <v>54</v>
      </c>
      <c r="QYA45" s="92" t="s">
        <v>54</v>
      </c>
      <c r="QYB45" s="92" t="s">
        <v>54</v>
      </c>
      <c r="QYC45" s="92" t="s">
        <v>54</v>
      </c>
      <c r="QYD45" s="92" t="s">
        <v>54</v>
      </c>
      <c r="QYE45" s="92" t="s">
        <v>54</v>
      </c>
      <c r="QYF45" s="92" t="s">
        <v>54</v>
      </c>
      <c r="QYG45" s="92" t="s">
        <v>54</v>
      </c>
      <c r="QYH45" s="92" t="s">
        <v>54</v>
      </c>
      <c r="QYI45" s="92" t="s">
        <v>54</v>
      </c>
      <c r="QYJ45" s="92" t="s">
        <v>54</v>
      </c>
      <c r="QYK45" s="92" t="s">
        <v>54</v>
      </c>
      <c r="QYL45" s="92" t="s">
        <v>54</v>
      </c>
      <c r="QYM45" s="92" t="s">
        <v>54</v>
      </c>
      <c r="QYN45" s="92" t="s">
        <v>54</v>
      </c>
      <c r="QYO45" s="92" t="s">
        <v>54</v>
      </c>
      <c r="QYP45" s="92" t="s">
        <v>54</v>
      </c>
      <c r="QYQ45" s="92" t="s">
        <v>54</v>
      </c>
      <c r="QYR45" s="92" t="s">
        <v>54</v>
      </c>
      <c r="QYS45" s="92" t="s">
        <v>54</v>
      </c>
      <c r="QYT45" s="92" t="s">
        <v>54</v>
      </c>
      <c r="QYU45" s="92" t="s">
        <v>54</v>
      </c>
      <c r="QYV45" s="92" t="s">
        <v>54</v>
      </c>
      <c r="QYW45" s="92" t="s">
        <v>54</v>
      </c>
      <c r="QYX45" s="92" t="s">
        <v>54</v>
      </c>
      <c r="QYY45" s="92" t="s">
        <v>54</v>
      </c>
      <c r="QYZ45" s="92" t="s">
        <v>54</v>
      </c>
      <c r="QZA45" s="92" t="s">
        <v>54</v>
      </c>
      <c r="QZB45" s="92" t="s">
        <v>54</v>
      </c>
      <c r="QZC45" s="92" t="s">
        <v>54</v>
      </c>
      <c r="QZD45" s="92" t="s">
        <v>54</v>
      </c>
      <c r="QZE45" s="92" t="s">
        <v>54</v>
      </c>
      <c r="QZF45" s="92" t="s">
        <v>54</v>
      </c>
      <c r="QZG45" s="92" t="s">
        <v>54</v>
      </c>
      <c r="QZH45" s="92" t="s">
        <v>54</v>
      </c>
      <c r="QZI45" s="92" t="s">
        <v>54</v>
      </c>
      <c r="QZJ45" s="92" t="s">
        <v>54</v>
      </c>
      <c r="QZK45" s="92" t="s">
        <v>54</v>
      </c>
      <c r="QZL45" s="92" t="s">
        <v>54</v>
      </c>
      <c r="QZM45" s="92" t="s">
        <v>54</v>
      </c>
      <c r="QZN45" s="92" t="s">
        <v>54</v>
      </c>
      <c r="QZO45" s="92" t="s">
        <v>54</v>
      </c>
      <c r="QZP45" s="92" t="s">
        <v>54</v>
      </c>
      <c r="QZQ45" s="92" t="s">
        <v>54</v>
      </c>
      <c r="QZR45" s="92" t="s">
        <v>54</v>
      </c>
      <c r="QZS45" s="92" t="s">
        <v>54</v>
      </c>
      <c r="QZT45" s="92" t="s">
        <v>54</v>
      </c>
      <c r="QZU45" s="92" t="s">
        <v>54</v>
      </c>
      <c r="QZV45" s="92" t="s">
        <v>54</v>
      </c>
      <c r="QZW45" s="92" t="s">
        <v>54</v>
      </c>
      <c r="QZX45" s="92" t="s">
        <v>54</v>
      </c>
      <c r="QZY45" s="92" t="s">
        <v>54</v>
      </c>
      <c r="QZZ45" s="92" t="s">
        <v>54</v>
      </c>
      <c r="RAA45" s="92" t="s">
        <v>54</v>
      </c>
      <c r="RAB45" s="92" t="s">
        <v>54</v>
      </c>
      <c r="RAC45" s="92" t="s">
        <v>54</v>
      </c>
      <c r="RAD45" s="92" t="s">
        <v>54</v>
      </c>
      <c r="RAE45" s="92" t="s">
        <v>54</v>
      </c>
      <c r="RAF45" s="92" t="s">
        <v>54</v>
      </c>
      <c r="RAG45" s="92" t="s">
        <v>54</v>
      </c>
      <c r="RAH45" s="92" t="s">
        <v>54</v>
      </c>
      <c r="RAI45" s="92" t="s">
        <v>54</v>
      </c>
      <c r="RAJ45" s="92" t="s">
        <v>54</v>
      </c>
      <c r="RAK45" s="92" t="s">
        <v>54</v>
      </c>
      <c r="RAL45" s="92" t="s">
        <v>54</v>
      </c>
      <c r="RAM45" s="92" t="s">
        <v>54</v>
      </c>
      <c r="RAN45" s="92" t="s">
        <v>54</v>
      </c>
      <c r="RAO45" s="92" t="s">
        <v>54</v>
      </c>
      <c r="RAP45" s="92" t="s">
        <v>54</v>
      </c>
      <c r="RAQ45" s="92" t="s">
        <v>54</v>
      </c>
      <c r="RAR45" s="92" t="s">
        <v>54</v>
      </c>
      <c r="RAS45" s="92" t="s">
        <v>54</v>
      </c>
      <c r="RAT45" s="92" t="s">
        <v>54</v>
      </c>
      <c r="RAU45" s="92" t="s">
        <v>54</v>
      </c>
      <c r="RAV45" s="92" t="s">
        <v>54</v>
      </c>
      <c r="RAW45" s="92" t="s">
        <v>54</v>
      </c>
      <c r="RAX45" s="92" t="s">
        <v>54</v>
      </c>
      <c r="RAY45" s="92" t="s">
        <v>54</v>
      </c>
      <c r="RAZ45" s="92" t="s">
        <v>54</v>
      </c>
      <c r="RBA45" s="92" t="s">
        <v>54</v>
      </c>
      <c r="RBB45" s="92" t="s">
        <v>54</v>
      </c>
      <c r="RBC45" s="92" t="s">
        <v>54</v>
      </c>
      <c r="RBD45" s="92" t="s">
        <v>54</v>
      </c>
      <c r="RBE45" s="92" t="s">
        <v>54</v>
      </c>
      <c r="RBF45" s="92" t="s">
        <v>54</v>
      </c>
      <c r="RBG45" s="92" t="s">
        <v>54</v>
      </c>
      <c r="RBH45" s="92" t="s">
        <v>54</v>
      </c>
      <c r="RBI45" s="92" t="s">
        <v>54</v>
      </c>
      <c r="RBJ45" s="92" t="s">
        <v>54</v>
      </c>
      <c r="RBK45" s="92" t="s">
        <v>54</v>
      </c>
      <c r="RBL45" s="92" t="s">
        <v>54</v>
      </c>
      <c r="RBM45" s="92" t="s">
        <v>54</v>
      </c>
      <c r="RBN45" s="92" t="s">
        <v>54</v>
      </c>
      <c r="RBO45" s="92" t="s">
        <v>54</v>
      </c>
      <c r="RBP45" s="92" t="s">
        <v>54</v>
      </c>
      <c r="RBQ45" s="92" t="s">
        <v>54</v>
      </c>
      <c r="RBR45" s="92" t="s">
        <v>54</v>
      </c>
      <c r="RBS45" s="92" t="s">
        <v>54</v>
      </c>
      <c r="RBT45" s="92" t="s">
        <v>54</v>
      </c>
      <c r="RBU45" s="92" t="s">
        <v>54</v>
      </c>
      <c r="RBV45" s="92" t="s">
        <v>54</v>
      </c>
      <c r="RBW45" s="92" t="s">
        <v>54</v>
      </c>
      <c r="RBX45" s="92" t="s">
        <v>54</v>
      </c>
      <c r="RBY45" s="92" t="s">
        <v>54</v>
      </c>
      <c r="RBZ45" s="92" t="s">
        <v>54</v>
      </c>
      <c r="RCA45" s="92" t="s">
        <v>54</v>
      </c>
      <c r="RCB45" s="92" t="s">
        <v>54</v>
      </c>
      <c r="RCC45" s="92" t="s">
        <v>54</v>
      </c>
      <c r="RCD45" s="92" t="s">
        <v>54</v>
      </c>
      <c r="RCE45" s="92" t="s">
        <v>54</v>
      </c>
      <c r="RCF45" s="92" t="s">
        <v>54</v>
      </c>
      <c r="RCG45" s="92" t="s">
        <v>54</v>
      </c>
      <c r="RCH45" s="92" t="s">
        <v>54</v>
      </c>
      <c r="RCI45" s="92" t="s">
        <v>54</v>
      </c>
      <c r="RCJ45" s="92" t="s">
        <v>54</v>
      </c>
      <c r="RCK45" s="92" t="s">
        <v>54</v>
      </c>
      <c r="RCL45" s="92" t="s">
        <v>54</v>
      </c>
      <c r="RCM45" s="92" t="s">
        <v>54</v>
      </c>
      <c r="RCN45" s="92" t="s">
        <v>54</v>
      </c>
      <c r="RCO45" s="92" t="s">
        <v>54</v>
      </c>
      <c r="RCP45" s="92" t="s">
        <v>54</v>
      </c>
      <c r="RCQ45" s="92" t="s">
        <v>54</v>
      </c>
      <c r="RCR45" s="92" t="s">
        <v>54</v>
      </c>
      <c r="RCS45" s="92" t="s">
        <v>54</v>
      </c>
      <c r="RCT45" s="92" t="s">
        <v>54</v>
      </c>
      <c r="RCU45" s="92" t="s">
        <v>54</v>
      </c>
      <c r="RCV45" s="92" t="s">
        <v>54</v>
      </c>
      <c r="RCW45" s="92" t="s">
        <v>54</v>
      </c>
      <c r="RCX45" s="92" t="s">
        <v>54</v>
      </c>
      <c r="RCY45" s="92" t="s">
        <v>54</v>
      </c>
      <c r="RCZ45" s="92" t="s">
        <v>54</v>
      </c>
      <c r="RDA45" s="92" t="s">
        <v>54</v>
      </c>
      <c r="RDB45" s="92" t="s">
        <v>54</v>
      </c>
      <c r="RDC45" s="92" t="s">
        <v>54</v>
      </c>
      <c r="RDD45" s="92" t="s">
        <v>54</v>
      </c>
      <c r="RDE45" s="92" t="s">
        <v>54</v>
      </c>
      <c r="RDF45" s="92" t="s">
        <v>54</v>
      </c>
      <c r="RDG45" s="92" t="s">
        <v>54</v>
      </c>
      <c r="RDH45" s="92" t="s">
        <v>54</v>
      </c>
      <c r="RDI45" s="92" t="s">
        <v>54</v>
      </c>
      <c r="RDJ45" s="92" t="s">
        <v>54</v>
      </c>
      <c r="RDK45" s="92" t="s">
        <v>54</v>
      </c>
      <c r="RDL45" s="92" t="s">
        <v>54</v>
      </c>
      <c r="RDM45" s="92" t="s">
        <v>54</v>
      </c>
      <c r="RDN45" s="92" t="s">
        <v>54</v>
      </c>
      <c r="RDO45" s="92" t="s">
        <v>54</v>
      </c>
      <c r="RDP45" s="92" t="s">
        <v>54</v>
      </c>
      <c r="RDQ45" s="92" t="s">
        <v>54</v>
      </c>
      <c r="RDR45" s="92" t="s">
        <v>54</v>
      </c>
      <c r="RDS45" s="92" t="s">
        <v>54</v>
      </c>
      <c r="RDT45" s="92" t="s">
        <v>54</v>
      </c>
      <c r="RDU45" s="92" t="s">
        <v>54</v>
      </c>
      <c r="RDV45" s="92" t="s">
        <v>54</v>
      </c>
      <c r="RDW45" s="92" t="s">
        <v>54</v>
      </c>
      <c r="RDX45" s="92" t="s">
        <v>54</v>
      </c>
      <c r="RDY45" s="92" t="s">
        <v>54</v>
      </c>
      <c r="RDZ45" s="92" t="s">
        <v>54</v>
      </c>
      <c r="REA45" s="92" t="s">
        <v>54</v>
      </c>
      <c r="REB45" s="92" t="s">
        <v>54</v>
      </c>
      <c r="REC45" s="92" t="s">
        <v>54</v>
      </c>
      <c r="RED45" s="92" t="s">
        <v>54</v>
      </c>
      <c r="REE45" s="92" t="s">
        <v>54</v>
      </c>
      <c r="REF45" s="92" t="s">
        <v>54</v>
      </c>
      <c r="REG45" s="92" t="s">
        <v>54</v>
      </c>
      <c r="REH45" s="92" t="s">
        <v>54</v>
      </c>
      <c r="REI45" s="92" t="s">
        <v>54</v>
      </c>
      <c r="REJ45" s="92" t="s">
        <v>54</v>
      </c>
      <c r="REK45" s="92" t="s">
        <v>54</v>
      </c>
      <c r="REL45" s="92" t="s">
        <v>54</v>
      </c>
      <c r="REM45" s="92" t="s">
        <v>54</v>
      </c>
      <c r="REN45" s="92" t="s">
        <v>54</v>
      </c>
      <c r="REO45" s="92" t="s">
        <v>54</v>
      </c>
      <c r="REP45" s="92" t="s">
        <v>54</v>
      </c>
      <c r="REQ45" s="92" t="s">
        <v>54</v>
      </c>
      <c r="RER45" s="92" t="s">
        <v>54</v>
      </c>
      <c r="RES45" s="92" t="s">
        <v>54</v>
      </c>
      <c r="RET45" s="92" t="s">
        <v>54</v>
      </c>
      <c r="REU45" s="92" t="s">
        <v>54</v>
      </c>
      <c r="REV45" s="92" t="s">
        <v>54</v>
      </c>
      <c r="REW45" s="92" t="s">
        <v>54</v>
      </c>
      <c r="REX45" s="92" t="s">
        <v>54</v>
      </c>
      <c r="REY45" s="92" t="s">
        <v>54</v>
      </c>
      <c r="REZ45" s="92" t="s">
        <v>54</v>
      </c>
      <c r="RFA45" s="92" t="s">
        <v>54</v>
      </c>
      <c r="RFB45" s="92" t="s">
        <v>54</v>
      </c>
      <c r="RFC45" s="92" t="s">
        <v>54</v>
      </c>
      <c r="RFD45" s="92" t="s">
        <v>54</v>
      </c>
      <c r="RFE45" s="92" t="s">
        <v>54</v>
      </c>
      <c r="RFF45" s="92" t="s">
        <v>54</v>
      </c>
      <c r="RFG45" s="92" t="s">
        <v>54</v>
      </c>
      <c r="RFH45" s="92" t="s">
        <v>54</v>
      </c>
      <c r="RFI45" s="92" t="s">
        <v>54</v>
      </c>
      <c r="RFJ45" s="92" t="s">
        <v>54</v>
      </c>
      <c r="RFK45" s="92" t="s">
        <v>54</v>
      </c>
      <c r="RFL45" s="92" t="s">
        <v>54</v>
      </c>
      <c r="RFM45" s="92" t="s">
        <v>54</v>
      </c>
      <c r="RFN45" s="92" t="s">
        <v>54</v>
      </c>
      <c r="RFO45" s="92" t="s">
        <v>54</v>
      </c>
      <c r="RFP45" s="92" t="s">
        <v>54</v>
      </c>
      <c r="RFQ45" s="92" t="s">
        <v>54</v>
      </c>
      <c r="RFR45" s="92" t="s">
        <v>54</v>
      </c>
      <c r="RFS45" s="92" t="s">
        <v>54</v>
      </c>
      <c r="RFT45" s="92" t="s">
        <v>54</v>
      </c>
      <c r="RFU45" s="92" t="s">
        <v>54</v>
      </c>
      <c r="RFV45" s="92" t="s">
        <v>54</v>
      </c>
      <c r="RFW45" s="92" t="s">
        <v>54</v>
      </c>
      <c r="RFX45" s="92" t="s">
        <v>54</v>
      </c>
      <c r="RFY45" s="92" t="s">
        <v>54</v>
      </c>
      <c r="RFZ45" s="92" t="s">
        <v>54</v>
      </c>
      <c r="RGA45" s="92" t="s">
        <v>54</v>
      </c>
      <c r="RGB45" s="92" t="s">
        <v>54</v>
      </c>
      <c r="RGC45" s="92" t="s">
        <v>54</v>
      </c>
      <c r="RGD45" s="92" t="s">
        <v>54</v>
      </c>
      <c r="RGE45" s="92" t="s">
        <v>54</v>
      </c>
      <c r="RGF45" s="92" t="s">
        <v>54</v>
      </c>
      <c r="RGG45" s="92" t="s">
        <v>54</v>
      </c>
      <c r="RGH45" s="92" t="s">
        <v>54</v>
      </c>
      <c r="RGI45" s="92" t="s">
        <v>54</v>
      </c>
      <c r="RGJ45" s="92" t="s">
        <v>54</v>
      </c>
      <c r="RGK45" s="92" t="s">
        <v>54</v>
      </c>
      <c r="RGL45" s="92" t="s">
        <v>54</v>
      </c>
      <c r="RGM45" s="92" t="s">
        <v>54</v>
      </c>
      <c r="RGN45" s="92" t="s">
        <v>54</v>
      </c>
      <c r="RGO45" s="92" t="s">
        <v>54</v>
      </c>
      <c r="RGP45" s="92" t="s">
        <v>54</v>
      </c>
      <c r="RGQ45" s="92" t="s">
        <v>54</v>
      </c>
      <c r="RGR45" s="92" t="s">
        <v>54</v>
      </c>
      <c r="RGS45" s="92" t="s">
        <v>54</v>
      </c>
      <c r="RGT45" s="92" t="s">
        <v>54</v>
      </c>
      <c r="RGU45" s="92" t="s">
        <v>54</v>
      </c>
      <c r="RGV45" s="92" t="s">
        <v>54</v>
      </c>
      <c r="RGW45" s="92" t="s">
        <v>54</v>
      </c>
      <c r="RGX45" s="92" t="s">
        <v>54</v>
      </c>
      <c r="RGY45" s="92" t="s">
        <v>54</v>
      </c>
      <c r="RGZ45" s="92" t="s">
        <v>54</v>
      </c>
      <c r="RHA45" s="92" t="s">
        <v>54</v>
      </c>
      <c r="RHB45" s="92" t="s">
        <v>54</v>
      </c>
      <c r="RHC45" s="92" t="s">
        <v>54</v>
      </c>
      <c r="RHD45" s="92" t="s">
        <v>54</v>
      </c>
      <c r="RHE45" s="92" t="s">
        <v>54</v>
      </c>
      <c r="RHF45" s="92" t="s">
        <v>54</v>
      </c>
      <c r="RHG45" s="92" t="s">
        <v>54</v>
      </c>
      <c r="RHH45" s="92" t="s">
        <v>54</v>
      </c>
      <c r="RHI45" s="92" t="s">
        <v>54</v>
      </c>
      <c r="RHJ45" s="92" t="s">
        <v>54</v>
      </c>
      <c r="RHK45" s="92" t="s">
        <v>54</v>
      </c>
      <c r="RHL45" s="92" t="s">
        <v>54</v>
      </c>
      <c r="RHM45" s="92" t="s">
        <v>54</v>
      </c>
      <c r="RHN45" s="92" t="s">
        <v>54</v>
      </c>
      <c r="RHO45" s="92" t="s">
        <v>54</v>
      </c>
      <c r="RHP45" s="92" t="s">
        <v>54</v>
      </c>
      <c r="RHQ45" s="92" t="s">
        <v>54</v>
      </c>
      <c r="RHR45" s="92" t="s">
        <v>54</v>
      </c>
      <c r="RHS45" s="92" t="s">
        <v>54</v>
      </c>
      <c r="RHT45" s="92" t="s">
        <v>54</v>
      </c>
      <c r="RHU45" s="92" t="s">
        <v>54</v>
      </c>
      <c r="RHV45" s="92" t="s">
        <v>54</v>
      </c>
      <c r="RHW45" s="92" t="s">
        <v>54</v>
      </c>
      <c r="RHX45" s="92" t="s">
        <v>54</v>
      </c>
      <c r="RHY45" s="92" t="s">
        <v>54</v>
      </c>
      <c r="RHZ45" s="92" t="s">
        <v>54</v>
      </c>
      <c r="RIA45" s="92" t="s">
        <v>54</v>
      </c>
      <c r="RIB45" s="92" t="s">
        <v>54</v>
      </c>
      <c r="RIC45" s="92" t="s">
        <v>54</v>
      </c>
      <c r="RID45" s="92" t="s">
        <v>54</v>
      </c>
      <c r="RIE45" s="92" t="s">
        <v>54</v>
      </c>
      <c r="RIF45" s="92" t="s">
        <v>54</v>
      </c>
      <c r="RIG45" s="92" t="s">
        <v>54</v>
      </c>
      <c r="RIH45" s="92" t="s">
        <v>54</v>
      </c>
      <c r="RII45" s="92" t="s">
        <v>54</v>
      </c>
      <c r="RIJ45" s="92" t="s">
        <v>54</v>
      </c>
      <c r="RIK45" s="92" t="s">
        <v>54</v>
      </c>
      <c r="RIL45" s="92" t="s">
        <v>54</v>
      </c>
      <c r="RIM45" s="92" t="s">
        <v>54</v>
      </c>
      <c r="RIN45" s="92" t="s">
        <v>54</v>
      </c>
      <c r="RIO45" s="92" t="s">
        <v>54</v>
      </c>
      <c r="RIP45" s="92" t="s">
        <v>54</v>
      </c>
      <c r="RIQ45" s="92" t="s">
        <v>54</v>
      </c>
      <c r="RIR45" s="92" t="s">
        <v>54</v>
      </c>
      <c r="RIS45" s="92" t="s">
        <v>54</v>
      </c>
      <c r="RIT45" s="92" t="s">
        <v>54</v>
      </c>
      <c r="RIU45" s="92" t="s">
        <v>54</v>
      </c>
      <c r="RIV45" s="92" t="s">
        <v>54</v>
      </c>
      <c r="RIW45" s="92" t="s">
        <v>54</v>
      </c>
      <c r="RIX45" s="92" t="s">
        <v>54</v>
      </c>
      <c r="RIY45" s="92" t="s">
        <v>54</v>
      </c>
      <c r="RIZ45" s="92" t="s">
        <v>54</v>
      </c>
      <c r="RJA45" s="92" t="s">
        <v>54</v>
      </c>
      <c r="RJB45" s="92" t="s">
        <v>54</v>
      </c>
      <c r="RJC45" s="92" t="s">
        <v>54</v>
      </c>
      <c r="RJD45" s="92" t="s">
        <v>54</v>
      </c>
      <c r="RJE45" s="92" t="s">
        <v>54</v>
      </c>
      <c r="RJF45" s="92" t="s">
        <v>54</v>
      </c>
      <c r="RJG45" s="92" t="s">
        <v>54</v>
      </c>
      <c r="RJH45" s="92" t="s">
        <v>54</v>
      </c>
      <c r="RJI45" s="92" t="s">
        <v>54</v>
      </c>
      <c r="RJJ45" s="92" t="s">
        <v>54</v>
      </c>
      <c r="RJK45" s="92" t="s">
        <v>54</v>
      </c>
      <c r="RJL45" s="92" t="s">
        <v>54</v>
      </c>
      <c r="RJM45" s="92" t="s">
        <v>54</v>
      </c>
      <c r="RJN45" s="92" t="s">
        <v>54</v>
      </c>
      <c r="RJO45" s="92" t="s">
        <v>54</v>
      </c>
      <c r="RJP45" s="92" t="s">
        <v>54</v>
      </c>
      <c r="RJQ45" s="92" t="s">
        <v>54</v>
      </c>
      <c r="RJR45" s="92" t="s">
        <v>54</v>
      </c>
      <c r="RJS45" s="92" t="s">
        <v>54</v>
      </c>
      <c r="RJT45" s="92" t="s">
        <v>54</v>
      </c>
      <c r="RJU45" s="92" t="s">
        <v>54</v>
      </c>
      <c r="RJV45" s="92" t="s">
        <v>54</v>
      </c>
      <c r="RJW45" s="92" t="s">
        <v>54</v>
      </c>
      <c r="RJX45" s="92" t="s">
        <v>54</v>
      </c>
      <c r="RJY45" s="92" t="s">
        <v>54</v>
      </c>
      <c r="RJZ45" s="92" t="s">
        <v>54</v>
      </c>
      <c r="RKA45" s="92" t="s">
        <v>54</v>
      </c>
      <c r="RKB45" s="92" t="s">
        <v>54</v>
      </c>
      <c r="RKC45" s="92" t="s">
        <v>54</v>
      </c>
      <c r="RKD45" s="92" t="s">
        <v>54</v>
      </c>
      <c r="RKE45" s="92" t="s">
        <v>54</v>
      </c>
      <c r="RKF45" s="92" t="s">
        <v>54</v>
      </c>
      <c r="RKG45" s="92" t="s">
        <v>54</v>
      </c>
      <c r="RKH45" s="92" t="s">
        <v>54</v>
      </c>
      <c r="RKI45" s="92" t="s">
        <v>54</v>
      </c>
      <c r="RKJ45" s="92" t="s">
        <v>54</v>
      </c>
      <c r="RKK45" s="92" t="s">
        <v>54</v>
      </c>
      <c r="RKL45" s="92" t="s">
        <v>54</v>
      </c>
      <c r="RKM45" s="92" t="s">
        <v>54</v>
      </c>
      <c r="RKN45" s="92" t="s">
        <v>54</v>
      </c>
      <c r="RKO45" s="92" t="s">
        <v>54</v>
      </c>
      <c r="RKP45" s="92" t="s">
        <v>54</v>
      </c>
      <c r="RKQ45" s="92" t="s">
        <v>54</v>
      </c>
      <c r="RKR45" s="92" t="s">
        <v>54</v>
      </c>
      <c r="RKS45" s="92" t="s">
        <v>54</v>
      </c>
      <c r="RKT45" s="92" t="s">
        <v>54</v>
      </c>
      <c r="RKU45" s="92" t="s">
        <v>54</v>
      </c>
      <c r="RKV45" s="92" t="s">
        <v>54</v>
      </c>
      <c r="RKW45" s="92" t="s">
        <v>54</v>
      </c>
      <c r="RKX45" s="92" t="s">
        <v>54</v>
      </c>
      <c r="RKY45" s="92" t="s">
        <v>54</v>
      </c>
      <c r="RKZ45" s="92" t="s">
        <v>54</v>
      </c>
      <c r="RLA45" s="92" t="s">
        <v>54</v>
      </c>
      <c r="RLB45" s="92" t="s">
        <v>54</v>
      </c>
      <c r="RLC45" s="92" t="s">
        <v>54</v>
      </c>
      <c r="RLD45" s="92" t="s">
        <v>54</v>
      </c>
      <c r="RLE45" s="92" t="s">
        <v>54</v>
      </c>
      <c r="RLF45" s="92" t="s">
        <v>54</v>
      </c>
      <c r="RLG45" s="92" t="s">
        <v>54</v>
      </c>
      <c r="RLH45" s="92" t="s">
        <v>54</v>
      </c>
      <c r="RLI45" s="92" t="s">
        <v>54</v>
      </c>
      <c r="RLJ45" s="92" t="s">
        <v>54</v>
      </c>
      <c r="RLK45" s="92" t="s">
        <v>54</v>
      </c>
      <c r="RLL45" s="92" t="s">
        <v>54</v>
      </c>
      <c r="RLM45" s="92" t="s">
        <v>54</v>
      </c>
      <c r="RLN45" s="92" t="s">
        <v>54</v>
      </c>
      <c r="RLO45" s="92" t="s">
        <v>54</v>
      </c>
      <c r="RLP45" s="92" t="s">
        <v>54</v>
      </c>
      <c r="RLQ45" s="92" t="s">
        <v>54</v>
      </c>
      <c r="RLR45" s="92" t="s">
        <v>54</v>
      </c>
      <c r="RLS45" s="92" t="s">
        <v>54</v>
      </c>
      <c r="RLT45" s="92" t="s">
        <v>54</v>
      </c>
      <c r="RLU45" s="92" t="s">
        <v>54</v>
      </c>
      <c r="RLV45" s="92" t="s">
        <v>54</v>
      </c>
      <c r="RLW45" s="92" t="s">
        <v>54</v>
      </c>
      <c r="RLX45" s="92" t="s">
        <v>54</v>
      </c>
      <c r="RLY45" s="92" t="s">
        <v>54</v>
      </c>
      <c r="RLZ45" s="92" t="s">
        <v>54</v>
      </c>
      <c r="RMA45" s="92" t="s">
        <v>54</v>
      </c>
      <c r="RMB45" s="92" t="s">
        <v>54</v>
      </c>
      <c r="RMC45" s="92" t="s">
        <v>54</v>
      </c>
      <c r="RMD45" s="92" t="s">
        <v>54</v>
      </c>
      <c r="RME45" s="92" t="s">
        <v>54</v>
      </c>
      <c r="RMF45" s="92" t="s">
        <v>54</v>
      </c>
      <c r="RMG45" s="92" t="s">
        <v>54</v>
      </c>
      <c r="RMH45" s="92" t="s">
        <v>54</v>
      </c>
      <c r="RMI45" s="92" t="s">
        <v>54</v>
      </c>
      <c r="RMJ45" s="92" t="s">
        <v>54</v>
      </c>
      <c r="RMK45" s="92" t="s">
        <v>54</v>
      </c>
      <c r="RML45" s="92" t="s">
        <v>54</v>
      </c>
      <c r="RMM45" s="92" t="s">
        <v>54</v>
      </c>
      <c r="RMN45" s="92" t="s">
        <v>54</v>
      </c>
      <c r="RMO45" s="92" t="s">
        <v>54</v>
      </c>
      <c r="RMP45" s="92" t="s">
        <v>54</v>
      </c>
      <c r="RMQ45" s="92" t="s">
        <v>54</v>
      </c>
      <c r="RMR45" s="92" t="s">
        <v>54</v>
      </c>
      <c r="RMS45" s="92" t="s">
        <v>54</v>
      </c>
      <c r="RMT45" s="92" t="s">
        <v>54</v>
      </c>
      <c r="RMU45" s="92" t="s">
        <v>54</v>
      </c>
      <c r="RMV45" s="92" t="s">
        <v>54</v>
      </c>
      <c r="RMW45" s="92" t="s">
        <v>54</v>
      </c>
      <c r="RMX45" s="92" t="s">
        <v>54</v>
      </c>
      <c r="RMY45" s="92" t="s">
        <v>54</v>
      </c>
      <c r="RMZ45" s="92" t="s">
        <v>54</v>
      </c>
      <c r="RNA45" s="92" t="s">
        <v>54</v>
      </c>
      <c r="RNB45" s="92" t="s">
        <v>54</v>
      </c>
      <c r="RNC45" s="92" t="s">
        <v>54</v>
      </c>
      <c r="RND45" s="92" t="s">
        <v>54</v>
      </c>
      <c r="RNE45" s="92" t="s">
        <v>54</v>
      </c>
      <c r="RNF45" s="92" t="s">
        <v>54</v>
      </c>
      <c r="RNG45" s="92" t="s">
        <v>54</v>
      </c>
      <c r="RNH45" s="92" t="s">
        <v>54</v>
      </c>
      <c r="RNI45" s="92" t="s">
        <v>54</v>
      </c>
      <c r="RNJ45" s="92" t="s">
        <v>54</v>
      </c>
      <c r="RNK45" s="92" t="s">
        <v>54</v>
      </c>
      <c r="RNL45" s="92" t="s">
        <v>54</v>
      </c>
      <c r="RNM45" s="92" t="s">
        <v>54</v>
      </c>
      <c r="RNN45" s="92" t="s">
        <v>54</v>
      </c>
      <c r="RNO45" s="92" t="s">
        <v>54</v>
      </c>
      <c r="RNP45" s="92" t="s">
        <v>54</v>
      </c>
      <c r="RNQ45" s="92" t="s">
        <v>54</v>
      </c>
      <c r="RNR45" s="92" t="s">
        <v>54</v>
      </c>
      <c r="RNS45" s="92" t="s">
        <v>54</v>
      </c>
      <c r="RNT45" s="92" t="s">
        <v>54</v>
      </c>
      <c r="RNU45" s="92" t="s">
        <v>54</v>
      </c>
      <c r="RNV45" s="92" t="s">
        <v>54</v>
      </c>
      <c r="RNW45" s="92" t="s">
        <v>54</v>
      </c>
      <c r="RNX45" s="92" t="s">
        <v>54</v>
      </c>
      <c r="RNY45" s="92" t="s">
        <v>54</v>
      </c>
      <c r="RNZ45" s="92" t="s">
        <v>54</v>
      </c>
      <c r="ROA45" s="92" t="s">
        <v>54</v>
      </c>
      <c r="ROB45" s="92" t="s">
        <v>54</v>
      </c>
      <c r="ROC45" s="92" t="s">
        <v>54</v>
      </c>
      <c r="ROD45" s="92" t="s">
        <v>54</v>
      </c>
      <c r="ROE45" s="92" t="s">
        <v>54</v>
      </c>
      <c r="ROF45" s="92" t="s">
        <v>54</v>
      </c>
      <c r="ROG45" s="92" t="s">
        <v>54</v>
      </c>
      <c r="ROH45" s="92" t="s">
        <v>54</v>
      </c>
      <c r="ROI45" s="92" t="s">
        <v>54</v>
      </c>
      <c r="ROJ45" s="92" t="s">
        <v>54</v>
      </c>
      <c r="ROK45" s="92" t="s">
        <v>54</v>
      </c>
      <c r="ROL45" s="92" t="s">
        <v>54</v>
      </c>
      <c r="ROM45" s="92" t="s">
        <v>54</v>
      </c>
      <c r="RON45" s="92" t="s">
        <v>54</v>
      </c>
      <c r="ROO45" s="92" t="s">
        <v>54</v>
      </c>
      <c r="ROP45" s="92" t="s">
        <v>54</v>
      </c>
      <c r="ROQ45" s="92" t="s">
        <v>54</v>
      </c>
      <c r="ROR45" s="92" t="s">
        <v>54</v>
      </c>
      <c r="ROS45" s="92" t="s">
        <v>54</v>
      </c>
      <c r="ROT45" s="92" t="s">
        <v>54</v>
      </c>
      <c r="ROU45" s="92" t="s">
        <v>54</v>
      </c>
      <c r="ROV45" s="92" t="s">
        <v>54</v>
      </c>
      <c r="ROW45" s="92" t="s">
        <v>54</v>
      </c>
      <c r="ROX45" s="92" t="s">
        <v>54</v>
      </c>
      <c r="ROY45" s="92" t="s">
        <v>54</v>
      </c>
      <c r="ROZ45" s="92" t="s">
        <v>54</v>
      </c>
      <c r="RPA45" s="92" t="s">
        <v>54</v>
      </c>
      <c r="RPB45" s="92" t="s">
        <v>54</v>
      </c>
      <c r="RPC45" s="92" t="s">
        <v>54</v>
      </c>
      <c r="RPD45" s="92" t="s">
        <v>54</v>
      </c>
      <c r="RPE45" s="92" t="s">
        <v>54</v>
      </c>
      <c r="RPF45" s="92" t="s">
        <v>54</v>
      </c>
      <c r="RPG45" s="92" t="s">
        <v>54</v>
      </c>
      <c r="RPH45" s="92" t="s">
        <v>54</v>
      </c>
      <c r="RPI45" s="92" t="s">
        <v>54</v>
      </c>
      <c r="RPJ45" s="92" t="s">
        <v>54</v>
      </c>
      <c r="RPK45" s="92" t="s">
        <v>54</v>
      </c>
      <c r="RPL45" s="92" t="s">
        <v>54</v>
      </c>
      <c r="RPM45" s="92" t="s">
        <v>54</v>
      </c>
      <c r="RPN45" s="92" t="s">
        <v>54</v>
      </c>
      <c r="RPO45" s="92" t="s">
        <v>54</v>
      </c>
      <c r="RPP45" s="92" t="s">
        <v>54</v>
      </c>
      <c r="RPQ45" s="92" t="s">
        <v>54</v>
      </c>
      <c r="RPR45" s="92" t="s">
        <v>54</v>
      </c>
      <c r="RPS45" s="92" t="s">
        <v>54</v>
      </c>
      <c r="RPT45" s="92" t="s">
        <v>54</v>
      </c>
      <c r="RPU45" s="92" t="s">
        <v>54</v>
      </c>
      <c r="RPV45" s="92" t="s">
        <v>54</v>
      </c>
      <c r="RPW45" s="92" t="s">
        <v>54</v>
      </c>
      <c r="RPX45" s="92" t="s">
        <v>54</v>
      </c>
      <c r="RPY45" s="92" t="s">
        <v>54</v>
      </c>
      <c r="RPZ45" s="92" t="s">
        <v>54</v>
      </c>
      <c r="RQA45" s="92" t="s">
        <v>54</v>
      </c>
      <c r="RQB45" s="92" t="s">
        <v>54</v>
      </c>
      <c r="RQC45" s="92" t="s">
        <v>54</v>
      </c>
      <c r="RQD45" s="92" t="s">
        <v>54</v>
      </c>
      <c r="RQE45" s="92" t="s">
        <v>54</v>
      </c>
      <c r="RQF45" s="92" t="s">
        <v>54</v>
      </c>
      <c r="RQG45" s="92" t="s">
        <v>54</v>
      </c>
      <c r="RQH45" s="92" t="s">
        <v>54</v>
      </c>
      <c r="RQI45" s="92" t="s">
        <v>54</v>
      </c>
      <c r="RQJ45" s="92" t="s">
        <v>54</v>
      </c>
      <c r="RQK45" s="92" t="s">
        <v>54</v>
      </c>
      <c r="RQL45" s="92" t="s">
        <v>54</v>
      </c>
      <c r="RQM45" s="92" t="s">
        <v>54</v>
      </c>
      <c r="RQN45" s="92" t="s">
        <v>54</v>
      </c>
      <c r="RQO45" s="92" t="s">
        <v>54</v>
      </c>
      <c r="RQP45" s="92" t="s">
        <v>54</v>
      </c>
      <c r="RQQ45" s="92" t="s">
        <v>54</v>
      </c>
      <c r="RQR45" s="92" t="s">
        <v>54</v>
      </c>
      <c r="RQS45" s="92" t="s">
        <v>54</v>
      </c>
      <c r="RQT45" s="92" t="s">
        <v>54</v>
      </c>
      <c r="RQU45" s="92" t="s">
        <v>54</v>
      </c>
      <c r="RQV45" s="92" t="s">
        <v>54</v>
      </c>
      <c r="RQW45" s="92" t="s">
        <v>54</v>
      </c>
      <c r="RQX45" s="92" t="s">
        <v>54</v>
      </c>
      <c r="RQY45" s="92" t="s">
        <v>54</v>
      </c>
      <c r="RQZ45" s="92" t="s">
        <v>54</v>
      </c>
      <c r="RRA45" s="92" t="s">
        <v>54</v>
      </c>
      <c r="RRB45" s="92" t="s">
        <v>54</v>
      </c>
      <c r="RRC45" s="92" t="s">
        <v>54</v>
      </c>
      <c r="RRD45" s="92" t="s">
        <v>54</v>
      </c>
      <c r="RRE45" s="92" t="s">
        <v>54</v>
      </c>
      <c r="RRF45" s="92" t="s">
        <v>54</v>
      </c>
      <c r="RRG45" s="92" t="s">
        <v>54</v>
      </c>
      <c r="RRH45" s="92" t="s">
        <v>54</v>
      </c>
      <c r="RRI45" s="92" t="s">
        <v>54</v>
      </c>
      <c r="RRJ45" s="92" t="s">
        <v>54</v>
      </c>
      <c r="RRK45" s="92" t="s">
        <v>54</v>
      </c>
      <c r="RRL45" s="92" t="s">
        <v>54</v>
      </c>
      <c r="RRM45" s="92" t="s">
        <v>54</v>
      </c>
      <c r="RRN45" s="92" t="s">
        <v>54</v>
      </c>
      <c r="RRO45" s="92" t="s">
        <v>54</v>
      </c>
      <c r="RRP45" s="92" t="s">
        <v>54</v>
      </c>
      <c r="RRQ45" s="92" t="s">
        <v>54</v>
      </c>
      <c r="RRR45" s="92" t="s">
        <v>54</v>
      </c>
      <c r="RRS45" s="92" t="s">
        <v>54</v>
      </c>
      <c r="RRT45" s="92" t="s">
        <v>54</v>
      </c>
      <c r="RRU45" s="92" t="s">
        <v>54</v>
      </c>
      <c r="RRV45" s="92" t="s">
        <v>54</v>
      </c>
      <c r="RRW45" s="92" t="s">
        <v>54</v>
      </c>
      <c r="RRX45" s="92" t="s">
        <v>54</v>
      </c>
      <c r="RRY45" s="92" t="s">
        <v>54</v>
      </c>
      <c r="RRZ45" s="92" t="s">
        <v>54</v>
      </c>
      <c r="RSA45" s="92" t="s">
        <v>54</v>
      </c>
      <c r="RSB45" s="92" t="s">
        <v>54</v>
      </c>
      <c r="RSC45" s="92" t="s">
        <v>54</v>
      </c>
      <c r="RSD45" s="92" t="s">
        <v>54</v>
      </c>
      <c r="RSE45" s="92" t="s">
        <v>54</v>
      </c>
      <c r="RSF45" s="92" t="s">
        <v>54</v>
      </c>
      <c r="RSG45" s="92" t="s">
        <v>54</v>
      </c>
      <c r="RSH45" s="92" t="s">
        <v>54</v>
      </c>
      <c r="RSI45" s="92" t="s">
        <v>54</v>
      </c>
      <c r="RSJ45" s="92" t="s">
        <v>54</v>
      </c>
      <c r="RSK45" s="92" t="s">
        <v>54</v>
      </c>
      <c r="RSL45" s="92" t="s">
        <v>54</v>
      </c>
      <c r="RSM45" s="92" t="s">
        <v>54</v>
      </c>
      <c r="RSN45" s="92" t="s">
        <v>54</v>
      </c>
      <c r="RSO45" s="92" t="s">
        <v>54</v>
      </c>
      <c r="RSP45" s="92" t="s">
        <v>54</v>
      </c>
      <c r="RSQ45" s="92" t="s">
        <v>54</v>
      </c>
      <c r="RSR45" s="92" t="s">
        <v>54</v>
      </c>
      <c r="RSS45" s="92" t="s">
        <v>54</v>
      </c>
      <c r="RST45" s="92" t="s">
        <v>54</v>
      </c>
      <c r="RSU45" s="92" t="s">
        <v>54</v>
      </c>
      <c r="RSV45" s="92" t="s">
        <v>54</v>
      </c>
      <c r="RSW45" s="92" t="s">
        <v>54</v>
      </c>
      <c r="RSX45" s="92" t="s">
        <v>54</v>
      </c>
      <c r="RSY45" s="92" t="s">
        <v>54</v>
      </c>
      <c r="RSZ45" s="92" t="s">
        <v>54</v>
      </c>
      <c r="RTA45" s="92" t="s">
        <v>54</v>
      </c>
      <c r="RTB45" s="92" t="s">
        <v>54</v>
      </c>
      <c r="RTC45" s="92" t="s">
        <v>54</v>
      </c>
      <c r="RTD45" s="92" t="s">
        <v>54</v>
      </c>
      <c r="RTE45" s="92" t="s">
        <v>54</v>
      </c>
      <c r="RTF45" s="92" t="s">
        <v>54</v>
      </c>
      <c r="RTG45" s="92" t="s">
        <v>54</v>
      </c>
      <c r="RTH45" s="92" t="s">
        <v>54</v>
      </c>
      <c r="RTI45" s="92" t="s">
        <v>54</v>
      </c>
      <c r="RTJ45" s="92" t="s">
        <v>54</v>
      </c>
      <c r="RTK45" s="92" t="s">
        <v>54</v>
      </c>
      <c r="RTL45" s="92" t="s">
        <v>54</v>
      </c>
      <c r="RTM45" s="92" t="s">
        <v>54</v>
      </c>
      <c r="RTN45" s="92" t="s">
        <v>54</v>
      </c>
      <c r="RTO45" s="92" t="s">
        <v>54</v>
      </c>
      <c r="RTP45" s="92" t="s">
        <v>54</v>
      </c>
      <c r="RTQ45" s="92" t="s">
        <v>54</v>
      </c>
      <c r="RTR45" s="92" t="s">
        <v>54</v>
      </c>
      <c r="RTS45" s="92" t="s">
        <v>54</v>
      </c>
      <c r="RTT45" s="92" t="s">
        <v>54</v>
      </c>
      <c r="RTU45" s="92" t="s">
        <v>54</v>
      </c>
      <c r="RTV45" s="92" t="s">
        <v>54</v>
      </c>
      <c r="RTW45" s="92" t="s">
        <v>54</v>
      </c>
      <c r="RTX45" s="92" t="s">
        <v>54</v>
      </c>
      <c r="RTY45" s="92" t="s">
        <v>54</v>
      </c>
      <c r="RTZ45" s="92" t="s">
        <v>54</v>
      </c>
      <c r="RUA45" s="92" t="s">
        <v>54</v>
      </c>
      <c r="RUB45" s="92" t="s">
        <v>54</v>
      </c>
      <c r="RUC45" s="92" t="s">
        <v>54</v>
      </c>
      <c r="RUD45" s="92" t="s">
        <v>54</v>
      </c>
      <c r="RUE45" s="92" t="s">
        <v>54</v>
      </c>
      <c r="RUF45" s="92" t="s">
        <v>54</v>
      </c>
      <c r="RUG45" s="92" t="s">
        <v>54</v>
      </c>
      <c r="RUH45" s="92" t="s">
        <v>54</v>
      </c>
      <c r="RUI45" s="92" t="s">
        <v>54</v>
      </c>
      <c r="RUJ45" s="92" t="s">
        <v>54</v>
      </c>
      <c r="RUK45" s="92" t="s">
        <v>54</v>
      </c>
      <c r="RUL45" s="92" t="s">
        <v>54</v>
      </c>
      <c r="RUM45" s="92" t="s">
        <v>54</v>
      </c>
      <c r="RUN45" s="92" t="s">
        <v>54</v>
      </c>
      <c r="RUO45" s="92" t="s">
        <v>54</v>
      </c>
      <c r="RUP45" s="92" t="s">
        <v>54</v>
      </c>
      <c r="RUQ45" s="92" t="s">
        <v>54</v>
      </c>
      <c r="RUR45" s="92" t="s">
        <v>54</v>
      </c>
      <c r="RUS45" s="92" t="s">
        <v>54</v>
      </c>
      <c r="RUT45" s="92" t="s">
        <v>54</v>
      </c>
      <c r="RUU45" s="92" t="s">
        <v>54</v>
      </c>
      <c r="RUV45" s="92" t="s">
        <v>54</v>
      </c>
      <c r="RUW45" s="92" t="s">
        <v>54</v>
      </c>
      <c r="RUX45" s="92" t="s">
        <v>54</v>
      </c>
      <c r="RUY45" s="92" t="s">
        <v>54</v>
      </c>
      <c r="RUZ45" s="92" t="s">
        <v>54</v>
      </c>
      <c r="RVA45" s="92" t="s">
        <v>54</v>
      </c>
      <c r="RVB45" s="92" t="s">
        <v>54</v>
      </c>
      <c r="RVC45" s="92" t="s">
        <v>54</v>
      </c>
      <c r="RVD45" s="92" t="s">
        <v>54</v>
      </c>
      <c r="RVE45" s="92" t="s">
        <v>54</v>
      </c>
      <c r="RVF45" s="92" t="s">
        <v>54</v>
      </c>
      <c r="RVG45" s="92" t="s">
        <v>54</v>
      </c>
      <c r="RVH45" s="92" t="s">
        <v>54</v>
      </c>
      <c r="RVI45" s="92" t="s">
        <v>54</v>
      </c>
      <c r="RVJ45" s="92" t="s">
        <v>54</v>
      </c>
      <c r="RVK45" s="92" t="s">
        <v>54</v>
      </c>
      <c r="RVL45" s="92" t="s">
        <v>54</v>
      </c>
      <c r="RVM45" s="92" t="s">
        <v>54</v>
      </c>
      <c r="RVN45" s="92" t="s">
        <v>54</v>
      </c>
      <c r="RVO45" s="92" t="s">
        <v>54</v>
      </c>
      <c r="RVP45" s="92" t="s">
        <v>54</v>
      </c>
      <c r="RVQ45" s="92" t="s">
        <v>54</v>
      </c>
      <c r="RVR45" s="92" t="s">
        <v>54</v>
      </c>
      <c r="RVS45" s="92" t="s">
        <v>54</v>
      </c>
      <c r="RVT45" s="92" t="s">
        <v>54</v>
      </c>
      <c r="RVU45" s="92" t="s">
        <v>54</v>
      </c>
      <c r="RVV45" s="92" t="s">
        <v>54</v>
      </c>
      <c r="RVW45" s="92" t="s">
        <v>54</v>
      </c>
      <c r="RVX45" s="92" t="s">
        <v>54</v>
      </c>
      <c r="RVY45" s="92" t="s">
        <v>54</v>
      </c>
      <c r="RVZ45" s="92" t="s">
        <v>54</v>
      </c>
      <c r="RWA45" s="92" t="s">
        <v>54</v>
      </c>
      <c r="RWB45" s="92" t="s">
        <v>54</v>
      </c>
      <c r="RWC45" s="92" t="s">
        <v>54</v>
      </c>
      <c r="RWD45" s="92" t="s">
        <v>54</v>
      </c>
      <c r="RWE45" s="92" t="s">
        <v>54</v>
      </c>
      <c r="RWF45" s="92" t="s">
        <v>54</v>
      </c>
      <c r="RWG45" s="92" t="s">
        <v>54</v>
      </c>
      <c r="RWH45" s="92" t="s">
        <v>54</v>
      </c>
      <c r="RWI45" s="92" t="s">
        <v>54</v>
      </c>
      <c r="RWJ45" s="92" t="s">
        <v>54</v>
      </c>
      <c r="RWK45" s="92" t="s">
        <v>54</v>
      </c>
      <c r="RWL45" s="92" t="s">
        <v>54</v>
      </c>
      <c r="RWM45" s="92" t="s">
        <v>54</v>
      </c>
      <c r="RWN45" s="92" t="s">
        <v>54</v>
      </c>
      <c r="RWO45" s="92" t="s">
        <v>54</v>
      </c>
      <c r="RWP45" s="92" t="s">
        <v>54</v>
      </c>
      <c r="RWQ45" s="92" t="s">
        <v>54</v>
      </c>
      <c r="RWR45" s="92" t="s">
        <v>54</v>
      </c>
      <c r="RWS45" s="92" t="s">
        <v>54</v>
      </c>
      <c r="RWT45" s="92" t="s">
        <v>54</v>
      </c>
      <c r="RWU45" s="92" t="s">
        <v>54</v>
      </c>
      <c r="RWV45" s="92" t="s">
        <v>54</v>
      </c>
      <c r="RWW45" s="92" t="s">
        <v>54</v>
      </c>
      <c r="RWX45" s="92" t="s">
        <v>54</v>
      </c>
      <c r="RWY45" s="92" t="s">
        <v>54</v>
      </c>
      <c r="RWZ45" s="92" t="s">
        <v>54</v>
      </c>
      <c r="RXA45" s="92" t="s">
        <v>54</v>
      </c>
      <c r="RXB45" s="92" t="s">
        <v>54</v>
      </c>
      <c r="RXC45" s="92" t="s">
        <v>54</v>
      </c>
      <c r="RXD45" s="92" t="s">
        <v>54</v>
      </c>
      <c r="RXE45" s="92" t="s">
        <v>54</v>
      </c>
      <c r="RXF45" s="92" t="s">
        <v>54</v>
      </c>
      <c r="RXG45" s="92" t="s">
        <v>54</v>
      </c>
      <c r="RXH45" s="92" t="s">
        <v>54</v>
      </c>
      <c r="RXI45" s="92" t="s">
        <v>54</v>
      </c>
      <c r="RXJ45" s="92" t="s">
        <v>54</v>
      </c>
      <c r="RXK45" s="92" t="s">
        <v>54</v>
      </c>
      <c r="RXL45" s="92" t="s">
        <v>54</v>
      </c>
      <c r="RXM45" s="92" t="s">
        <v>54</v>
      </c>
      <c r="RXN45" s="92" t="s">
        <v>54</v>
      </c>
      <c r="RXO45" s="92" t="s">
        <v>54</v>
      </c>
      <c r="RXP45" s="92" t="s">
        <v>54</v>
      </c>
      <c r="RXQ45" s="92" t="s">
        <v>54</v>
      </c>
      <c r="RXR45" s="92" t="s">
        <v>54</v>
      </c>
      <c r="RXS45" s="92" t="s">
        <v>54</v>
      </c>
      <c r="RXT45" s="92" t="s">
        <v>54</v>
      </c>
      <c r="RXU45" s="92" t="s">
        <v>54</v>
      </c>
      <c r="RXV45" s="92" t="s">
        <v>54</v>
      </c>
      <c r="RXW45" s="92" t="s">
        <v>54</v>
      </c>
      <c r="RXX45" s="92" t="s">
        <v>54</v>
      </c>
      <c r="RXY45" s="92" t="s">
        <v>54</v>
      </c>
      <c r="RXZ45" s="92" t="s">
        <v>54</v>
      </c>
      <c r="RYA45" s="92" t="s">
        <v>54</v>
      </c>
      <c r="RYB45" s="92" t="s">
        <v>54</v>
      </c>
      <c r="RYC45" s="92" t="s">
        <v>54</v>
      </c>
      <c r="RYD45" s="92" t="s">
        <v>54</v>
      </c>
      <c r="RYE45" s="92" t="s">
        <v>54</v>
      </c>
      <c r="RYF45" s="92" t="s">
        <v>54</v>
      </c>
      <c r="RYG45" s="92" t="s">
        <v>54</v>
      </c>
      <c r="RYH45" s="92" t="s">
        <v>54</v>
      </c>
      <c r="RYI45" s="92" t="s">
        <v>54</v>
      </c>
      <c r="RYJ45" s="92" t="s">
        <v>54</v>
      </c>
      <c r="RYK45" s="92" t="s">
        <v>54</v>
      </c>
      <c r="RYL45" s="92" t="s">
        <v>54</v>
      </c>
      <c r="RYM45" s="92" t="s">
        <v>54</v>
      </c>
      <c r="RYN45" s="92" t="s">
        <v>54</v>
      </c>
      <c r="RYO45" s="92" t="s">
        <v>54</v>
      </c>
      <c r="RYP45" s="92" t="s">
        <v>54</v>
      </c>
      <c r="RYQ45" s="92" t="s">
        <v>54</v>
      </c>
      <c r="RYR45" s="92" t="s">
        <v>54</v>
      </c>
      <c r="RYS45" s="92" t="s">
        <v>54</v>
      </c>
      <c r="RYT45" s="92" t="s">
        <v>54</v>
      </c>
      <c r="RYU45" s="92" t="s">
        <v>54</v>
      </c>
      <c r="RYV45" s="92" t="s">
        <v>54</v>
      </c>
      <c r="RYW45" s="92" t="s">
        <v>54</v>
      </c>
      <c r="RYX45" s="92" t="s">
        <v>54</v>
      </c>
      <c r="RYY45" s="92" t="s">
        <v>54</v>
      </c>
      <c r="RYZ45" s="92" t="s">
        <v>54</v>
      </c>
      <c r="RZA45" s="92" t="s">
        <v>54</v>
      </c>
      <c r="RZB45" s="92" t="s">
        <v>54</v>
      </c>
      <c r="RZC45" s="92" t="s">
        <v>54</v>
      </c>
      <c r="RZD45" s="92" t="s">
        <v>54</v>
      </c>
      <c r="RZE45" s="92" t="s">
        <v>54</v>
      </c>
      <c r="RZF45" s="92" t="s">
        <v>54</v>
      </c>
      <c r="RZG45" s="92" t="s">
        <v>54</v>
      </c>
      <c r="RZH45" s="92" t="s">
        <v>54</v>
      </c>
      <c r="RZI45" s="92" t="s">
        <v>54</v>
      </c>
      <c r="RZJ45" s="92" t="s">
        <v>54</v>
      </c>
      <c r="RZK45" s="92" t="s">
        <v>54</v>
      </c>
      <c r="RZL45" s="92" t="s">
        <v>54</v>
      </c>
      <c r="RZM45" s="92" t="s">
        <v>54</v>
      </c>
      <c r="RZN45" s="92" t="s">
        <v>54</v>
      </c>
      <c r="RZO45" s="92" t="s">
        <v>54</v>
      </c>
      <c r="RZP45" s="92" t="s">
        <v>54</v>
      </c>
      <c r="RZQ45" s="92" t="s">
        <v>54</v>
      </c>
      <c r="RZR45" s="92" t="s">
        <v>54</v>
      </c>
      <c r="RZS45" s="92" t="s">
        <v>54</v>
      </c>
      <c r="RZT45" s="92" t="s">
        <v>54</v>
      </c>
      <c r="RZU45" s="92" t="s">
        <v>54</v>
      </c>
      <c r="RZV45" s="92" t="s">
        <v>54</v>
      </c>
      <c r="RZW45" s="92" t="s">
        <v>54</v>
      </c>
      <c r="RZX45" s="92" t="s">
        <v>54</v>
      </c>
      <c r="RZY45" s="92" t="s">
        <v>54</v>
      </c>
      <c r="RZZ45" s="92" t="s">
        <v>54</v>
      </c>
      <c r="SAA45" s="92" t="s">
        <v>54</v>
      </c>
      <c r="SAB45" s="92" t="s">
        <v>54</v>
      </c>
      <c r="SAC45" s="92" t="s">
        <v>54</v>
      </c>
      <c r="SAD45" s="92" t="s">
        <v>54</v>
      </c>
      <c r="SAE45" s="92" t="s">
        <v>54</v>
      </c>
      <c r="SAF45" s="92" t="s">
        <v>54</v>
      </c>
      <c r="SAG45" s="92" t="s">
        <v>54</v>
      </c>
      <c r="SAH45" s="92" t="s">
        <v>54</v>
      </c>
      <c r="SAI45" s="92" t="s">
        <v>54</v>
      </c>
      <c r="SAJ45" s="92" t="s">
        <v>54</v>
      </c>
      <c r="SAK45" s="92" t="s">
        <v>54</v>
      </c>
      <c r="SAL45" s="92" t="s">
        <v>54</v>
      </c>
      <c r="SAM45" s="92" t="s">
        <v>54</v>
      </c>
      <c r="SAN45" s="92" t="s">
        <v>54</v>
      </c>
      <c r="SAO45" s="92" t="s">
        <v>54</v>
      </c>
      <c r="SAP45" s="92" t="s">
        <v>54</v>
      </c>
      <c r="SAQ45" s="92" t="s">
        <v>54</v>
      </c>
      <c r="SAR45" s="92" t="s">
        <v>54</v>
      </c>
      <c r="SAS45" s="92" t="s">
        <v>54</v>
      </c>
      <c r="SAT45" s="92" t="s">
        <v>54</v>
      </c>
      <c r="SAU45" s="92" t="s">
        <v>54</v>
      </c>
      <c r="SAV45" s="92" t="s">
        <v>54</v>
      </c>
      <c r="SAW45" s="92" t="s">
        <v>54</v>
      </c>
      <c r="SAX45" s="92" t="s">
        <v>54</v>
      </c>
      <c r="SAY45" s="92" t="s">
        <v>54</v>
      </c>
      <c r="SAZ45" s="92" t="s">
        <v>54</v>
      </c>
      <c r="SBA45" s="92" t="s">
        <v>54</v>
      </c>
      <c r="SBB45" s="92" t="s">
        <v>54</v>
      </c>
      <c r="SBC45" s="92" t="s">
        <v>54</v>
      </c>
      <c r="SBD45" s="92" t="s">
        <v>54</v>
      </c>
      <c r="SBE45" s="92" t="s">
        <v>54</v>
      </c>
      <c r="SBF45" s="92" t="s">
        <v>54</v>
      </c>
      <c r="SBG45" s="92" t="s">
        <v>54</v>
      </c>
      <c r="SBH45" s="92" t="s">
        <v>54</v>
      </c>
      <c r="SBI45" s="92" t="s">
        <v>54</v>
      </c>
      <c r="SBJ45" s="92" t="s">
        <v>54</v>
      </c>
      <c r="SBK45" s="92" t="s">
        <v>54</v>
      </c>
      <c r="SBL45" s="92" t="s">
        <v>54</v>
      </c>
      <c r="SBM45" s="92" t="s">
        <v>54</v>
      </c>
      <c r="SBN45" s="92" t="s">
        <v>54</v>
      </c>
      <c r="SBO45" s="92" t="s">
        <v>54</v>
      </c>
      <c r="SBP45" s="92" t="s">
        <v>54</v>
      </c>
      <c r="SBQ45" s="92" t="s">
        <v>54</v>
      </c>
      <c r="SBR45" s="92" t="s">
        <v>54</v>
      </c>
      <c r="SBS45" s="92" t="s">
        <v>54</v>
      </c>
      <c r="SBT45" s="92" t="s">
        <v>54</v>
      </c>
      <c r="SBU45" s="92" t="s">
        <v>54</v>
      </c>
      <c r="SBV45" s="92" t="s">
        <v>54</v>
      </c>
      <c r="SBW45" s="92" t="s">
        <v>54</v>
      </c>
      <c r="SBX45" s="92" t="s">
        <v>54</v>
      </c>
      <c r="SBY45" s="92" t="s">
        <v>54</v>
      </c>
      <c r="SBZ45" s="92" t="s">
        <v>54</v>
      </c>
      <c r="SCA45" s="92" t="s">
        <v>54</v>
      </c>
      <c r="SCB45" s="92" t="s">
        <v>54</v>
      </c>
      <c r="SCC45" s="92" t="s">
        <v>54</v>
      </c>
      <c r="SCD45" s="92" t="s">
        <v>54</v>
      </c>
      <c r="SCE45" s="92" t="s">
        <v>54</v>
      </c>
      <c r="SCF45" s="92" t="s">
        <v>54</v>
      </c>
      <c r="SCG45" s="92" t="s">
        <v>54</v>
      </c>
      <c r="SCH45" s="92" t="s">
        <v>54</v>
      </c>
      <c r="SCI45" s="92" t="s">
        <v>54</v>
      </c>
      <c r="SCJ45" s="92" t="s">
        <v>54</v>
      </c>
      <c r="SCK45" s="92" t="s">
        <v>54</v>
      </c>
      <c r="SCL45" s="92" t="s">
        <v>54</v>
      </c>
      <c r="SCM45" s="92" t="s">
        <v>54</v>
      </c>
      <c r="SCN45" s="92" t="s">
        <v>54</v>
      </c>
      <c r="SCO45" s="92" t="s">
        <v>54</v>
      </c>
      <c r="SCP45" s="92" t="s">
        <v>54</v>
      </c>
      <c r="SCQ45" s="92" t="s">
        <v>54</v>
      </c>
      <c r="SCR45" s="92" t="s">
        <v>54</v>
      </c>
      <c r="SCS45" s="92" t="s">
        <v>54</v>
      </c>
      <c r="SCT45" s="92" t="s">
        <v>54</v>
      </c>
      <c r="SCU45" s="92" t="s">
        <v>54</v>
      </c>
      <c r="SCV45" s="92" t="s">
        <v>54</v>
      </c>
      <c r="SCW45" s="92" t="s">
        <v>54</v>
      </c>
      <c r="SCX45" s="92" t="s">
        <v>54</v>
      </c>
      <c r="SCY45" s="92" t="s">
        <v>54</v>
      </c>
      <c r="SCZ45" s="92" t="s">
        <v>54</v>
      </c>
      <c r="SDA45" s="92" t="s">
        <v>54</v>
      </c>
      <c r="SDB45" s="92" t="s">
        <v>54</v>
      </c>
      <c r="SDC45" s="92" t="s">
        <v>54</v>
      </c>
      <c r="SDD45" s="92" t="s">
        <v>54</v>
      </c>
      <c r="SDE45" s="92" t="s">
        <v>54</v>
      </c>
      <c r="SDF45" s="92" t="s">
        <v>54</v>
      </c>
      <c r="SDG45" s="92" t="s">
        <v>54</v>
      </c>
      <c r="SDH45" s="92" t="s">
        <v>54</v>
      </c>
      <c r="SDI45" s="92" t="s">
        <v>54</v>
      </c>
      <c r="SDJ45" s="92" t="s">
        <v>54</v>
      </c>
      <c r="SDK45" s="92" t="s">
        <v>54</v>
      </c>
      <c r="SDL45" s="92" t="s">
        <v>54</v>
      </c>
      <c r="SDM45" s="92" t="s">
        <v>54</v>
      </c>
      <c r="SDN45" s="92" t="s">
        <v>54</v>
      </c>
      <c r="SDO45" s="92" t="s">
        <v>54</v>
      </c>
      <c r="SDP45" s="92" t="s">
        <v>54</v>
      </c>
      <c r="SDQ45" s="92" t="s">
        <v>54</v>
      </c>
      <c r="SDR45" s="92" t="s">
        <v>54</v>
      </c>
      <c r="SDS45" s="92" t="s">
        <v>54</v>
      </c>
      <c r="SDT45" s="92" t="s">
        <v>54</v>
      </c>
      <c r="SDU45" s="92" t="s">
        <v>54</v>
      </c>
      <c r="SDV45" s="92" t="s">
        <v>54</v>
      </c>
      <c r="SDW45" s="92" t="s">
        <v>54</v>
      </c>
      <c r="SDX45" s="92" t="s">
        <v>54</v>
      </c>
      <c r="SDY45" s="92" t="s">
        <v>54</v>
      </c>
      <c r="SDZ45" s="92" t="s">
        <v>54</v>
      </c>
      <c r="SEA45" s="92" t="s">
        <v>54</v>
      </c>
      <c r="SEB45" s="92" t="s">
        <v>54</v>
      </c>
      <c r="SEC45" s="92" t="s">
        <v>54</v>
      </c>
      <c r="SED45" s="92" t="s">
        <v>54</v>
      </c>
      <c r="SEE45" s="92" t="s">
        <v>54</v>
      </c>
      <c r="SEF45" s="92" t="s">
        <v>54</v>
      </c>
      <c r="SEG45" s="92" t="s">
        <v>54</v>
      </c>
      <c r="SEH45" s="92" t="s">
        <v>54</v>
      </c>
      <c r="SEI45" s="92" t="s">
        <v>54</v>
      </c>
      <c r="SEJ45" s="92" t="s">
        <v>54</v>
      </c>
      <c r="SEK45" s="92" t="s">
        <v>54</v>
      </c>
      <c r="SEL45" s="92" t="s">
        <v>54</v>
      </c>
      <c r="SEM45" s="92" t="s">
        <v>54</v>
      </c>
      <c r="SEN45" s="92" t="s">
        <v>54</v>
      </c>
      <c r="SEO45" s="92" t="s">
        <v>54</v>
      </c>
      <c r="SEP45" s="92" t="s">
        <v>54</v>
      </c>
      <c r="SEQ45" s="92" t="s">
        <v>54</v>
      </c>
      <c r="SER45" s="92" t="s">
        <v>54</v>
      </c>
      <c r="SES45" s="92" t="s">
        <v>54</v>
      </c>
      <c r="SET45" s="92" t="s">
        <v>54</v>
      </c>
      <c r="SEU45" s="92" t="s">
        <v>54</v>
      </c>
      <c r="SEV45" s="92" t="s">
        <v>54</v>
      </c>
      <c r="SEW45" s="92" t="s">
        <v>54</v>
      </c>
      <c r="SEX45" s="92" t="s">
        <v>54</v>
      </c>
      <c r="SEY45" s="92" t="s">
        <v>54</v>
      </c>
      <c r="SEZ45" s="92" t="s">
        <v>54</v>
      </c>
      <c r="SFA45" s="92" t="s">
        <v>54</v>
      </c>
      <c r="SFB45" s="92" t="s">
        <v>54</v>
      </c>
      <c r="SFC45" s="92" t="s">
        <v>54</v>
      </c>
      <c r="SFD45" s="92" t="s">
        <v>54</v>
      </c>
      <c r="SFE45" s="92" t="s">
        <v>54</v>
      </c>
      <c r="SFF45" s="92" t="s">
        <v>54</v>
      </c>
      <c r="SFG45" s="92" t="s">
        <v>54</v>
      </c>
      <c r="SFH45" s="92" t="s">
        <v>54</v>
      </c>
      <c r="SFI45" s="92" t="s">
        <v>54</v>
      </c>
      <c r="SFJ45" s="92" t="s">
        <v>54</v>
      </c>
      <c r="SFK45" s="92" t="s">
        <v>54</v>
      </c>
      <c r="SFL45" s="92" t="s">
        <v>54</v>
      </c>
      <c r="SFM45" s="92" t="s">
        <v>54</v>
      </c>
      <c r="SFN45" s="92" t="s">
        <v>54</v>
      </c>
      <c r="SFO45" s="92" t="s">
        <v>54</v>
      </c>
      <c r="SFP45" s="92" t="s">
        <v>54</v>
      </c>
      <c r="SFQ45" s="92" t="s">
        <v>54</v>
      </c>
      <c r="SFR45" s="92" t="s">
        <v>54</v>
      </c>
      <c r="SFS45" s="92" t="s">
        <v>54</v>
      </c>
      <c r="SFT45" s="92" t="s">
        <v>54</v>
      </c>
      <c r="SFU45" s="92" t="s">
        <v>54</v>
      </c>
      <c r="SFV45" s="92" t="s">
        <v>54</v>
      </c>
      <c r="SFW45" s="92" t="s">
        <v>54</v>
      </c>
      <c r="SFX45" s="92" t="s">
        <v>54</v>
      </c>
      <c r="SFY45" s="92" t="s">
        <v>54</v>
      </c>
      <c r="SFZ45" s="92" t="s">
        <v>54</v>
      </c>
      <c r="SGA45" s="92" t="s">
        <v>54</v>
      </c>
      <c r="SGB45" s="92" t="s">
        <v>54</v>
      </c>
      <c r="SGC45" s="92" t="s">
        <v>54</v>
      </c>
      <c r="SGD45" s="92" t="s">
        <v>54</v>
      </c>
      <c r="SGE45" s="92" t="s">
        <v>54</v>
      </c>
      <c r="SGF45" s="92" t="s">
        <v>54</v>
      </c>
      <c r="SGG45" s="92" t="s">
        <v>54</v>
      </c>
      <c r="SGH45" s="92" t="s">
        <v>54</v>
      </c>
      <c r="SGI45" s="92" t="s">
        <v>54</v>
      </c>
      <c r="SGJ45" s="92" t="s">
        <v>54</v>
      </c>
      <c r="SGK45" s="92" t="s">
        <v>54</v>
      </c>
      <c r="SGL45" s="92" t="s">
        <v>54</v>
      </c>
      <c r="SGM45" s="92" t="s">
        <v>54</v>
      </c>
      <c r="SGN45" s="92" t="s">
        <v>54</v>
      </c>
      <c r="SGO45" s="92" t="s">
        <v>54</v>
      </c>
      <c r="SGP45" s="92" t="s">
        <v>54</v>
      </c>
      <c r="SGQ45" s="92" t="s">
        <v>54</v>
      </c>
      <c r="SGR45" s="92" t="s">
        <v>54</v>
      </c>
      <c r="SGS45" s="92" t="s">
        <v>54</v>
      </c>
      <c r="SGT45" s="92" t="s">
        <v>54</v>
      </c>
      <c r="SGU45" s="92" t="s">
        <v>54</v>
      </c>
      <c r="SGV45" s="92" t="s">
        <v>54</v>
      </c>
      <c r="SGW45" s="92" t="s">
        <v>54</v>
      </c>
      <c r="SGX45" s="92" t="s">
        <v>54</v>
      </c>
      <c r="SGY45" s="92" t="s">
        <v>54</v>
      </c>
      <c r="SGZ45" s="92" t="s">
        <v>54</v>
      </c>
      <c r="SHA45" s="92" t="s">
        <v>54</v>
      </c>
      <c r="SHB45" s="92" t="s">
        <v>54</v>
      </c>
      <c r="SHC45" s="92" t="s">
        <v>54</v>
      </c>
      <c r="SHD45" s="92" t="s">
        <v>54</v>
      </c>
      <c r="SHE45" s="92" t="s">
        <v>54</v>
      </c>
      <c r="SHF45" s="92" t="s">
        <v>54</v>
      </c>
      <c r="SHG45" s="92" t="s">
        <v>54</v>
      </c>
      <c r="SHH45" s="92" t="s">
        <v>54</v>
      </c>
      <c r="SHI45" s="92" t="s">
        <v>54</v>
      </c>
      <c r="SHJ45" s="92" t="s">
        <v>54</v>
      </c>
      <c r="SHK45" s="92" t="s">
        <v>54</v>
      </c>
      <c r="SHL45" s="92" t="s">
        <v>54</v>
      </c>
      <c r="SHM45" s="92" t="s">
        <v>54</v>
      </c>
      <c r="SHN45" s="92" t="s">
        <v>54</v>
      </c>
      <c r="SHO45" s="92" t="s">
        <v>54</v>
      </c>
      <c r="SHP45" s="92" t="s">
        <v>54</v>
      </c>
      <c r="SHQ45" s="92" t="s">
        <v>54</v>
      </c>
      <c r="SHR45" s="92" t="s">
        <v>54</v>
      </c>
      <c r="SHS45" s="92" t="s">
        <v>54</v>
      </c>
      <c r="SHT45" s="92" t="s">
        <v>54</v>
      </c>
      <c r="SHU45" s="92" t="s">
        <v>54</v>
      </c>
      <c r="SHV45" s="92" t="s">
        <v>54</v>
      </c>
      <c r="SHW45" s="92" t="s">
        <v>54</v>
      </c>
      <c r="SHX45" s="92" t="s">
        <v>54</v>
      </c>
      <c r="SHY45" s="92" t="s">
        <v>54</v>
      </c>
      <c r="SHZ45" s="92" t="s">
        <v>54</v>
      </c>
      <c r="SIA45" s="92" t="s">
        <v>54</v>
      </c>
      <c r="SIB45" s="92" t="s">
        <v>54</v>
      </c>
      <c r="SIC45" s="92" t="s">
        <v>54</v>
      </c>
      <c r="SID45" s="92" t="s">
        <v>54</v>
      </c>
      <c r="SIE45" s="92" t="s">
        <v>54</v>
      </c>
      <c r="SIF45" s="92" t="s">
        <v>54</v>
      </c>
      <c r="SIG45" s="92" t="s">
        <v>54</v>
      </c>
      <c r="SIH45" s="92" t="s">
        <v>54</v>
      </c>
      <c r="SII45" s="92" t="s">
        <v>54</v>
      </c>
      <c r="SIJ45" s="92" t="s">
        <v>54</v>
      </c>
      <c r="SIK45" s="92" t="s">
        <v>54</v>
      </c>
      <c r="SIL45" s="92" t="s">
        <v>54</v>
      </c>
      <c r="SIM45" s="92" t="s">
        <v>54</v>
      </c>
      <c r="SIN45" s="92" t="s">
        <v>54</v>
      </c>
      <c r="SIO45" s="92" t="s">
        <v>54</v>
      </c>
      <c r="SIP45" s="92" t="s">
        <v>54</v>
      </c>
      <c r="SIQ45" s="92" t="s">
        <v>54</v>
      </c>
      <c r="SIR45" s="92" t="s">
        <v>54</v>
      </c>
      <c r="SIS45" s="92" t="s">
        <v>54</v>
      </c>
      <c r="SIT45" s="92" t="s">
        <v>54</v>
      </c>
      <c r="SIU45" s="92" t="s">
        <v>54</v>
      </c>
      <c r="SIV45" s="92" t="s">
        <v>54</v>
      </c>
      <c r="SIW45" s="92" t="s">
        <v>54</v>
      </c>
      <c r="SIX45" s="92" t="s">
        <v>54</v>
      </c>
      <c r="SIY45" s="92" t="s">
        <v>54</v>
      </c>
      <c r="SIZ45" s="92" t="s">
        <v>54</v>
      </c>
      <c r="SJA45" s="92" t="s">
        <v>54</v>
      </c>
      <c r="SJB45" s="92" t="s">
        <v>54</v>
      </c>
      <c r="SJC45" s="92" t="s">
        <v>54</v>
      </c>
      <c r="SJD45" s="92" t="s">
        <v>54</v>
      </c>
      <c r="SJE45" s="92" t="s">
        <v>54</v>
      </c>
      <c r="SJF45" s="92" t="s">
        <v>54</v>
      </c>
      <c r="SJG45" s="92" t="s">
        <v>54</v>
      </c>
      <c r="SJH45" s="92" t="s">
        <v>54</v>
      </c>
      <c r="SJI45" s="92" t="s">
        <v>54</v>
      </c>
      <c r="SJJ45" s="92" t="s">
        <v>54</v>
      </c>
      <c r="SJK45" s="92" t="s">
        <v>54</v>
      </c>
      <c r="SJL45" s="92" t="s">
        <v>54</v>
      </c>
      <c r="SJM45" s="92" t="s">
        <v>54</v>
      </c>
      <c r="SJN45" s="92" t="s">
        <v>54</v>
      </c>
      <c r="SJO45" s="92" t="s">
        <v>54</v>
      </c>
      <c r="SJP45" s="92" t="s">
        <v>54</v>
      </c>
      <c r="SJQ45" s="92" t="s">
        <v>54</v>
      </c>
      <c r="SJR45" s="92" t="s">
        <v>54</v>
      </c>
      <c r="SJS45" s="92" t="s">
        <v>54</v>
      </c>
      <c r="SJT45" s="92" t="s">
        <v>54</v>
      </c>
      <c r="SJU45" s="92" t="s">
        <v>54</v>
      </c>
      <c r="SJV45" s="92" t="s">
        <v>54</v>
      </c>
      <c r="SJW45" s="92" t="s">
        <v>54</v>
      </c>
      <c r="SJX45" s="92" t="s">
        <v>54</v>
      </c>
      <c r="SJY45" s="92" t="s">
        <v>54</v>
      </c>
      <c r="SJZ45" s="92" t="s">
        <v>54</v>
      </c>
      <c r="SKA45" s="92" t="s">
        <v>54</v>
      </c>
      <c r="SKB45" s="92" t="s">
        <v>54</v>
      </c>
      <c r="SKC45" s="92" t="s">
        <v>54</v>
      </c>
      <c r="SKD45" s="92" t="s">
        <v>54</v>
      </c>
      <c r="SKE45" s="92" t="s">
        <v>54</v>
      </c>
      <c r="SKF45" s="92" t="s">
        <v>54</v>
      </c>
      <c r="SKG45" s="92" t="s">
        <v>54</v>
      </c>
      <c r="SKH45" s="92" t="s">
        <v>54</v>
      </c>
      <c r="SKI45" s="92" t="s">
        <v>54</v>
      </c>
      <c r="SKJ45" s="92" t="s">
        <v>54</v>
      </c>
      <c r="SKK45" s="92" t="s">
        <v>54</v>
      </c>
      <c r="SKL45" s="92" t="s">
        <v>54</v>
      </c>
      <c r="SKM45" s="92" t="s">
        <v>54</v>
      </c>
      <c r="SKN45" s="92" t="s">
        <v>54</v>
      </c>
      <c r="SKO45" s="92" t="s">
        <v>54</v>
      </c>
      <c r="SKP45" s="92" t="s">
        <v>54</v>
      </c>
      <c r="SKQ45" s="92" t="s">
        <v>54</v>
      </c>
      <c r="SKR45" s="92" t="s">
        <v>54</v>
      </c>
      <c r="SKS45" s="92" t="s">
        <v>54</v>
      </c>
      <c r="SKT45" s="92" t="s">
        <v>54</v>
      </c>
      <c r="SKU45" s="92" t="s">
        <v>54</v>
      </c>
      <c r="SKV45" s="92" t="s">
        <v>54</v>
      </c>
      <c r="SKW45" s="92" t="s">
        <v>54</v>
      </c>
      <c r="SKX45" s="92" t="s">
        <v>54</v>
      </c>
      <c r="SKY45" s="92" t="s">
        <v>54</v>
      </c>
      <c r="SKZ45" s="92" t="s">
        <v>54</v>
      </c>
      <c r="SLA45" s="92" t="s">
        <v>54</v>
      </c>
      <c r="SLB45" s="92" t="s">
        <v>54</v>
      </c>
      <c r="SLC45" s="92" t="s">
        <v>54</v>
      </c>
      <c r="SLD45" s="92" t="s">
        <v>54</v>
      </c>
      <c r="SLE45" s="92" t="s">
        <v>54</v>
      </c>
      <c r="SLF45" s="92" t="s">
        <v>54</v>
      </c>
      <c r="SLG45" s="92" t="s">
        <v>54</v>
      </c>
      <c r="SLH45" s="92" t="s">
        <v>54</v>
      </c>
      <c r="SLI45" s="92" t="s">
        <v>54</v>
      </c>
      <c r="SLJ45" s="92" t="s">
        <v>54</v>
      </c>
      <c r="SLK45" s="92" t="s">
        <v>54</v>
      </c>
      <c r="SLL45" s="92" t="s">
        <v>54</v>
      </c>
      <c r="SLM45" s="92" t="s">
        <v>54</v>
      </c>
      <c r="SLN45" s="92" t="s">
        <v>54</v>
      </c>
      <c r="SLO45" s="92" t="s">
        <v>54</v>
      </c>
      <c r="SLP45" s="92" t="s">
        <v>54</v>
      </c>
      <c r="SLQ45" s="92" t="s">
        <v>54</v>
      </c>
      <c r="SLR45" s="92" t="s">
        <v>54</v>
      </c>
      <c r="SLS45" s="92" t="s">
        <v>54</v>
      </c>
      <c r="SLT45" s="92" t="s">
        <v>54</v>
      </c>
      <c r="SLU45" s="92" t="s">
        <v>54</v>
      </c>
      <c r="SLV45" s="92" t="s">
        <v>54</v>
      </c>
      <c r="SLW45" s="92" t="s">
        <v>54</v>
      </c>
      <c r="SLX45" s="92" t="s">
        <v>54</v>
      </c>
      <c r="SLY45" s="92" t="s">
        <v>54</v>
      </c>
      <c r="SLZ45" s="92" t="s">
        <v>54</v>
      </c>
      <c r="SMA45" s="92" t="s">
        <v>54</v>
      </c>
      <c r="SMB45" s="92" t="s">
        <v>54</v>
      </c>
      <c r="SMC45" s="92" t="s">
        <v>54</v>
      </c>
      <c r="SMD45" s="92" t="s">
        <v>54</v>
      </c>
      <c r="SME45" s="92" t="s">
        <v>54</v>
      </c>
      <c r="SMF45" s="92" t="s">
        <v>54</v>
      </c>
      <c r="SMG45" s="92" t="s">
        <v>54</v>
      </c>
      <c r="SMH45" s="92" t="s">
        <v>54</v>
      </c>
      <c r="SMI45" s="92" t="s">
        <v>54</v>
      </c>
      <c r="SMJ45" s="92" t="s">
        <v>54</v>
      </c>
      <c r="SMK45" s="92" t="s">
        <v>54</v>
      </c>
      <c r="SML45" s="92" t="s">
        <v>54</v>
      </c>
      <c r="SMM45" s="92" t="s">
        <v>54</v>
      </c>
      <c r="SMN45" s="92" t="s">
        <v>54</v>
      </c>
      <c r="SMO45" s="92" t="s">
        <v>54</v>
      </c>
      <c r="SMP45" s="92" t="s">
        <v>54</v>
      </c>
      <c r="SMQ45" s="92" t="s">
        <v>54</v>
      </c>
      <c r="SMR45" s="92" t="s">
        <v>54</v>
      </c>
      <c r="SMS45" s="92" t="s">
        <v>54</v>
      </c>
      <c r="SMT45" s="92" t="s">
        <v>54</v>
      </c>
      <c r="SMU45" s="92" t="s">
        <v>54</v>
      </c>
      <c r="SMV45" s="92" t="s">
        <v>54</v>
      </c>
      <c r="SMW45" s="92" t="s">
        <v>54</v>
      </c>
      <c r="SMX45" s="92" t="s">
        <v>54</v>
      </c>
      <c r="SMY45" s="92" t="s">
        <v>54</v>
      </c>
      <c r="SMZ45" s="92" t="s">
        <v>54</v>
      </c>
      <c r="SNA45" s="92" t="s">
        <v>54</v>
      </c>
      <c r="SNB45" s="92" t="s">
        <v>54</v>
      </c>
      <c r="SNC45" s="92" t="s">
        <v>54</v>
      </c>
      <c r="SND45" s="92" t="s">
        <v>54</v>
      </c>
      <c r="SNE45" s="92" t="s">
        <v>54</v>
      </c>
      <c r="SNF45" s="92" t="s">
        <v>54</v>
      </c>
      <c r="SNG45" s="92" t="s">
        <v>54</v>
      </c>
      <c r="SNH45" s="92" t="s">
        <v>54</v>
      </c>
      <c r="SNI45" s="92" t="s">
        <v>54</v>
      </c>
      <c r="SNJ45" s="92" t="s">
        <v>54</v>
      </c>
      <c r="SNK45" s="92" t="s">
        <v>54</v>
      </c>
      <c r="SNL45" s="92" t="s">
        <v>54</v>
      </c>
      <c r="SNM45" s="92" t="s">
        <v>54</v>
      </c>
      <c r="SNN45" s="92" t="s">
        <v>54</v>
      </c>
      <c r="SNO45" s="92" t="s">
        <v>54</v>
      </c>
      <c r="SNP45" s="92" t="s">
        <v>54</v>
      </c>
      <c r="SNQ45" s="92" t="s">
        <v>54</v>
      </c>
      <c r="SNR45" s="92" t="s">
        <v>54</v>
      </c>
      <c r="SNS45" s="92" t="s">
        <v>54</v>
      </c>
      <c r="SNT45" s="92" t="s">
        <v>54</v>
      </c>
      <c r="SNU45" s="92" t="s">
        <v>54</v>
      </c>
      <c r="SNV45" s="92" t="s">
        <v>54</v>
      </c>
      <c r="SNW45" s="92" t="s">
        <v>54</v>
      </c>
      <c r="SNX45" s="92" t="s">
        <v>54</v>
      </c>
      <c r="SNY45" s="92" t="s">
        <v>54</v>
      </c>
      <c r="SNZ45" s="92" t="s">
        <v>54</v>
      </c>
      <c r="SOA45" s="92" t="s">
        <v>54</v>
      </c>
      <c r="SOB45" s="92" t="s">
        <v>54</v>
      </c>
      <c r="SOC45" s="92" t="s">
        <v>54</v>
      </c>
      <c r="SOD45" s="92" t="s">
        <v>54</v>
      </c>
      <c r="SOE45" s="92" t="s">
        <v>54</v>
      </c>
      <c r="SOF45" s="92" t="s">
        <v>54</v>
      </c>
      <c r="SOG45" s="92" t="s">
        <v>54</v>
      </c>
      <c r="SOH45" s="92" t="s">
        <v>54</v>
      </c>
      <c r="SOI45" s="92" t="s">
        <v>54</v>
      </c>
      <c r="SOJ45" s="92" t="s">
        <v>54</v>
      </c>
      <c r="SOK45" s="92" t="s">
        <v>54</v>
      </c>
      <c r="SOL45" s="92" t="s">
        <v>54</v>
      </c>
      <c r="SOM45" s="92" t="s">
        <v>54</v>
      </c>
      <c r="SON45" s="92" t="s">
        <v>54</v>
      </c>
      <c r="SOO45" s="92" t="s">
        <v>54</v>
      </c>
      <c r="SOP45" s="92" t="s">
        <v>54</v>
      </c>
      <c r="SOQ45" s="92" t="s">
        <v>54</v>
      </c>
      <c r="SOR45" s="92" t="s">
        <v>54</v>
      </c>
      <c r="SOS45" s="92" t="s">
        <v>54</v>
      </c>
      <c r="SOT45" s="92" t="s">
        <v>54</v>
      </c>
      <c r="SOU45" s="92" t="s">
        <v>54</v>
      </c>
      <c r="SOV45" s="92" t="s">
        <v>54</v>
      </c>
      <c r="SOW45" s="92" t="s">
        <v>54</v>
      </c>
      <c r="SOX45" s="92" t="s">
        <v>54</v>
      </c>
      <c r="SOY45" s="92" t="s">
        <v>54</v>
      </c>
      <c r="SOZ45" s="92" t="s">
        <v>54</v>
      </c>
      <c r="SPA45" s="92" t="s">
        <v>54</v>
      </c>
      <c r="SPB45" s="92" t="s">
        <v>54</v>
      </c>
      <c r="SPC45" s="92" t="s">
        <v>54</v>
      </c>
      <c r="SPD45" s="92" t="s">
        <v>54</v>
      </c>
      <c r="SPE45" s="92" t="s">
        <v>54</v>
      </c>
      <c r="SPF45" s="92" t="s">
        <v>54</v>
      </c>
      <c r="SPG45" s="92" t="s">
        <v>54</v>
      </c>
      <c r="SPH45" s="92" t="s">
        <v>54</v>
      </c>
      <c r="SPI45" s="92" t="s">
        <v>54</v>
      </c>
      <c r="SPJ45" s="92" t="s">
        <v>54</v>
      </c>
      <c r="SPK45" s="92" t="s">
        <v>54</v>
      </c>
      <c r="SPL45" s="92" t="s">
        <v>54</v>
      </c>
      <c r="SPM45" s="92" t="s">
        <v>54</v>
      </c>
      <c r="SPN45" s="92" t="s">
        <v>54</v>
      </c>
      <c r="SPO45" s="92" t="s">
        <v>54</v>
      </c>
      <c r="SPP45" s="92" t="s">
        <v>54</v>
      </c>
      <c r="SPQ45" s="92" t="s">
        <v>54</v>
      </c>
      <c r="SPR45" s="92" t="s">
        <v>54</v>
      </c>
      <c r="SPS45" s="92" t="s">
        <v>54</v>
      </c>
      <c r="SPT45" s="92" t="s">
        <v>54</v>
      </c>
      <c r="SPU45" s="92" t="s">
        <v>54</v>
      </c>
      <c r="SPV45" s="92" t="s">
        <v>54</v>
      </c>
      <c r="SPW45" s="92" t="s">
        <v>54</v>
      </c>
      <c r="SPX45" s="92" t="s">
        <v>54</v>
      </c>
      <c r="SPY45" s="92" t="s">
        <v>54</v>
      </c>
      <c r="SPZ45" s="92" t="s">
        <v>54</v>
      </c>
      <c r="SQA45" s="92" t="s">
        <v>54</v>
      </c>
      <c r="SQB45" s="92" t="s">
        <v>54</v>
      </c>
      <c r="SQC45" s="92" t="s">
        <v>54</v>
      </c>
      <c r="SQD45" s="92" t="s">
        <v>54</v>
      </c>
      <c r="SQE45" s="92" t="s">
        <v>54</v>
      </c>
      <c r="SQF45" s="92" t="s">
        <v>54</v>
      </c>
      <c r="SQG45" s="92" t="s">
        <v>54</v>
      </c>
      <c r="SQH45" s="92" t="s">
        <v>54</v>
      </c>
      <c r="SQI45" s="92" t="s">
        <v>54</v>
      </c>
      <c r="SQJ45" s="92" t="s">
        <v>54</v>
      </c>
      <c r="SQK45" s="92" t="s">
        <v>54</v>
      </c>
      <c r="SQL45" s="92" t="s">
        <v>54</v>
      </c>
      <c r="SQM45" s="92" t="s">
        <v>54</v>
      </c>
      <c r="SQN45" s="92" t="s">
        <v>54</v>
      </c>
      <c r="SQO45" s="92" t="s">
        <v>54</v>
      </c>
      <c r="SQP45" s="92" t="s">
        <v>54</v>
      </c>
      <c r="SQQ45" s="92" t="s">
        <v>54</v>
      </c>
      <c r="SQR45" s="92" t="s">
        <v>54</v>
      </c>
      <c r="SQS45" s="92" t="s">
        <v>54</v>
      </c>
      <c r="SQT45" s="92" t="s">
        <v>54</v>
      </c>
      <c r="SQU45" s="92" t="s">
        <v>54</v>
      </c>
      <c r="SQV45" s="92" t="s">
        <v>54</v>
      </c>
      <c r="SQW45" s="92" t="s">
        <v>54</v>
      </c>
      <c r="SQX45" s="92" t="s">
        <v>54</v>
      </c>
      <c r="SQY45" s="92" t="s">
        <v>54</v>
      </c>
      <c r="SQZ45" s="92" t="s">
        <v>54</v>
      </c>
      <c r="SRA45" s="92" t="s">
        <v>54</v>
      </c>
      <c r="SRB45" s="92" t="s">
        <v>54</v>
      </c>
      <c r="SRC45" s="92" t="s">
        <v>54</v>
      </c>
      <c r="SRD45" s="92" t="s">
        <v>54</v>
      </c>
      <c r="SRE45" s="92" t="s">
        <v>54</v>
      </c>
      <c r="SRF45" s="92" t="s">
        <v>54</v>
      </c>
      <c r="SRG45" s="92" t="s">
        <v>54</v>
      </c>
      <c r="SRH45" s="92" t="s">
        <v>54</v>
      </c>
      <c r="SRI45" s="92" t="s">
        <v>54</v>
      </c>
      <c r="SRJ45" s="92" t="s">
        <v>54</v>
      </c>
      <c r="SRK45" s="92" t="s">
        <v>54</v>
      </c>
      <c r="SRL45" s="92" t="s">
        <v>54</v>
      </c>
      <c r="SRM45" s="92" t="s">
        <v>54</v>
      </c>
      <c r="SRN45" s="92" t="s">
        <v>54</v>
      </c>
      <c r="SRO45" s="92" t="s">
        <v>54</v>
      </c>
      <c r="SRP45" s="92" t="s">
        <v>54</v>
      </c>
      <c r="SRQ45" s="92" t="s">
        <v>54</v>
      </c>
      <c r="SRR45" s="92" t="s">
        <v>54</v>
      </c>
      <c r="SRS45" s="92" t="s">
        <v>54</v>
      </c>
      <c r="SRT45" s="92" t="s">
        <v>54</v>
      </c>
      <c r="SRU45" s="92" t="s">
        <v>54</v>
      </c>
      <c r="SRV45" s="92" t="s">
        <v>54</v>
      </c>
      <c r="SRW45" s="92" t="s">
        <v>54</v>
      </c>
      <c r="SRX45" s="92" t="s">
        <v>54</v>
      </c>
      <c r="SRY45" s="92" t="s">
        <v>54</v>
      </c>
      <c r="SRZ45" s="92" t="s">
        <v>54</v>
      </c>
      <c r="SSA45" s="92" t="s">
        <v>54</v>
      </c>
      <c r="SSB45" s="92" t="s">
        <v>54</v>
      </c>
      <c r="SSC45" s="92" t="s">
        <v>54</v>
      </c>
      <c r="SSD45" s="92" t="s">
        <v>54</v>
      </c>
      <c r="SSE45" s="92" t="s">
        <v>54</v>
      </c>
      <c r="SSF45" s="92" t="s">
        <v>54</v>
      </c>
      <c r="SSG45" s="92" t="s">
        <v>54</v>
      </c>
      <c r="SSH45" s="92" t="s">
        <v>54</v>
      </c>
      <c r="SSI45" s="92" t="s">
        <v>54</v>
      </c>
      <c r="SSJ45" s="92" t="s">
        <v>54</v>
      </c>
      <c r="SSK45" s="92" t="s">
        <v>54</v>
      </c>
      <c r="SSL45" s="92" t="s">
        <v>54</v>
      </c>
      <c r="SSM45" s="92" t="s">
        <v>54</v>
      </c>
      <c r="SSN45" s="92" t="s">
        <v>54</v>
      </c>
      <c r="SSO45" s="92" t="s">
        <v>54</v>
      </c>
      <c r="SSP45" s="92" t="s">
        <v>54</v>
      </c>
      <c r="SSQ45" s="92" t="s">
        <v>54</v>
      </c>
      <c r="SSR45" s="92" t="s">
        <v>54</v>
      </c>
      <c r="SSS45" s="92" t="s">
        <v>54</v>
      </c>
      <c r="SST45" s="92" t="s">
        <v>54</v>
      </c>
      <c r="SSU45" s="92" t="s">
        <v>54</v>
      </c>
      <c r="SSV45" s="92" t="s">
        <v>54</v>
      </c>
      <c r="SSW45" s="92" t="s">
        <v>54</v>
      </c>
      <c r="SSX45" s="92" t="s">
        <v>54</v>
      </c>
      <c r="SSY45" s="92" t="s">
        <v>54</v>
      </c>
      <c r="SSZ45" s="92" t="s">
        <v>54</v>
      </c>
      <c r="STA45" s="92" t="s">
        <v>54</v>
      </c>
      <c r="STB45" s="92" t="s">
        <v>54</v>
      </c>
      <c r="STC45" s="92" t="s">
        <v>54</v>
      </c>
      <c r="STD45" s="92" t="s">
        <v>54</v>
      </c>
      <c r="STE45" s="92" t="s">
        <v>54</v>
      </c>
      <c r="STF45" s="92" t="s">
        <v>54</v>
      </c>
      <c r="STG45" s="92" t="s">
        <v>54</v>
      </c>
      <c r="STH45" s="92" t="s">
        <v>54</v>
      </c>
      <c r="STI45" s="92" t="s">
        <v>54</v>
      </c>
      <c r="STJ45" s="92" t="s">
        <v>54</v>
      </c>
      <c r="STK45" s="92" t="s">
        <v>54</v>
      </c>
      <c r="STL45" s="92" t="s">
        <v>54</v>
      </c>
      <c r="STM45" s="92" t="s">
        <v>54</v>
      </c>
      <c r="STN45" s="92" t="s">
        <v>54</v>
      </c>
      <c r="STO45" s="92" t="s">
        <v>54</v>
      </c>
      <c r="STP45" s="92" t="s">
        <v>54</v>
      </c>
      <c r="STQ45" s="92" t="s">
        <v>54</v>
      </c>
      <c r="STR45" s="92" t="s">
        <v>54</v>
      </c>
      <c r="STS45" s="92" t="s">
        <v>54</v>
      </c>
      <c r="STT45" s="92" t="s">
        <v>54</v>
      </c>
      <c r="STU45" s="92" t="s">
        <v>54</v>
      </c>
      <c r="STV45" s="92" t="s">
        <v>54</v>
      </c>
      <c r="STW45" s="92" t="s">
        <v>54</v>
      </c>
      <c r="STX45" s="92" t="s">
        <v>54</v>
      </c>
      <c r="STY45" s="92" t="s">
        <v>54</v>
      </c>
      <c r="STZ45" s="92" t="s">
        <v>54</v>
      </c>
      <c r="SUA45" s="92" t="s">
        <v>54</v>
      </c>
      <c r="SUB45" s="92" t="s">
        <v>54</v>
      </c>
      <c r="SUC45" s="92" t="s">
        <v>54</v>
      </c>
      <c r="SUD45" s="92" t="s">
        <v>54</v>
      </c>
      <c r="SUE45" s="92" t="s">
        <v>54</v>
      </c>
      <c r="SUF45" s="92" t="s">
        <v>54</v>
      </c>
      <c r="SUG45" s="92" t="s">
        <v>54</v>
      </c>
      <c r="SUH45" s="92" t="s">
        <v>54</v>
      </c>
      <c r="SUI45" s="92" t="s">
        <v>54</v>
      </c>
      <c r="SUJ45" s="92" t="s">
        <v>54</v>
      </c>
      <c r="SUK45" s="92" t="s">
        <v>54</v>
      </c>
      <c r="SUL45" s="92" t="s">
        <v>54</v>
      </c>
      <c r="SUM45" s="92" t="s">
        <v>54</v>
      </c>
      <c r="SUN45" s="92" t="s">
        <v>54</v>
      </c>
      <c r="SUO45" s="92" t="s">
        <v>54</v>
      </c>
      <c r="SUP45" s="92" t="s">
        <v>54</v>
      </c>
      <c r="SUQ45" s="92" t="s">
        <v>54</v>
      </c>
      <c r="SUR45" s="92" t="s">
        <v>54</v>
      </c>
      <c r="SUS45" s="92" t="s">
        <v>54</v>
      </c>
      <c r="SUT45" s="92" t="s">
        <v>54</v>
      </c>
      <c r="SUU45" s="92" t="s">
        <v>54</v>
      </c>
      <c r="SUV45" s="92" t="s">
        <v>54</v>
      </c>
      <c r="SUW45" s="92" t="s">
        <v>54</v>
      </c>
      <c r="SUX45" s="92" t="s">
        <v>54</v>
      </c>
      <c r="SUY45" s="92" t="s">
        <v>54</v>
      </c>
      <c r="SUZ45" s="92" t="s">
        <v>54</v>
      </c>
      <c r="SVA45" s="92" t="s">
        <v>54</v>
      </c>
      <c r="SVB45" s="92" t="s">
        <v>54</v>
      </c>
      <c r="SVC45" s="92" t="s">
        <v>54</v>
      </c>
      <c r="SVD45" s="92" t="s">
        <v>54</v>
      </c>
      <c r="SVE45" s="92" t="s">
        <v>54</v>
      </c>
      <c r="SVF45" s="92" t="s">
        <v>54</v>
      </c>
      <c r="SVG45" s="92" t="s">
        <v>54</v>
      </c>
      <c r="SVH45" s="92" t="s">
        <v>54</v>
      </c>
      <c r="SVI45" s="92" t="s">
        <v>54</v>
      </c>
      <c r="SVJ45" s="92" t="s">
        <v>54</v>
      </c>
      <c r="SVK45" s="92" t="s">
        <v>54</v>
      </c>
      <c r="SVL45" s="92" t="s">
        <v>54</v>
      </c>
      <c r="SVM45" s="92" t="s">
        <v>54</v>
      </c>
      <c r="SVN45" s="92" t="s">
        <v>54</v>
      </c>
      <c r="SVO45" s="92" t="s">
        <v>54</v>
      </c>
      <c r="SVP45" s="92" t="s">
        <v>54</v>
      </c>
      <c r="SVQ45" s="92" t="s">
        <v>54</v>
      </c>
      <c r="SVR45" s="92" t="s">
        <v>54</v>
      </c>
      <c r="SVS45" s="92" t="s">
        <v>54</v>
      </c>
      <c r="SVT45" s="92" t="s">
        <v>54</v>
      </c>
      <c r="SVU45" s="92" t="s">
        <v>54</v>
      </c>
      <c r="SVV45" s="92" t="s">
        <v>54</v>
      </c>
      <c r="SVW45" s="92" t="s">
        <v>54</v>
      </c>
      <c r="SVX45" s="92" t="s">
        <v>54</v>
      </c>
      <c r="SVY45" s="92" t="s">
        <v>54</v>
      </c>
      <c r="SVZ45" s="92" t="s">
        <v>54</v>
      </c>
      <c r="SWA45" s="92" t="s">
        <v>54</v>
      </c>
      <c r="SWB45" s="92" t="s">
        <v>54</v>
      </c>
      <c r="SWC45" s="92" t="s">
        <v>54</v>
      </c>
      <c r="SWD45" s="92" t="s">
        <v>54</v>
      </c>
      <c r="SWE45" s="92" t="s">
        <v>54</v>
      </c>
      <c r="SWF45" s="92" t="s">
        <v>54</v>
      </c>
      <c r="SWG45" s="92" t="s">
        <v>54</v>
      </c>
      <c r="SWH45" s="92" t="s">
        <v>54</v>
      </c>
      <c r="SWI45" s="92" t="s">
        <v>54</v>
      </c>
      <c r="SWJ45" s="92" t="s">
        <v>54</v>
      </c>
      <c r="SWK45" s="92" t="s">
        <v>54</v>
      </c>
      <c r="SWL45" s="92" t="s">
        <v>54</v>
      </c>
      <c r="SWM45" s="92" t="s">
        <v>54</v>
      </c>
      <c r="SWN45" s="92" t="s">
        <v>54</v>
      </c>
      <c r="SWO45" s="92" t="s">
        <v>54</v>
      </c>
      <c r="SWP45" s="92" t="s">
        <v>54</v>
      </c>
      <c r="SWQ45" s="92" t="s">
        <v>54</v>
      </c>
      <c r="SWR45" s="92" t="s">
        <v>54</v>
      </c>
      <c r="SWS45" s="92" t="s">
        <v>54</v>
      </c>
      <c r="SWT45" s="92" t="s">
        <v>54</v>
      </c>
      <c r="SWU45" s="92" t="s">
        <v>54</v>
      </c>
      <c r="SWV45" s="92" t="s">
        <v>54</v>
      </c>
      <c r="SWW45" s="92" t="s">
        <v>54</v>
      </c>
      <c r="SWX45" s="92" t="s">
        <v>54</v>
      </c>
      <c r="SWY45" s="92" t="s">
        <v>54</v>
      </c>
      <c r="SWZ45" s="92" t="s">
        <v>54</v>
      </c>
      <c r="SXA45" s="92" t="s">
        <v>54</v>
      </c>
      <c r="SXB45" s="92" t="s">
        <v>54</v>
      </c>
      <c r="SXC45" s="92" t="s">
        <v>54</v>
      </c>
      <c r="SXD45" s="92" t="s">
        <v>54</v>
      </c>
      <c r="SXE45" s="92" t="s">
        <v>54</v>
      </c>
      <c r="SXF45" s="92" t="s">
        <v>54</v>
      </c>
      <c r="SXG45" s="92" t="s">
        <v>54</v>
      </c>
      <c r="SXH45" s="92" t="s">
        <v>54</v>
      </c>
      <c r="SXI45" s="92" t="s">
        <v>54</v>
      </c>
      <c r="SXJ45" s="92" t="s">
        <v>54</v>
      </c>
      <c r="SXK45" s="92" t="s">
        <v>54</v>
      </c>
      <c r="SXL45" s="92" t="s">
        <v>54</v>
      </c>
      <c r="SXM45" s="92" t="s">
        <v>54</v>
      </c>
      <c r="SXN45" s="92" t="s">
        <v>54</v>
      </c>
      <c r="SXO45" s="92" t="s">
        <v>54</v>
      </c>
      <c r="SXP45" s="92" t="s">
        <v>54</v>
      </c>
      <c r="SXQ45" s="92" t="s">
        <v>54</v>
      </c>
      <c r="SXR45" s="92" t="s">
        <v>54</v>
      </c>
      <c r="SXS45" s="92" t="s">
        <v>54</v>
      </c>
      <c r="SXT45" s="92" t="s">
        <v>54</v>
      </c>
      <c r="SXU45" s="92" t="s">
        <v>54</v>
      </c>
      <c r="SXV45" s="92" t="s">
        <v>54</v>
      </c>
      <c r="SXW45" s="92" t="s">
        <v>54</v>
      </c>
      <c r="SXX45" s="92" t="s">
        <v>54</v>
      </c>
      <c r="SXY45" s="92" t="s">
        <v>54</v>
      </c>
      <c r="SXZ45" s="92" t="s">
        <v>54</v>
      </c>
      <c r="SYA45" s="92" t="s">
        <v>54</v>
      </c>
      <c r="SYB45" s="92" t="s">
        <v>54</v>
      </c>
      <c r="SYC45" s="92" t="s">
        <v>54</v>
      </c>
      <c r="SYD45" s="92" t="s">
        <v>54</v>
      </c>
      <c r="SYE45" s="92" t="s">
        <v>54</v>
      </c>
      <c r="SYF45" s="92" t="s">
        <v>54</v>
      </c>
      <c r="SYG45" s="92" t="s">
        <v>54</v>
      </c>
      <c r="SYH45" s="92" t="s">
        <v>54</v>
      </c>
      <c r="SYI45" s="92" t="s">
        <v>54</v>
      </c>
      <c r="SYJ45" s="92" t="s">
        <v>54</v>
      </c>
      <c r="SYK45" s="92" t="s">
        <v>54</v>
      </c>
      <c r="SYL45" s="92" t="s">
        <v>54</v>
      </c>
      <c r="SYM45" s="92" t="s">
        <v>54</v>
      </c>
      <c r="SYN45" s="92" t="s">
        <v>54</v>
      </c>
      <c r="SYO45" s="92" t="s">
        <v>54</v>
      </c>
      <c r="SYP45" s="92" t="s">
        <v>54</v>
      </c>
      <c r="SYQ45" s="92" t="s">
        <v>54</v>
      </c>
      <c r="SYR45" s="92" t="s">
        <v>54</v>
      </c>
      <c r="SYS45" s="92" t="s">
        <v>54</v>
      </c>
      <c r="SYT45" s="92" t="s">
        <v>54</v>
      </c>
      <c r="SYU45" s="92" t="s">
        <v>54</v>
      </c>
      <c r="SYV45" s="92" t="s">
        <v>54</v>
      </c>
      <c r="SYW45" s="92" t="s">
        <v>54</v>
      </c>
      <c r="SYX45" s="92" t="s">
        <v>54</v>
      </c>
      <c r="SYY45" s="92" t="s">
        <v>54</v>
      </c>
      <c r="SYZ45" s="92" t="s">
        <v>54</v>
      </c>
      <c r="SZA45" s="92" t="s">
        <v>54</v>
      </c>
      <c r="SZB45" s="92" t="s">
        <v>54</v>
      </c>
      <c r="SZC45" s="92" t="s">
        <v>54</v>
      </c>
      <c r="SZD45" s="92" t="s">
        <v>54</v>
      </c>
      <c r="SZE45" s="92" t="s">
        <v>54</v>
      </c>
      <c r="SZF45" s="92" t="s">
        <v>54</v>
      </c>
      <c r="SZG45" s="92" t="s">
        <v>54</v>
      </c>
      <c r="SZH45" s="92" t="s">
        <v>54</v>
      </c>
      <c r="SZI45" s="92" t="s">
        <v>54</v>
      </c>
      <c r="SZJ45" s="92" t="s">
        <v>54</v>
      </c>
      <c r="SZK45" s="92" t="s">
        <v>54</v>
      </c>
      <c r="SZL45" s="92" t="s">
        <v>54</v>
      </c>
      <c r="SZM45" s="92" t="s">
        <v>54</v>
      </c>
      <c r="SZN45" s="92" t="s">
        <v>54</v>
      </c>
      <c r="SZO45" s="92" t="s">
        <v>54</v>
      </c>
      <c r="SZP45" s="92" t="s">
        <v>54</v>
      </c>
      <c r="SZQ45" s="92" t="s">
        <v>54</v>
      </c>
      <c r="SZR45" s="92" t="s">
        <v>54</v>
      </c>
      <c r="SZS45" s="92" t="s">
        <v>54</v>
      </c>
      <c r="SZT45" s="92" t="s">
        <v>54</v>
      </c>
      <c r="SZU45" s="92" t="s">
        <v>54</v>
      </c>
      <c r="SZV45" s="92" t="s">
        <v>54</v>
      </c>
      <c r="SZW45" s="92" t="s">
        <v>54</v>
      </c>
      <c r="SZX45" s="92" t="s">
        <v>54</v>
      </c>
      <c r="SZY45" s="92" t="s">
        <v>54</v>
      </c>
      <c r="SZZ45" s="92" t="s">
        <v>54</v>
      </c>
      <c r="TAA45" s="92" t="s">
        <v>54</v>
      </c>
      <c r="TAB45" s="92" t="s">
        <v>54</v>
      </c>
      <c r="TAC45" s="92" t="s">
        <v>54</v>
      </c>
      <c r="TAD45" s="92" t="s">
        <v>54</v>
      </c>
      <c r="TAE45" s="92" t="s">
        <v>54</v>
      </c>
      <c r="TAF45" s="92" t="s">
        <v>54</v>
      </c>
      <c r="TAG45" s="92" t="s">
        <v>54</v>
      </c>
      <c r="TAH45" s="92" t="s">
        <v>54</v>
      </c>
      <c r="TAI45" s="92" t="s">
        <v>54</v>
      </c>
      <c r="TAJ45" s="92" t="s">
        <v>54</v>
      </c>
      <c r="TAK45" s="92" t="s">
        <v>54</v>
      </c>
      <c r="TAL45" s="92" t="s">
        <v>54</v>
      </c>
      <c r="TAM45" s="92" t="s">
        <v>54</v>
      </c>
      <c r="TAN45" s="92" t="s">
        <v>54</v>
      </c>
      <c r="TAO45" s="92" t="s">
        <v>54</v>
      </c>
      <c r="TAP45" s="92" t="s">
        <v>54</v>
      </c>
      <c r="TAQ45" s="92" t="s">
        <v>54</v>
      </c>
      <c r="TAR45" s="92" t="s">
        <v>54</v>
      </c>
      <c r="TAS45" s="92" t="s">
        <v>54</v>
      </c>
      <c r="TAT45" s="92" t="s">
        <v>54</v>
      </c>
      <c r="TAU45" s="92" t="s">
        <v>54</v>
      </c>
      <c r="TAV45" s="92" t="s">
        <v>54</v>
      </c>
      <c r="TAW45" s="92" t="s">
        <v>54</v>
      </c>
      <c r="TAX45" s="92" t="s">
        <v>54</v>
      </c>
      <c r="TAY45" s="92" t="s">
        <v>54</v>
      </c>
      <c r="TAZ45" s="92" t="s">
        <v>54</v>
      </c>
      <c r="TBA45" s="92" t="s">
        <v>54</v>
      </c>
      <c r="TBB45" s="92" t="s">
        <v>54</v>
      </c>
      <c r="TBC45" s="92" t="s">
        <v>54</v>
      </c>
      <c r="TBD45" s="92" t="s">
        <v>54</v>
      </c>
      <c r="TBE45" s="92" t="s">
        <v>54</v>
      </c>
      <c r="TBF45" s="92" t="s">
        <v>54</v>
      </c>
      <c r="TBG45" s="92" t="s">
        <v>54</v>
      </c>
      <c r="TBH45" s="92" t="s">
        <v>54</v>
      </c>
      <c r="TBI45" s="92" t="s">
        <v>54</v>
      </c>
      <c r="TBJ45" s="92" t="s">
        <v>54</v>
      </c>
      <c r="TBK45" s="92" t="s">
        <v>54</v>
      </c>
      <c r="TBL45" s="92" t="s">
        <v>54</v>
      </c>
      <c r="TBM45" s="92" t="s">
        <v>54</v>
      </c>
      <c r="TBN45" s="92" t="s">
        <v>54</v>
      </c>
      <c r="TBO45" s="92" t="s">
        <v>54</v>
      </c>
      <c r="TBP45" s="92" t="s">
        <v>54</v>
      </c>
      <c r="TBQ45" s="92" t="s">
        <v>54</v>
      </c>
      <c r="TBR45" s="92" t="s">
        <v>54</v>
      </c>
      <c r="TBS45" s="92" t="s">
        <v>54</v>
      </c>
      <c r="TBT45" s="92" t="s">
        <v>54</v>
      </c>
      <c r="TBU45" s="92" t="s">
        <v>54</v>
      </c>
      <c r="TBV45" s="92" t="s">
        <v>54</v>
      </c>
      <c r="TBW45" s="92" t="s">
        <v>54</v>
      </c>
      <c r="TBX45" s="92" t="s">
        <v>54</v>
      </c>
      <c r="TBY45" s="92" t="s">
        <v>54</v>
      </c>
      <c r="TBZ45" s="92" t="s">
        <v>54</v>
      </c>
      <c r="TCA45" s="92" t="s">
        <v>54</v>
      </c>
      <c r="TCB45" s="92" t="s">
        <v>54</v>
      </c>
      <c r="TCC45" s="92" t="s">
        <v>54</v>
      </c>
      <c r="TCD45" s="92" t="s">
        <v>54</v>
      </c>
      <c r="TCE45" s="92" t="s">
        <v>54</v>
      </c>
      <c r="TCF45" s="92" t="s">
        <v>54</v>
      </c>
      <c r="TCG45" s="92" t="s">
        <v>54</v>
      </c>
      <c r="TCH45" s="92" t="s">
        <v>54</v>
      </c>
      <c r="TCI45" s="92" t="s">
        <v>54</v>
      </c>
      <c r="TCJ45" s="92" t="s">
        <v>54</v>
      </c>
      <c r="TCK45" s="92" t="s">
        <v>54</v>
      </c>
      <c r="TCL45" s="92" t="s">
        <v>54</v>
      </c>
      <c r="TCM45" s="92" t="s">
        <v>54</v>
      </c>
      <c r="TCN45" s="92" t="s">
        <v>54</v>
      </c>
      <c r="TCO45" s="92" t="s">
        <v>54</v>
      </c>
      <c r="TCP45" s="92" t="s">
        <v>54</v>
      </c>
      <c r="TCQ45" s="92" t="s">
        <v>54</v>
      </c>
      <c r="TCR45" s="92" t="s">
        <v>54</v>
      </c>
      <c r="TCS45" s="92" t="s">
        <v>54</v>
      </c>
      <c r="TCT45" s="92" t="s">
        <v>54</v>
      </c>
      <c r="TCU45" s="92" t="s">
        <v>54</v>
      </c>
      <c r="TCV45" s="92" t="s">
        <v>54</v>
      </c>
      <c r="TCW45" s="92" t="s">
        <v>54</v>
      </c>
      <c r="TCX45" s="92" t="s">
        <v>54</v>
      </c>
      <c r="TCY45" s="92" t="s">
        <v>54</v>
      </c>
      <c r="TCZ45" s="92" t="s">
        <v>54</v>
      </c>
      <c r="TDA45" s="92" t="s">
        <v>54</v>
      </c>
      <c r="TDB45" s="92" t="s">
        <v>54</v>
      </c>
      <c r="TDC45" s="92" t="s">
        <v>54</v>
      </c>
      <c r="TDD45" s="92" t="s">
        <v>54</v>
      </c>
      <c r="TDE45" s="92" t="s">
        <v>54</v>
      </c>
      <c r="TDF45" s="92" t="s">
        <v>54</v>
      </c>
      <c r="TDG45" s="92" t="s">
        <v>54</v>
      </c>
      <c r="TDH45" s="92" t="s">
        <v>54</v>
      </c>
      <c r="TDI45" s="92" t="s">
        <v>54</v>
      </c>
      <c r="TDJ45" s="92" t="s">
        <v>54</v>
      </c>
      <c r="TDK45" s="92" t="s">
        <v>54</v>
      </c>
      <c r="TDL45" s="92" t="s">
        <v>54</v>
      </c>
      <c r="TDM45" s="92" t="s">
        <v>54</v>
      </c>
      <c r="TDN45" s="92" t="s">
        <v>54</v>
      </c>
      <c r="TDO45" s="92" t="s">
        <v>54</v>
      </c>
      <c r="TDP45" s="92" t="s">
        <v>54</v>
      </c>
      <c r="TDQ45" s="92" t="s">
        <v>54</v>
      </c>
      <c r="TDR45" s="92" t="s">
        <v>54</v>
      </c>
      <c r="TDS45" s="92" t="s">
        <v>54</v>
      </c>
      <c r="TDT45" s="92" t="s">
        <v>54</v>
      </c>
      <c r="TDU45" s="92" t="s">
        <v>54</v>
      </c>
      <c r="TDV45" s="92" t="s">
        <v>54</v>
      </c>
      <c r="TDW45" s="92" t="s">
        <v>54</v>
      </c>
      <c r="TDX45" s="92" t="s">
        <v>54</v>
      </c>
      <c r="TDY45" s="92" t="s">
        <v>54</v>
      </c>
      <c r="TDZ45" s="92" t="s">
        <v>54</v>
      </c>
      <c r="TEA45" s="92" t="s">
        <v>54</v>
      </c>
      <c r="TEB45" s="92" t="s">
        <v>54</v>
      </c>
      <c r="TEC45" s="92" t="s">
        <v>54</v>
      </c>
      <c r="TED45" s="92" t="s">
        <v>54</v>
      </c>
      <c r="TEE45" s="92" t="s">
        <v>54</v>
      </c>
      <c r="TEF45" s="92" t="s">
        <v>54</v>
      </c>
      <c r="TEG45" s="92" t="s">
        <v>54</v>
      </c>
      <c r="TEH45" s="92" t="s">
        <v>54</v>
      </c>
      <c r="TEI45" s="92" t="s">
        <v>54</v>
      </c>
      <c r="TEJ45" s="92" t="s">
        <v>54</v>
      </c>
      <c r="TEK45" s="92" t="s">
        <v>54</v>
      </c>
      <c r="TEL45" s="92" t="s">
        <v>54</v>
      </c>
      <c r="TEM45" s="92" t="s">
        <v>54</v>
      </c>
      <c r="TEN45" s="92" t="s">
        <v>54</v>
      </c>
      <c r="TEO45" s="92" t="s">
        <v>54</v>
      </c>
      <c r="TEP45" s="92" t="s">
        <v>54</v>
      </c>
      <c r="TEQ45" s="92" t="s">
        <v>54</v>
      </c>
      <c r="TER45" s="92" t="s">
        <v>54</v>
      </c>
      <c r="TES45" s="92" t="s">
        <v>54</v>
      </c>
      <c r="TET45" s="92" t="s">
        <v>54</v>
      </c>
      <c r="TEU45" s="92" t="s">
        <v>54</v>
      </c>
      <c r="TEV45" s="92" t="s">
        <v>54</v>
      </c>
      <c r="TEW45" s="92" t="s">
        <v>54</v>
      </c>
      <c r="TEX45" s="92" t="s">
        <v>54</v>
      </c>
      <c r="TEY45" s="92" t="s">
        <v>54</v>
      </c>
      <c r="TEZ45" s="92" t="s">
        <v>54</v>
      </c>
      <c r="TFA45" s="92" t="s">
        <v>54</v>
      </c>
      <c r="TFB45" s="92" t="s">
        <v>54</v>
      </c>
      <c r="TFC45" s="92" t="s">
        <v>54</v>
      </c>
      <c r="TFD45" s="92" t="s">
        <v>54</v>
      </c>
      <c r="TFE45" s="92" t="s">
        <v>54</v>
      </c>
      <c r="TFF45" s="92" t="s">
        <v>54</v>
      </c>
      <c r="TFG45" s="92" t="s">
        <v>54</v>
      </c>
      <c r="TFH45" s="92" t="s">
        <v>54</v>
      </c>
      <c r="TFI45" s="92" t="s">
        <v>54</v>
      </c>
      <c r="TFJ45" s="92" t="s">
        <v>54</v>
      </c>
      <c r="TFK45" s="92" t="s">
        <v>54</v>
      </c>
      <c r="TFL45" s="92" t="s">
        <v>54</v>
      </c>
      <c r="TFM45" s="92" t="s">
        <v>54</v>
      </c>
      <c r="TFN45" s="92" t="s">
        <v>54</v>
      </c>
      <c r="TFO45" s="92" t="s">
        <v>54</v>
      </c>
      <c r="TFP45" s="92" t="s">
        <v>54</v>
      </c>
      <c r="TFQ45" s="92" t="s">
        <v>54</v>
      </c>
      <c r="TFR45" s="92" t="s">
        <v>54</v>
      </c>
      <c r="TFS45" s="92" t="s">
        <v>54</v>
      </c>
      <c r="TFT45" s="92" t="s">
        <v>54</v>
      </c>
      <c r="TFU45" s="92" t="s">
        <v>54</v>
      </c>
      <c r="TFV45" s="92" t="s">
        <v>54</v>
      </c>
      <c r="TFW45" s="92" t="s">
        <v>54</v>
      </c>
      <c r="TFX45" s="92" t="s">
        <v>54</v>
      </c>
      <c r="TFY45" s="92" t="s">
        <v>54</v>
      </c>
      <c r="TFZ45" s="92" t="s">
        <v>54</v>
      </c>
      <c r="TGA45" s="92" t="s">
        <v>54</v>
      </c>
      <c r="TGB45" s="92" t="s">
        <v>54</v>
      </c>
      <c r="TGC45" s="92" t="s">
        <v>54</v>
      </c>
      <c r="TGD45" s="92" t="s">
        <v>54</v>
      </c>
      <c r="TGE45" s="92" t="s">
        <v>54</v>
      </c>
      <c r="TGF45" s="92" t="s">
        <v>54</v>
      </c>
      <c r="TGG45" s="92" t="s">
        <v>54</v>
      </c>
      <c r="TGH45" s="92" t="s">
        <v>54</v>
      </c>
      <c r="TGI45" s="92" t="s">
        <v>54</v>
      </c>
      <c r="TGJ45" s="92" t="s">
        <v>54</v>
      </c>
      <c r="TGK45" s="92" t="s">
        <v>54</v>
      </c>
      <c r="TGL45" s="92" t="s">
        <v>54</v>
      </c>
      <c r="TGM45" s="92" t="s">
        <v>54</v>
      </c>
      <c r="TGN45" s="92" t="s">
        <v>54</v>
      </c>
      <c r="TGO45" s="92" t="s">
        <v>54</v>
      </c>
      <c r="TGP45" s="92" t="s">
        <v>54</v>
      </c>
      <c r="TGQ45" s="92" t="s">
        <v>54</v>
      </c>
      <c r="TGR45" s="92" t="s">
        <v>54</v>
      </c>
      <c r="TGS45" s="92" t="s">
        <v>54</v>
      </c>
      <c r="TGT45" s="92" t="s">
        <v>54</v>
      </c>
      <c r="TGU45" s="92" t="s">
        <v>54</v>
      </c>
      <c r="TGV45" s="92" t="s">
        <v>54</v>
      </c>
      <c r="TGW45" s="92" t="s">
        <v>54</v>
      </c>
      <c r="TGX45" s="92" t="s">
        <v>54</v>
      </c>
      <c r="TGY45" s="92" t="s">
        <v>54</v>
      </c>
      <c r="TGZ45" s="92" t="s">
        <v>54</v>
      </c>
      <c r="THA45" s="92" t="s">
        <v>54</v>
      </c>
      <c r="THB45" s="92" t="s">
        <v>54</v>
      </c>
      <c r="THC45" s="92" t="s">
        <v>54</v>
      </c>
      <c r="THD45" s="92" t="s">
        <v>54</v>
      </c>
      <c r="THE45" s="92" t="s">
        <v>54</v>
      </c>
      <c r="THF45" s="92" t="s">
        <v>54</v>
      </c>
      <c r="THG45" s="92" t="s">
        <v>54</v>
      </c>
      <c r="THH45" s="92" t="s">
        <v>54</v>
      </c>
      <c r="THI45" s="92" t="s">
        <v>54</v>
      </c>
      <c r="THJ45" s="92" t="s">
        <v>54</v>
      </c>
      <c r="THK45" s="92" t="s">
        <v>54</v>
      </c>
      <c r="THL45" s="92" t="s">
        <v>54</v>
      </c>
      <c r="THM45" s="92" t="s">
        <v>54</v>
      </c>
      <c r="THN45" s="92" t="s">
        <v>54</v>
      </c>
      <c r="THO45" s="92" t="s">
        <v>54</v>
      </c>
      <c r="THP45" s="92" t="s">
        <v>54</v>
      </c>
      <c r="THQ45" s="92" t="s">
        <v>54</v>
      </c>
      <c r="THR45" s="92" t="s">
        <v>54</v>
      </c>
      <c r="THS45" s="92" t="s">
        <v>54</v>
      </c>
      <c r="THT45" s="92" t="s">
        <v>54</v>
      </c>
      <c r="THU45" s="92" t="s">
        <v>54</v>
      </c>
      <c r="THV45" s="92" t="s">
        <v>54</v>
      </c>
      <c r="THW45" s="92" t="s">
        <v>54</v>
      </c>
      <c r="THX45" s="92" t="s">
        <v>54</v>
      </c>
      <c r="THY45" s="92" t="s">
        <v>54</v>
      </c>
      <c r="THZ45" s="92" t="s">
        <v>54</v>
      </c>
      <c r="TIA45" s="92" t="s">
        <v>54</v>
      </c>
      <c r="TIB45" s="92" t="s">
        <v>54</v>
      </c>
      <c r="TIC45" s="92" t="s">
        <v>54</v>
      </c>
      <c r="TID45" s="92" t="s">
        <v>54</v>
      </c>
      <c r="TIE45" s="92" t="s">
        <v>54</v>
      </c>
      <c r="TIF45" s="92" t="s">
        <v>54</v>
      </c>
      <c r="TIG45" s="92" t="s">
        <v>54</v>
      </c>
      <c r="TIH45" s="92" t="s">
        <v>54</v>
      </c>
      <c r="TII45" s="92" t="s">
        <v>54</v>
      </c>
      <c r="TIJ45" s="92" t="s">
        <v>54</v>
      </c>
      <c r="TIK45" s="92" t="s">
        <v>54</v>
      </c>
      <c r="TIL45" s="92" t="s">
        <v>54</v>
      </c>
      <c r="TIM45" s="92" t="s">
        <v>54</v>
      </c>
      <c r="TIN45" s="92" t="s">
        <v>54</v>
      </c>
      <c r="TIO45" s="92" t="s">
        <v>54</v>
      </c>
      <c r="TIP45" s="92" t="s">
        <v>54</v>
      </c>
      <c r="TIQ45" s="92" t="s">
        <v>54</v>
      </c>
      <c r="TIR45" s="92" t="s">
        <v>54</v>
      </c>
      <c r="TIS45" s="92" t="s">
        <v>54</v>
      </c>
      <c r="TIT45" s="92" t="s">
        <v>54</v>
      </c>
      <c r="TIU45" s="92" t="s">
        <v>54</v>
      </c>
      <c r="TIV45" s="92" t="s">
        <v>54</v>
      </c>
      <c r="TIW45" s="92" t="s">
        <v>54</v>
      </c>
      <c r="TIX45" s="92" t="s">
        <v>54</v>
      </c>
      <c r="TIY45" s="92" t="s">
        <v>54</v>
      </c>
      <c r="TIZ45" s="92" t="s">
        <v>54</v>
      </c>
      <c r="TJA45" s="92" t="s">
        <v>54</v>
      </c>
      <c r="TJB45" s="92" t="s">
        <v>54</v>
      </c>
      <c r="TJC45" s="92" t="s">
        <v>54</v>
      </c>
      <c r="TJD45" s="92" t="s">
        <v>54</v>
      </c>
      <c r="TJE45" s="92" t="s">
        <v>54</v>
      </c>
      <c r="TJF45" s="92" t="s">
        <v>54</v>
      </c>
      <c r="TJG45" s="92" t="s">
        <v>54</v>
      </c>
      <c r="TJH45" s="92" t="s">
        <v>54</v>
      </c>
      <c r="TJI45" s="92" t="s">
        <v>54</v>
      </c>
      <c r="TJJ45" s="92" t="s">
        <v>54</v>
      </c>
      <c r="TJK45" s="92" t="s">
        <v>54</v>
      </c>
      <c r="TJL45" s="92" t="s">
        <v>54</v>
      </c>
      <c r="TJM45" s="92" t="s">
        <v>54</v>
      </c>
      <c r="TJN45" s="92" t="s">
        <v>54</v>
      </c>
      <c r="TJO45" s="92" t="s">
        <v>54</v>
      </c>
      <c r="TJP45" s="92" t="s">
        <v>54</v>
      </c>
      <c r="TJQ45" s="92" t="s">
        <v>54</v>
      </c>
      <c r="TJR45" s="92" t="s">
        <v>54</v>
      </c>
      <c r="TJS45" s="92" t="s">
        <v>54</v>
      </c>
      <c r="TJT45" s="92" t="s">
        <v>54</v>
      </c>
      <c r="TJU45" s="92" t="s">
        <v>54</v>
      </c>
      <c r="TJV45" s="92" t="s">
        <v>54</v>
      </c>
      <c r="TJW45" s="92" t="s">
        <v>54</v>
      </c>
      <c r="TJX45" s="92" t="s">
        <v>54</v>
      </c>
      <c r="TJY45" s="92" t="s">
        <v>54</v>
      </c>
      <c r="TJZ45" s="92" t="s">
        <v>54</v>
      </c>
      <c r="TKA45" s="92" t="s">
        <v>54</v>
      </c>
      <c r="TKB45" s="92" t="s">
        <v>54</v>
      </c>
      <c r="TKC45" s="92" t="s">
        <v>54</v>
      </c>
      <c r="TKD45" s="92" t="s">
        <v>54</v>
      </c>
      <c r="TKE45" s="92" t="s">
        <v>54</v>
      </c>
      <c r="TKF45" s="92" t="s">
        <v>54</v>
      </c>
      <c r="TKG45" s="92" t="s">
        <v>54</v>
      </c>
      <c r="TKH45" s="92" t="s">
        <v>54</v>
      </c>
      <c r="TKI45" s="92" t="s">
        <v>54</v>
      </c>
      <c r="TKJ45" s="92" t="s">
        <v>54</v>
      </c>
      <c r="TKK45" s="92" t="s">
        <v>54</v>
      </c>
      <c r="TKL45" s="92" t="s">
        <v>54</v>
      </c>
      <c r="TKM45" s="92" t="s">
        <v>54</v>
      </c>
      <c r="TKN45" s="92" t="s">
        <v>54</v>
      </c>
      <c r="TKO45" s="92" t="s">
        <v>54</v>
      </c>
      <c r="TKP45" s="92" t="s">
        <v>54</v>
      </c>
      <c r="TKQ45" s="92" t="s">
        <v>54</v>
      </c>
      <c r="TKR45" s="92" t="s">
        <v>54</v>
      </c>
      <c r="TKS45" s="92" t="s">
        <v>54</v>
      </c>
      <c r="TKT45" s="92" t="s">
        <v>54</v>
      </c>
      <c r="TKU45" s="92" t="s">
        <v>54</v>
      </c>
      <c r="TKV45" s="92" t="s">
        <v>54</v>
      </c>
      <c r="TKW45" s="92" t="s">
        <v>54</v>
      </c>
      <c r="TKX45" s="92" t="s">
        <v>54</v>
      </c>
      <c r="TKY45" s="92" t="s">
        <v>54</v>
      </c>
      <c r="TKZ45" s="92" t="s">
        <v>54</v>
      </c>
      <c r="TLA45" s="92" t="s">
        <v>54</v>
      </c>
      <c r="TLB45" s="92" t="s">
        <v>54</v>
      </c>
      <c r="TLC45" s="92" t="s">
        <v>54</v>
      </c>
      <c r="TLD45" s="92" t="s">
        <v>54</v>
      </c>
      <c r="TLE45" s="92" t="s">
        <v>54</v>
      </c>
      <c r="TLF45" s="92" t="s">
        <v>54</v>
      </c>
      <c r="TLG45" s="92" t="s">
        <v>54</v>
      </c>
      <c r="TLH45" s="92" t="s">
        <v>54</v>
      </c>
      <c r="TLI45" s="92" t="s">
        <v>54</v>
      </c>
      <c r="TLJ45" s="92" t="s">
        <v>54</v>
      </c>
      <c r="TLK45" s="92" t="s">
        <v>54</v>
      </c>
      <c r="TLL45" s="92" t="s">
        <v>54</v>
      </c>
      <c r="TLM45" s="92" t="s">
        <v>54</v>
      </c>
      <c r="TLN45" s="92" t="s">
        <v>54</v>
      </c>
      <c r="TLO45" s="92" t="s">
        <v>54</v>
      </c>
      <c r="TLP45" s="92" t="s">
        <v>54</v>
      </c>
      <c r="TLQ45" s="92" t="s">
        <v>54</v>
      </c>
      <c r="TLR45" s="92" t="s">
        <v>54</v>
      </c>
      <c r="TLS45" s="92" t="s">
        <v>54</v>
      </c>
      <c r="TLT45" s="92" t="s">
        <v>54</v>
      </c>
      <c r="TLU45" s="92" t="s">
        <v>54</v>
      </c>
      <c r="TLV45" s="92" t="s">
        <v>54</v>
      </c>
      <c r="TLW45" s="92" t="s">
        <v>54</v>
      </c>
      <c r="TLX45" s="92" t="s">
        <v>54</v>
      </c>
      <c r="TLY45" s="92" t="s">
        <v>54</v>
      </c>
      <c r="TLZ45" s="92" t="s">
        <v>54</v>
      </c>
      <c r="TMA45" s="92" t="s">
        <v>54</v>
      </c>
      <c r="TMB45" s="92" t="s">
        <v>54</v>
      </c>
      <c r="TMC45" s="92" t="s">
        <v>54</v>
      </c>
      <c r="TMD45" s="92" t="s">
        <v>54</v>
      </c>
      <c r="TME45" s="92" t="s">
        <v>54</v>
      </c>
      <c r="TMF45" s="92" t="s">
        <v>54</v>
      </c>
      <c r="TMG45" s="92" t="s">
        <v>54</v>
      </c>
      <c r="TMH45" s="92" t="s">
        <v>54</v>
      </c>
      <c r="TMI45" s="92" t="s">
        <v>54</v>
      </c>
      <c r="TMJ45" s="92" t="s">
        <v>54</v>
      </c>
      <c r="TMK45" s="92" t="s">
        <v>54</v>
      </c>
      <c r="TML45" s="92" t="s">
        <v>54</v>
      </c>
      <c r="TMM45" s="92" t="s">
        <v>54</v>
      </c>
      <c r="TMN45" s="92" t="s">
        <v>54</v>
      </c>
      <c r="TMO45" s="92" t="s">
        <v>54</v>
      </c>
      <c r="TMP45" s="92" t="s">
        <v>54</v>
      </c>
      <c r="TMQ45" s="92" t="s">
        <v>54</v>
      </c>
      <c r="TMR45" s="92" t="s">
        <v>54</v>
      </c>
      <c r="TMS45" s="92" t="s">
        <v>54</v>
      </c>
      <c r="TMT45" s="92" t="s">
        <v>54</v>
      </c>
      <c r="TMU45" s="92" t="s">
        <v>54</v>
      </c>
      <c r="TMV45" s="92" t="s">
        <v>54</v>
      </c>
      <c r="TMW45" s="92" t="s">
        <v>54</v>
      </c>
      <c r="TMX45" s="92" t="s">
        <v>54</v>
      </c>
      <c r="TMY45" s="92" t="s">
        <v>54</v>
      </c>
      <c r="TMZ45" s="92" t="s">
        <v>54</v>
      </c>
      <c r="TNA45" s="92" t="s">
        <v>54</v>
      </c>
      <c r="TNB45" s="92" t="s">
        <v>54</v>
      </c>
      <c r="TNC45" s="92" t="s">
        <v>54</v>
      </c>
      <c r="TND45" s="92" t="s">
        <v>54</v>
      </c>
      <c r="TNE45" s="92" t="s">
        <v>54</v>
      </c>
      <c r="TNF45" s="92" t="s">
        <v>54</v>
      </c>
      <c r="TNG45" s="92" t="s">
        <v>54</v>
      </c>
      <c r="TNH45" s="92" t="s">
        <v>54</v>
      </c>
      <c r="TNI45" s="92" t="s">
        <v>54</v>
      </c>
      <c r="TNJ45" s="92" t="s">
        <v>54</v>
      </c>
      <c r="TNK45" s="92" t="s">
        <v>54</v>
      </c>
      <c r="TNL45" s="92" t="s">
        <v>54</v>
      </c>
      <c r="TNM45" s="92" t="s">
        <v>54</v>
      </c>
      <c r="TNN45" s="92" t="s">
        <v>54</v>
      </c>
      <c r="TNO45" s="92" t="s">
        <v>54</v>
      </c>
      <c r="TNP45" s="92" t="s">
        <v>54</v>
      </c>
      <c r="TNQ45" s="92" t="s">
        <v>54</v>
      </c>
      <c r="TNR45" s="92" t="s">
        <v>54</v>
      </c>
      <c r="TNS45" s="92" t="s">
        <v>54</v>
      </c>
      <c r="TNT45" s="92" t="s">
        <v>54</v>
      </c>
      <c r="TNU45" s="92" t="s">
        <v>54</v>
      </c>
      <c r="TNV45" s="92" t="s">
        <v>54</v>
      </c>
      <c r="TNW45" s="92" t="s">
        <v>54</v>
      </c>
      <c r="TNX45" s="92" t="s">
        <v>54</v>
      </c>
      <c r="TNY45" s="92" t="s">
        <v>54</v>
      </c>
      <c r="TNZ45" s="92" t="s">
        <v>54</v>
      </c>
      <c r="TOA45" s="92" t="s">
        <v>54</v>
      </c>
      <c r="TOB45" s="92" t="s">
        <v>54</v>
      </c>
      <c r="TOC45" s="92" t="s">
        <v>54</v>
      </c>
      <c r="TOD45" s="92" t="s">
        <v>54</v>
      </c>
      <c r="TOE45" s="92" t="s">
        <v>54</v>
      </c>
      <c r="TOF45" s="92" t="s">
        <v>54</v>
      </c>
      <c r="TOG45" s="92" t="s">
        <v>54</v>
      </c>
      <c r="TOH45" s="92" t="s">
        <v>54</v>
      </c>
      <c r="TOI45" s="92" t="s">
        <v>54</v>
      </c>
      <c r="TOJ45" s="92" t="s">
        <v>54</v>
      </c>
      <c r="TOK45" s="92" t="s">
        <v>54</v>
      </c>
      <c r="TOL45" s="92" t="s">
        <v>54</v>
      </c>
      <c r="TOM45" s="92" t="s">
        <v>54</v>
      </c>
      <c r="TON45" s="92" t="s">
        <v>54</v>
      </c>
      <c r="TOO45" s="92" t="s">
        <v>54</v>
      </c>
      <c r="TOP45" s="92" t="s">
        <v>54</v>
      </c>
      <c r="TOQ45" s="92" t="s">
        <v>54</v>
      </c>
      <c r="TOR45" s="92" t="s">
        <v>54</v>
      </c>
      <c r="TOS45" s="92" t="s">
        <v>54</v>
      </c>
      <c r="TOT45" s="92" t="s">
        <v>54</v>
      </c>
      <c r="TOU45" s="92" t="s">
        <v>54</v>
      </c>
      <c r="TOV45" s="92" t="s">
        <v>54</v>
      </c>
      <c r="TOW45" s="92" t="s">
        <v>54</v>
      </c>
      <c r="TOX45" s="92" t="s">
        <v>54</v>
      </c>
      <c r="TOY45" s="92" t="s">
        <v>54</v>
      </c>
      <c r="TOZ45" s="92" t="s">
        <v>54</v>
      </c>
      <c r="TPA45" s="92" t="s">
        <v>54</v>
      </c>
      <c r="TPB45" s="92" t="s">
        <v>54</v>
      </c>
      <c r="TPC45" s="92" t="s">
        <v>54</v>
      </c>
      <c r="TPD45" s="92" t="s">
        <v>54</v>
      </c>
      <c r="TPE45" s="92" t="s">
        <v>54</v>
      </c>
      <c r="TPF45" s="92" t="s">
        <v>54</v>
      </c>
      <c r="TPG45" s="92" t="s">
        <v>54</v>
      </c>
      <c r="TPH45" s="92" t="s">
        <v>54</v>
      </c>
      <c r="TPI45" s="92" t="s">
        <v>54</v>
      </c>
      <c r="TPJ45" s="92" t="s">
        <v>54</v>
      </c>
      <c r="TPK45" s="92" t="s">
        <v>54</v>
      </c>
      <c r="TPL45" s="92" t="s">
        <v>54</v>
      </c>
      <c r="TPM45" s="92" t="s">
        <v>54</v>
      </c>
      <c r="TPN45" s="92" t="s">
        <v>54</v>
      </c>
      <c r="TPO45" s="92" t="s">
        <v>54</v>
      </c>
      <c r="TPP45" s="92" t="s">
        <v>54</v>
      </c>
      <c r="TPQ45" s="92" t="s">
        <v>54</v>
      </c>
      <c r="TPR45" s="92" t="s">
        <v>54</v>
      </c>
      <c r="TPS45" s="92" t="s">
        <v>54</v>
      </c>
      <c r="TPT45" s="92" t="s">
        <v>54</v>
      </c>
      <c r="TPU45" s="92" t="s">
        <v>54</v>
      </c>
      <c r="TPV45" s="92" t="s">
        <v>54</v>
      </c>
      <c r="TPW45" s="92" t="s">
        <v>54</v>
      </c>
      <c r="TPX45" s="92" t="s">
        <v>54</v>
      </c>
      <c r="TPY45" s="92" t="s">
        <v>54</v>
      </c>
      <c r="TPZ45" s="92" t="s">
        <v>54</v>
      </c>
      <c r="TQA45" s="92" t="s">
        <v>54</v>
      </c>
      <c r="TQB45" s="92" t="s">
        <v>54</v>
      </c>
      <c r="TQC45" s="92" t="s">
        <v>54</v>
      </c>
      <c r="TQD45" s="92" t="s">
        <v>54</v>
      </c>
      <c r="TQE45" s="92" t="s">
        <v>54</v>
      </c>
      <c r="TQF45" s="92" t="s">
        <v>54</v>
      </c>
      <c r="TQG45" s="92" t="s">
        <v>54</v>
      </c>
      <c r="TQH45" s="92" t="s">
        <v>54</v>
      </c>
      <c r="TQI45" s="92" t="s">
        <v>54</v>
      </c>
      <c r="TQJ45" s="92" t="s">
        <v>54</v>
      </c>
      <c r="TQK45" s="92" t="s">
        <v>54</v>
      </c>
      <c r="TQL45" s="92" t="s">
        <v>54</v>
      </c>
      <c r="TQM45" s="92" t="s">
        <v>54</v>
      </c>
      <c r="TQN45" s="92" t="s">
        <v>54</v>
      </c>
      <c r="TQO45" s="92" t="s">
        <v>54</v>
      </c>
      <c r="TQP45" s="92" t="s">
        <v>54</v>
      </c>
      <c r="TQQ45" s="92" t="s">
        <v>54</v>
      </c>
      <c r="TQR45" s="92" t="s">
        <v>54</v>
      </c>
      <c r="TQS45" s="92" t="s">
        <v>54</v>
      </c>
      <c r="TQT45" s="92" t="s">
        <v>54</v>
      </c>
      <c r="TQU45" s="92" t="s">
        <v>54</v>
      </c>
      <c r="TQV45" s="92" t="s">
        <v>54</v>
      </c>
      <c r="TQW45" s="92" t="s">
        <v>54</v>
      </c>
      <c r="TQX45" s="92" t="s">
        <v>54</v>
      </c>
      <c r="TQY45" s="92" t="s">
        <v>54</v>
      </c>
      <c r="TQZ45" s="92" t="s">
        <v>54</v>
      </c>
      <c r="TRA45" s="92" t="s">
        <v>54</v>
      </c>
      <c r="TRB45" s="92" t="s">
        <v>54</v>
      </c>
      <c r="TRC45" s="92" t="s">
        <v>54</v>
      </c>
      <c r="TRD45" s="92" t="s">
        <v>54</v>
      </c>
      <c r="TRE45" s="92" t="s">
        <v>54</v>
      </c>
      <c r="TRF45" s="92" t="s">
        <v>54</v>
      </c>
      <c r="TRG45" s="92" t="s">
        <v>54</v>
      </c>
      <c r="TRH45" s="92" t="s">
        <v>54</v>
      </c>
      <c r="TRI45" s="92" t="s">
        <v>54</v>
      </c>
      <c r="TRJ45" s="92" t="s">
        <v>54</v>
      </c>
      <c r="TRK45" s="92" t="s">
        <v>54</v>
      </c>
      <c r="TRL45" s="92" t="s">
        <v>54</v>
      </c>
      <c r="TRM45" s="92" t="s">
        <v>54</v>
      </c>
      <c r="TRN45" s="92" t="s">
        <v>54</v>
      </c>
      <c r="TRO45" s="92" t="s">
        <v>54</v>
      </c>
      <c r="TRP45" s="92" t="s">
        <v>54</v>
      </c>
      <c r="TRQ45" s="92" t="s">
        <v>54</v>
      </c>
      <c r="TRR45" s="92" t="s">
        <v>54</v>
      </c>
      <c r="TRS45" s="92" t="s">
        <v>54</v>
      </c>
      <c r="TRT45" s="92" t="s">
        <v>54</v>
      </c>
      <c r="TRU45" s="92" t="s">
        <v>54</v>
      </c>
      <c r="TRV45" s="92" t="s">
        <v>54</v>
      </c>
      <c r="TRW45" s="92" t="s">
        <v>54</v>
      </c>
      <c r="TRX45" s="92" t="s">
        <v>54</v>
      </c>
      <c r="TRY45" s="92" t="s">
        <v>54</v>
      </c>
      <c r="TRZ45" s="92" t="s">
        <v>54</v>
      </c>
      <c r="TSA45" s="92" t="s">
        <v>54</v>
      </c>
      <c r="TSB45" s="92" t="s">
        <v>54</v>
      </c>
      <c r="TSC45" s="92" t="s">
        <v>54</v>
      </c>
      <c r="TSD45" s="92" t="s">
        <v>54</v>
      </c>
      <c r="TSE45" s="92" t="s">
        <v>54</v>
      </c>
      <c r="TSF45" s="92" t="s">
        <v>54</v>
      </c>
      <c r="TSG45" s="92" t="s">
        <v>54</v>
      </c>
      <c r="TSH45" s="92" t="s">
        <v>54</v>
      </c>
      <c r="TSI45" s="92" t="s">
        <v>54</v>
      </c>
      <c r="TSJ45" s="92" t="s">
        <v>54</v>
      </c>
      <c r="TSK45" s="92" t="s">
        <v>54</v>
      </c>
      <c r="TSL45" s="92" t="s">
        <v>54</v>
      </c>
      <c r="TSM45" s="92" t="s">
        <v>54</v>
      </c>
      <c r="TSN45" s="92" t="s">
        <v>54</v>
      </c>
      <c r="TSO45" s="92" t="s">
        <v>54</v>
      </c>
      <c r="TSP45" s="92" t="s">
        <v>54</v>
      </c>
      <c r="TSQ45" s="92" t="s">
        <v>54</v>
      </c>
      <c r="TSR45" s="92" t="s">
        <v>54</v>
      </c>
      <c r="TSS45" s="92" t="s">
        <v>54</v>
      </c>
      <c r="TST45" s="92" t="s">
        <v>54</v>
      </c>
      <c r="TSU45" s="92" t="s">
        <v>54</v>
      </c>
      <c r="TSV45" s="92" t="s">
        <v>54</v>
      </c>
      <c r="TSW45" s="92" t="s">
        <v>54</v>
      </c>
      <c r="TSX45" s="92" t="s">
        <v>54</v>
      </c>
      <c r="TSY45" s="92" t="s">
        <v>54</v>
      </c>
      <c r="TSZ45" s="92" t="s">
        <v>54</v>
      </c>
      <c r="TTA45" s="92" t="s">
        <v>54</v>
      </c>
      <c r="TTB45" s="92" t="s">
        <v>54</v>
      </c>
      <c r="TTC45" s="92" t="s">
        <v>54</v>
      </c>
      <c r="TTD45" s="92" t="s">
        <v>54</v>
      </c>
      <c r="TTE45" s="92" t="s">
        <v>54</v>
      </c>
      <c r="TTF45" s="92" t="s">
        <v>54</v>
      </c>
      <c r="TTG45" s="92" t="s">
        <v>54</v>
      </c>
      <c r="TTH45" s="92" t="s">
        <v>54</v>
      </c>
      <c r="TTI45" s="92" t="s">
        <v>54</v>
      </c>
      <c r="TTJ45" s="92" t="s">
        <v>54</v>
      </c>
      <c r="TTK45" s="92" t="s">
        <v>54</v>
      </c>
      <c r="TTL45" s="92" t="s">
        <v>54</v>
      </c>
      <c r="TTM45" s="92" t="s">
        <v>54</v>
      </c>
      <c r="TTN45" s="92" t="s">
        <v>54</v>
      </c>
      <c r="TTO45" s="92" t="s">
        <v>54</v>
      </c>
      <c r="TTP45" s="92" t="s">
        <v>54</v>
      </c>
      <c r="TTQ45" s="92" t="s">
        <v>54</v>
      </c>
      <c r="TTR45" s="92" t="s">
        <v>54</v>
      </c>
      <c r="TTS45" s="92" t="s">
        <v>54</v>
      </c>
      <c r="TTT45" s="92" t="s">
        <v>54</v>
      </c>
      <c r="TTU45" s="92" t="s">
        <v>54</v>
      </c>
      <c r="TTV45" s="92" t="s">
        <v>54</v>
      </c>
      <c r="TTW45" s="92" t="s">
        <v>54</v>
      </c>
      <c r="TTX45" s="92" t="s">
        <v>54</v>
      </c>
      <c r="TTY45" s="92" t="s">
        <v>54</v>
      </c>
      <c r="TTZ45" s="92" t="s">
        <v>54</v>
      </c>
      <c r="TUA45" s="92" t="s">
        <v>54</v>
      </c>
      <c r="TUB45" s="92" t="s">
        <v>54</v>
      </c>
      <c r="TUC45" s="92" t="s">
        <v>54</v>
      </c>
      <c r="TUD45" s="92" t="s">
        <v>54</v>
      </c>
      <c r="TUE45" s="92" t="s">
        <v>54</v>
      </c>
      <c r="TUF45" s="92" t="s">
        <v>54</v>
      </c>
      <c r="TUG45" s="92" t="s">
        <v>54</v>
      </c>
      <c r="TUH45" s="92" t="s">
        <v>54</v>
      </c>
      <c r="TUI45" s="92" t="s">
        <v>54</v>
      </c>
      <c r="TUJ45" s="92" t="s">
        <v>54</v>
      </c>
      <c r="TUK45" s="92" t="s">
        <v>54</v>
      </c>
      <c r="TUL45" s="92" t="s">
        <v>54</v>
      </c>
      <c r="TUM45" s="92" t="s">
        <v>54</v>
      </c>
      <c r="TUN45" s="92" t="s">
        <v>54</v>
      </c>
      <c r="TUO45" s="92" t="s">
        <v>54</v>
      </c>
      <c r="TUP45" s="92" t="s">
        <v>54</v>
      </c>
      <c r="TUQ45" s="92" t="s">
        <v>54</v>
      </c>
      <c r="TUR45" s="92" t="s">
        <v>54</v>
      </c>
      <c r="TUS45" s="92" t="s">
        <v>54</v>
      </c>
      <c r="TUT45" s="92" t="s">
        <v>54</v>
      </c>
      <c r="TUU45" s="92" t="s">
        <v>54</v>
      </c>
      <c r="TUV45" s="92" t="s">
        <v>54</v>
      </c>
      <c r="TUW45" s="92" t="s">
        <v>54</v>
      </c>
      <c r="TUX45" s="92" t="s">
        <v>54</v>
      </c>
      <c r="TUY45" s="92" t="s">
        <v>54</v>
      </c>
      <c r="TUZ45" s="92" t="s">
        <v>54</v>
      </c>
      <c r="TVA45" s="92" t="s">
        <v>54</v>
      </c>
      <c r="TVB45" s="92" t="s">
        <v>54</v>
      </c>
      <c r="TVC45" s="92" t="s">
        <v>54</v>
      </c>
      <c r="TVD45" s="92" t="s">
        <v>54</v>
      </c>
      <c r="TVE45" s="92" t="s">
        <v>54</v>
      </c>
      <c r="TVF45" s="92" t="s">
        <v>54</v>
      </c>
      <c r="TVG45" s="92" t="s">
        <v>54</v>
      </c>
      <c r="TVH45" s="92" t="s">
        <v>54</v>
      </c>
      <c r="TVI45" s="92" t="s">
        <v>54</v>
      </c>
      <c r="TVJ45" s="92" t="s">
        <v>54</v>
      </c>
      <c r="TVK45" s="92" t="s">
        <v>54</v>
      </c>
      <c r="TVL45" s="92" t="s">
        <v>54</v>
      </c>
      <c r="TVM45" s="92" t="s">
        <v>54</v>
      </c>
      <c r="TVN45" s="92" t="s">
        <v>54</v>
      </c>
      <c r="TVO45" s="92" t="s">
        <v>54</v>
      </c>
      <c r="TVP45" s="92" t="s">
        <v>54</v>
      </c>
      <c r="TVQ45" s="92" t="s">
        <v>54</v>
      </c>
      <c r="TVR45" s="92" t="s">
        <v>54</v>
      </c>
      <c r="TVS45" s="92" t="s">
        <v>54</v>
      </c>
      <c r="TVT45" s="92" t="s">
        <v>54</v>
      </c>
      <c r="TVU45" s="92" t="s">
        <v>54</v>
      </c>
      <c r="TVV45" s="92" t="s">
        <v>54</v>
      </c>
      <c r="TVW45" s="92" t="s">
        <v>54</v>
      </c>
      <c r="TVX45" s="92" t="s">
        <v>54</v>
      </c>
      <c r="TVY45" s="92" t="s">
        <v>54</v>
      </c>
      <c r="TVZ45" s="92" t="s">
        <v>54</v>
      </c>
      <c r="TWA45" s="92" t="s">
        <v>54</v>
      </c>
      <c r="TWB45" s="92" t="s">
        <v>54</v>
      </c>
      <c r="TWC45" s="92" t="s">
        <v>54</v>
      </c>
      <c r="TWD45" s="92" t="s">
        <v>54</v>
      </c>
      <c r="TWE45" s="92" t="s">
        <v>54</v>
      </c>
      <c r="TWF45" s="92" t="s">
        <v>54</v>
      </c>
      <c r="TWG45" s="92" t="s">
        <v>54</v>
      </c>
      <c r="TWH45" s="92" t="s">
        <v>54</v>
      </c>
      <c r="TWI45" s="92" t="s">
        <v>54</v>
      </c>
      <c r="TWJ45" s="92" t="s">
        <v>54</v>
      </c>
      <c r="TWK45" s="92" t="s">
        <v>54</v>
      </c>
      <c r="TWL45" s="92" t="s">
        <v>54</v>
      </c>
      <c r="TWM45" s="92" t="s">
        <v>54</v>
      </c>
      <c r="TWN45" s="92" t="s">
        <v>54</v>
      </c>
      <c r="TWO45" s="92" t="s">
        <v>54</v>
      </c>
      <c r="TWP45" s="92" t="s">
        <v>54</v>
      </c>
      <c r="TWQ45" s="92" t="s">
        <v>54</v>
      </c>
      <c r="TWR45" s="92" t="s">
        <v>54</v>
      </c>
      <c r="TWS45" s="92" t="s">
        <v>54</v>
      </c>
      <c r="TWT45" s="92" t="s">
        <v>54</v>
      </c>
      <c r="TWU45" s="92" t="s">
        <v>54</v>
      </c>
      <c r="TWV45" s="92" t="s">
        <v>54</v>
      </c>
      <c r="TWW45" s="92" t="s">
        <v>54</v>
      </c>
      <c r="TWX45" s="92" t="s">
        <v>54</v>
      </c>
      <c r="TWY45" s="92" t="s">
        <v>54</v>
      </c>
      <c r="TWZ45" s="92" t="s">
        <v>54</v>
      </c>
      <c r="TXA45" s="92" t="s">
        <v>54</v>
      </c>
      <c r="TXB45" s="92" t="s">
        <v>54</v>
      </c>
      <c r="TXC45" s="92" t="s">
        <v>54</v>
      </c>
      <c r="TXD45" s="92" t="s">
        <v>54</v>
      </c>
      <c r="TXE45" s="92" t="s">
        <v>54</v>
      </c>
      <c r="TXF45" s="92" t="s">
        <v>54</v>
      </c>
      <c r="TXG45" s="92" t="s">
        <v>54</v>
      </c>
      <c r="TXH45" s="92" t="s">
        <v>54</v>
      </c>
      <c r="TXI45" s="92" t="s">
        <v>54</v>
      </c>
      <c r="TXJ45" s="92" t="s">
        <v>54</v>
      </c>
      <c r="TXK45" s="92" t="s">
        <v>54</v>
      </c>
      <c r="TXL45" s="92" t="s">
        <v>54</v>
      </c>
      <c r="TXM45" s="92" t="s">
        <v>54</v>
      </c>
      <c r="TXN45" s="92" t="s">
        <v>54</v>
      </c>
      <c r="TXO45" s="92" t="s">
        <v>54</v>
      </c>
      <c r="TXP45" s="92" t="s">
        <v>54</v>
      </c>
      <c r="TXQ45" s="92" t="s">
        <v>54</v>
      </c>
      <c r="TXR45" s="92" t="s">
        <v>54</v>
      </c>
      <c r="TXS45" s="92" t="s">
        <v>54</v>
      </c>
      <c r="TXT45" s="92" t="s">
        <v>54</v>
      </c>
      <c r="TXU45" s="92" t="s">
        <v>54</v>
      </c>
      <c r="TXV45" s="92" t="s">
        <v>54</v>
      </c>
      <c r="TXW45" s="92" t="s">
        <v>54</v>
      </c>
      <c r="TXX45" s="92" t="s">
        <v>54</v>
      </c>
      <c r="TXY45" s="92" t="s">
        <v>54</v>
      </c>
      <c r="TXZ45" s="92" t="s">
        <v>54</v>
      </c>
      <c r="TYA45" s="92" t="s">
        <v>54</v>
      </c>
      <c r="TYB45" s="92" t="s">
        <v>54</v>
      </c>
      <c r="TYC45" s="92" t="s">
        <v>54</v>
      </c>
      <c r="TYD45" s="92" t="s">
        <v>54</v>
      </c>
      <c r="TYE45" s="92" t="s">
        <v>54</v>
      </c>
      <c r="TYF45" s="92" t="s">
        <v>54</v>
      </c>
      <c r="TYG45" s="92" t="s">
        <v>54</v>
      </c>
      <c r="TYH45" s="92" t="s">
        <v>54</v>
      </c>
      <c r="TYI45" s="92" t="s">
        <v>54</v>
      </c>
      <c r="TYJ45" s="92" t="s">
        <v>54</v>
      </c>
      <c r="TYK45" s="92" t="s">
        <v>54</v>
      </c>
      <c r="TYL45" s="92" t="s">
        <v>54</v>
      </c>
      <c r="TYM45" s="92" t="s">
        <v>54</v>
      </c>
      <c r="TYN45" s="92" t="s">
        <v>54</v>
      </c>
      <c r="TYO45" s="92" t="s">
        <v>54</v>
      </c>
      <c r="TYP45" s="92" t="s">
        <v>54</v>
      </c>
      <c r="TYQ45" s="92" t="s">
        <v>54</v>
      </c>
      <c r="TYR45" s="92" t="s">
        <v>54</v>
      </c>
      <c r="TYS45" s="92" t="s">
        <v>54</v>
      </c>
      <c r="TYT45" s="92" t="s">
        <v>54</v>
      </c>
      <c r="TYU45" s="92" t="s">
        <v>54</v>
      </c>
      <c r="TYV45" s="92" t="s">
        <v>54</v>
      </c>
      <c r="TYW45" s="92" t="s">
        <v>54</v>
      </c>
      <c r="TYX45" s="92" t="s">
        <v>54</v>
      </c>
      <c r="TYY45" s="92" t="s">
        <v>54</v>
      </c>
      <c r="TYZ45" s="92" t="s">
        <v>54</v>
      </c>
      <c r="TZA45" s="92" t="s">
        <v>54</v>
      </c>
      <c r="TZB45" s="92" t="s">
        <v>54</v>
      </c>
      <c r="TZC45" s="92" t="s">
        <v>54</v>
      </c>
      <c r="TZD45" s="92" t="s">
        <v>54</v>
      </c>
      <c r="TZE45" s="92" t="s">
        <v>54</v>
      </c>
      <c r="TZF45" s="92" t="s">
        <v>54</v>
      </c>
      <c r="TZG45" s="92" t="s">
        <v>54</v>
      </c>
      <c r="TZH45" s="92" t="s">
        <v>54</v>
      </c>
      <c r="TZI45" s="92" t="s">
        <v>54</v>
      </c>
      <c r="TZJ45" s="92" t="s">
        <v>54</v>
      </c>
      <c r="TZK45" s="92" t="s">
        <v>54</v>
      </c>
      <c r="TZL45" s="92" t="s">
        <v>54</v>
      </c>
      <c r="TZM45" s="92" t="s">
        <v>54</v>
      </c>
      <c r="TZN45" s="92" t="s">
        <v>54</v>
      </c>
      <c r="TZO45" s="92" t="s">
        <v>54</v>
      </c>
      <c r="TZP45" s="92" t="s">
        <v>54</v>
      </c>
      <c r="TZQ45" s="92" t="s">
        <v>54</v>
      </c>
      <c r="TZR45" s="92" t="s">
        <v>54</v>
      </c>
      <c r="TZS45" s="92" t="s">
        <v>54</v>
      </c>
      <c r="TZT45" s="92" t="s">
        <v>54</v>
      </c>
      <c r="TZU45" s="92" t="s">
        <v>54</v>
      </c>
      <c r="TZV45" s="92" t="s">
        <v>54</v>
      </c>
      <c r="TZW45" s="92" t="s">
        <v>54</v>
      </c>
      <c r="TZX45" s="92" t="s">
        <v>54</v>
      </c>
      <c r="TZY45" s="92" t="s">
        <v>54</v>
      </c>
      <c r="TZZ45" s="92" t="s">
        <v>54</v>
      </c>
      <c r="UAA45" s="92" t="s">
        <v>54</v>
      </c>
      <c r="UAB45" s="92" t="s">
        <v>54</v>
      </c>
      <c r="UAC45" s="92" t="s">
        <v>54</v>
      </c>
      <c r="UAD45" s="92" t="s">
        <v>54</v>
      </c>
      <c r="UAE45" s="92" t="s">
        <v>54</v>
      </c>
      <c r="UAF45" s="92" t="s">
        <v>54</v>
      </c>
      <c r="UAG45" s="92" t="s">
        <v>54</v>
      </c>
      <c r="UAH45" s="92" t="s">
        <v>54</v>
      </c>
      <c r="UAI45" s="92" t="s">
        <v>54</v>
      </c>
      <c r="UAJ45" s="92" t="s">
        <v>54</v>
      </c>
      <c r="UAK45" s="92" t="s">
        <v>54</v>
      </c>
      <c r="UAL45" s="92" t="s">
        <v>54</v>
      </c>
      <c r="UAM45" s="92" t="s">
        <v>54</v>
      </c>
      <c r="UAN45" s="92" t="s">
        <v>54</v>
      </c>
      <c r="UAO45" s="92" t="s">
        <v>54</v>
      </c>
      <c r="UAP45" s="92" t="s">
        <v>54</v>
      </c>
      <c r="UAQ45" s="92" t="s">
        <v>54</v>
      </c>
      <c r="UAR45" s="92" t="s">
        <v>54</v>
      </c>
      <c r="UAS45" s="92" t="s">
        <v>54</v>
      </c>
      <c r="UAT45" s="92" t="s">
        <v>54</v>
      </c>
      <c r="UAU45" s="92" t="s">
        <v>54</v>
      </c>
      <c r="UAV45" s="92" t="s">
        <v>54</v>
      </c>
      <c r="UAW45" s="92" t="s">
        <v>54</v>
      </c>
      <c r="UAX45" s="92" t="s">
        <v>54</v>
      </c>
      <c r="UAY45" s="92" t="s">
        <v>54</v>
      </c>
      <c r="UAZ45" s="92" t="s">
        <v>54</v>
      </c>
      <c r="UBA45" s="92" t="s">
        <v>54</v>
      </c>
      <c r="UBB45" s="92" t="s">
        <v>54</v>
      </c>
      <c r="UBC45" s="92" t="s">
        <v>54</v>
      </c>
      <c r="UBD45" s="92" t="s">
        <v>54</v>
      </c>
      <c r="UBE45" s="92" t="s">
        <v>54</v>
      </c>
      <c r="UBF45" s="92" t="s">
        <v>54</v>
      </c>
      <c r="UBG45" s="92" t="s">
        <v>54</v>
      </c>
      <c r="UBH45" s="92" t="s">
        <v>54</v>
      </c>
      <c r="UBI45" s="92" t="s">
        <v>54</v>
      </c>
      <c r="UBJ45" s="92" t="s">
        <v>54</v>
      </c>
      <c r="UBK45" s="92" t="s">
        <v>54</v>
      </c>
      <c r="UBL45" s="92" t="s">
        <v>54</v>
      </c>
      <c r="UBM45" s="92" t="s">
        <v>54</v>
      </c>
      <c r="UBN45" s="92" t="s">
        <v>54</v>
      </c>
      <c r="UBO45" s="92" t="s">
        <v>54</v>
      </c>
      <c r="UBP45" s="92" t="s">
        <v>54</v>
      </c>
      <c r="UBQ45" s="92" t="s">
        <v>54</v>
      </c>
      <c r="UBR45" s="92" t="s">
        <v>54</v>
      </c>
      <c r="UBS45" s="92" t="s">
        <v>54</v>
      </c>
      <c r="UBT45" s="92" t="s">
        <v>54</v>
      </c>
      <c r="UBU45" s="92" t="s">
        <v>54</v>
      </c>
      <c r="UBV45" s="92" t="s">
        <v>54</v>
      </c>
      <c r="UBW45" s="92" t="s">
        <v>54</v>
      </c>
      <c r="UBX45" s="92" t="s">
        <v>54</v>
      </c>
      <c r="UBY45" s="92" t="s">
        <v>54</v>
      </c>
      <c r="UBZ45" s="92" t="s">
        <v>54</v>
      </c>
      <c r="UCA45" s="92" t="s">
        <v>54</v>
      </c>
      <c r="UCB45" s="92" t="s">
        <v>54</v>
      </c>
      <c r="UCC45" s="92" t="s">
        <v>54</v>
      </c>
      <c r="UCD45" s="92" t="s">
        <v>54</v>
      </c>
      <c r="UCE45" s="92" t="s">
        <v>54</v>
      </c>
      <c r="UCF45" s="92" t="s">
        <v>54</v>
      </c>
      <c r="UCG45" s="92" t="s">
        <v>54</v>
      </c>
      <c r="UCH45" s="92" t="s">
        <v>54</v>
      </c>
      <c r="UCI45" s="92" t="s">
        <v>54</v>
      </c>
      <c r="UCJ45" s="92" t="s">
        <v>54</v>
      </c>
      <c r="UCK45" s="92" t="s">
        <v>54</v>
      </c>
      <c r="UCL45" s="92" t="s">
        <v>54</v>
      </c>
      <c r="UCM45" s="92" t="s">
        <v>54</v>
      </c>
      <c r="UCN45" s="92" t="s">
        <v>54</v>
      </c>
      <c r="UCO45" s="92" t="s">
        <v>54</v>
      </c>
      <c r="UCP45" s="92" t="s">
        <v>54</v>
      </c>
      <c r="UCQ45" s="92" t="s">
        <v>54</v>
      </c>
      <c r="UCR45" s="92" t="s">
        <v>54</v>
      </c>
      <c r="UCS45" s="92" t="s">
        <v>54</v>
      </c>
      <c r="UCT45" s="92" t="s">
        <v>54</v>
      </c>
      <c r="UCU45" s="92" t="s">
        <v>54</v>
      </c>
      <c r="UCV45" s="92" t="s">
        <v>54</v>
      </c>
      <c r="UCW45" s="92" t="s">
        <v>54</v>
      </c>
      <c r="UCX45" s="92" t="s">
        <v>54</v>
      </c>
      <c r="UCY45" s="92" t="s">
        <v>54</v>
      </c>
      <c r="UCZ45" s="92" t="s">
        <v>54</v>
      </c>
      <c r="UDA45" s="92" t="s">
        <v>54</v>
      </c>
      <c r="UDB45" s="92" t="s">
        <v>54</v>
      </c>
      <c r="UDC45" s="92" t="s">
        <v>54</v>
      </c>
      <c r="UDD45" s="92" t="s">
        <v>54</v>
      </c>
      <c r="UDE45" s="92" t="s">
        <v>54</v>
      </c>
      <c r="UDF45" s="92" t="s">
        <v>54</v>
      </c>
      <c r="UDG45" s="92" t="s">
        <v>54</v>
      </c>
      <c r="UDH45" s="92" t="s">
        <v>54</v>
      </c>
      <c r="UDI45" s="92" t="s">
        <v>54</v>
      </c>
      <c r="UDJ45" s="92" t="s">
        <v>54</v>
      </c>
      <c r="UDK45" s="92" t="s">
        <v>54</v>
      </c>
      <c r="UDL45" s="92" t="s">
        <v>54</v>
      </c>
      <c r="UDM45" s="92" t="s">
        <v>54</v>
      </c>
      <c r="UDN45" s="92" t="s">
        <v>54</v>
      </c>
      <c r="UDO45" s="92" t="s">
        <v>54</v>
      </c>
      <c r="UDP45" s="92" t="s">
        <v>54</v>
      </c>
      <c r="UDQ45" s="92" t="s">
        <v>54</v>
      </c>
      <c r="UDR45" s="92" t="s">
        <v>54</v>
      </c>
      <c r="UDS45" s="92" t="s">
        <v>54</v>
      </c>
      <c r="UDT45" s="92" t="s">
        <v>54</v>
      </c>
      <c r="UDU45" s="92" t="s">
        <v>54</v>
      </c>
      <c r="UDV45" s="92" t="s">
        <v>54</v>
      </c>
      <c r="UDW45" s="92" t="s">
        <v>54</v>
      </c>
      <c r="UDX45" s="92" t="s">
        <v>54</v>
      </c>
      <c r="UDY45" s="92" t="s">
        <v>54</v>
      </c>
      <c r="UDZ45" s="92" t="s">
        <v>54</v>
      </c>
      <c r="UEA45" s="92" t="s">
        <v>54</v>
      </c>
      <c r="UEB45" s="92" t="s">
        <v>54</v>
      </c>
      <c r="UEC45" s="92" t="s">
        <v>54</v>
      </c>
      <c r="UED45" s="92" t="s">
        <v>54</v>
      </c>
      <c r="UEE45" s="92" t="s">
        <v>54</v>
      </c>
      <c r="UEF45" s="92" t="s">
        <v>54</v>
      </c>
      <c r="UEG45" s="92" t="s">
        <v>54</v>
      </c>
      <c r="UEH45" s="92" t="s">
        <v>54</v>
      </c>
      <c r="UEI45" s="92" t="s">
        <v>54</v>
      </c>
      <c r="UEJ45" s="92" t="s">
        <v>54</v>
      </c>
      <c r="UEK45" s="92" t="s">
        <v>54</v>
      </c>
      <c r="UEL45" s="92" t="s">
        <v>54</v>
      </c>
      <c r="UEM45" s="92" t="s">
        <v>54</v>
      </c>
      <c r="UEN45" s="92" t="s">
        <v>54</v>
      </c>
      <c r="UEO45" s="92" t="s">
        <v>54</v>
      </c>
      <c r="UEP45" s="92" t="s">
        <v>54</v>
      </c>
      <c r="UEQ45" s="92" t="s">
        <v>54</v>
      </c>
      <c r="UER45" s="92" t="s">
        <v>54</v>
      </c>
      <c r="UES45" s="92" t="s">
        <v>54</v>
      </c>
      <c r="UET45" s="92" t="s">
        <v>54</v>
      </c>
      <c r="UEU45" s="92" t="s">
        <v>54</v>
      </c>
      <c r="UEV45" s="92" t="s">
        <v>54</v>
      </c>
      <c r="UEW45" s="92" t="s">
        <v>54</v>
      </c>
      <c r="UEX45" s="92" t="s">
        <v>54</v>
      </c>
      <c r="UEY45" s="92" t="s">
        <v>54</v>
      </c>
      <c r="UEZ45" s="92" t="s">
        <v>54</v>
      </c>
      <c r="UFA45" s="92" t="s">
        <v>54</v>
      </c>
      <c r="UFB45" s="92" t="s">
        <v>54</v>
      </c>
      <c r="UFC45" s="92" t="s">
        <v>54</v>
      </c>
      <c r="UFD45" s="92" t="s">
        <v>54</v>
      </c>
      <c r="UFE45" s="92" t="s">
        <v>54</v>
      </c>
      <c r="UFF45" s="92" t="s">
        <v>54</v>
      </c>
      <c r="UFG45" s="92" t="s">
        <v>54</v>
      </c>
      <c r="UFH45" s="92" t="s">
        <v>54</v>
      </c>
      <c r="UFI45" s="92" t="s">
        <v>54</v>
      </c>
      <c r="UFJ45" s="92" t="s">
        <v>54</v>
      </c>
      <c r="UFK45" s="92" t="s">
        <v>54</v>
      </c>
      <c r="UFL45" s="92" t="s">
        <v>54</v>
      </c>
      <c r="UFM45" s="92" t="s">
        <v>54</v>
      </c>
      <c r="UFN45" s="92" t="s">
        <v>54</v>
      </c>
      <c r="UFO45" s="92" t="s">
        <v>54</v>
      </c>
      <c r="UFP45" s="92" t="s">
        <v>54</v>
      </c>
      <c r="UFQ45" s="92" t="s">
        <v>54</v>
      </c>
      <c r="UFR45" s="92" t="s">
        <v>54</v>
      </c>
      <c r="UFS45" s="92" t="s">
        <v>54</v>
      </c>
      <c r="UFT45" s="92" t="s">
        <v>54</v>
      </c>
      <c r="UFU45" s="92" t="s">
        <v>54</v>
      </c>
      <c r="UFV45" s="92" t="s">
        <v>54</v>
      </c>
      <c r="UFW45" s="92" t="s">
        <v>54</v>
      </c>
      <c r="UFX45" s="92" t="s">
        <v>54</v>
      </c>
      <c r="UFY45" s="92" t="s">
        <v>54</v>
      </c>
      <c r="UFZ45" s="92" t="s">
        <v>54</v>
      </c>
      <c r="UGA45" s="92" t="s">
        <v>54</v>
      </c>
      <c r="UGB45" s="92" t="s">
        <v>54</v>
      </c>
      <c r="UGC45" s="92" t="s">
        <v>54</v>
      </c>
      <c r="UGD45" s="92" t="s">
        <v>54</v>
      </c>
      <c r="UGE45" s="92" t="s">
        <v>54</v>
      </c>
      <c r="UGF45" s="92" t="s">
        <v>54</v>
      </c>
      <c r="UGG45" s="92" t="s">
        <v>54</v>
      </c>
      <c r="UGH45" s="92" t="s">
        <v>54</v>
      </c>
      <c r="UGI45" s="92" t="s">
        <v>54</v>
      </c>
      <c r="UGJ45" s="92" t="s">
        <v>54</v>
      </c>
      <c r="UGK45" s="92" t="s">
        <v>54</v>
      </c>
      <c r="UGL45" s="92" t="s">
        <v>54</v>
      </c>
      <c r="UGM45" s="92" t="s">
        <v>54</v>
      </c>
      <c r="UGN45" s="92" t="s">
        <v>54</v>
      </c>
      <c r="UGO45" s="92" t="s">
        <v>54</v>
      </c>
      <c r="UGP45" s="92" t="s">
        <v>54</v>
      </c>
      <c r="UGQ45" s="92" t="s">
        <v>54</v>
      </c>
      <c r="UGR45" s="92" t="s">
        <v>54</v>
      </c>
      <c r="UGS45" s="92" t="s">
        <v>54</v>
      </c>
      <c r="UGT45" s="92" t="s">
        <v>54</v>
      </c>
      <c r="UGU45" s="92" t="s">
        <v>54</v>
      </c>
      <c r="UGV45" s="92" t="s">
        <v>54</v>
      </c>
      <c r="UGW45" s="92" t="s">
        <v>54</v>
      </c>
      <c r="UGX45" s="92" t="s">
        <v>54</v>
      </c>
      <c r="UGY45" s="92" t="s">
        <v>54</v>
      </c>
      <c r="UGZ45" s="92" t="s">
        <v>54</v>
      </c>
      <c r="UHA45" s="92" t="s">
        <v>54</v>
      </c>
      <c r="UHB45" s="92" t="s">
        <v>54</v>
      </c>
      <c r="UHC45" s="92" t="s">
        <v>54</v>
      </c>
      <c r="UHD45" s="92" t="s">
        <v>54</v>
      </c>
      <c r="UHE45" s="92" t="s">
        <v>54</v>
      </c>
      <c r="UHF45" s="92" t="s">
        <v>54</v>
      </c>
      <c r="UHG45" s="92" t="s">
        <v>54</v>
      </c>
      <c r="UHH45" s="92" t="s">
        <v>54</v>
      </c>
      <c r="UHI45" s="92" t="s">
        <v>54</v>
      </c>
      <c r="UHJ45" s="92" t="s">
        <v>54</v>
      </c>
      <c r="UHK45" s="92" t="s">
        <v>54</v>
      </c>
      <c r="UHL45" s="92" t="s">
        <v>54</v>
      </c>
      <c r="UHM45" s="92" t="s">
        <v>54</v>
      </c>
      <c r="UHN45" s="92" t="s">
        <v>54</v>
      </c>
      <c r="UHO45" s="92" t="s">
        <v>54</v>
      </c>
      <c r="UHP45" s="92" t="s">
        <v>54</v>
      </c>
      <c r="UHQ45" s="92" t="s">
        <v>54</v>
      </c>
      <c r="UHR45" s="92" t="s">
        <v>54</v>
      </c>
      <c r="UHS45" s="92" t="s">
        <v>54</v>
      </c>
      <c r="UHT45" s="92" t="s">
        <v>54</v>
      </c>
      <c r="UHU45" s="92" t="s">
        <v>54</v>
      </c>
      <c r="UHV45" s="92" t="s">
        <v>54</v>
      </c>
      <c r="UHW45" s="92" t="s">
        <v>54</v>
      </c>
      <c r="UHX45" s="92" t="s">
        <v>54</v>
      </c>
      <c r="UHY45" s="92" t="s">
        <v>54</v>
      </c>
      <c r="UHZ45" s="92" t="s">
        <v>54</v>
      </c>
      <c r="UIA45" s="92" t="s">
        <v>54</v>
      </c>
      <c r="UIB45" s="92" t="s">
        <v>54</v>
      </c>
      <c r="UIC45" s="92" t="s">
        <v>54</v>
      </c>
      <c r="UID45" s="92" t="s">
        <v>54</v>
      </c>
      <c r="UIE45" s="92" t="s">
        <v>54</v>
      </c>
      <c r="UIF45" s="92" t="s">
        <v>54</v>
      </c>
      <c r="UIG45" s="92" t="s">
        <v>54</v>
      </c>
      <c r="UIH45" s="92" t="s">
        <v>54</v>
      </c>
      <c r="UII45" s="92" t="s">
        <v>54</v>
      </c>
      <c r="UIJ45" s="92" t="s">
        <v>54</v>
      </c>
      <c r="UIK45" s="92" t="s">
        <v>54</v>
      </c>
      <c r="UIL45" s="92" t="s">
        <v>54</v>
      </c>
      <c r="UIM45" s="92" t="s">
        <v>54</v>
      </c>
      <c r="UIN45" s="92" t="s">
        <v>54</v>
      </c>
      <c r="UIO45" s="92" t="s">
        <v>54</v>
      </c>
      <c r="UIP45" s="92" t="s">
        <v>54</v>
      </c>
      <c r="UIQ45" s="92" t="s">
        <v>54</v>
      </c>
      <c r="UIR45" s="92" t="s">
        <v>54</v>
      </c>
      <c r="UIS45" s="92" t="s">
        <v>54</v>
      </c>
      <c r="UIT45" s="92" t="s">
        <v>54</v>
      </c>
      <c r="UIU45" s="92" t="s">
        <v>54</v>
      </c>
      <c r="UIV45" s="92" t="s">
        <v>54</v>
      </c>
      <c r="UIW45" s="92" t="s">
        <v>54</v>
      </c>
      <c r="UIX45" s="92" t="s">
        <v>54</v>
      </c>
      <c r="UIY45" s="92" t="s">
        <v>54</v>
      </c>
      <c r="UIZ45" s="92" t="s">
        <v>54</v>
      </c>
      <c r="UJA45" s="92" t="s">
        <v>54</v>
      </c>
      <c r="UJB45" s="92" t="s">
        <v>54</v>
      </c>
      <c r="UJC45" s="92" t="s">
        <v>54</v>
      </c>
      <c r="UJD45" s="92" t="s">
        <v>54</v>
      </c>
      <c r="UJE45" s="92" t="s">
        <v>54</v>
      </c>
      <c r="UJF45" s="92" t="s">
        <v>54</v>
      </c>
      <c r="UJG45" s="92" t="s">
        <v>54</v>
      </c>
      <c r="UJH45" s="92" t="s">
        <v>54</v>
      </c>
      <c r="UJI45" s="92" t="s">
        <v>54</v>
      </c>
      <c r="UJJ45" s="92" t="s">
        <v>54</v>
      </c>
      <c r="UJK45" s="92" t="s">
        <v>54</v>
      </c>
      <c r="UJL45" s="92" t="s">
        <v>54</v>
      </c>
      <c r="UJM45" s="92" t="s">
        <v>54</v>
      </c>
      <c r="UJN45" s="92" t="s">
        <v>54</v>
      </c>
      <c r="UJO45" s="92" t="s">
        <v>54</v>
      </c>
      <c r="UJP45" s="92" t="s">
        <v>54</v>
      </c>
      <c r="UJQ45" s="92" t="s">
        <v>54</v>
      </c>
      <c r="UJR45" s="92" t="s">
        <v>54</v>
      </c>
      <c r="UJS45" s="92" t="s">
        <v>54</v>
      </c>
      <c r="UJT45" s="92" t="s">
        <v>54</v>
      </c>
      <c r="UJU45" s="92" t="s">
        <v>54</v>
      </c>
      <c r="UJV45" s="92" t="s">
        <v>54</v>
      </c>
      <c r="UJW45" s="92" t="s">
        <v>54</v>
      </c>
      <c r="UJX45" s="92" t="s">
        <v>54</v>
      </c>
      <c r="UJY45" s="92" t="s">
        <v>54</v>
      </c>
      <c r="UJZ45" s="92" t="s">
        <v>54</v>
      </c>
      <c r="UKA45" s="92" t="s">
        <v>54</v>
      </c>
      <c r="UKB45" s="92" t="s">
        <v>54</v>
      </c>
      <c r="UKC45" s="92" t="s">
        <v>54</v>
      </c>
      <c r="UKD45" s="92" t="s">
        <v>54</v>
      </c>
      <c r="UKE45" s="92" t="s">
        <v>54</v>
      </c>
      <c r="UKF45" s="92" t="s">
        <v>54</v>
      </c>
      <c r="UKG45" s="92" t="s">
        <v>54</v>
      </c>
      <c r="UKH45" s="92" t="s">
        <v>54</v>
      </c>
      <c r="UKI45" s="92" t="s">
        <v>54</v>
      </c>
      <c r="UKJ45" s="92" t="s">
        <v>54</v>
      </c>
      <c r="UKK45" s="92" t="s">
        <v>54</v>
      </c>
      <c r="UKL45" s="92" t="s">
        <v>54</v>
      </c>
      <c r="UKM45" s="92" t="s">
        <v>54</v>
      </c>
      <c r="UKN45" s="92" t="s">
        <v>54</v>
      </c>
      <c r="UKO45" s="92" t="s">
        <v>54</v>
      </c>
      <c r="UKP45" s="92" t="s">
        <v>54</v>
      </c>
      <c r="UKQ45" s="92" t="s">
        <v>54</v>
      </c>
      <c r="UKR45" s="92" t="s">
        <v>54</v>
      </c>
      <c r="UKS45" s="92" t="s">
        <v>54</v>
      </c>
      <c r="UKT45" s="92" t="s">
        <v>54</v>
      </c>
      <c r="UKU45" s="92" t="s">
        <v>54</v>
      </c>
      <c r="UKV45" s="92" t="s">
        <v>54</v>
      </c>
      <c r="UKW45" s="92" t="s">
        <v>54</v>
      </c>
      <c r="UKX45" s="92" t="s">
        <v>54</v>
      </c>
      <c r="UKY45" s="92" t="s">
        <v>54</v>
      </c>
      <c r="UKZ45" s="92" t="s">
        <v>54</v>
      </c>
      <c r="ULA45" s="92" t="s">
        <v>54</v>
      </c>
      <c r="ULB45" s="92" t="s">
        <v>54</v>
      </c>
      <c r="ULC45" s="92" t="s">
        <v>54</v>
      </c>
      <c r="ULD45" s="92" t="s">
        <v>54</v>
      </c>
      <c r="ULE45" s="92" t="s">
        <v>54</v>
      </c>
      <c r="ULF45" s="92" t="s">
        <v>54</v>
      </c>
      <c r="ULG45" s="92" t="s">
        <v>54</v>
      </c>
      <c r="ULH45" s="92" t="s">
        <v>54</v>
      </c>
      <c r="ULI45" s="92" t="s">
        <v>54</v>
      </c>
      <c r="ULJ45" s="92" t="s">
        <v>54</v>
      </c>
      <c r="ULK45" s="92" t="s">
        <v>54</v>
      </c>
      <c r="ULL45" s="92" t="s">
        <v>54</v>
      </c>
      <c r="ULM45" s="92" t="s">
        <v>54</v>
      </c>
      <c r="ULN45" s="92" t="s">
        <v>54</v>
      </c>
      <c r="ULO45" s="92" t="s">
        <v>54</v>
      </c>
      <c r="ULP45" s="92" t="s">
        <v>54</v>
      </c>
      <c r="ULQ45" s="92" t="s">
        <v>54</v>
      </c>
      <c r="ULR45" s="92" t="s">
        <v>54</v>
      </c>
      <c r="ULS45" s="92" t="s">
        <v>54</v>
      </c>
      <c r="ULT45" s="92" t="s">
        <v>54</v>
      </c>
      <c r="ULU45" s="92" t="s">
        <v>54</v>
      </c>
      <c r="ULV45" s="92" t="s">
        <v>54</v>
      </c>
      <c r="ULW45" s="92" t="s">
        <v>54</v>
      </c>
      <c r="ULX45" s="92" t="s">
        <v>54</v>
      </c>
      <c r="ULY45" s="92" t="s">
        <v>54</v>
      </c>
      <c r="ULZ45" s="92" t="s">
        <v>54</v>
      </c>
      <c r="UMA45" s="92" t="s">
        <v>54</v>
      </c>
      <c r="UMB45" s="92" t="s">
        <v>54</v>
      </c>
      <c r="UMC45" s="92" t="s">
        <v>54</v>
      </c>
      <c r="UMD45" s="92" t="s">
        <v>54</v>
      </c>
      <c r="UME45" s="92" t="s">
        <v>54</v>
      </c>
      <c r="UMF45" s="92" t="s">
        <v>54</v>
      </c>
      <c r="UMG45" s="92" t="s">
        <v>54</v>
      </c>
      <c r="UMH45" s="92" t="s">
        <v>54</v>
      </c>
      <c r="UMI45" s="92" t="s">
        <v>54</v>
      </c>
      <c r="UMJ45" s="92" t="s">
        <v>54</v>
      </c>
      <c r="UMK45" s="92" t="s">
        <v>54</v>
      </c>
      <c r="UML45" s="92" t="s">
        <v>54</v>
      </c>
      <c r="UMM45" s="92" t="s">
        <v>54</v>
      </c>
      <c r="UMN45" s="92" t="s">
        <v>54</v>
      </c>
      <c r="UMO45" s="92" t="s">
        <v>54</v>
      </c>
      <c r="UMP45" s="92" t="s">
        <v>54</v>
      </c>
      <c r="UMQ45" s="92" t="s">
        <v>54</v>
      </c>
      <c r="UMR45" s="92" t="s">
        <v>54</v>
      </c>
      <c r="UMS45" s="92" t="s">
        <v>54</v>
      </c>
      <c r="UMT45" s="92" t="s">
        <v>54</v>
      </c>
      <c r="UMU45" s="92" t="s">
        <v>54</v>
      </c>
      <c r="UMV45" s="92" t="s">
        <v>54</v>
      </c>
      <c r="UMW45" s="92" t="s">
        <v>54</v>
      </c>
      <c r="UMX45" s="92" t="s">
        <v>54</v>
      </c>
      <c r="UMY45" s="92" t="s">
        <v>54</v>
      </c>
      <c r="UMZ45" s="92" t="s">
        <v>54</v>
      </c>
      <c r="UNA45" s="92" t="s">
        <v>54</v>
      </c>
      <c r="UNB45" s="92" t="s">
        <v>54</v>
      </c>
      <c r="UNC45" s="92" t="s">
        <v>54</v>
      </c>
      <c r="UND45" s="92" t="s">
        <v>54</v>
      </c>
      <c r="UNE45" s="92" t="s">
        <v>54</v>
      </c>
      <c r="UNF45" s="92" t="s">
        <v>54</v>
      </c>
      <c r="UNG45" s="92" t="s">
        <v>54</v>
      </c>
      <c r="UNH45" s="92" t="s">
        <v>54</v>
      </c>
      <c r="UNI45" s="92" t="s">
        <v>54</v>
      </c>
      <c r="UNJ45" s="92" t="s">
        <v>54</v>
      </c>
      <c r="UNK45" s="92" t="s">
        <v>54</v>
      </c>
      <c r="UNL45" s="92" t="s">
        <v>54</v>
      </c>
      <c r="UNM45" s="92" t="s">
        <v>54</v>
      </c>
      <c r="UNN45" s="92" t="s">
        <v>54</v>
      </c>
      <c r="UNO45" s="92" t="s">
        <v>54</v>
      </c>
      <c r="UNP45" s="92" t="s">
        <v>54</v>
      </c>
      <c r="UNQ45" s="92" t="s">
        <v>54</v>
      </c>
      <c r="UNR45" s="92" t="s">
        <v>54</v>
      </c>
      <c r="UNS45" s="92" t="s">
        <v>54</v>
      </c>
      <c r="UNT45" s="92" t="s">
        <v>54</v>
      </c>
      <c r="UNU45" s="92" t="s">
        <v>54</v>
      </c>
      <c r="UNV45" s="92" t="s">
        <v>54</v>
      </c>
      <c r="UNW45" s="92" t="s">
        <v>54</v>
      </c>
      <c r="UNX45" s="92" t="s">
        <v>54</v>
      </c>
      <c r="UNY45" s="92" t="s">
        <v>54</v>
      </c>
      <c r="UNZ45" s="92" t="s">
        <v>54</v>
      </c>
      <c r="UOA45" s="92" t="s">
        <v>54</v>
      </c>
      <c r="UOB45" s="92" t="s">
        <v>54</v>
      </c>
      <c r="UOC45" s="92" t="s">
        <v>54</v>
      </c>
      <c r="UOD45" s="92" t="s">
        <v>54</v>
      </c>
      <c r="UOE45" s="92" t="s">
        <v>54</v>
      </c>
      <c r="UOF45" s="92" t="s">
        <v>54</v>
      </c>
      <c r="UOG45" s="92" t="s">
        <v>54</v>
      </c>
      <c r="UOH45" s="92" t="s">
        <v>54</v>
      </c>
      <c r="UOI45" s="92" t="s">
        <v>54</v>
      </c>
      <c r="UOJ45" s="92" t="s">
        <v>54</v>
      </c>
      <c r="UOK45" s="92" t="s">
        <v>54</v>
      </c>
      <c r="UOL45" s="92" t="s">
        <v>54</v>
      </c>
      <c r="UOM45" s="92" t="s">
        <v>54</v>
      </c>
      <c r="UON45" s="92" t="s">
        <v>54</v>
      </c>
      <c r="UOO45" s="92" t="s">
        <v>54</v>
      </c>
      <c r="UOP45" s="92" t="s">
        <v>54</v>
      </c>
      <c r="UOQ45" s="92" t="s">
        <v>54</v>
      </c>
      <c r="UOR45" s="92" t="s">
        <v>54</v>
      </c>
      <c r="UOS45" s="92" t="s">
        <v>54</v>
      </c>
      <c r="UOT45" s="92" t="s">
        <v>54</v>
      </c>
      <c r="UOU45" s="92" t="s">
        <v>54</v>
      </c>
      <c r="UOV45" s="92" t="s">
        <v>54</v>
      </c>
      <c r="UOW45" s="92" t="s">
        <v>54</v>
      </c>
      <c r="UOX45" s="92" t="s">
        <v>54</v>
      </c>
      <c r="UOY45" s="92" t="s">
        <v>54</v>
      </c>
      <c r="UOZ45" s="92" t="s">
        <v>54</v>
      </c>
      <c r="UPA45" s="92" t="s">
        <v>54</v>
      </c>
      <c r="UPB45" s="92" t="s">
        <v>54</v>
      </c>
      <c r="UPC45" s="92" t="s">
        <v>54</v>
      </c>
      <c r="UPD45" s="92" t="s">
        <v>54</v>
      </c>
      <c r="UPE45" s="92" t="s">
        <v>54</v>
      </c>
      <c r="UPF45" s="92" t="s">
        <v>54</v>
      </c>
      <c r="UPG45" s="92" t="s">
        <v>54</v>
      </c>
      <c r="UPH45" s="92" t="s">
        <v>54</v>
      </c>
      <c r="UPI45" s="92" t="s">
        <v>54</v>
      </c>
      <c r="UPJ45" s="92" t="s">
        <v>54</v>
      </c>
      <c r="UPK45" s="92" t="s">
        <v>54</v>
      </c>
      <c r="UPL45" s="92" t="s">
        <v>54</v>
      </c>
      <c r="UPM45" s="92" t="s">
        <v>54</v>
      </c>
      <c r="UPN45" s="92" t="s">
        <v>54</v>
      </c>
      <c r="UPO45" s="92" t="s">
        <v>54</v>
      </c>
      <c r="UPP45" s="92" t="s">
        <v>54</v>
      </c>
      <c r="UPQ45" s="92" t="s">
        <v>54</v>
      </c>
      <c r="UPR45" s="92" t="s">
        <v>54</v>
      </c>
      <c r="UPS45" s="92" t="s">
        <v>54</v>
      </c>
      <c r="UPT45" s="92" t="s">
        <v>54</v>
      </c>
      <c r="UPU45" s="92" t="s">
        <v>54</v>
      </c>
      <c r="UPV45" s="92" t="s">
        <v>54</v>
      </c>
      <c r="UPW45" s="92" t="s">
        <v>54</v>
      </c>
      <c r="UPX45" s="92" t="s">
        <v>54</v>
      </c>
      <c r="UPY45" s="92" t="s">
        <v>54</v>
      </c>
      <c r="UPZ45" s="92" t="s">
        <v>54</v>
      </c>
      <c r="UQA45" s="92" t="s">
        <v>54</v>
      </c>
      <c r="UQB45" s="92" t="s">
        <v>54</v>
      </c>
      <c r="UQC45" s="92" t="s">
        <v>54</v>
      </c>
      <c r="UQD45" s="92" t="s">
        <v>54</v>
      </c>
      <c r="UQE45" s="92" t="s">
        <v>54</v>
      </c>
      <c r="UQF45" s="92" t="s">
        <v>54</v>
      </c>
      <c r="UQG45" s="92" t="s">
        <v>54</v>
      </c>
      <c r="UQH45" s="92" t="s">
        <v>54</v>
      </c>
      <c r="UQI45" s="92" t="s">
        <v>54</v>
      </c>
      <c r="UQJ45" s="92" t="s">
        <v>54</v>
      </c>
      <c r="UQK45" s="92" t="s">
        <v>54</v>
      </c>
      <c r="UQL45" s="92" t="s">
        <v>54</v>
      </c>
      <c r="UQM45" s="92" t="s">
        <v>54</v>
      </c>
      <c r="UQN45" s="92" t="s">
        <v>54</v>
      </c>
      <c r="UQO45" s="92" t="s">
        <v>54</v>
      </c>
      <c r="UQP45" s="92" t="s">
        <v>54</v>
      </c>
      <c r="UQQ45" s="92" t="s">
        <v>54</v>
      </c>
      <c r="UQR45" s="92" t="s">
        <v>54</v>
      </c>
      <c r="UQS45" s="92" t="s">
        <v>54</v>
      </c>
      <c r="UQT45" s="92" t="s">
        <v>54</v>
      </c>
      <c r="UQU45" s="92" t="s">
        <v>54</v>
      </c>
      <c r="UQV45" s="92" t="s">
        <v>54</v>
      </c>
      <c r="UQW45" s="92" t="s">
        <v>54</v>
      </c>
      <c r="UQX45" s="92" t="s">
        <v>54</v>
      </c>
      <c r="UQY45" s="92" t="s">
        <v>54</v>
      </c>
      <c r="UQZ45" s="92" t="s">
        <v>54</v>
      </c>
      <c r="URA45" s="92" t="s">
        <v>54</v>
      </c>
      <c r="URB45" s="92" t="s">
        <v>54</v>
      </c>
      <c r="URC45" s="92" t="s">
        <v>54</v>
      </c>
      <c r="URD45" s="92" t="s">
        <v>54</v>
      </c>
      <c r="URE45" s="92" t="s">
        <v>54</v>
      </c>
      <c r="URF45" s="92" t="s">
        <v>54</v>
      </c>
      <c r="URG45" s="92" t="s">
        <v>54</v>
      </c>
      <c r="URH45" s="92" t="s">
        <v>54</v>
      </c>
      <c r="URI45" s="92" t="s">
        <v>54</v>
      </c>
      <c r="URJ45" s="92" t="s">
        <v>54</v>
      </c>
      <c r="URK45" s="92" t="s">
        <v>54</v>
      </c>
      <c r="URL45" s="92" t="s">
        <v>54</v>
      </c>
      <c r="URM45" s="92" t="s">
        <v>54</v>
      </c>
      <c r="URN45" s="92" t="s">
        <v>54</v>
      </c>
      <c r="URO45" s="92" t="s">
        <v>54</v>
      </c>
      <c r="URP45" s="92" t="s">
        <v>54</v>
      </c>
      <c r="URQ45" s="92" t="s">
        <v>54</v>
      </c>
      <c r="URR45" s="92" t="s">
        <v>54</v>
      </c>
      <c r="URS45" s="92" t="s">
        <v>54</v>
      </c>
      <c r="URT45" s="92" t="s">
        <v>54</v>
      </c>
      <c r="URU45" s="92" t="s">
        <v>54</v>
      </c>
      <c r="URV45" s="92" t="s">
        <v>54</v>
      </c>
      <c r="URW45" s="92" t="s">
        <v>54</v>
      </c>
      <c r="URX45" s="92" t="s">
        <v>54</v>
      </c>
      <c r="URY45" s="92" t="s">
        <v>54</v>
      </c>
      <c r="URZ45" s="92" t="s">
        <v>54</v>
      </c>
      <c r="USA45" s="92" t="s">
        <v>54</v>
      </c>
      <c r="USB45" s="92" t="s">
        <v>54</v>
      </c>
      <c r="USC45" s="92" t="s">
        <v>54</v>
      </c>
      <c r="USD45" s="92" t="s">
        <v>54</v>
      </c>
      <c r="USE45" s="92" t="s">
        <v>54</v>
      </c>
      <c r="USF45" s="92" t="s">
        <v>54</v>
      </c>
      <c r="USG45" s="92" t="s">
        <v>54</v>
      </c>
      <c r="USH45" s="92" t="s">
        <v>54</v>
      </c>
      <c r="USI45" s="92" t="s">
        <v>54</v>
      </c>
      <c r="USJ45" s="92" t="s">
        <v>54</v>
      </c>
      <c r="USK45" s="92" t="s">
        <v>54</v>
      </c>
      <c r="USL45" s="92" t="s">
        <v>54</v>
      </c>
      <c r="USM45" s="92" t="s">
        <v>54</v>
      </c>
      <c r="USN45" s="92" t="s">
        <v>54</v>
      </c>
      <c r="USO45" s="92" t="s">
        <v>54</v>
      </c>
      <c r="USP45" s="92" t="s">
        <v>54</v>
      </c>
      <c r="USQ45" s="92" t="s">
        <v>54</v>
      </c>
      <c r="USR45" s="92" t="s">
        <v>54</v>
      </c>
      <c r="USS45" s="92" t="s">
        <v>54</v>
      </c>
      <c r="UST45" s="92" t="s">
        <v>54</v>
      </c>
      <c r="USU45" s="92" t="s">
        <v>54</v>
      </c>
      <c r="USV45" s="92" t="s">
        <v>54</v>
      </c>
      <c r="USW45" s="92" t="s">
        <v>54</v>
      </c>
      <c r="USX45" s="92" t="s">
        <v>54</v>
      </c>
      <c r="USY45" s="92" t="s">
        <v>54</v>
      </c>
      <c r="USZ45" s="92" t="s">
        <v>54</v>
      </c>
      <c r="UTA45" s="92" t="s">
        <v>54</v>
      </c>
      <c r="UTB45" s="92" t="s">
        <v>54</v>
      </c>
      <c r="UTC45" s="92" t="s">
        <v>54</v>
      </c>
      <c r="UTD45" s="92" t="s">
        <v>54</v>
      </c>
      <c r="UTE45" s="92" t="s">
        <v>54</v>
      </c>
      <c r="UTF45" s="92" t="s">
        <v>54</v>
      </c>
      <c r="UTG45" s="92" t="s">
        <v>54</v>
      </c>
      <c r="UTH45" s="92" t="s">
        <v>54</v>
      </c>
      <c r="UTI45" s="92" t="s">
        <v>54</v>
      </c>
      <c r="UTJ45" s="92" t="s">
        <v>54</v>
      </c>
      <c r="UTK45" s="92" t="s">
        <v>54</v>
      </c>
      <c r="UTL45" s="92" t="s">
        <v>54</v>
      </c>
      <c r="UTM45" s="92" t="s">
        <v>54</v>
      </c>
      <c r="UTN45" s="92" t="s">
        <v>54</v>
      </c>
      <c r="UTO45" s="92" t="s">
        <v>54</v>
      </c>
      <c r="UTP45" s="92" t="s">
        <v>54</v>
      </c>
      <c r="UTQ45" s="92" t="s">
        <v>54</v>
      </c>
      <c r="UTR45" s="92" t="s">
        <v>54</v>
      </c>
      <c r="UTS45" s="92" t="s">
        <v>54</v>
      </c>
      <c r="UTT45" s="92" t="s">
        <v>54</v>
      </c>
      <c r="UTU45" s="92" t="s">
        <v>54</v>
      </c>
      <c r="UTV45" s="92" t="s">
        <v>54</v>
      </c>
      <c r="UTW45" s="92" t="s">
        <v>54</v>
      </c>
      <c r="UTX45" s="92" t="s">
        <v>54</v>
      </c>
      <c r="UTY45" s="92" t="s">
        <v>54</v>
      </c>
      <c r="UTZ45" s="92" t="s">
        <v>54</v>
      </c>
      <c r="UUA45" s="92" t="s">
        <v>54</v>
      </c>
      <c r="UUB45" s="92" t="s">
        <v>54</v>
      </c>
      <c r="UUC45" s="92" t="s">
        <v>54</v>
      </c>
      <c r="UUD45" s="92" t="s">
        <v>54</v>
      </c>
      <c r="UUE45" s="92" t="s">
        <v>54</v>
      </c>
      <c r="UUF45" s="92" t="s">
        <v>54</v>
      </c>
      <c r="UUG45" s="92" t="s">
        <v>54</v>
      </c>
      <c r="UUH45" s="92" t="s">
        <v>54</v>
      </c>
      <c r="UUI45" s="92" t="s">
        <v>54</v>
      </c>
      <c r="UUJ45" s="92" t="s">
        <v>54</v>
      </c>
      <c r="UUK45" s="92" t="s">
        <v>54</v>
      </c>
      <c r="UUL45" s="92" t="s">
        <v>54</v>
      </c>
      <c r="UUM45" s="92" t="s">
        <v>54</v>
      </c>
      <c r="UUN45" s="92" t="s">
        <v>54</v>
      </c>
      <c r="UUO45" s="92" t="s">
        <v>54</v>
      </c>
      <c r="UUP45" s="92" t="s">
        <v>54</v>
      </c>
      <c r="UUQ45" s="92" t="s">
        <v>54</v>
      </c>
      <c r="UUR45" s="92" t="s">
        <v>54</v>
      </c>
      <c r="UUS45" s="92" t="s">
        <v>54</v>
      </c>
      <c r="UUT45" s="92" t="s">
        <v>54</v>
      </c>
      <c r="UUU45" s="92" t="s">
        <v>54</v>
      </c>
      <c r="UUV45" s="92" t="s">
        <v>54</v>
      </c>
      <c r="UUW45" s="92" t="s">
        <v>54</v>
      </c>
      <c r="UUX45" s="92" t="s">
        <v>54</v>
      </c>
      <c r="UUY45" s="92" t="s">
        <v>54</v>
      </c>
      <c r="UUZ45" s="92" t="s">
        <v>54</v>
      </c>
      <c r="UVA45" s="92" t="s">
        <v>54</v>
      </c>
      <c r="UVB45" s="92" t="s">
        <v>54</v>
      </c>
      <c r="UVC45" s="92" t="s">
        <v>54</v>
      </c>
      <c r="UVD45" s="92" t="s">
        <v>54</v>
      </c>
      <c r="UVE45" s="92" t="s">
        <v>54</v>
      </c>
      <c r="UVF45" s="92" t="s">
        <v>54</v>
      </c>
      <c r="UVG45" s="92" t="s">
        <v>54</v>
      </c>
      <c r="UVH45" s="92" t="s">
        <v>54</v>
      </c>
      <c r="UVI45" s="92" t="s">
        <v>54</v>
      </c>
      <c r="UVJ45" s="92" t="s">
        <v>54</v>
      </c>
      <c r="UVK45" s="92" t="s">
        <v>54</v>
      </c>
      <c r="UVL45" s="92" t="s">
        <v>54</v>
      </c>
      <c r="UVM45" s="92" t="s">
        <v>54</v>
      </c>
      <c r="UVN45" s="92" t="s">
        <v>54</v>
      </c>
      <c r="UVO45" s="92" t="s">
        <v>54</v>
      </c>
      <c r="UVP45" s="92" t="s">
        <v>54</v>
      </c>
      <c r="UVQ45" s="92" t="s">
        <v>54</v>
      </c>
      <c r="UVR45" s="92" t="s">
        <v>54</v>
      </c>
      <c r="UVS45" s="92" t="s">
        <v>54</v>
      </c>
      <c r="UVT45" s="92" t="s">
        <v>54</v>
      </c>
      <c r="UVU45" s="92" t="s">
        <v>54</v>
      </c>
      <c r="UVV45" s="92" t="s">
        <v>54</v>
      </c>
      <c r="UVW45" s="92" t="s">
        <v>54</v>
      </c>
      <c r="UVX45" s="92" t="s">
        <v>54</v>
      </c>
      <c r="UVY45" s="92" t="s">
        <v>54</v>
      </c>
      <c r="UVZ45" s="92" t="s">
        <v>54</v>
      </c>
      <c r="UWA45" s="92" t="s">
        <v>54</v>
      </c>
      <c r="UWB45" s="92" t="s">
        <v>54</v>
      </c>
      <c r="UWC45" s="92" t="s">
        <v>54</v>
      </c>
      <c r="UWD45" s="92" t="s">
        <v>54</v>
      </c>
      <c r="UWE45" s="92" t="s">
        <v>54</v>
      </c>
      <c r="UWF45" s="92" t="s">
        <v>54</v>
      </c>
      <c r="UWG45" s="92" t="s">
        <v>54</v>
      </c>
      <c r="UWH45" s="92" t="s">
        <v>54</v>
      </c>
      <c r="UWI45" s="92" t="s">
        <v>54</v>
      </c>
      <c r="UWJ45" s="92" t="s">
        <v>54</v>
      </c>
      <c r="UWK45" s="92" t="s">
        <v>54</v>
      </c>
      <c r="UWL45" s="92" t="s">
        <v>54</v>
      </c>
      <c r="UWM45" s="92" t="s">
        <v>54</v>
      </c>
      <c r="UWN45" s="92" t="s">
        <v>54</v>
      </c>
      <c r="UWO45" s="92" t="s">
        <v>54</v>
      </c>
      <c r="UWP45" s="92" t="s">
        <v>54</v>
      </c>
      <c r="UWQ45" s="92" t="s">
        <v>54</v>
      </c>
      <c r="UWR45" s="92" t="s">
        <v>54</v>
      </c>
      <c r="UWS45" s="92" t="s">
        <v>54</v>
      </c>
      <c r="UWT45" s="92" t="s">
        <v>54</v>
      </c>
      <c r="UWU45" s="92" t="s">
        <v>54</v>
      </c>
      <c r="UWV45" s="92" t="s">
        <v>54</v>
      </c>
      <c r="UWW45" s="92" t="s">
        <v>54</v>
      </c>
      <c r="UWX45" s="92" t="s">
        <v>54</v>
      </c>
      <c r="UWY45" s="92" t="s">
        <v>54</v>
      </c>
      <c r="UWZ45" s="92" t="s">
        <v>54</v>
      </c>
      <c r="UXA45" s="92" t="s">
        <v>54</v>
      </c>
      <c r="UXB45" s="92" t="s">
        <v>54</v>
      </c>
      <c r="UXC45" s="92" t="s">
        <v>54</v>
      </c>
      <c r="UXD45" s="92" t="s">
        <v>54</v>
      </c>
      <c r="UXE45" s="92" t="s">
        <v>54</v>
      </c>
      <c r="UXF45" s="92" t="s">
        <v>54</v>
      </c>
      <c r="UXG45" s="92" t="s">
        <v>54</v>
      </c>
      <c r="UXH45" s="92" t="s">
        <v>54</v>
      </c>
      <c r="UXI45" s="92" t="s">
        <v>54</v>
      </c>
      <c r="UXJ45" s="92" t="s">
        <v>54</v>
      </c>
      <c r="UXK45" s="92" t="s">
        <v>54</v>
      </c>
      <c r="UXL45" s="92" t="s">
        <v>54</v>
      </c>
      <c r="UXM45" s="92" t="s">
        <v>54</v>
      </c>
      <c r="UXN45" s="92" t="s">
        <v>54</v>
      </c>
      <c r="UXO45" s="92" t="s">
        <v>54</v>
      </c>
      <c r="UXP45" s="92" t="s">
        <v>54</v>
      </c>
      <c r="UXQ45" s="92" t="s">
        <v>54</v>
      </c>
      <c r="UXR45" s="92" t="s">
        <v>54</v>
      </c>
      <c r="UXS45" s="92" t="s">
        <v>54</v>
      </c>
      <c r="UXT45" s="92" t="s">
        <v>54</v>
      </c>
      <c r="UXU45" s="92" t="s">
        <v>54</v>
      </c>
      <c r="UXV45" s="92" t="s">
        <v>54</v>
      </c>
      <c r="UXW45" s="92" t="s">
        <v>54</v>
      </c>
      <c r="UXX45" s="92" t="s">
        <v>54</v>
      </c>
      <c r="UXY45" s="92" t="s">
        <v>54</v>
      </c>
      <c r="UXZ45" s="92" t="s">
        <v>54</v>
      </c>
      <c r="UYA45" s="92" t="s">
        <v>54</v>
      </c>
      <c r="UYB45" s="92" t="s">
        <v>54</v>
      </c>
      <c r="UYC45" s="92" t="s">
        <v>54</v>
      </c>
      <c r="UYD45" s="92" t="s">
        <v>54</v>
      </c>
      <c r="UYE45" s="92" t="s">
        <v>54</v>
      </c>
      <c r="UYF45" s="92" t="s">
        <v>54</v>
      </c>
      <c r="UYG45" s="92" t="s">
        <v>54</v>
      </c>
      <c r="UYH45" s="92" t="s">
        <v>54</v>
      </c>
      <c r="UYI45" s="92" t="s">
        <v>54</v>
      </c>
      <c r="UYJ45" s="92" t="s">
        <v>54</v>
      </c>
      <c r="UYK45" s="92" t="s">
        <v>54</v>
      </c>
      <c r="UYL45" s="92" t="s">
        <v>54</v>
      </c>
      <c r="UYM45" s="92" t="s">
        <v>54</v>
      </c>
      <c r="UYN45" s="92" t="s">
        <v>54</v>
      </c>
      <c r="UYO45" s="92" t="s">
        <v>54</v>
      </c>
      <c r="UYP45" s="92" t="s">
        <v>54</v>
      </c>
      <c r="UYQ45" s="92" t="s">
        <v>54</v>
      </c>
      <c r="UYR45" s="92" t="s">
        <v>54</v>
      </c>
      <c r="UYS45" s="92" t="s">
        <v>54</v>
      </c>
      <c r="UYT45" s="92" t="s">
        <v>54</v>
      </c>
      <c r="UYU45" s="92" t="s">
        <v>54</v>
      </c>
      <c r="UYV45" s="92" t="s">
        <v>54</v>
      </c>
      <c r="UYW45" s="92" t="s">
        <v>54</v>
      </c>
      <c r="UYX45" s="92" t="s">
        <v>54</v>
      </c>
      <c r="UYY45" s="92" t="s">
        <v>54</v>
      </c>
      <c r="UYZ45" s="92" t="s">
        <v>54</v>
      </c>
      <c r="UZA45" s="92" t="s">
        <v>54</v>
      </c>
      <c r="UZB45" s="92" t="s">
        <v>54</v>
      </c>
      <c r="UZC45" s="92" t="s">
        <v>54</v>
      </c>
      <c r="UZD45" s="92" t="s">
        <v>54</v>
      </c>
      <c r="UZE45" s="92" t="s">
        <v>54</v>
      </c>
      <c r="UZF45" s="92" t="s">
        <v>54</v>
      </c>
      <c r="UZG45" s="92" t="s">
        <v>54</v>
      </c>
      <c r="UZH45" s="92" t="s">
        <v>54</v>
      </c>
      <c r="UZI45" s="92" t="s">
        <v>54</v>
      </c>
      <c r="UZJ45" s="92" t="s">
        <v>54</v>
      </c>
      <c r="UZK45" s="92" t="s">
        <v>54</v>
      </c>
      <c r="UZL45" s="92" t="s">
        <v>54</v>
      </c>
      <c r="UZM45" s="92" t="s">
        <v>54</v>
      </c>
      <c r="UZN45" s="92" t="s">
        <v>54</v>
      </c>
      <c r="UZO45" s="92" t="s">
        <v>54</v>
      </c>
      <c r="UZP45" s="92" t="s">
        <v>54</v>
      </c>
      <c r="UZQ45" s="92" t="s">
        <v>54</v>
      </c>
      <c r="UZR45" s="92" t="s">
        <v>54</v>
      </c>
      <c r="UZS45" s="92" t="s">
        <v>54</v>
      </c>
      <c r="UZT45" s="92" t="s">
        <v>54</v>
      </c>
      <c r="UZU45" s="92" t="s">
        <v>54</v>
      </c>
      <c r="UZV45" s="92" t="s">
        <v>54</v>
      </c>
      <c r="UZW45" s="92" t="s">
        <v>54</v>
      </c>
      <c r="UZX45" s="92" t="s">
        <v>54</v>
      </c>
      <c r="UZY45" s="92" t="s">
        <v>54</v>
      </c>
      <c r="UZZ45" s="92" t="s">
        <v>54</v>
      </c>
      <c r="VAA45" s="92" t="s">
        <v>54</v>
      </c>
      <c r="VAB45" s="92" t="s">
        <v>54</v>
      </c>
      <c r="VAC45" s="92" t="s">
        <v>54</v>
      </c>
      <c r="VAD45" s="92" t="s">
        <v>54</v>
      </c>
      <c r="VAE45" s="92" t="s">
        <v>54</v>
      </c>
      <c r="VAF45" s="92" t="s">
        <v>54</v>
      </c>
      <c r="VAG45" s="92" t="s">
        <v>54</v>
      </c>
      <c r="VAH45" s="92" t="s">
        <v>54</v>
      </c>
      <c r="VAI45" s="92" t="s">
        <v>54</v>
      </c>
      <c r="VAJ45" s="92" t="s">
        <v>54</v>
      </c>
      <c r="VAK45" s="92" t="s">
        <v>54</v>
      </c>
      <c r="VAL45" s="92" t="s">
        <v>54</v>
      </c>
      <c r="VAM45" s="92" t="s">
        <v>54</v>
      </c>
      <c r="VAN45" s="92" t="s">
        <v>54</v>
      </c>
      <c r="VAO45" s="92" t="s">
        <v>54</v>
      </c>
      <c r="VAP45" s="92" t="s">
        <v>54</v>
      </c>
      <c r="VAQ45" s="92" t="s">
        <v>54</v>
      </c>
      <c r="VAR45" s="92" t="s">
        <v>54</v>
      </c>
      <c r="VAS45" s="92" t="s">
        <v>54</v>
      </c>
      <c r="VAT45" s="92" t="s">
        <v>54</v>
      </c>
      <c r="VAU45" s="92" t="s">
        <v>54</v>
      </c>
      <c r="VAV45" s="92" t="s">
        <v>54</v>
      </c>
      <c r="VAW45" s="92" t="s">
        <v>54</v>
      </c>
      <c r="VAX45" s="92" t="s">
        <v>54</v>
      </c>
      <c r="VAY45" s="92" t="s">
        <v>54</v>
      </c>
      <c r="VAZ45" s="92" t="s">
        <v>54</v>
      </c>
      <c r="VBA45" s="92" t="s">
        <v>54</v>
      </c>
      <c r="VBB45" s="92" t="s">
        <v>54</v>
      </c>
      <c r="VBC45" s="92" t="s">
        <v>54</v>
      </c>
      <c r="VBD45" s="92" t="s">
        <v>54</v>
      </c>
      <c r="VBE45" s="92" t="s">
        <v>54</v>
      </c>
      <c r="VBF45" s="92" t="s">
        <v>54</v>
      </c>
      <c r="VBG45" s="92" t="s">
        <v>54</v>
      </c>
      <c r="VBH45" s="92" t="s">
        <v>54</v>
      </c>
      <c r="VBI45" s="92" t="s">
        <v>54</v>
      </c>
      <c r="VBJ45" s="92" t="s">
        <v>54</v>
      </c>
      <c r="VBK45" s="92" t="s">
        <v>54</v>
      </c>
      <c r="VBL45" s="92" t="s">
        <v>54</v>
      </c>
      <c r="VBM45" s="92" t="s">
        <v>54</v>
      </c>
      <c r="VBN45" s="92" t="s">
        <v>54</v>
      </c>
      <c r="VBO45" s="92" t="s">
        <v>54</v>
      </c>
      <c r="VBP45" s="92" t="s">
        <v>54</v>
      </c>
      <c r="VBQ45" s="92" t="s">
        <v>54</v>
      </c>
      <c r="VBR45" s="92" t="s">
        <v>54</v>
      </c>
      <c r="VBS45" s="92" t="s">
        <v>54</v>
      </c>
      <c r="VBT45" s="92" t="s">
        <v>54</v>
      </c>
      <c r="VBU45" s="92" t="s">
        <v>54</v>
      </c>
      <c r="VBV45" s="92" t="s">
        <v>54</v>
      </c>
      <c r="VBW45" s="92" t="s">
        <v>54</v>
      </c>
      <c r="VBX45" s="92" t="s">
        <v>54</v>
      </c>
      <c r="VBY45" s="92" t="s">
        <v>54</v>
      </c>
      <c r="VBZ45" s="92" t="s">
        <v>54</v>
      </c>
      <c r="VCA45" s="92" t="s">
        <v>54</v>
      </c>
      <c r="VCB45" s="92" t="s">
        <v>54</v>
      </c>
      <c r="VCC45" s="92" t="s">
        <v>54</v>
      </c>
      <c r="VCD45" s="92" t="s">
        <v>54</v>
      </c>
      <c r="VCE45" s="92" t="s">
        <v>54</v>
      </c>
      <c r="VCF45" s="92" t="s">
        <v>54</v>
      </c>
      <c r="VCG45" s="92" t="s">
        <v>54</v>
      </c>
      <c r="VCH45" s="92" t="s">
        <v>54</v>
      </c>
      <c r="VCI45" s="92" t="s">
        <v>54</v>
      </c>
      <c r="VCJ45" s="92" t="s">
        <v>54</v>
      </c>
      <c r="VCK45" s="92" t="s">
        <v>54</v>
      </c>
      <c r="VCL45" s="92" t="s">
        <v>54</v>
      </c>
      <c r="VCM45" s="92" t="s">
        <v>54</v>
      </c>
      <c r="VCN45" s="92" t="s">
        <v>54</v>
      </c>
      <c r="VCO45" s="92" t="s">
        <v>54</v>
      </c>
      <c r="VCP45" s="92" t="s">
        <v>54</v>
      </c>
      <c r="VCQ45" s="92" t="s">
        <v>54</v>
      </c>
      <c r="VCR45" s="92" t="s">
        <v>54</v>
      </c>
      <c r="VCS45" s="92" t="s">
        <v>54</v>
      </c>
      <c r="VCT45" s="92" t="s">
        <v>54</v>
      </c>
      <c r="VCU45" s="92" t="s">
        <v>54</v>
      </c>
      <c r="VCV45" s="92" t="s">
        <v>54</v>
      </c>
      <c r="VCW45" s="92" t="s">
        <v>54</v>
      </c>
      <c r="VCX45" s="92" t="s">
        <v>54</v>
      </c>
      <c r="VCY45" s="92" t="s">
        <v>54</v>
      </c>
      <c r="VCZ45" s="92" t="s">
        <v>54</v>
      </c>
      <c r="VDA45" s="92" t="s">
        <v>54</v>
      </c>
      <c r="VDB45" s="92" t="s">
        <v>54</v>
      </c>
      <c r="VDC45" s="92" t="s">
        <v>54</v>
      </c>
      <c r="VDD45" s="92" t="s">
        <v>54</v>
      </c>
      <c r="VDE45" s="92" t="s">
        <v>54</v>
      </c>
      <c r="VDF45" s="92" t="s">
        <v>54</v>
      </c>
      <c r="VDG45" s="92" t="s">
        <v>54</v>
      </c>
      <c r="VDH45" s="92" t="s">
        <v>54</v>
      </c>
      <c r="VDI45" s="92" t="s">
        <v>54</v>
      </c>
      <c r="VDJ45" s="92" t="s">
        <v>54</v>
      </c>
      <c r="VDK45" s="92" t="s">
        <v>54</v>
      </c>
      <c r="VDL45" s="92" t="s">
        <v>54</v>
      </c>
      <c r="VDM45" s="92" t="s">
        <v>54</v>
      </c>
      <c r="VDN45" s="92" t="s">
        <v>54</v>
      </c>
      <c r="VDO45" s="92" t="s">
        <v>54</v>
      </c>
      <c r="VDP45" s="92" t="s">
        <v>54</v>
      </c>
      <c r="VDQ45" s="92" t="s">
        <v>54</v>
      </c>
      <c r="VDR45" s="92" t="s">
        <v>54</v>
      </c>
      <c r="VDS45" s="92" t="s">
        <v>54</v>
      </c>
      <c r="VDT45" s="92" t="s">
        <v>54</v>
      </c>
      <c r="VDU45" s="92" t="s">
        <v>54</v>
      </c>
      <c r="VDV45" s="92" t="s">
        <v>54</v>
      </c>
      <c r="VDW45" s="92" t="s">
        <v>54</v>
      </c>
      <c r="VDX45" s="92" t="s">
        <v>54</v>
      </c>
      <c r="VDY45" s="92" t="s">
        <v>54</v>
      </c>
      <c r="VDZ45" s="92" t="s">
        <v>54</v>
      </c>
      <c r="VEA45" s="92" t="s">
        <v>54</v>
      </c>
      <c r="VEB45" s="92" t="s">
        <v>54</v>
      </c>
      <c r="VEC45" s="92" t="s">
        <v>54</v>
      </c>
      <c r="VED45" s="92" t="s">
        <v>54</v>
      </c>
      <c r="VEE45" s="92" t="s">
        <v>54</v>
      </c>
      <c r="VEF45" s="92" t="s">
        <v>54</v>
      </c>
      <c r="VEG45" s="92" t="s">
        <v>54</v>
      </c>
      <c r="VEH45" s="92" t="s">
        <v>54</v>
      </c>
      <c r="VEI45" s="92" t="s">
        <v>54</v>
      </c>
      <c r="VEJ45" s="92" t="s">
        <v>54</v>
      </c>
      <c r="VEK45" s="92" t="s">
        <v>54</v>
      </c>
      <c r="VEL45" s="92" t="s">
        <v>54</v>
      </c>
      <c r="VEM45" s="92" t="s">
        <v>54</v>
      </c>
      <c r="VEN45" s="92" t="s">
        <v>54</v>
      </c>
      <c r="VEO45" s="92" t="s">
        <v>54</v>
      </c>
      <c r="VEP45" s="92" t="s">
        <v>54</v>
      </c>
      <c r="VEQ45" s="92" t="s">
        <v>54</v>
      </c>
      <c r="VER45" s="92" t="s">
        <v>54</v>
      </c>
      <c r="VES45" s="92" t="s">
        <v>54</v>
      </c>
      <c r="VET45" s="92" t="s">
        <v>54</v>
      </c>
      <c r="VEU45" s="92" t="s">
        <v>54</v>
      </c>
      <c r="VEV45" s="92" t="s">
        <v>54</v>
      </c>
      <c r="VEW45" s="92" t="s">
        <v>54</v>
      </c>
      <c r="VEX45" s="92" t="s">
        <v>54</v>
      </c>
      <c r="VEY45" s="92" t="s">
        <v>54</v>
      </c>
      <c r="VEZ45" s="92" t="s">
        <v>54</v>
      </c>
      <c r="VFA45" s="92" t="s">
        <v>54</v>
      </c>
      <c r="VFB45" s="92" t="s">
        <v>54</v>
      </c>
      <c r="VFC45" s="92" t="s">
        <v>54</v>
      </c>
      <c r="VFD45" s="92" t="s">
        <v>54</v>
      </c>
      <c r="VFE45" s="92" t="s">
        <v>54</v>
      </c>
      <c r="VFF45" s="92" t="s">
        <v>54</v>
      </c>
      <c r="VFG45" s="92" t="s">
        <v>54</v>
      </c>
      <c r="VFH45" s="92" t="s">
        <v>54</v>
      </c>
      <c r="VFI45" s="92" t="s">
        <v>54</v>
      </c>
      <c r="VFJ45" s="92" t="s">
        <v>54</v>
      </c>
      <c r="VFK45" s="92" t="s">
        <v>54</v>
      </c>
      <c r="VFL45" s="92" t="s">
        <v>54</v>
      </c>
      <c r="VFM45" s="92" t="s">
        <v>54</v>
      </c>
      <c r="VFN45" s="92" t="s">
        <v>54</v>
      </c>
      <c r="VFO45" s="92" t="s">
        <v>54</v>
      </c>
      <c r="VFP45" s="92" t="s">
        <v>54</v>
      </c>
      <c r="VFQ45" s="92" t="s">
        <v>54</v>
      </c>
      <c r="VFR45" s="92" t="s">
        <v>54</v>
      </c>
      <c r="VFS45" s="92" t="s">
        <v>54</v>
      </c>
      <c r="VFT45" s="92" t="s">
        <v>54</v>
      </c>
      <c r="VFU45" s="92" t="s">
        <v>54</v>
      </c>
      <c r="VFV45" s="92" t="s">
        <v>54</v>
      </c>
      <c r="VFW45" s="92" t="s">
        <v>54</v>
      </c>
      <c r="VFX45" s="92" t="s">
        <v>54</v>
      </c>
      <c r="VFY45" s="92" t="s">
        <v>54</v>
      </c>
      <c r="VFZ45" s="92" t="s">
        <v>54</v>
      </c>
      <c r="VGA45" s="92" t="s">
        <v>54</v>
      </c>
      <c r="VGB45" s="92" t="s">
        <v>54</v>
      </c>
      <c r="VGC45" s="92" t="s">
        <v>54</v>
      </c>
      <c r="VGD45" s="92" t="s">
        <v>54</v>
      </c>
      <c r="VGE45" s="92" t="s">
        <v>54</v>
      </c>
      <c r="VGF45" s="92" t="s">
        <v>54</v>
      </c>
      <c r="VGG45" s="92" t="s">
        <v>54</v>
      </c>
      <c r="VGH45" s="92" t="s">
        <v>54</v>
      </c>
      <c r="VGI45" s="92" t="s">
        <v>54</v>
      </c>
      <c r="VGJ45" s="92" t="s">
        <v>54</v>
      </c>
      <c r="VGK45" s="92" t="s">
        <v>54</v>
      </c>
      <c r="VGL45" s="92" t="s">
        <v>54</v>
      </c>
      <c r="VGM45" s="92" t="s">
        <v>54</v>
      </c>
      <c r="VGN45" s="92" t="s">
        <v>54</v>
      </c>
      <c r="VGO45" s="92" t="s">
        <v>54</v>
      </c>
      <c r="VGP45" s="92" t="s">
        <v>54</v>
      </c>
      <c r="VGQ45" s="92" t="s">
        <v>54</v>
      </c>
      <c r="VGR45" s="92" t="s">
        <v>54</v>
      </c>
      <c r="VGS45" s="92" t="s">
        <v>54</v>
      </c>
      <c r="VGT45" s="92" t="s">
        <v>54</v>
      </c>
      <c r="VGU45" s="92" t="s">
        <v>54</v>
      </c>
      <c r="VGV45" s="92" t="s">
        <v>54</v>
      </c>
      <c r="VGW45" s="92" t="s">
        <v>54</v>
      </c>
      <c r="VGX45" s="92" t="s">
        <v>54</v>
      </c>
      <c r="VGY45" s="92" t="s">
        <v>54</v>
      </c>
      <c r="VGZ45" s="92" t="s">
        <v>54</v>
      </c>
      <c r="VHA45" s="92" t="s">
        <v>54</v>
      </c>
      <c r="VHB45" s="92" t="s">
        <v>54</v>
      </c>
      <c r="VHC45" s="92" t="s">
        <v>54</v>
      </c>
      <c r="VHD45" s="92" t="s">
        <v>54</v>
      </c>
      <c r="VHE45" s="92" t="s">
        <v>54</v>
      </c>
      <c r="VHF45" s="92" t="s">
        <v>54</v>
      </c>
      <c r="VHG45" s="92" t="s">
        <v>54</v>
      </c>
      <c r="VHH45" s="92" t="s">
        <v>54</v>
      </c>
      <c r="VHI45" s="92" t="s">
        <v>54</v>
      </c>
      <c r="VHJ45" s="92" t="s">
        <v>54</v>
      </c>
      <c r="VHK45" s="92" t="s">
        <v>54</v>
      </c>
      <c r="VHL45" s="92" t="s">
        <v>54</v>
      </c>
      <c r="VHM45" s="92" t="s">
        <v>54</v>
      </c>
      <c r="VHN45" s="92" t="s">
        <v>54</v>
      </c>
      <c r="VHO45" s="92" t="s">
        <v>54</v>
      </c>
      <c r="VHP45" s="92" t="s">
        <v>54</v>
      </c>
      <c r="VHQ45" s="92" t="s">
        <v>54</v>
      </c>
      <c r="VHR45" s="92" t="s">
        <v>54</v>
      </c>
      <c r="VHS45" s="92" t="s">
        <v>54</v>
      </c>
      <c r="VHT45" s="92" t="s">
        <v>54</v>
      </c>
      <c r="VHU45" s="92" t="s">
        <v>54</v>
      </c>
      <c r="VHV45" s="92" t="s">
        <v>54</v>
      </c>
      <c r="VHW45" s="92" t="s">
        <v>54</v>
      </c>
      <c r="VHX45" s="92" t="s">
        <v>54</v>
      </c>
      <c r="VHY45" s="92" t="s">
        <v>54</v>
      </c>
      <c r="VHZ45" s="92" t="s">
        <v>54</v>
      </c>
      <c r="VIA45" s="92" t="s">
        <v>54</v>
      </c>
      <c r="VIB45" s="92" t="s">
        <v>54</v>
      </c>
      <c r="VIC45" s="92" t="s">
        <v>54</v>
      </c>
      <c r="VID45" s="92" t="s">
        <v>54</v>
      </c>
      <c r="VIE45" s="92" t="s">
        <v>54</v>
      </c>
      <c r="VIF45" s="92" t="s">
        <v>54</v>
      </c>
      <c r="VIG45" s="92" t="s">
        <v>54</v>
      </c>
      <c r="VIH45" s="92" t="s">
        <v>54</v>
      </c>
      <c r="VII45" s="92" t="s">
        <v>54</v>
      </c>
      <c r="VIJ45" s="92" t="s">
        <v>54</v>
      </c>
      <c r="VIK45" s="92" t="s">
        <v>54</v>
      </c>
      <c r="VIL45" s="92" t="s">
        <v>54</v>
      </c>
      <c r="VIM45" s="92" t="s">
        <v>54</v>
      </c>
      <c r="VIN45" s="92" t="s">
        <v>54</v>
      </c>
      <c r="VIO45" s="92" t="s">
        <v>54</v>
      </c>
      <c r="VIP45" s="92" t="s">
        <v>54</v>
      </c>
      <c r="VIQ45" s="92" t="s">
        <v>54</v>
      </c>
      <c r="VIR45" s="92" t="s">
        <v>54</v>
      </c>
      <c r="VIS45" s="92" t="s">
        <v>54</v>
      </c>
      <c r="VIT45" s="92" t="s">
        <v>54</v>
      </c>
      <c r="VIU45" s="92" t="s">
        <v>54</v>
      </c>
      <c r="VIV45" s="92" t="s">
        <v>54</v>
      </c>
      <c r="VIW45" s="92" t="s">
        <v>54</v>
      </c>
      <c r="VIX45" s="92" t="s">
        <v>54</v>
      </c>
      <c r="VIY45" s="92" t="s">
        <v>54</v>
      </c>
      <c r="VIZ45" s="92" t="s">
        <v>54</v>
      </c>
      <c r="VJA45" s="92" t="s">
        <v>54</v>
      </c>
      <c r="VJB45" s="92" t="s">
        <v>54</v>
      </c>
      <c r="VJC45" s="92" t="s">
        <v>54</v>
      </c>
      <c r="VJD45" s="92" t="s">
        <v>54</v>
      </c>
      <c r="VJE45" s="92" t="s">
        <v>54</v>
      </c>
      <c r="VJF45" s="92" t="s">
        <v>54</v>
      </c>
      <c r="VJG45" s="92" t="s">
        <v>54</v>
      </c>
      <c r="VJH45" s="92" t="s">
        <v>54</v>
      </c>
      <c r="VJI45" s="92" t="s">
        <v>54</v>
      </c>
      <c r="VJJ45" s="92" t="s">
        <v>54</v>
      </c>
      <c r="VJK45" s="92" t="s">
        <v>54</v>
      </c>
      <c r="VJL45" s="92" t="s">
        <v>54</v>
      </c>
      <c r="VJM45" s="92" t="s">
        <v>54</v>
      </c>
      <c r="VJN45" s="92" t="s">
        <v>54</v>
      </c>
      <c r="VJO45" s="92" t="s">
        <v>54</v>
      </c>
      <c r="VJP45" s="92" t="s">
        <v>54</v>
      </c>
      <c r="VJQ45" s="92" t="s">
        <v>54</v>
      </c>
      <c r="VJR45" s="92" t="s">
        <v>54</v>
      </c>
      <c r="VJS45" s="92" t="s">
        <v>54</v>
      </c>
      <c r="VJT45" s="92" t="s">
        <v>54</v>
      </c>
      <c r="VJU45" s="92" t="s">
        <v>54</v>
      </c>
      <c r="VJV45" s="92" t="s">
        <v>54</v>
      </c>
      <c r="VJW45" s="92" t="s">
        <v>54</v>
      </c>
      <c r="VJX45" s="92" t="s">
        <v>54</v>
      </c>
      <c r="VJY45" s="92" t="s">
        <v>54</v>
      </c>
      <c r="VJZ45" s="92" t="s">
        <v>54</v>
      </c>
      <c r="VKA45" s="92" t="s">
        <v>54</v>
      </c>
      <c r="VKB45" s="92" t="s">
        <v>54</v>
      </c>
      <c r="VKC45" s="92" t="s">
        <v>54</v>
      </c>
      <c r="VKD45" s="92" t="s">
        <v>54</v>
      </c>
      <c r="VKE45" s="92" t="s">
        <v>54</v>
      </c>
      <c r="VKF45" s="92" t="s">
        <v>54</v>
      </c>
      <c r="VKG45" s="92" t="s">
        <v>54</v>
      </c>
      <c r="VKH45" s="92" t="s">
        <v>54</v>
      </c>
      <c r="VKI45" s="92" t="s">
        <v>54</v>
      </c>
      <c r="VKJ45" s="92" t="s">
        <v>54</v>
      </c>
      <c r="VKK45" s="92" t="s">
        <v>54</v>
      </c>
      <c r="VKL45" s="92" t="s">
        <v>54</v>
      </c>
      <c r="VKM45" s="92" t="s">
        <v>54</v>
      </c>
      <c r="VKN45" s="92" t="s">
        <v>54</v>
      </c>
      <c r="VKO45" s="92" t="s">
        <v>54</v>
      </c>
      <c r="VKP45" s="92" t="s">
        <v>54</v>
      </c>
      <c r="VKQ45" s="92" t="s">
        <v>54</v>
      </c>
      <c r="VKR45" s="92" t="s">
        <v>54</v>
      </c>
      <c r="VKS45" s="92" t="s">
        <v>54</v>
      </c>
      <c r="VKT45" s="92" t="s">
        <v>54</v>
      </c>
      <c r="VKU45" s="92" t="s">
        <v>54</v>
      </c>
      <c r="VKV45" s="92" t="s">
        <v>54</v>
      </c>
      <c r="VKW45" s="92" t="s">
        <v>54</v>
      </c>
      <c r="VKX45" s="92" t="s">
        <v>54</v>
      </c>
      <c r="VKY45" s="92" t="s">
        <v>54</v>
      </c>
      <c r="VKZ45" s="92" t="s">
        <v>54</v>
      </c>
      <c r="VLA45" s="92" t="s">
        <v>54</v>
      </c>
      <c r="VLB45" s="92" t="s">
        <v>54</v>
      </c>
      <c r="VLC45" s="92" t="s">
        <v>54</v>
      </c>
      <c r="VLD45" s="92" t="s">
        <v>54</v>
      </c>
      <c r="VLE45" s="92" t="s">
        <v>54</v>
      </c>
      <c r="VLF45" s="92" t="s">
        <v>54</v>
      </c>
      <c r="VLG45" s="92" t="s">
        <v>54</v>
      </c>
      <c r="VLH45" s="92" t="s">
        <v>54</v>
      </c>
      <c r="VLI45" s="92" t="s">
        <v>54</v>
      </c>
      <c r="VLJ45" s="92" t="s">
        <v>54</v>
      </c>
      <c r="VLK45" s="92" t="s">
        <v>54</v>
      </c>
      <c r="VLL45" s="92" t="s">
        <v>54</v>
      </c>
      <c r="VLM45" s="92" t="s">
        <v>54</v>
      </c>
      <c r="VLN45" s="92" t="s">
        <v>54</v>
      </c>
      <c r="VLO45" s="92" t="s">
        <v>54</v>
      </c>
      <c r="VLP45" s="92" t="s">
        <v>54</v>
      </c>
      <c r="VLQ45" s="92" t="s">
        <v>54</v>
      </c>
      <c r="VLR45" s="92" t="s">
        <v>54</v>
      </c>
      <c r="VLS45" s="92" t="s">
        <v>54</v>
      </c>
      <c r="VLT45" s="92" t="s">
        <v>54</v>
      </c>
      <c r="VLU45" s="92" t="s">
        <v>54</v>
      </c>
      <c r="VLV45" s="92" t="s">
        <v>54</v>
      </c>
      <c r="VLW45" s="92" t="s">
        <v>54</v>
      </c>
      <c r="VLX45" s="92" t="s">
        <v>54</v>
      </c>
      <c r="VLY45" s="92" t="s">
        <v>54</v>
      </c>
      <c r="VLZ45" s="92" t="s">
        <v>54</v>
      </c>
      <c r="VMA45" s="92" t="s">
        <v>54</v>
      </c>
      <c r="VMB45" s="92" t="s">
        <v>54</v>
      </c>
      <c r="VMC45" s="92" t="s">
        <v>54</v>
      </c>
      <c r="VMD45" s="92" t="s">
        <v>54</v>
      </c>
      <c r="VME45" s="92" t="s">
        <v>54</v>
      </c>
      <c r="VMF45" s="92" t="s">
        <v>54</v>
      </c>
      <c r="VMG45" s="92" t="s">
        <v>54</v>
      </c>
      <c r="VMH45" s="92" t="s">
        <v>54</v>
      </c>
      <c r="VMI45" s="92" t="s">
        <v>54</v>
      </c>
      <c r="VMJ45" s="92" t="s">
        <v>54</v>
      </c>
      <c r="VMK45" s="92" t="s">
        <v>54</v>
      </c>
      <c r="VML45" s="92" t="s">
        <v>54</v>
      </c>
      <c r="VMM45" s="92" t="s">
        <v>54</v>
      </c>
      <c r="VMN45" s="92" t="s">
        <v>54</v>
      </c>
      <c r="VMO45" s="92" t="s">
        <v>54</v>
      </c>
      <c r="VMP45" s="92" t="s">
        <v>54</v>
      </c>
      <c r="VMQ45" s="92" t="s">
        <v>54</v>
      </c>
      <c r="VMR45" s="92" t="s">
        <v>54</v>
      </c>
      <c r="VMS45" s="92" t="s">
        <v>54</v>
      </c>
      <c r="VMT45" s="92" t="s">
        <v>54</v>
      </c>
      <c r="VMU45" s="92" t="s">
        <v>54</v>
      </c>
      <c r="VMV45" s="92" t="s">
        <v>54</v>
      </c>
      <c r="VMW45" s="92" t="s">
        <v>54</v>
      </c>
      <c r="VMX45" s="92" t="s">
        <v>54</v>
      </c>
      <c r="VMY45" s="92" t="s">
        <v>54</v>
      </c>
      <c r="VMZ45" s="92" t="s">
        <v>54</v>
      </c>
      <c r="VNA45" s="92" t="s">
        <v>54</v>
      </c>
      <c r="VNB45" s="92" t="s">
        <v>54</v>
      </c>
      <c r="VNC45" s="92" t="s">
        <v>54</v>
      </c>
      <c r="VND45" s="92" t="s">
        <v>54</v>
      </c>
      <c r="VNE45" s="92" t="s">
        <v>54</v>
      </c>
      <c r="VNF45" s="92" t="s">
        <v>54</v>
      </c>
      <c r="VNG45" s="92" t="s">
        <v>54</v>
      </c>
      <c r="VNH45" s="92" t="s">
        <v>54</v>
      </c>
      <c r="VNI45" s="92" t="s">
        <v>54</v>
      </c>
      <c r="VNJ45" s="92" t="s">
        <v>54</v>
      </c>
      <c r="VNK45" s="92" t="s">
        <v>54</v>
      </c>
      <c r="VNL45" s="92" t="s">
        <v>54</v>
      </c>
      <c r="VNM45" s="92" t="s">
        <v>54</v>
      </c>
      <c r="VNN45" s="92" t="s">
        <v>54</v>
      </c>
      <c r="VNO45" s="92" t="s">
        <v>54</v>
      </c>
      <c r="VNP45" s="92" t="s">
        <v>54</v>
      </c>
      <c r="VNQ45" s="92" t="s">
        <v>54</v>
      </c>
      <c r="VNR45" s="92" t="s">
        <v>54</v>
      </c>
      <c r="VNS45" s="92" t="s">
        <v>54</v>
      </c>
      <c r="VNT45" s="92" t="s">
        <v>54</v>
      </c>
      <c r="VNU45" s="92" t="s">
        <v>54</v>
      </c>
      <c r="VNV45" s="92" t="s">
        <v>54</v>
      </c>
      <c r="VNW45" s="92" t="s">
        <v>54</v>
      </c>
      <c r="VNX45" s="92" t="s">
        <v>54</v>
      </c>
      <c r="VNY45" s="92" t="s">
        <v>54</v>
      </c>
      <c r="VNZ45" s="92" t="s">
        <v>54</v>
      </c>
      <c r="VOA45" s="92" t="s">
        <v>54</v>
      </c>
      <c r="VOB45" s="92" t="s">
        <v>54</v>
      </c>
      <c r="VOC45" s="92" t="s">
        <v>54</v>
      </c>
      <c r="VOD45" s="92" t="s">
        <v>54</v>
      </c>
      <c r="VOE45" s="92" t="s">
        <v>54</v>
      </c>
      <c r="VOF45" s="92" t="s">
        <v>54</v>
      </c>
      <c r="VOG45" s="92" t="s">
        <v>54</v>
      </c>
      <c r="VOH45" s="92" t="s">
        <v>54</v>
      </c>
      <c r="VOI45" s="92" t="s">
        <v>54</v>
      </c>
      <c r="VOJ45" s="92" t="s">
        <v>54</v>
      </c>
      <c r="VOK45" s="92" t="s">
        <v>54</v>
      </c>
      <c r="VOL45" s="92" t="s">
        <v>54</v>
      </c>
      <c r="VOM45" s="92" t="s">
        <v>54</v>
      </c>
      <c r="VON45" s="92" t="s">
        <v>54</v>
      </c>
      <c r="VOO45" s="92" t="s">
        <v>54</v>
      </c>
      <c r="VOP45" s="92" t="s">
        <v>54</v>
      </c>
      <c r="VOQ45" s="92" t="s">
        <v>54</v>
      </c>
      <c r="VOR45" s="92" t="s">
        <v>54</v>
      </c>
      <c r="VOS45" s="92" t="s">
        <v>54</v>
      </c>
      <c r="VOT45" s="92" t="s">
        <v>54</v>
      </c>
      <c r="VOU45" s="92" t="s">
        <v>54</v>
      </c>
      <c r="VOV45" s="92" t="s">
        <v>54</v>
      </c>
      <c r="VOW45" s="92" t="s">
        <v>54</v>
      </c>
      <c r="VOX45" s="92" t="s">
        <v>54</v>
      </c>
      <c r="VOY45" s="92" t="s">
        <v>54</v>
      </c>
      <c r="VOZ45" s="92" t="s">
        <v>54</v>
      </c>
      <c r="VPA45" s="92" t="s">
        <v>54</v>
      </c>
      <c r="VPB45" s="92" t="s">
        <v>54</v>
      </c>
      <c r="VPC45" s="92" t="s">
        <v>54</v>
      </c>
      <c r="VPD45" s="92" t="s">
        <v>54</v>
      </c>
      <c r="VPE45" s="92" t="s">
        <v>54</v>
      </c>
      <c r="VPF45" s="92" t="s">
        <v>54</v>
      </c>
      <c r="VPG45" s="92" t="s">
        <v>54</v>
      </c>
      <c r="VPH45" s="92" t="s">
        <v>54</v>
      </c>
      <c r="VPI45" s="92" t="s">
        <v>54</v>
      </c>
      <c r="VPJ45" s="92" t="s">
        <v>54</v>
      </c>
      <c r="VPK45" s="92" t="s">
        <v>54</v>
      </c>
      <c r="VPL45" s="92" t="s">
        <v>54</v>
      </c>
      <c r="VPM45" s="92" t="s">
        <v>54</v>
      </c>
      <c r="VPN45" s="92" t="s">
        <v>54</v>
      </c>
      <c r="VPO45" s="92" t="s">
        <v>54</v>
      </c>
      <c r="VPP45" s="92" t="s">
        <v>54</v>
      </c>
      <c r="VPQ45" s="92" t="s">
        <v>54</v>
      </c>
      <c r="VPR45" s="92" t="s">
        <v>54</v>
      </c>
      <c r="VPS45" s="92" t="s">
        <v>54</v>
      </c>
      <c r="VPT45" s="92" t="s">
        <v>54</v>
      </c>
      <c r="VPU45" s="92" t="s">
        <v>54</v>
      </c>
      <c r="VPV45" s="92" t="s">
        <v>54</v>
      </c>
      <c r="VPW45" s="92" t="s">
        <v>54</v>
      </c>
      <c r="VPX45" s="92" t="s">
        <v>54</v>
      </c>
      <c r="VPY45" s="92" t="s">
        <v>54</v>
      </c>
      <c r="VPZ45" s="92" t="s">
        <v>54</v>
      </c>
      <c r="VQA45" s="92" t="s">
        <v>54</v>
      </c>
      <c r="VQB45" s="92" t="s">
        <v>54</v>
      </c>
      <c r="VQC45" s="92" t="s">
        <v>54</v>
      </c>
      <c r="VQD45" s="92" t="s">
        <v>54</v>
      </c>
      <c r="VQE45" s="92" t="s">
        <v>54</v>
      </c>
      <c r="VQF45" s="92" t="s">
        <v>54</v>
      </c>
      <c r="VQG45" s="92" t="s">
        <v>54</v>
      </c>
      <c r="VQH45" s="92" t="s">
        <v>54</v>
      </c>
      <c r="VQI45" s="92" t="s">
        <v>54</v>
      </c>
      <c r="VQJ45" s="92" t="s">
        <v>54</v>
      </c>
      <c r="VQK45" s="92" t="s">
        <v>54</v>
      </c>
      <c r="VQL45" s="92" t="s">
        <v>54</v>
      </c>
      <c r="VQM45" s="92" t="s">
        <v>54</v>
      </c>
      <c r="VQN45" s="92" t="s">
        <v>54</v>
      </c>
      <c r="VQO45" s="92" t="s">
        <v>54</v>
      </c>
      <c r="VQP45" s="92" t="s">
        <v>54</v>
      </c>
      <c r="VQQ45" s="92" t="s">
        <v>54</v>
      </c>
      <c r="VQR45" s="92" t="s">
        <v>54</v>
      </c>
      <c r="VQS45" s="92" t="s">
        <v>54</v>
      </c>
      <c r="VQT45" s="92" t="s">
        <v>54</v>
      </c>
      <c r="VQU45" s="92" t="s">
        <v>54</v>
      </c>
      <c r="VQV45" s="92" t="s">
        <v>54</v>
      </c>
      <c r="VQW45" s="92" t="s">
        <v>54</v>
      </c>
      <c r="VQX45" s="92" t="s">
        <v>54</v>
      </c>
      <c r="VQY45" s="92" t="s">
        <v>54</v>
      </c>
      <c r="VQZ45" s="92" t="s">
        <v>54</v>
      </c>
      <c r="VRA45" s="92" t="s">
        <v>54</v>
      </c>
      <c r="VRB45" s="92" t="s">
        <v>54</v>
      </c>
      <c r="VRC45" s="92" t="s">
        <v>54</v>
      </c>
      <c r="VRD45" s="92" t="s">
        <v>54</v>
      </c>
      <c r="VRE45" s="92" t="s">
        <v>54</v>
      </c>
      <c r="VRF45" s="92" t="s">
        <v>54</v>
      </c>
      <c r="VRG45" s="92" t="s">
        <v>54</v>
      </c>
      <c r="VRH45" s="92" t="s">
        <v>54</v>
      </c>
      <c r="VRI45" s="92" t="s">
        <v>54</v>
      </c>
      <c r="VRJ45" s="92" t="s">
        <v>54</v>
      </c>
      <c r="VRK45" s="92" t="s">
        <v>54</v>
      </c>
      <c r="VRL45" s="92" t="s">
        <v>54</v>
      </c>
      <c r="VRM45" s="92" t="s">
        <v>54</v>
      </c>
      <c r="VRN45" s="92" t="s">
        <v>54</v>
      </c>
      <c r="VRO45" s="92" t="s">
        <v>54</v>
      </c>
      <c r="VRP45" s="92" t="s">
        <v>54</v>
      </c>
      <c r="VRQ45" s="92" t="s">
        <v>54</v>
      </c>
      <c r="VRR45" s="92" t="s">
        <v>54</v>
      </c>
      <c r="VRS45" s="92" t="s">
        <v>54</v>
      </c>
      <c r="VRT45" s="92" t="s">
        <v>54</v>
      </c>
      <c r="VRU45" s="92" t="s">
        <v>54</v>
      </c>
      <c r="VRV45" s="92" t="s">
        <v>54</v>
      </c>
      <c r="VRW45" s="92" t="s">
        <v>54</v>
      </c>
      <c r="VRX45" s="92" t="s">
        <v>54</v>
      </c>
      <c r="VRY45" s="92" t="s">
        <v>54</v>
      </c>
      <c r="VRZ45" s="92" t="s">
        <v>54</v>
      </c>
      <c r="VSA45" s="92" t="s">
        <v>54</v>
      </c>
      <c r="VSB45" s="92" t="s">
        <v>54</v>
      </c>
      <c r="VSC45" s="92" t="s">
        <v>54</v>
      </c>
      <c r="VSD45" s="92" t="s">
        <v>54</v>
      </c>
      <c r="VSE45" s="92" t="s">
        <v>54</v>
      </c>
      <c r="VSF45" s="92" t="s">
        <v>54</v>
      </c>
      <c r="VSG45" s="92" t="s">
        <v>54</v>
      </c>
      <c r="VSH45" s="92" t="s">
        <v>54</v>
      </c>
      <c r="VSI45" s="92" t="s">
        <v>54</v>
      </c>
      <c r="VSJ45" s="92" t="s">
        <v>54</v>
      </c>
      <c r="VSK45" s="92" t="s">
        <v>54</v>
      </c>
      <c r="VSL45" s="92" t="s">
        <v>54</v>
      </c>
      <c r="VSM45" s="92" t="s">
        <v>54</v>
      </c>
      <c r="VSN45" s="92" t="s">
        <v>54</v>
      </c>
      <c r="VSO45" s="92" t="s">
        <v>54</v>
      </c>
      <c r="VSP45" s="92" t="s">
        <v>54</v>
      </c>
      <c r="VSQ45" s="92" t="s">
        <v>54</v>
      </c>
      <c r="VSR45" s="92" t="s">
        <v>54</v>
      </c>
      <c r="VSS45" s="92" t="s">
        <v>54</v>
      </c>
      <c r="VST45" s="92" t="s">
        <v>54</v>
      </c>
      <c r="VSU45" s="92" t="s">
        <v>54</v>
      </c>
      <c r="VSV45" s="92" t="s">
        <v>54</v>
      </c>
      <c r="VSW45" s="92" t="s">
        <v>54</v>
      </c>
      <c r="VSX45" s="92" t="s">
        <v>54</v>
      </c>
      <c r="VSY45" s="92" t="s">
        <v>54</v>
      </c>
      <c r="VSZ45" s="92" t="s">
        <v>54</v>
      </c>
      <c r="VTA45" s="92" t="s">
        <v>54</v>
      </c>
      <c r="VTB45" s="92" t="s">
        <v>54</v>
      </c>
      <c r="VTC45" s="92" t="s">
        <v>54</v>
      </c>
      <c r="VTD45" s="92" t="s">
        <v>54</v>
      </c>
      <c r="VTE45" s="92" t="s">
        <v>54</v>
      </c>
      <c r="VTF45" s="92" t="s">
        <v>54</v>
      </c>
      <c r="VTG45" s="92" t="s">
        <v>54</v>
      </c>
      <c r="VTH45" s="92" t="s">
        <v>54</v>
      </c>
      <c r="VTI45" s="92" t="s">
        <v>54</v>
      </c>
      <c r="VTJ45" s="92" t="s">
        <v>54</v>
      </c>
      <c r="VTK45" s="92" t="s">
        <v>54</v>
      </c>
      <c r="VTL45" s="92" t="s">
        <v>54</v>
      </c>
      <c r="VTM45" s="92" t="s">
        <v>54</v>
      </c>
      <c r="VTN45" s="92" t="s">
        <v>54</v>
      </c>
      <c r="VTO45" s="92" t="s">
        <v>54</v>
      </c>
      <c r="VTP45" s="92" t="s">
        <v>54</v>
      </c>
      <c r="VTQ45" s="92" t="s">
        <v>54</v>
      </c>
      <c r="VTR45" s="92" t="s">
        <v>54</v>
      </c>
      <c r="VTS45" s="92" t="s">
        <v>54</v>
      </c>
      <c r="VTT45" s="92" t="s">
        <v>54</v>
      </c>
      <c r="VTU45" s="92" t="s">
        <v>54</v>
      </c>
      <c r="VTV45" s="92" t="s">
        <v>54</v>
      </c>
      <c r="VTW45" s="92" t="s">
        <v>54</v>
      </c>
      <c r="VTX45" s="92" t="s">
        <v>54</v>
      </c>
      <c r="VTY45" s="92" t="s">
        <v>54</v>
      </c>
      <c r="VTZ45" s="92" t="s">
        <v>54</v>
      </c>
      <c r="VUA45" s="92" t="s">
        <v>54</v>
      </c>
      <c r="VUB45" s="92" t="s">
        <v>54</v>
      </c>
      <c r="VUC45" s="92" t="s">
        <v>54</v>
      </c>
      <c r="VUD45" s="92" t="s">
        <v>54</v>
      </c>
      <c r="VUE45" s="92" t="s">
        <v>54</v>
      </c>
      <c r="VUF45" s="92" t="s">
        <v>54</v>
      </c>
      <c r="VUG45" s="92" t="s">
        <v>54</v>
      </c>
      <c r="VUH45" s="92" t="s">
        <v>54</v>
      </c>
      <c r="VUI45" s="92" t="s">
        <v>54</v>
      </c>
      <c r="VUJ45" s="92" t="s">
        <v>54</v>
      </c>
      <c r="VUK45" s="92" t="s">
        <v>54</v>
      </c>
      <c r="VUL45" s="92" t="s">
        <v>54</v>
      </c>
      <c r="VUM45" s="92" t="s">
        <v>54</v>
      </c>
      <c r="VUN45" s="92" t="s">
        <v>54</v>
      </c>
      <c r="VUO45" s="92" t="s">
        <v>54</v>
      </c>
      <c r="VUP45" s="92" t="s">
        <v>54</v>
      </c>
      <c r="VUQ45" s="92" t="s">
        <v>54</v>
      </c>
      <c r="VUR45" s="92" t="s">
        <v>54</v>
      </c>
      <c r="VUS45" s="92" t="s">
        <v>54</v>
      </c>
      <c r="VUT45" s="92" t="s">
        <v>54</v>
      </c>
      <c r="VUU45" s="92" t="s">
        <v>54</v>
      </c>
      <c r="VUV45" s="92" t="s">
        <v>54</v>
      </c>
      <c r="VUW45" s="92" t="s">
        <v>54</v>
      </c>
      <c r="VUX45" s="92" t="s">
        <v>54</v>
      </c>
      <c r="VUY45" s="92" t="s">
        <v>54</v>
      </c>
      <c r="VUZ45" s="92" t="s">
        <v>54</v>
      </c>
      <c r="VVA45" s="92" t="s">
        <v>54</v>
      </c>
      <c r="VVB45" s="92" t="s">
        <v>54</v>
      </c>
      <c r="VVC45" s="92" t="s">
        <v>54</v>
      </c>
      <c r="VVD45" s="92" t="s">
        <v>54</v>
      </c>
      <c r="VVE45" s="92" t="s">
        <v>54</v>
      </c>
      <c r="VVF45" s="92" t="s">
        <v>54</v>
      </c>
      <c r="VVG45" s="92" t="s">
        <v>54</v>
      </c>
      <c r="VVH45" s="92" t="s">
        <v>54</v>
      </c>
      <c r="VVI45" s="92" t="s">
        <v>54</v>
      </c>
      <c r="VVJ45" s="92" t="s">
        <v>54</v>
      </c>
      <c r="VVK45" s="92" t="s">
        <v>54</v>
      </c>
      <c r="VVL45" s="92" t="s">
        <v>54</v>
      </c>
      <c r="VVM45" s="92" t="s">
        <v>54</v>
      </c>
      <c r="VVN45" s="92" t="s">
        <v>54</v>
      </c>
      <c r="VVO45" s="92" t="s">
        <v>54</v>
      </c>
      <c r="VVP45" s="92" t="s">
        <v>54</v>
      </c>
      <c r="VVQ45" s="92" t="s">
        <v>54</v>
      </c>
      <c r="VVR45" s="92" t="s">
        <v>54</v>
      </c>
      <c r="VVS45" s="92" t="s">
        <v>54</v>
      </c>
      <c r="VVT45" s="92" t="s">
        <v>54</v>
      </c>
      <c r="VVU45" s="92" t="s">
        <v>54</v>
      </c>
      <c r="VVV45" s="92" t="s">
        <v>54</v>
      </c>
      <c r="VVW45" s="92" t="s">
        <v>54</v>
      </c>
      <c r="VVX45" s="92" t="s">
        <v>54</v>
      </c>
      <c r="VVY45" s="92" t="s">
        <v>54</v>
      </c>
      <c r="VVZ45" s="92" t="s">
        <v>54</v>
      </c>
      <c r="VWA45" s="92" t="s">
        <v>54</v>
      </c>
      <c r="VWB45" s="92" t="s">
        <v>54</v>
      </c>
      <c r="VWC45" s="92" t="s">
        <v>54</v>
      </c>
      <c r="VWD45" s="92" t="s">
        <v>54</v>
      </c>
      <c r="VWE45" s="92" t="s">
        <v>54</v>
      </c>
      <c r="VWF45" s="92" t="s">
        <v>54</v>
      </c>
      <c r="VWG45" s="92" t="s">
        <v>54</v>
      </c>
      <c r="VWH45" s="92" t="s">
        <v>54</v>
      </c>
      <c r="VWI45" s="92" t="s">
        <v>54</v>
      </c>
      <c r="VWJ45" s="92" t="s">
        <v>54</v>
      </c>
      <c r="VWK45" s="92" t="s">
        <v>54</v>
      </c>
      <c r="VWL45" s="92" t="s">
        <v>54</v>
      </c>
      <c r="VWM45" s="92" t="s">
        <v>54</v>
      </c>
      <c r="VWN45" s="92" t="s">
        <v>54</v>
      </c>
      <c r="VWO45" s="92" t="s">
        <v>54</v>
      </c>
      <c r="VWP45" s="92" t="s">
        <v>54</v>
      </c>
      <c r="VWQ45" s="92" t="s">
        <v>54</v>
      </c>
      <c r="VWR45" s="92" t="s">
        <v>54</v>
      </c>
      <c r="VWS45" s="92" t="s">
        <v>54</v>
      </c>
      <c r="VWT45" s="92" t="s">
        <v>54</v>
      </c>
      <c r="VWU45" s="92" t="s">
        <v>54</v>
      </c>
      <c r="VWV45" s="92" t="s">
        <v>54</v>
      </c>
      <c r="VWW45" s="92" t="s">
        <v>54</v>
      </c>
      <c r="VWX45" s="92" t="s">
        <v>54</v>
      </c>
      <c r="VWY45" s="92" t="s">
        <v>54</v>
      </c>
      <c r="VWZ45" s="92" t="s">
        <v>54</v>
      </c>
      <c r="VXA45" s="92" t="s">
        <v>54</v>
      </c>
      <c r="VXB45" s="92" t="s">
        <v>54</v>
      </c>
      <c r="VXC45" s="92" t="s">
        <v>54</v>
      </c>
      <c r="VXD45" s="92" t="s">
        <v>54</v>
      </c>
      <c r="VXE45" s="92" t="s">
        <v>54</v>
      </c>
      <c r="VXF45" s="92" t="s">
        <v>54</v>
      </c>
      <c r="VXG45" s="92" t="s">
        <v>54</v>
      </c>
      <c r="VXH45" s="92" t="s">
        <v>54</v>
      </c>
      <c r="VXI45" s="92" t="s">
        <v>54</v>
      </c>
      <c r="VXJ45" s="92" t="s">
        <v>54</v>
      </c>
      <c r="VXK45" s="92" t="s">
        <v>54</v>
      </c>
      <c r="VXL45" s="92" t="s">
        <v>54</v>
      </c>
      <c r="VXM45" s="92" t="s">
        <v>54</v>
      </c>
      <c r="VXN45" s="92" t="s">
        <v>54</v>
      </c>
      <c r="VXO45" s="92" t="s">
        <v>54</v>
      </c>
      <c r="VXP45" s="92" t="s">
        <v>54</v>
      </c>
      <c r="VXQ45" s="92" t="s">
        <v>54</v>
      </c>
      <c r="VXR45" s="92" t="s">
        <v>54</v>
      </c>
      <c r="VXS45" s="92" t="s">
        <v>54</v>
      </c>
      <c r="VXT45" s="92" t="s">
        <v>54</v>
      </c>
      <c r="VXU45" s="92" t="s">
        <v>54</v>
      </c>
      <c r="VXV45" s="92" t="s">
        <v>54</v>
      </c>
      <c r="VXW45" s="92" t="s">
        <v>54</v>
      </c>
      <c r="VXX45" s="92" t="s">
        <v>54</v>
      </c>
      <c r="VXY45" s="92" t="s">
        <v>54</v>
      </c>
      <c r="VXZ45" s="92" t="s">
        <v>54</v>
      </c>
      <c r="VYA45" s="92" t="s">
        <v>54</v>
      </c>
      <c r="VYB45" s="92" t="s">
        <v>54</v>
      </c>
      <c r="VYC45" s="92" t="s">
        <v>54</v>
      </c>
      <c r="VYD45" s="92" t="s">
        <v>54</v>
      </c>
      <c r="VYE45" s="92" t="s">
        <v>54</v>
      </c>
      <c r="VYF45" s="92" t="s">
        <v>54</v>
      </c>
      <c r="VYG45" s="92" t="s">
        <v>54</v>
      </c>
      <c r="VYH45" s="92" t="s">
        <v>54</v>
      </c>
      <c r="VYI45" s="92" t="s">
        <v>54</v>
      </c>
      <c r="VYJ45" s="92" t="s">
        <v>54</v>
      </c>
      <c r="VYK45" s="92" t="s">
        <v>54</v>
      </c>
      <c r="VYL45" s="92" t="s">
        <v>54</v>
      </c>
      <c r="VYM45" s="92" t="s">
        <v>54</v>
      </c>
      <c r="VYN45" s="92" t="s">
        <v>54</v>
      </c>
      <c r="VYO45" s="92" t="s">
        <v>54</v>
      </c>
      <c r="VYP45" s="92" t="s">
        <v>54</v>
      </c>
      <c r="VYQ45" s="92" t="s">
        <v>54</v>
      </c>
      <c r="VYR45" s="92" t="s">
        <v>54</v>
      </c>
      <c r="VYS45" s="92" t="s">
        <v>54</v>
      </c>
      <c r="VYT45" s="92" t="s">
        <v>54</v>
      </c>
      <c r="VYU45" s="92" t="s">
        <v>54</v>
      </c>
      <c r="VYV45" s="92" t="s">
        <v>54</v>
      </c>
      <c r="VYW45" s="92" t="s">
        <v>54</v>
      </c>
      <c r="VYX45" s="92" t="s">
        <v>54</v>
      </c>
      <c r="VYY45" s="92" t="s">
        <v>54</v>
      </c>
      <c r="VYZ45" s="92" t="s">
        <v>54</v>
      </c>
      <c r="VZA45" s="92" t="s">
        <v>54</v>
      </c>
      <c r="VZB45" s="92" t="s">
        <v>54</v>
      </c>
      <c r="VZC45" s="92" t="s">
        <v>54</v>
      </c>
      <c r="VZD45" s="92" t="s">
        <v>54</v>
      </c>
      <c r="VZE45" s="92" t="s">
        <v>54</v>
      </c>
      <c r="VZF45" s="92" t="s">
        <v>54</v>
      </c>
      <c r="VZG45" s="92" t="s">
        <v>54</v>
      </c>
      <c r="VZH45" s="92" t="s">
        <v>54</v>
      </c>
      <c r="VZI45" s="92" t="s">
        <v>54</v>
      </c>
      <c r="VZJ45" s="92" t="s">
        <v>54</v>
      </c>
      <c r="VZK45" s="92" t="s">
        <v>54</v>
      </c>
      <c r="VZL45" s="92" t="s">
        <v>54</v>
      </c>
      <c r="VZM45" s="92" t="s">
        <v>54</v>
      </c>
      <c r="VZN45" s="92" t="s">
        <v>54</v>
      </c>
      <c r="VZO45" s="92" t="s">
        <v>54</v>
      </c>
      <c r="VZP45" s="92" t="s">
        <v>54</v>
      </c>
      <c r="VZQ45" s="92" t="s">
        <v>54</v>
      </c>
      <c r="VZR45" s="92" t="s">
        <v>54</v>
      </c>
      <c r="VZS45" s="92" t="s">
        <v>54</v>
      </c>
      <c r="VZT45" s="92" t="s">
        <v>54</v>
      </c>
      <c r="VZU45" s="92" t="s">
        <v>54</v>
      </c>
      <c r="VZV45" s="92" t="s">
        <v>54</v>
      </c>
      <c r="VZW45" s="92" t="s">
        <v>54</v>
      </c>
      <c r="VZX45" s="92" t="s">
        <v>54</v>
      </c>
      <c r="VZY45" s="92" t="s">
        <v>54</v>
      </c>
      <c r="VZZ45" s="92" t="s">
        <v>54</v>
      </c>
      <c r="WAA45" s="92" t="s">
        <v>54</v>
      </c>
      <c r="WAB45" s="92" t="s">
        <v>54</v>
      </c>
      <c r="WAC45" s="92" t="s">
        <v>54</v>
      </c>
      <c r="WAD45" s="92" t="s">
        <v>54</v>
      </c>
      <c r="WAE45" s="92" t="s">
        <v>54</v>
      </c>
      <c r="WAF45" s="92" t="s">
        <v>54</v>
      </c>
      <c r="WAG45" s="92" t="s">
        <v>54</v>
      </c>
      <c r="WAH45" s="92" t="s">
        <v>54</v>
      </c>
      <c r="WAI45" s="92" t="s">
        <v>54</v>
      </c>
      <c r="WAJ45" s="92" t="s">
        <v>54</v>
      </c>
      <c r="WAK45" s="92" t="s">
        <v>54</v>
      </c>
      <c r="WAL45" s="92" t="s">
        <v>54</v>
      </c>
      <c r="WAM45" s="92" t="s">
        <v>54</v>
      </c>
      <c r="WAN45" s="92" t="s">
        <v>54</v>
      </c>
      <c r="WAO45" s="92" t="s">
        <v>54</v>
      </c>
      <c r="WAP45" s="92" t="s">
        <v>54</v>
      </c>
      <c r="WAQ45" s="92" t="s">
        <v>54</v>
      </c>
      <c r="WAR45" s="92" t="s">
        <v>54</v>
      </c>
      <c r="WAS45" s="92" t="s">
        <v>54</v>
      </c>
      <c r="WAT45" s="92" t="s">
        <v>54</v>
      </c>
      <c r="WAU45" s="92" t="s">
        <v>54</v>
      </c>
      <c r="WAV45" s="92" t="s">
        <v>54</v>
      </c>
      <c r="WAW45" s="92" t="s">
        <v>54</v>
      </c>
      <c r="WAX45" s="92" t="s">
        <v>54</v>
      </c>
      <c r="WAY45" s="92" t="s">
        <v>54</v>
      </c>
      <c r="WAZ45" s="92" t="s">
        <v>54</v>
      </c>
      <c r="WBA45" s="92" t="s">
        <v>54</v>
      </c>
      <c r="WBB45" s="92" t="s">
        <v>54</v>
      </c>
      <c r="WBC45" s="92" t="s">
        <v>54</v>
      </c>
      <c r="WBD45" s="92" t="s">
        <v>54</v>
      </c>
      <c r="WBE45" s="92" t="s">
        <v>54</v>
      </c>
      <c r="WBF45" s="92" t="s">
        <v>54</v>
      </c>
      <c r="WBG45" s="92" t="s">
        <v>54</v>
      </c>
      <c r="WBH45" s="92" t="s">
        <v>54</v>
      </c>
      <c r="WBI45" s="92" t="s">
        <v>54</v>
      </c>
      <c r="WBJ45" s="92" t="s">
        <v>54</v>
      </c>
      <c r="WBK45" s="92" t="s">
        <v>54</v>
      </c>
      <c r="WBL45" s="92" t="s">
        <v>54</v>
      </c>
      <c r="WBM45" s="92" t="s">
        <v>54</v>
      </c>
      <c r="WBN45" s="92" t="s">
        <v>54</v>
      </c>
      <c r="WBO45" s="92" t="s">
        <v>54</v>
      </c>
      <c r="WBP45" s="92" t="s">
        <v>54</v>
      </c>
      <c r="WBQ45" s="92" t="s">
        <v>54</v>
      </c>
      <c r="WBR45" s="92" t="s">
        <v>54</v>
      </c>
      <c r="WBS45" s="92" t="s">
        <v>54</v>
      </c>
      <c r="WBT45" s="92" t="s">
        <v>54</v>
      </c>
      <c r="WBU45" s="92" t="s">
        <v>54</v>
      </c>
      <c r="WBV45" s="92" t="s">
        <v>54</v>
      </c>
      <c r="WBW45" s="92" t="s">
        <v>54</v>
      </c>
      <c r="WBX45" s="92" t="s">
        <v>54</v>
      </c>
      <c r="WBY45" s="92" t="s">
        <v>54</v>
      </c>
      <c r="WBZ45" s="92" t="s">
        <v>54</v>
      </c>
      <c r="WCA45" s="92" t="s">
        <v>54</v>
      </c>
      <c r="WCB45" s="92" t="s">
        <v>54</v>
      </c>
      <c r="WCC45" s="92" t="s">
        <v>54</v>
      </c>
      <c r="WCD45" s="92" t="s">
        <v>54</v>
      </c>
      <c r="WCE45" s="92" t="s">
        <v>54</v>
      </c>
      <c r="WCF45" s="92" t="s">
        <v>54</v>
      </c>
      <c r="WCG45" s="92" t="s">
        <v>54</v>
      </c>
      <c r="WCH45" s="92" t="s">
        <v>54</v>
      </c>
      <c r="WCI45" s="92" t="s">
        <v>54</v>
      </c>
      <c r="WCJ45" s="92" t="s">
        <v>54</v>
      </c>
      <c r="WCK45" s="92" t="s">
        <v>54</v>
      </c>
      <c r="WCL45" s="92" t="s">
        <v>54</v>
      </c>
      <c r="WCM45" s="92" t="s">
        <v>54</v>
      </c>
      <c r="WCN45" s="92" t="s">
        <v>54</v>
      </c>
      <c r="WCO45" s="92" t="s">
        <v>54</v>
      </c>
      <c r="WCP45" s="92" t="s">
        <v>54</v>
      </c>
      <c r="WCQ45" s="92" t="s">
        <v>54</v>
      </c>
      <c r="WCR45" s="92" t="s">
        <v>54</v>
      </c>
      <c r="WCS45" s="92" t="s">
        <v>54</v>
      </c>
      <c r="WCT45" s="92" t="s">
        <v>54</v>
      </c>
      <c r="WCU45" s="92" t="s">
        <v>54</v>
      </c>
      <c r="WCV45" s="92" t="s">
        <v>54</v>
      </c>
      <c r="WCW45" s="92" t="s">
        <v>54</v>
      </c>
      <c r="WCX45" s="92" t="s">
        <v>54</v>
      </c>
      <c r="WCY45" s="92" t="s">
        <v>54</v>
      </c>
      <c r="WCZ45" s="92" t="s">
        <v>54</v>
      </c>
      <c r="WDA45" s="92" t="s">
        <v>54</v>
      </c>
      <c r="WDB45" s="92" t="s">
        <v>54</v>
      </c>
      <c r="WDC45" s="92" t="s">
        <v>54</v>
      </c>
      <c r="WDD45" s="92" t="s">
        <v>54</v>
      </c>
      <c r="WDE45" s="92" t="s">
        <v>54</v>
      </c>
      <c r="WDF45" s="92" t="s">
        <v>54</v>
      </c>
      <c r="WDG45" s="92" t="s">
        <v>54</v>
      </c>
      <c r="WDH45" s="92" t="s">
        <v>54</v>
      </c>
      <c r="WDI45" s="92" t="s">
        <v>54</v>
      </c>
      <c r="WDJ45" s="92" t="s">
        <v>54</v>
      </c>
      <c r="WDK45" s="92" t="s">
        <v>54</v>
      </c>
      <c r="WDL45" s="92" t="s">
        <v>54</v>
      </c>
      <c r="WDM45" s="92" t="s">
        <v>54</v>
      </c>
      <c r="WDN45" s="92" t="s">
        <v>54</v>
      </c>
      <c r="WDO45" s="92" t="s">
        <v>54</v>
      </c>
      <c r="WDP45" s="92" t="s">
        <v>54</v>
      </c>
      <c r="WDQ45" s="92" t="s">
        <v>54</v>
      </c>
      <c r="WDR45" s="92" t="s">
        <v>54</v>
      </c>
      <c r="WDS45" s="92" t="s">
        <v>54</v>
      </c>
      <c r="WDT45" s="92" t="s">
        <v>54</v>
      </c>
      <c r="WDU45" s="92" t="s">
        <v>54</v>
      </c>
      <c r="WDV45" s="92" t="s">
        <v>54</v>
      </c>
      <c r="WDW45" s="92" t="s">
        <v>54</v>
      </c>
      <c r="WDX45" s="92" t="s">
        <v>54</v>
      </c>
      <c r="WDY45" s="92" t="s">
        <v>54</v>
      </c>
      <c r="WDZ45" s="92" t="s">
        <v>54</v>
      </c>
      <c r="WEA45" s="92" t="s">
        <v>54</v>
      </c>
      <c r="WEB45" s="92" t="s">
        <v>54</v>
      </c>
      <c r="WEC45" s="92" t="s">
        <v>54</v>
      </c>
      <c r="WED45" s="92" t="s">
        <v>54</v>
      </c>
      <c r="WEE45" s="92" t="s">
        <v>54</v>
      </c>
      <c r="WEF45" s="92" t="s">
        <v>54</v>
      </c>
      <c r="WEG45" s="92" t="s">
        <v>54</v>
      </c>
      <c r="WEH45" s="92" t="s">
        <v>54</v>
      </c>
      <c r="WEI45" s="92" t="s">
        <v>54</v>
      </c>
      <c r="WEJ45" s="92" t="s">
        <v>54</v>
      </c>
      <c r="WEK45" s="92" t="s">
        <v>54</v>
      </c>
      <c r="WEL45" s="92" t="s">
        <v>54</v>
      </c>
      <c r="WEM45" s="92" t="s">
        <v>54</v>
      </c>
      <c r="WEN45" s="92" t="s">
        <v>54</v>
      </c>
      <c r="WEO45" s="92" t="s">
        <v>54</v>
      </c>
      <c r="WEP45" s="92" t="s">
        <v>54</v>
      </c>
      <c r="WEQ45" s="92" t="s">
        <v>54</v>
      </c>
      <c r="WER45" s="92" t="s">
        <v>54</v>
      </c>
      <c r="WES45" s="92" t="s">
        <v>54</v>
      </c>
      <c r="WET45" s="92" t="s">
        <v>54</v>
      </c>
      <c r="WEU45" s="92" t="s">
        <v>54</v>
      </c>
      <c r="WEV45" s="92" t="s">
        <v>54</v>
      </c>
      <c r="WEW45" s="92" t="s">
        <v>54</v>
      </c>
      <c r="WEX45" s="92" t="s">
        <v>54</v>
      </c>
      <c r="WEY45" s="92" t="s">
        <v>54</v>
      </c>
      <c r="WEZ45" s="92" t="s">
        <v>54</v>
      </c>
      <c r="WFA45" s="92" t="s">
        <v>54</v>
      </c>
      <c r="WFB45" s="92" t="s">
        <v>54</v>
      </c>
      <c r="WFC45" s="92" t="s">
        <v>54</v>
      </c>
      <c r="WFD45" s="92" t="s">
        <v>54</v>
      </c>
      <c r="WFE45" s="92" t="s">
        <v>54</v>
      </c>
      <c r="WFF45" s="92" t="s">
        <v>54</v>
      </c>
      <c r="WFG45" s="92" t="s">
        <v>54</v>
      </c>
      <c r="WFH45" s="92" t="s">
        <v>54</v>
      </c>
      <c r="WFI45" s="92" t="s">
        <v>54</v>
      </c>
      <c r="WFJ45" s="92" t="s">
        <v>54</v>
      </c>
      <c r="WFK45" s="92" t="s">
        <v>54</v>
      </c>
      <c r="WFL45" s="92" t="s">
        <v>54</v>
      </c>
      <c r="WFM45" s="92" t="s">
        <v>54</v>
      </c>
      <c r="WFN45" s="92" t="s">
        <v>54</v>
      </c>
      <c r="WFO45" s="92" t="s">
        <v>54</v>
      </c>
      <c r="WFP45" s="92" t="s">
        <v>54</v>
      </c>
      <c r="WFQ45" s="92" t="s">
        <v>54</v>
      </c>
      <c r="WFR45" s="92" t="s">
        <v>54</v>
      </c>
      <c r="WFS45" s="92" t="s">
        <v>54</v>
      </c>
      <c r="WFT45" s="92" t="s">
        <v>54</v>
      </c>
      <c r="WFU45" s="92" t="s">
        <v>54</v>
      </c>
      <c r="WFV45" s="92" t="s">
        <v>54</v>
      </c>
      <c r="WFW45" s="92" t="s">
        <v>54</v>
      </c>
      <c r="WFX45" s="92" t="s">
        <v>54</v>
      </c>
      <c r="WFY45" s="92" t="s">
        <v>54</v>
      </c>
      <c r="WFZ45" s="92" t="s">
        <v>54</v>
      </c>
      <c r="WGA45" s="92" t="s">
        <v>54</v>
      </c>
      <c r="WGB45" s="92" t="s">
        <v>54</v>
      </c>
      <c r="WGC45" s="92" t="s">
        <v>54</v>
      </c>
      <c r="WGD45" s="92" t="s">
        <v>54</v>
      </c>
      <c r="WGE45" s="92" t="s">
        <v>54</v>
      </c>
      <c r="WGF45" s="92" t="s">
        <v>54</v>
      </c>
      <c r="WGG45" s="92" t="s">
        <v>54</v>
      </c>
      <c r="WGH45" s="92" t="s">
        <v>54</v>
      </c>
      <c r="WGI45" s="92" t="s">
        <v>54</v>
      </c>
      <c r="WGJ45" s="92" t="s">
        <v>54</v>
      </c>
      <c r="WGK45" s="92" t="s">
        <v>54</v>
      </c>
      <c r="WGL45" s="92" t="s">
        <v>54</v>
      </c>
      <c r="WGM45" s="92" t="s">
        <v>54</v>
      </c>
      <c r="WGN45" s="92" t="s">
        <v>54</v>
      </c>
      <c r="WGO45" s="92" t="s">
        <v>54</v>
      </c>
      <c r="WGP45" s="92" t="s">
        <v>54</v>
      </c>
      <c r="WGQ45" s="92" t="s">
        <v>54</v>
      </c>
      <c r="WGR45" s="92" t="s">
        <v>54</v>
      </c>
      <c r="WGS45" s="92" t="s">
        <v>54</v>
      </c>
      <c r="WGT45" s="92" t="s">
        <v>54</v>
      </c>
      <c r="WGU45" s="92" t="s">
        <v>54</v>
      </c>
      <c r="WGV45" s="92" t="s">
        <v>54</v>
      </c>
      <c r="WGW45" s="92" t="s">
        <v>54</v>
      </c>
      <c r="WGX45" s="92" t="s">
        <v>54</v>
      </c>
      <c r="WGY45" s="92" t="s">
        <v>54</v>
      </c>
      <c r="WGZ45" s="92" t="s">
        <v>54</v>
      </c>
      <c r="WHA45" s="92" t="s">
        <v>54</v>
      </c>
      <c r="WHB45" s="92" t="s">
        <v>54</v>
      </c>
      <c r="WHC45" s="92" t="s">
        <v>54</v>
      </c>
      <c r="WHD45" s="92" t="s">
        <v>54</v>
      </c>
      <c r="WHE45" s="92" t="s">
        <v>54</v>
      </c>
      <c r="WHF45" s="92" t="s">
        <v>54</v>
      </c>
      <c r="WHG45" s="92" t="s">
        <v>54</v>
      </c>
      <c r="WHH45" s="92" t="s">
        <v>54</v>
      </c>
      <c r="WHI45" s="92" t="s">
        <v>54</v>
      </c>
      <c r="WHJ45" s="92" t="s">
        <v>54</v>
      </c>
      <c r="WHK45" s="92" t="s">
        <v>54</v>
      </c>
      <c r="WHL45" s="92" t="s">
        <v>54</v>
      </c>
      <c r="WHM45" s="92" t="s">
        <v>54</v>
      </c>
      <c r="WHN45" s="92" t="s">
        <v>54</v>
      </c>
      <c r="WHO45" s="92" t="s">
        <v>54</v>
      </c>
      <c r="WHP45" s="92" t="s">
        <v>54</v>
      </c>
      <c r="WHQ45" s="92" t="s">
        <v>54</v>
      </c>
      <c r="WHR45" s="92" t="s">
        <v>54</v>
      </c>
      <c r="WHS45" s="92" t="s">
        <v>54</v>
      </c>
      <c r="WHT45" s="92" t="s">
        <v>54</v>
      </c>
      <c r="WHU45" s="92" t="s">
        <v>54</v>
      </c>
      <c r="WHV45" s="92" t="s">
        <v>54</v>
      </c>
      <c r="WHW45" s="92" t="s">
        <v>54</v>
      </c>
      <c r="WHX45" s="92" t="s">
        <v>54</v>
      </c>
      <c r="WHY45" s="92" t="s">
        <v>54</v>
      </c>
      <c r="WHZ45" s="92" t="s">
        <v>54</v>
      </c>
      <c r="WIA45" s="92" t="s">
        <v>54</v>
      </c>
      <c r="WIB45" s="92" t="s">
        <v>54</v>
      </c>
      <c r="WIC45" s="92" t="s">
        <v>54</v>
      </c>
      <c r="WID45" s="92" t="s">
        <v>54</v>
      </c>
      <c r="WIE45" s="92" t="s">
        <v>54</v>
      </c>
      <c r="WIF45" s="92" t="s">
        <v>54</v>
      </c>
      <c r="WIG45" s="92" t="s">
        <v>54</v>
      </c>
      <c r="WIH45" s="92" t="s">
        <v>54</v>
      </c>
      <c r="WII45" s="92" t="s">
        <v>54</v>
      </c>
      <c r="WIJ45" s="92" t="s">
        <v>54</v>
      </c>
      <c r="WIK45" s="92" t="s">
        <v>54</v>
      </c>
      <c r="WIL45" s="92" t="s">
        <v>54</v>
      </c>
      <c r="WIM45" s="92" t="s">
        <v>54</v>
      </c>
      <c r="WIN45" s="92" t="s">
        <v>54</v>
      </c>
      <c r="WIO45" s="92" t="s">
        <v>54</v>
      </c>
      <c r="WIP45" s="92" t="s">
        <v>54</v>
      </c>
      <c r="WIQ45" s="92" t="s">
        <v>54</v>
      </c>
      <c r="WIR45" s="92" t="s">
        <v>54</v>
      </c>
      <c r="WIS45" s="92" t="s">
        <v>54</v>
      </c>
      <c r="WIT45" s="92" t="s">
        <v>54</v>
      </c>
      <c r="WIU45" s="92" t="s">
        <v>54</v>
      </c>
      <c r="WIV45" s="92" t="s">
        <v>54</v>
      </c>
      <c r="WIW45" s="92" t="s">
        <v>54</v>
      </c>
      <c r="WIX45" s="92" t="s">
        <v>54</v>
      </c>
      <c r="WIY45" s="92" t="s">
        <v>54</v>
      </c>
      <c r="WIZ45" s="92" t="s">
        <v>54</v>
      </c>
      <c r="WJA45" s="92" t="s">
        <v>54</v>
      </c>
      <c r="WJB45" s="92" t="s">
        <v>54</v>
      </c>
      <c r="WJC45" s="92" t="s">
        <v>54</v>
      </c>
      <c r="WJD45" s="92" t="s">
        <v>54</v>
      </c>
      <c r="WJE45" s="92" t="s">
        <v>54</v>
      </c>
      <c r="WJF45" s="92" t="s">
        <v>54</v>
      </c>
      <c r="WJG45" s="92" t="s">
        <v>54</v>
      </c>
      <c r="WJH45" s="92" t="s">
        <v>54</v>
      </c>
      <c r="WJI45" s="92" t="s">
        <v>54</v>
      </c>
      <c r="WJJ45" s="92" t="s">
        <v>54</v>
      </c>
      <c r="WJK45" s="92" t="s">
        <v>54</v>
      </c>
      <c r="WJL45" s="92" t="s">
        <v>54</v>
      </c>
      <c r="WJM45" s="92" t="s">
        <v>54</v>
      </c>
      <c r="WJN45" s="92" t="s">
        <v>54</v>
      </c>
      <c r="WJO45" s="92" t="s">
        <v>54</v>
      </c>
      <c r="WJP45" s="92" t="s">
        <v>54</v>
      </c>
      <c r="WJQ45" s="92" t="s">
        <v>54</v>
      </c>
      <c r="WJR45" s="92" t="s">
        <v>54</v>
      </c>
      <c r="WJS45" s="92" t="s">
        <v>54</v>
      </c>
      <c r="WJT45" s="92" t="s">
        <v>54</v>
      </c>
      <c r="WJU45" s="92" t="s">
        <v>54</v>
      </c>
      <c r="WJV45" s="92" t="s">
        <v>54</v>
      </c>
      <c r="WJW45" s="92" t="s">
        <v>54</v>
      </c>
      <c r="WJX45" s="92" t="s">
        <v>54</v>
      </c>
      <c r="WJY45" s="92" t="s">
        <v>54</v>
      </c>
      <c r="WJZ45" s="92" t="s">
        <v>54</v>
      </c>
      <c r="WKA45" s="92" t="s">
        <v>54</v>
      </c>
      <c r="WKB45" s="92" t="s">
        <v>54</v>
      </c>
      <c r="WKC45" s="92" t="s">
        <v>54</v>
      </c>
      <c r="WKD45" s="92" t="s">
        <v>54</v>
      </c>
      <c r="WKE45" s="92" t="s">
        <v>54</v>
      </c>
      <c r="WKF45" s="92" t="s">
        <v>54</v>
      </c>
      <c r="WKG45" s="92" t="s">
        <v>54</v>
      </c>
      <c r="WKH45" s="92" t="s">
        <v>54</v>
      </c>
      <c r="WKI45" s="92" t="s">
        <v>54</v>
      </c>
      <c r="WKJ45" s="92" t="s">
        <v>54</v>
      </c>
      <c r="WKK45" s="92" t="s">
        <v>54</v>
      </c>
      <c r="WKL45" s="92" t="s">
        <v>54</v>
      </c>
      <c r="WKM45" s="92" t="s">
        <v>54</v>
      </c>
      <c r="WKN45" s="92" t="s">
        <v>54</v>
      </c>
      <c r="WKO45" s="92" t="s">
        <v>54</v>
      </c>
      <c r="WKP45" s="92" t="s">
        <v>54</v>
      </c>
      <c r="WKQ45" s="92" t="s">
        <v>54</v>
      </c>
      <c r="WKR45" s="92" t="s">
        <v>54</v>
      </c>
      <c r="WKS45" s="92" t="s">
        <v>54</v>
      </c>
      <c r="WKT45" s="92" t="s">
        <v>54</v>
      </c>
      <c r="WKU45" s="92" t="s">
        <v>54</v>
      </c>
      <c r="WKV45" s="92" t="s">
        <v>54</v>
      </c>
      <c r="WKW45" s="92" t="s">
        <v>54</v>
      </c>
      <c r="WKX45" s="92" t="s">
        <v>54</v>
      </c>
      <c r="WKY45" s="92" t="s">
        <v>54</v>
      </c>
      <c r="WKZ45" s="92" t="s">
        <v>54</v>
      </c>
      <c r="WLA45" s="92" t="s">
        <v>54</v>
      </c>
      <c r="WLB45" s="92" t="s">
        <v>54</v>
      </c>
      <c r="WLC45" s="92" t="s">
        <v>54</v>
      </c>
      <c r="WLD45" s="92" t="s">
        <v>54</v>
      </c>
      <c r="WLE45" s="92" t="s">
        <v>54</v>
      </c>
      <c r="WLF45" s="92" t="s">
        <v>54</v>
      </c>
      <c r="WLG45" s="92" t="s">
        <v>54</v>
      </c>
      <c r="WLH45" s="92" t="s">
        <v>54</v>
      </c>
      <c r="WLI45" s="92" t="s">
        <v>54</v>
      </c>
      <c r="WLJ45" s="92" t="s">
        <v>54</v>
      </c>
      <c r="WLK45" s="92" t="s">
        <v>54</v>
      </c>
      <c r="WLL45" s="92" t="s">
        <v>54</v>
      </c>
      <c r="WLM45" s="92" t="s">
        <v>54</v>
      </c>
      <c r="WLN45" s="92" t="s">
        <v>54</v>
      </c>
      <c r="WLO45" s="92" t="s">
        <v>54</v>
      </c>
      <c r="WLP45" s="92" t="s">
        <v>54</v>
      </c>
      <c r="WLQ45" s="92" t="s">
        <v>54</v>
      </c>
      <c r="WLR45" s="92" t="s">
        <v>54</v>
      </c>
      <c r="WLS45" s="92" t="s">
        <v>54</v>
      </c>
      <c r="WLT45" s="92" t="s">
        <v>54</v>
      </c>
      <c r="WLU45" s="92" t="s">
        <v>54</v>
      </c>
      <c r="WLV45" s="92" t="s">
        <v>54</v>
      </c>
      <c r="WLW45" s="92" t="s">
        <v>54</v>
      </c>
      <c r="WLX45" s="92" t="s">
        <v>54</v>
      </c>
      <c r="WLY45" s="92" t="s">
        <v>54</v>
      </c>
      <c r="WLZ45" s="92" t="s">
        <v>54</v>
      </c>
      <c r="WMA45" s="92" t="s">
        <v>54</v>
      </c>
      <c r="WMB45" s="92" t="s">
        <v>54</v>
      </c>
      <c r="WMC45" s="92" t="s">
        <v>54</v>
      </c>
      <c r="WMD45" s="92" t="s">
        <v>54</v>
      </c>
      <c r="WME45" s="92" t="s">
        <v>54</v>
      </c>
      <c r="WMF45" s="92" t="s">
        <v>54</v>
      </c>
      <c r="WMG45" s="92" t="s">
        <v>54</v>
      </c>
      <c r="WMH45" s="92" t="s">
        <v>54</v>
      </c>
      <c r="WMI45" s="92" t="s">
        <v>54</v>
      </c>
      <c r="WMJ45" s="92" t="s">
        <v>54</v>
      </c>
      <c r="WMK45" s="92" t="s">
        <v>54</v>
      </c>
      <c r="WML45" s="92" t="s">
        <v>54</v>
      </c>
      <c r="WMM45" s="92" t="s">
        <v>54</v>
      </c>
      <c r="WMN45" s="92" t="s">
        <v>54</v>
      </c>
      <c r="WMO45" s="92" t="s">
        <v>54</v>
      </c>
      <c r="WMP45" s="92" t="s">
        <v>54</v>
      </c>
      <c r="WMQ45" s="92" t="s">
        <v>54</v>
      </c>
      <c r="WMR45" s="92" t="s">
        <v>54</v>
      </c>
      <c r="WMS45" s="92" t="s">
        <v>54</v>
      </c>
      <c r="WMT45" s="92" t="s">
        <v>54</v>
      </c>
      <c r="WMU45" s="92" t="s">
        <v>54</v>
      </c>
      <c r="WMV45" s="92" t="s">
        <v>54</v>
      </c>
      <c r="WMW45" s="92" t="s">
        <v>54</v>
      </c>
      <c r="WMX45" s="92" t="s">
        <v>54</v>
      </c>
      <c r="WMY45" s="92" t="s">
        <v>54</v>
      </c>
      <c r="WMZ45" s="92" t="s">
        <v>54</v>
      </c>
      <c r="WNA45" s="92" t="s">
        <v>54</v>
      </c>
      <c r="WNB45" s="92" t="s">
        <v>54</v>
      </c>
      <c r="WNC45" s="92" t="s">
        <v>54</v>
      </c>
      <c r="WND45" s="92" t="s">
        <v>54</v>
      </c>
      <c r="WNE45" s="92" t="s">
        <v>54</v>
      </c>
      <c r="WNF45" s="92" t="s">
        <v>54</v>
      </c>
      <c r="WNG45" s="92" t="s">
        <v>54</v>
      </c>
      <c r="WNH45" s="92" t="s">
        <v>54</v>
      </c>
      <c r="WNI45" s="92" t="s">
        <v>54</v>
      </c>
      <c r="WNJ45" s="92" t="s">
        <v>54</v>
      </c>
      <c r="WNK45" s="92" t="s">
        <v>54</v>
      </c>
      <c r="WNL45" s="92" t="s">
        <v>54</v>
      </c>
      <c r="WNM45" s="92" t="s">
        <v>54</v>
      </c>
      <c r="WNN45" s="92" t="s">
        <v>54</v>
      </c>
      <c r="WNO45" s="92" t="s">
        <v>54</v>
      </c>
      <c r="WNP45" s="92" t="s">
        <v>54</v>
      </c>
      <c r="WNQ45" s="92" t="s">
        <v>54</v>
      </c>
      <c r="WNR45" s="92" t="s">
        <v>54</v>
      </c>
      <c r="WNS45" s="92" t="s">
        <v>54</v>
      </c>
      <c r="WNT45" s="92" t="s">
        <v>54</v>
      </c>
      <c r="WNU45" s="92" t="s">
        <v>54</v>
      </c>
      <c r="WNV45" s="92" t="s">
        <v>54</v>
      </c>
      <c r="WNW45" s="92" t="s">
        <v>54</v>
      </c>
      <c r="WNX45" s="92" t="s">
        <v>54</v>
      </c>
      <c r="WNY45" s="92" t="s">
        <v>54</v>
      </c>
      <c r="WNZ45" s="92" t="s">
        <v>54</v>
      </c>
      <c r="WOA45" s="92" t="s">
        <v>54</v>
      </c>
      <c r="WOB45" s="92" t="s">
        <v>54</v>
      </c>
      <c r="WOC45" s="92" t="s">
        <v>54</v>
      </c>
      <c r="WOD45" s="92" t="s">
        <v>54</v>
      </c>
      <c r="WOE45" s="92" t="s">
        <v>54</v>
      </c>
      <c r="WOF45" s="92" t="s">
        <v>54</v>
      </c>
      <c r="WOG45" s="92" t="s">
        <v>54</v>
      </c>
      <c r="WOH45" s="92" t="s">
        <v>54</v>
      </c>
      <c r="WOI45" s="92" t="s">
        <v>54</v>
      </c>
      <c r="WOJ45" s="92" t="s">
        <v>54</v>
      </c>
      <c r="WOK45" s="92" t="s">
        <v>54</v>
      </c>
      <c r="WOL45" s="92" t="s">
        <v>54</v>
      </c>
      <c r="WOM45" s="92" t="s">
        <v>54</v>
      </c>
      <c r="WON45" s="92" t="s">
        <v>54</v>
      </c>
      <c r="WOO45" s="92" t="s">
        <v>54</v>
      </c>
      <c r="WOP45" s="92" t="s">
        <v>54</v>
      </c>
      <c r="WOQ45" s="92" t="s">
        <v>54</v>
      </c>
      <c r="WOR45" s="92" t="s">
        <v>54</v>
      </c>
      <c r="WOS45" s="92" t="s">
        <v>54</v>
      </c>
      <c r="WOT45" s="92" t="s">
        <v>54</v>
      </c>
      <c r="WOU45" s="92" t="s">
        <v>54</v>
      </c>
      <c r="WOV45" s="92" t="s">
        <v>54</v>
      </c>
      <c r="WOW45" s="92" t="s">
        <v>54</v>
      </c>
      <c r="WOX45" s="92" t="s">
        <v>54</v>
      </c>
      <c r="WOY45" s="92" t="s">
        <v>54</v>
      </c>
      <c r="WOZ45" s="92" t="s">
        <v>54</v>
      </c>
      <c r="WPA45" s="92" t="s">
        <v>54</v>
      </c>
      <c r="WPB45" s="92" t="s">
        <v>54</v>
      </c>
      <c r="WPC45" s="92" t="s">
        <v>54</v>
      </c>
      <c r="WPD45" s="92" t="s">
        <v>54</v>
      </c>
      <c r="WPE45" s="92" t="s">
        <v>54</v>
      </c>
      <c r="WPF45" s="92" t="s">
        <v>54</v>
      </c>
      <c r="WPG45" s="92" t="s">
        <v>54</v>
      </c>
      <c r="WPH45" s="92" t="s">
        <v>54</v>
      </c>
      <c r="WPI45" s="92" t="s">
        <v>54</v>
      </c>
      <c r="WPJ45" s="92" t="s">
        <v>54</v>
      </c>
      <c r="WPK45" s="92" t="s">
        <v>54</v>
      </c>
      <c r="WPL45" s="92" t="s">
        <v>54</v>
      </c>
      <c r="WPM45" s="92" t="s">
        <v>54</v>
      </c>
      <c r="WPN45" s="92" t="s">
        <v>54</v>
      </c>
      <c r="WPO45" s="92" t="s">
        <v>54</v>
      </c>
      <c r="WPP45" s="92" t="s">
        <v>54</v>
      </c>
      <c r="WPQ45" s="92" t="s">
        <v>54</v>
      </c>
      <c r="WPR45" s="92" t="s">
        <v>54</v>
      </c>
      <c r="WPS45" s="92" t="s">
        <v>54</v>
      </c>
      <c r="WPT45" s="92" t="s">
        <v>54</v>
      </c>
      <c r="WPU45" s="92" t="s">
        <v>54</v>
      </c>
      <c r="WPV45" s="92" t="s">
        <v>54</v>
      </c>
      <c r="WPW45" s="92" t="s">
        <v>54</v>
      </c>
      <c r="WPX45" s="92" t="s">
        <v>54</v>
      </c>
      <c r="WPY45" s="92" t="s">
        <v>54</v>
      </c>
      <c r="WPZ45" s="92" t="s">
        <v>54</v>
      </c>
      <c r="WQA45" s="92" t="s">
        <v>54</v>
      </c>
      <c r="WQB45" s="92" t="s">
        <v>54</v>
      </c>
      <c r="WQC45" s="92" t="s">
        <v>54</v>
      </c>
      <c r="WQD45" s="92" t="s">
        <v>54</v>
      </c>
      <c r="WQE45" s="92" t="s">
        <v>54</v>
      </c>
      <c r="WQF45" s="92" t="s">
        <v>54</v>
      </c>
      <c r="WQG45" s="92" t="s">
        <v>54</v>
      </c>
      <c r="WQH45" s="92" t="s">
        <v>54</v>
      </c>
      <c r="WQI45" s="92" t="s">
        <v>54</v>
      </c>
      <c r="WQJ45" s="92" t="s">
        <v>54</v>
      </c>
      <c r="WQK45" s="92" t="s">
        <v>54</v>
      </c>
      <c r="WQL45" s="92" t="s">
        <v>54</v>
      </c>
      <c r="WQM45" s="92" t="s">
        <v>54</v>
      </c>
      <c r="WQN45" s="92" t="s">
        <v>54</v>
      </c>
      <c r="WQO45" s="92" t="s">
        <v>54</v>
      </c>
      <c r="WQP45" s="92" t="s">
        <v>54</v>
      </c>
      <c r="WQQ45" s="92" t="s">
        <v>54</v>
      </c>
      <c r="WQR45" s="92" t="s">
        <v>54</v>
      </c>
      <c r="WQS45" s="92" t="s">
        <v>54</v>
      </c>
      <c r="WQT45" s="92" t="s">
        <v>54</v>
      </c>
      <c r="WQU45" s="92" t="s">
        <v>54</v>
      </c>
      <c r="WQV45" s="92" t="s">
        <v>54</v>
      </c>
      <c r="WQW45" s="92" t="s">
        <v>54</v>
      </c>
      <c r="WQX45" s="92" t="s">
        <v>54</v>
      </c>
      <c r="WQY45" s="92" t="s">
        <v>54</v>
      </c>
      <c r="WQZ45" s="92" t="s">
        <v>54</v>
      </c>
      <c r="WRA45" s="92" t="s">
        <v>54</v>
      </c>
      <c r="WRB45" s="92" t="s">
        <v>54</v>
      </c>
      <c r="WRC45" s="92" t="s">
        <v>54</v>
      </c>
      <c r="WRD45" s="92" t="s">
        <v>54</v>
      </c>
      <c r="WRE45" s="92" t="s">
        <v>54</v>
      </c>
      <c r="WRF45" s="92" t="s">
        <v>54</v>
      </c>
      <c r="WRG45" s="92" t="s">
        <v>54</v>
      </c>
      <c r="WRH45" s="92" t="s">
        <v>54</v>
      </c>
      <c r="WRI45" s="92" t="s">
        <v>54</v>
      </c>
      <c r="WRJ45" s="92" t="s">
        <v>54</v>
      </c>
      <c r="WRK45" s="92" t="s">
        <v>54</v>
      </c>
      <c r="WRL45" s="92" t="s">
        <v>54</v>
      </c>
      <c r="WRM45" s="92" t="s">
        <v>54</v>
      </c>
      <c r="WRN45" s="92" t="s">
        <v>54</v>
      </c>
      <c r="WRO45" s="92" t="s">
        <v>54</v>
      </c>
      <c r="WRP45" s="92" t="s">
        <v>54</v>
      </c>
      <c r="WRQ45" s="92" t="s">
        <v>54</v>
      </c>
      <c r="WRR45" s="92" t="s">
        <v>54</v>
      </c>
      <c r="WRS45" s="92" t="s">
        <v>54</v>
      </c>
      <c r="WRT45" s="92" t="s">
        <v>54</v>
      </c>
      <c r="WRU45" s="92" t="s">
        <v>54</v>
      </c>
      <c r="WRV45" s="92" t="s">
        <v>54</v>
      </c>
      <c r="WRW45" s="92" t="s">
        <v>54</v>
      </c>
      <c r="WRX45" s="92" t="s">
        <v>54</v>
      </c>
      <c r="WRY45" s="92" t="s">
        <v>54</v>
      </c>
      <c r="WRZ45" s="92" t="s">
        <v>54</v>
      </c>
      <c r="WSA45" s="92" t="s">
        <v>54</v>
      </c>
      <c r="WSB45" s="92" t="s">
        <v>54</v>
      </c>
      <c r="WSC45" s="92" t="s">
        <v>54</v>
      </c>
      <c r="WSD45" s="92" t="s">
        <v>54</v>
      </c>
      <c r="WSE45" s="92" t="s">
        <v>54</v>
      </c>
      <c r="WSF45" s="92" t="s">
        <v>54</v>
      </c>
      <c r="WSG45" s="92" t="s">
        <v>54</v>
      </c>
      <c r="WSH45" s="92" t="s">
        <v>54</v>
      </c>
      <c r="WSI45" s="92" t="s">
        <v>54</v>
      </c>
      <c r="WSJ45" s="92" t="s">
        <v>54</v>
      </c>
      <c r="WSK45" s="92" t="s">
        <v>54</v>
      </c>
      <c r="WSL45" s="92" t="s">
        <v>54</v>
      </c>
      <c r="WSM45" s="92" t="s">
        <v>54</v>
      </c>
      <c r="WSN45" s="92" t="s">
        <v>54</v>
      </c>
      <c r="WSO45" s="92" t="s">
        <v>54</v>
      </c>
      <c r="WSP45" s="92" t="s">
        <v>54</v>
      </c>
      <c r="WSQ45" s="92" t="s">
        <v>54</v>
      </c>
      <c r="WSR45" s="92" t="s">
        <v>54</v>
      </c>
      <c r="WSS45" s="92" t="s">
        <v>54</v>
      </c>
      <c r="WST45" s="92" t="s">
        <v>54</v>
      </c>
      <c r="WSU45" s="92" t="s">
        <v>54</v>
      </c>
      <c r="WSV45" s="92" t="s">
        <v>54</v>
      </c>
      <c r="WSW45" s="92" t="s">
        <v>54</v>
      </c>
      <c r="WSX45" s="92" t="s">
        <v>54</v>
      </c>
      <c r="WSY45" s="92" t="s">
        <v>54</v>
      </c>
      <c r="WSZ45" s="92" t="s">
        <v>54</v>
      </c>
      <c r="WTA45" s="92" t="s">
        <v>54</v>
      </c>
      <c r="WTB45" s="92" t="s">
        <v>54</v>
      </c>
      <c r="WTC45" s="92" t="s">
        <v>54</v>
      </c>
      <c r="WTD45" s="92" t="s">
        <v>54</v>
      </c>
      <c r="WTE45" s="92" t="s">
        <v>54</v>
      </c>
      <c r="WTF45" s="92" t="s">
        <v>54</v>
      </c>
      <c r="WTG45" s="92" t="s">
        <v>54</v>
      </c>
      <c r="WTH45" s="92" t="s">
        <v>54</v>
      </c>
      <c r="WTI45" s="92" t="s">
        <v>54</v>
      </c>
      <c r="WTJ45" s="92" t="s">
        <v>54</v>
      </c>
      <c r="WTK45" s="92" t="s">
        <v>54</v>
      </c>
      <c r="WTL45" s="92" t="s">
        <v>54</v>
      </c>
      <c r="WTM45" s="92" t="s">
        <v>54</v>
      </c>
      <c r="WTN45" s="92" t="s">
        <v>54</v>
      </c>
      <c r="WTO45" s="92" t="s">
        <v>54</v>
      </c>
      <c r="WTP45" s="92" t="s">
        <v>54</v>
      </c>
      <c r="WTQ45" s="92" t="s">
        <v>54</v>
      </c>
      <c r="WTR45" s="92" t="s">
        <v>54</v>
      </c>
      <c r="WTS45" s="92" t="s">
        <v>54</v>
      </c>
      <c r="WTT45" s="92" t="s">
        <v>54</v>
      </c>
      <c r="WTU45" s="92" t="s">
        <v>54</v>
      </c>
      <c r="WTV45" s="92" t="s">
        <v>54</v>
      </c>
      <c r="WTW45" s="92" t="s">
        <v>54</v>
      </c>
      <c r="WTX45" s="92" t="s">
        <v>54</v>
      </c>
      <c r="WTY45" s="92" t="s">
        <v>54</v>
      </c>
      <c r="WTZ45" s="92" t="s">
        <v>54</v>
      </c>
      <c r="WUA45" s="92" t="s">
        <v>54</v>
      </c>
      <c r="WUB45" s="92" t="s">
        <v>54</v>
      </c>
      <c r="WUC45" s="92" t="s">
        <v>54</v>
      </c>
      <c r="WUD45" s="92" t="s">
        <v>54</v>
      </c>
      <c r="WUE45" s="92" t="s">
        <v>54</v>
      </c>
      <c r="WUF45" s="92" t="s">
        <v>54</v>
      </c>
      <c r="WUG45" s="92" t="s">
        <v>54</v>
      </c>
      <c r="WUH45" s="92" t="s">
        <v>54</v>
      </c>
      <c r="WUI45" s="92" t="s">
        <v>54</v>
      </c>
      <c r="WUJ45" s="92" t="s">
        <v>54</v>
      </c>
      <c r="WUK45" s="92" t="s">
        <v>54</v>
      </c>
      <c r="WUL45" s="92" t="s">
        <v>54</v>
      </c>
      <c r="WUM45" s="92" t="s">
        <v>54</v>
      </c>
      <c r="WUN45" s="92" t="s">
        <v>54</v>
      </c>
      <c r="WUO45" s="92" t="s">
        <v>54</v>
      </c>
      <c r="WUP45" s="92" t="s">
        <v>54</v>
      </c>
      <c r="WUQ45" s="92" t="s">
        <v>54</v>
      </c>
      <c r="WUR45" s="92" t="s">
        <v>54</v>
      </c>
      <c r="WUS45" s="92" t="s">
        <v>54</v>
      </c>
      <c r="WUT45" s="92" t="s">
        <v>54</v>
      </c>
      <c r="WUU45" s="92" t="s">
        <v>54</v>
      </c>
      <c r="WUV45" s="92" t="s">
        <v>54</v>
      </c>
      <c r="WUW45" s="92" t="s">
        <v>54</v>
      </c>
      <c r="WUX45" s="92" t="s">
        <v>54</v>
      </c>
      <c r="WUY45" s="92" t="s">
        <v>54</v>
      </c>
      <c r="WUZ45" s="92" t="s">
        <v>54</v>
      </c>
      <c r="WVA45" s="92" t="s">
        <v>54</v>
      </c>
      <c r="WVB45" s="92" t="s">
        <v>54</v>
      </c>
      <c r="WVC45" s="92" t="s">
        <v>54</v>
      </c>
      <c r="WVD45" s="92" t="s">
        <v>54</v>
      </c>
      <c r="WVE45" s="92" t="s">
        <v>54</v>
      </c>
      <c r="WVF45" s="92" t="s">
        <v>54</v>
      </c>
      <c r="WVG45" s="92" t="s">
        <v>54</v>
      </c>
      <c r="WVH45" s="92" t="s">
        <v>54</v>
      </c>
      <c r="WVI45" s="92" t="s">
        <v>54</v>
      </c>
      <c r="WVJ45" s="92" t="s">
        <v>54</v>
      </c>
      <c r="WVK45" s="92" t="s">
        <v>54</v>
      </c>
      <c r="WVL45" s="92" t="s">
        <v>54</v>
      </c>
      <c r="WVM45" s="92" t="s">
        <v>54</v>
      </c>
      <c r="WVN45" s="92" t="s">
        <v>54</v>
      </c>
      <c r="WVO45" s="92" t="s">
        <v>54</v>
      </c>
      <c r="WVP45" s="92" t="s">
        <v>54</v>
      </c>
      <c r="WVQ45" s="92" t="s">
        <v>54</v>
      </c>
      <c r="WVR45" s="92" t="s">
        <v>54</v>
      </c>
      <c r="WVS45" s="92" t="s">
        <v>54</v>
      </c>
      <c r="WVT45" s="92" t="s">
        <v>54</v>
      </c>
      <c r="WVU45" s="92" t="s">
        <v>54</v>
      </c>
      <c r="WVV45" s="92" t="s">
        <v>54</v>
      </c>
      <c r="WVW45" s="92" t="s">
        <v>54</v>
      </c>
      <c r="WVX45" s="92" t="s">
        <v>54</v>
      </c>
      <c r="WVY45" s="92" t="s">
        <v>54</v>
      </c>
      <c r="WVZ45" s="92" t="s">
        <v>54</v>
      </c>
      <c r="WWA45" s="92" t="s">
        <v>54</v>
      </c>
      <c r="WWB45" s="92" t="s">
        <v>54</v>
      </c>
      <c r="WWC45" s="92" t="s">
        <v>54</v>
      </c>
      <c r="WWD45" s="92" t="s">
        <v>54</v>
      </c>
      <c r="WWE45" s="92" t="s">
        <v>54</v>
      </c>
      <c r="WWF45" s="92" t="s">
        <v>54</v>
      </c>
      <c r="WWG45" s="92" t="s">
        <v>54</v>
      </c>
      <c r="WWH45" s="92" t="s">
        <v>54</v>
      </c>
      <c r="WWI45" s="92" t="s">
        <v>54</v>
      </c>
      <c r="WWJ45" s="92" t="s">
        <v>54</v>
      </c>
      <c r="WWK45" s="92" t="s">
        <v>54</v>
      </c>
      <c r="WWL45" s="92" t="s">
        <v>54</v>
      </c>
      <c r="WWM45" s="92" t="s">
        <v>54</v>
      </c>
      <c r="WWN45" s="92" t="s">
        <v>54</v>
      </c>
      <c r="WWO45" s="92" t="s">
        <v>54</v>
      </c>
      <c r="WWP45" s="92" t="s">
        <v>54</v>
      </c>
      <c r="WWQ45" s="92" t="s">
        <v>54</v>
      </c>
      <c r="WWR45" s="92" t="s">
        <v>54</v>
      </c>
      <c r="WWS45" s="92" t="s">
        <v>54</v>
      </c>
      <c r="WWT45" s="92" t="s">
        <v>54</v>
      </c>
      <c r="WWU45" s="92" t="s">
        <v>54</v>
      </c>
      <c r="WWV45" s="92" t="s">
        <v>54</v>
      </c>
      <c r="WWW45" s="92" t="s">
        <v>54</v>
      </c>
      <c r="WWX45" s="92" t="s">
        <v>54</v>
      </c>
      <c r="WWY45" s="92" t="s">
        <v>54</v>
      </c>
      <c r="WWZ45" s="92" t="s">
        <v>54</v>
      </c>
      <c r="WXA45" s="92" t="s">
        <v>54</v>
      </c>
      <c r="WXB45" s="92" t="s">
        <v>54</v>
      </c>
      <c r="WXC45" s="92" t="s">
        <v>54</v>
      </c>
      <c r="WXD45" s="92" t="s">
        <v>54</v>
      </c>
      <c r="WXE45" s="92" t="s">
        <v>54</v>
      </c>
      <c r="WXF45" s="92" t="s">
        <v>54</v>
      </c>
      <c r="WXG45" s="92" t="s">
        <v>54</v>
      </c>
      <c r="WXH45" s="92" t="s">
        <v>54</v>
      </c>
      <c r="WXI45" s="92" t="s">
        <v>54</v>
      </c>
      <c r="WXJ45" s="92" t="s">
        <v>54</v>
      </c>
      <c r="WXK45" s="92" t="s">
        <v>54</v>
      </c>
      <c r="WXL45" s="92" t="s">
        <v>54</v>
      </c>
      <c r="WXM45" s="92" t="s">
        <v>54</v>
      </c>
      <c r="WXN45" s="92" t="s">
        <v>54</v>
      </c>
      <c r="WXO45" s="92" t="s">
        <v>54</v>
      </c>
      <c r="WXP45" s="92" t="s">
        <v>54</v>
      </c>
      <c r="WXQ45" s="92" t="s">
        <v>54</v>
      </c>
      <c r="WXR45" s="92" t="s">
        <v>54</v>
      </c>
      <c r="WXS45" s="92" t="s">
        <v>54</v>
      </c>
      <c r="WXT45" s="92" t="s">
        <v>54</v>
      </c>
      <c r="WXU45" s="92" t="s">
        <v>54</v>
      </c>
      <c r="WXV45" s="92" t="s">
        <v>54</v>
      </c>
      <c r="WXW45" s="92" t="s">
        <v>54</v>
      </c>
      <c r="WXX45" s="92" t="s">
        <v>54</v>
      </c>
      <c r="WXY45" s="92" t="s">
        <v>54</v>
      </c>
      <c r="WXZ45" s="92" t="s">
        <v>54</v>
      </c>
      <c r="WYA45" s="92" t="s">
        <v>54</v>
      </c>
      <c r="WYB45" s="92" t="s">
        <v>54</v>
      </c>
      <c r="WYC45" s="92" t="s">
        <v>54</v>
      </c>
      <c r="WYD45" s="92" t="s">
        <v>54</v>
      </c>
      <c r="WYE45" s="92" t="s">
        <v>54</v>
      </c>
      <c r="WYF45" s="92" t="s">
        <v>54</v>
      </c>
      <c r="WYG45" s="92" t="s">
        <v>54</v>
      </c>
      <c r="WYH45" s="92" t="s">
        <v>54</v>
      </c>
      <c r="WYI45" s="92" t="s">
        <v>54</v>
      </c>
      <c r="WYJ45" s="92" t="s">
        <v>54</v>
      </c>
      <c r="WYK45" s="92" t="s">
        <v>54</v>
      </c>
      <c r="WYL45" s="92" t="s">
        <v>54</v>
      </c>
      <c r="WYM45" s="92" t="s">
        <v>54</v>
      </c>
      <c r="WYN45" s="92" t="s">
        <v>54</v>
      </c>
      <c r="WYO45" s="92" t="s">
        <v>54</v>
      </c>
      <c r="WYP45" s="92" t="s">
        <v>54</v>
      </c>
      <c r="WYQ45" s="92" t="s">
        <v>54</v>
      </c>
      <c r="WYR45" s="92" t="s">
        <v>54</v>
      </c>
      <c r="WYS45" s="92" t="s">
        <v>54</v>
      </c>
      <c r="WYT45" s="92" t="s">
        <v>54</v>
      </c>
      <c r="WYU45" s="92" t="s">
        <v>54</v>
      </c>
      <c r="WYV45" s="92" t="s">
        <v>54</v>
      </c>
      <c r="WYW45" s="92" t="s">
        <v>54</v>
      </c>
      <c r="WYX45" s="92" t="s">
        <v>54</v>
      </c>
      <c r="WYY45" s="92" t="s">
        <v>54</v>
      </c>
      <c r="WYZ45" s="92" t="s">
        <v>54</v>
      </c>
      <c r="WZA45" s="92" t="s">
        <v>54</v>
      </c>
      <c r="WZB45" s="92" t="s">
        <v>54</v>
      </c>
      <c r="WZC45" s="92" t="s">
        <v>54</v>
      </c>
      <c r="WZD45" s="92" t="s">
        <v>54</v>
      </c>
      <c r="WZE45" s="92" t="s">
        <v>54</v>
      </c>
      <c r="WZF45" s="92" t="s">
        <v>54</v>
      </c>
      <c r="WZG45" s="92" t="s">
        <v>54</v>
      </c>
      <c r="WZH45" s="92" t="s">
        <v>54</v>
      </c>
      <c r="WZI45" s="92" t="s">
        <v>54</v>
      </c>
      <c r="WZJ45" s="92" t="s">
        <v>54</v>
      </c>
      <c r="WZK45" s="92" t="s">
        <v>54</v>
      </c>
      <c r="WZL45" s="92" t="s">
        <v>54</v>
      </c>
      <c r="WZM45" s="92" t="s">
        <v>54</v>
      </c>
      <c r="WZN45" s="92" t="s">
        <v>54</v>
      </c>
      <c r="WZO45" s="92" t="s">
        <v>54</v>
      </c>
      <c r="WZP45" s="92" t="s">
        <v>54</v>
      </c>
      <c r="WZQ45" s="92" t="s">
        <v>54</v>
      </c>
      <c r="WZR45" s="92" t="s">
        <v>54</v>
      </c>
      <c r="WZS45" s="92" t="s">
        <v>54</v>
      </c>
      <c r="WZT45" s="92" t="s">
        <v>54</v>
      </c>
      <c r="WZU45" s="92" t="s">
        <v>54</v>
      </c>
      <c r="WZV45" s="92" t="s">
        <v>54</v>
      </c>
      <c r="WZW45" s="92" t="s">
        <v>54</v>
      </c>
      <c r="WZX45" s="92" t="s">
        <v>54</v>
      </c>
      <c r="WZY45" s="92" t="s">
        <v>54</v>
      </c>
      <c r="WZZ45" s="92" t="s">
        <v>54</v>
      </c>
      <c r="XAA45" s="92" t="s">
        <v>54</v>
      </c>
      <c r="XAB45" s="92" t="s">
        <v>54</v>
      </c>
      <c r="XAC45" s="92" t="s">
        <v>54</v>
      </c>
      <c r="XAD45" s="92" t="s">
        <v>54</v>
      </c>
      <c r="XAE45" s="92" t="s">
        <v>54</v>
      </c>
      <c r="XAF45" s="92" t="s">
        <v>54</v>
      </c>
      <c r="XAG45" s="92" t="s">
        <v>54</v>
      </c>
      <c r="XAH45" s="92" t="s">
        <v>54</v>
      </c>
      <c r="XAI45" s="92" t="s">
        <v>54</v>
      </c>
      <c r="XAJ45" s="92" t="s">
        <v>54</v>
      </c>
      <c r="XAK45" s="92" t="s">
        <v>54</v>
      </c>
      <c r="XAL45" s="92" t="s">
        <v>54</v>
      </c>
      <c r="XAM45" s="92" t="s">
        <v>54</v>
      </c>
      <c r="XAN45" s="92" t="s">
        <v>54</v>
      </c>
      <c r="XAO45" s="92" t="s">
        <v>54</v>
      </c>
      <c r="XAP45" s="92" t="s">
        <v>54</v>
      </c>
      <c r="XAQ45" s="92" t="s">
        <v>54</v>
      </c>
      <c r="XAR45" s="92" t="s">
        <v>54</v>
      </c>
      <c r="XAS45" s="92" t="s">
        <v>54</v>
      </c>
      <c r="XAT45" s="92" t="s">
        <v>54</v>
      </c>
      <c r="XAU45" s="92" t="s">
        <v>54</v>
      </c>
      <c r="XAV45" s="92" t="s">
        <v>54</v>
      </c>
      <c r="XAW45" s="92" t="s">
        <v>54</v>
      </c>
      <c r="XAX45" s="92" t="s">
        <v>54</v>
      </c>
      <c r="XAY45" s="92" t="s">
        <v>54</v>
      </c>
      <c r="XAZ45" s="92" t="s">
        <v>54</v>
      </c>
      <c r="XBA45" s="92" t="s">
        <v>54</v>
      </c>
      <c r="XBB45" s="92" t="s">
        <v>54</v>
      </c>
      <c r="XBC45" s="92" t="s">
        <v>54</v>
      </c>
      <c r="XBD45" s="92" t="s">
        <v>54</v>
      </c>
      <c r="XBE45" s="92" t="s">
        <v>54</v>
      </c>
      <c r="XBF45" s="92" t="s">
        <v>54</v>
      </c>
      <c r="XBG45" s="92" t="s">
        <v>54</v>
      </c>
      <c r="XBH45" s="92" t="s">
        <v>54</v>
      </c>
      <c r="XBI45" s="92" t="s">
        <v>54</v>
      </c>
      <c r="XBJ45" s="92" t="s">
        <v>54</v>
      </c>
      <c r="XBK45" s="92" t="s">
        <v>54</v>
      </c>
      <c r="XBL45" s="92" t="s">
        <v>54</v>
      </c>
      <c r="XBM45" s="92" t="s">
        <v>54</v>
      </c>
      <c r="XBN45" s="92" t="s">
        <v>54</v>
      </c>
      <c r="XBO45" s="92" t="s">
        <v>54</v>
      </c>
      <c r="XBP45" s="92" t="s">
        <v>54</v>
      </c>
      <c r="XBQ45" s="92" t="s">
        <v>54</v>
      </c>
      <c r="XBR45" s="92" t="s">
        <v>54</v>
      </c>
      <c r="XBS45" s="92" t="s">
        <v>54</v>
      </c>
      <c r="XBT45" s="92" t="s">
        <v>54</v>
      </c>
      <c r="XBU45" s="92" t="s">
        <v>54</v>
      </c>
      <c r="XBV45" s="92" t="s">
        <v>54</v>
      </c>
      <c r="XBW45" s="92" t="s">
        <v>54</v>
      </c>
      <c r="XBX45" s="92" t="s">
        <v>54</v>
      </c>
      <c r="XBY45" s="92" t="s">
        <v>54</v>
      </c>
      <c r="XBZ45" s="92" t="s">
        <v>54</v>
      </c>
      <c r="XCA45" s="92" t="s">
        <v>54</v>
      </c>
      <c r="XCB45" s="92" t="s">
        <v>54</v>
      </c>
      <c r="XCC45" s="92" t="s">
        <v>54</v>
      </c>
      <c r="XCD45" s="92" t="s">
        <v>54</v>
      </c>
      <c r="XCE45" s="92" t="s">
        <v>54</v>
      </c>
      <c r="XCF45" s="92" t="s">
        <v>54</v>
      </c>
      <c r="XCG45" s="92" t="s">
        <v>54</v>
      </c>
      <c r="XCH45" s="92" t="s">
        <v>54</v>
      </c>
      <c r="XCI45" s="92" t="s">
        <v>54</v>
      </c>
      <c r="XCJ45" s="92" t="s">
        <v>54</v>
      </c>
      <c r="XCK45" s="92" t="s">
        <v>54</v>
      </c>
      <c r="XCL45" s="92" t="s">
        <v>54</v>
      </c>
      <c r="XCM45" s="92" t="s">
        <v>54</v>
      </c>
      <c r="XCN45" s="92" t="s">
        <v>54</v>
      </c>
      <c r="XCO45" s="92" t="s">
        <v>54</v>
      </c>
      <c r="XCP45" s="92" t="s">
        <v>54</v>
      </c>
      <c r="XCQ45" s="92" t="s">
        <v>54</v>
      </c>
      <c r="XCR45" s="92" t="s">
        <v>54</v>
      </c>
      <c r="XCS45" s="92" t="s">
        <v>54</v>
      </c>
      <c r="XCT45" s="92" t="s">
        <v>54</v>
      </c>
      <c r="XCU45" s="92" t="s">
        <v>54</v>
      </c>
      <c r="XCV45" s="92" t="s">
        <v>54</v>
      </c>
      <c r="XCW45" s="92" t="s">
        <v>54</v>
      </c>
      <c r="XCX45" s="92" t="s">
        <v>54</v>
      </c>
      <c r="XCY45" s="92" t="s">
        <v>54</v>
      </c>
      <c r="XCZ45" s="92" t="s">
        <v>54</v>
      </c>
      <c r="XDA45" s="92" t="s">
        <v>54</v>
      </c>
      <c r="XDB45" s="92" t="s">
        <v>54</v>
      </c>
      <c r="XDC45" s="92" t="s">
        <v>54</v>
      </c>
      <c r="XDD45" s="92" t="s">
        <v>54</v>
      </c>
      <c r="XDE45" s="92" t="s">
        <v>54</v>
      </c>
      <c r="XDF45" s="92" t="s">
        <v>54</v>
      </c>
      <c r="XDG45" s="92" t="s">
        <v>54</v>
      </c>
      <c r="XDH45" s="92" t="s">
        <v>54</v>
      </c>
      <c r="XDI45" s="92" t="s">
        <v>54</v>
      </c>
      <c r="XDJ45" s="92" t="s">
        <v>54</v>
      </c>
      <c r="XDK45" s="92" t="s">
        <v>54</v>
      </c>
      <c r="XDL45" s="92" t="s">
        <v>54</v>
      </c>
      <c r="XDM45" s="92" t="s">
        <v>54</v>
      </c>
      <c r="XDN45" s="92" t="s">
        <v>54</v>
      </c>
      <c r="XDO45" s="92" t="s">
        <v>54</v>
      </c>
      <c r="XDP45" s="92" t="s">
        <v>54</v>
      </c>
      <c r="XDQ45" s="92" t="s">
        <v>54</v>
      </c>
      <c r="XDR45" s="92" t="s">
        <v>54</v>
      </c>
      <c r="XDS45" s="92" t="s">
        <v>54</v>
      </c>
      <c r="XDT45" s="92" t="s">
        <v>54</v>
      </c>
      <c r="XDU45" s="92" t="s">
        <v>54</v>
      </c>
      <c r="XDV45" s="92" t="s">
        <v>54</v>
      </c>
      <c r="XDW45" s="92" t="s">
        <v>54</v>
      </c>
      <c r="XDX45" s="92" t="s">
        <v>54</v>
      </c>
      <c r="XDY45" s="92" t="s">
        <v>54</v>
      </c>
      <c r="XDZ45" s="92" t="s">
        <v>54</v>
      </c>
      <c r="XEA45" s="92" t="s">
        <v>54</v>
      </c>
      <c r="XEB45" s="92" t="s">
        <v>54</v>
      </c>
      <c r="XEC45" s="92" t="s">
        <v>54</v>
      </c>
      <c r="XED45" s="92" t="s">
        <v>54</v>
      </c>
      <c r="XEE45" s="92" t="s">
        <v>54</v>
      </c>
      <c r="XEF45" s="92" t="s">
        <v>54</v>
      </c>
    </row>
    <row r="46" spans="1:16360" s="92" customFormat="1" ht="13.9" hidden="1" customHeight="1" outlineLevel="1" x14ac:dyDescent="0.2">
      <c r="A46" s="743"/>
      <c r="B46" s="90" t="s">
        <v>55</v>
      </c>
      <c r="C46" s="91"/>
      <c r="D46" s="87">
        <v>279766</v>
      </c>
      <c r="E46" s="88">
        <v>236914</v>
      </c>
      <c r="F46" s="76">
        <v>335428</v>
      </c>
      <c r="G46" s="76">
        <v>344390.48</v>
      </c>
      <c r="H46" s="76">
        <v>373002.00008769997</v>
      </c>
      <c r="I46" s="76">
        <f>H46*I20</f>
        <v>380462.04008945398</v>
      </c>
      <c r="J46" s="76">
        <f t="shared" ref="J46:L46" si="60">I46*J20</f>
        <v>388071.28089124308</v>
      </c>
      <c r="K46" s="76">
        <f t="shared" si="60"/>
        <v>395832.70650906797</v>
      </c>
      <c r="L46" s="76">
        <f t="shared" si="60"/>
        <v>403749.36063924932</v>
      </c>
      <c r="M46" s="11"/>
      <c r="N46" s="11"/>
      <c r="O46" s="81"/>
      <c r="P46" s="35">
        <f t="shared" si="34"/>
        <v>-0.15317086422224291</v>
      </c>
      <c r="Q46" s="35">
        <f t="shared" si="34"/>
        <v>0.41582177499008077</v>
      </c>
      <c r="R46" s="35">
        <f t="shared" si="34"/>
        <v>2.6719534445544202E-2</v>
      </c>
      <c r="S46" s="35">
        <f t="shared" si="34"/>
        <v>8.3078719503802745E-2</v>
      </c>
      <c r="T46" s="82">
        <f t="shared" si="34"/>
        <v>2.0000000000000018E-2</v>
      </c>
      <c r="U46" s="82">
        <f t="shared" si="56"/>
        <v>2.0000000000000018E-2</v>
      </c>
      <c r="V46" s="82">
        <f t="shared" si="57"/>
        <v>2.0000000000000018E-2</v>
      </c>
      <c r="W46" s="82">
        <f t="shared" si="58"/>
        <v>2.0000000000000018E-2</v>
      </c>
    </row>
    <row r="47" spans="1:16360" s="92" customFormat="1" ht="13.9" hidden="1" customHeight="1" outlineLevel="1" x14ac:dyDescent="0.2">
      <c r="A47" s="741" t="s">
        <v>19</v>
      </c>
      <c r="B47" s="38" t="s">
        <v>56</v>
      </c>
      <c r="C47" s="95"/>
      <c r="D47" s="96"/>
      <c r="E47" s="97">
        <v>0</v>
      </c>
      <c r="F47" s="98">
        <v>0</v>
      </c>
      <c r="G47" s="98">
        <v>52568</v>
      </c>
      <c r="H47" s="98">
        <v>81528</v>
      </c>
      <c r="I47" s="98">
        <f>AVERAGE(SUM(F5:F8),SUM(G5:G8),SUM(H5:H8))*0.5%</f>
        <v>211540.04666666669</v>
      </c>
      <c r="J47" s="98">
        <f t="shared" ref="J47:L47" si="61">AVERAGE(SUM(G5:G8),SUM(H5:H8),SUM(I5:I8))*0.5%</f>
        <v>228759.05524009941</v>
      </c>
      <c r="K47" s="98">
        <f t="shared" si="61"/>
        <v>244092.43453145801</v>
      </c>
      <c r="L47" s="98">
        <f t="shared" si="61"/>
        <v>258744.3341413257</v>
      </c>
      <c r="M47" s="99" t="s">
        <v>57</v>
      </c>
      <c r="N47" s="99"/>
      <c r="O47" s="100"/>
      <c r="P47" s="35" t="str">
        <f>IFERROR(E47/#REF!-1, "-")</f>
        <v>-</v>
      </c>
      <c r="Q47" s="35" t="str">
        <f t="shared" ref="Q47:T50" si="62">IFERROR(F47/E47-1, "-")</f>
        <v>-</v>
      </c>
      <c r="R47" s="35" t="str">
        <f t="shared" si="62"/>
        <v>-</v>
      </c>
      <c r="S47" s="35">
        <f t="shared" si="62"/>
        <v>0.55090549383655452</v>
      </c>
      <c r="T47" s="82">
        <f t="shared" si="62"/>
        <v>1.5946919667680635</v>
      </c>
      <c r="U47" s="82">
        <f t="shared" si="56"/>
        <v>8.1398339674971787E-2</v>
      </c>
      <c r="V47" s="82">
        <f t="shared" si="57"/>
        <v>6.702851292712797E-2</v>
      </c>
      <c r="W47" s="82">
        <f t="shared" si="58"/>
        <v>6.0026029229428568E-2</v>
      </c>
      <c r="Y47" s="1174" t="s">
        <v>1215</v>
      </c>
      <c r="Z47" s="1174"/>
      <c r="AA47" s="1174"/>
      <c r="AB47" s="1174"/>
      <c r="AC47" s="1174"/>
      <c r="AD47" s="1174"/>
      <c r="AE47" s="1174"/>
      <c r="AF47" s="1174"/>
    </row>
    <row r="48" spans="1:16360" s="50" customFormat="1" ht="13.15" customHeight="1" collapsed="1" x14ac:dyDescent="0.2">
      <c r="A48" s="744"/>
      <c r="B48" s="101" t="s">
        <v>58</v>
      </c>
      <c r="C48" s="101"/>
      <c r="D48" s="102">
        <f t="shared" ref="D48:I48" si="63">SUM(D21,D25,D26,D27,D28,D29,D31,D47)</f>
        <v>31969932.814531665</v>
      </c>
      <c r="E48" s="102">
        <f t="shared" si="63"/>
        <v>35153918.280342601</v>
      </c>
      <c r="F48" s="102">
        <f t="shared" si="63"/>
        <v>40520391</v>
      </c>
      <c r="G48" s="102">
        <f t="shared" si="63"/>
        <v>40672347.9834916</v>
      </c>
      <c r="H48" s="1133">
        <f>SUM(H21,H25,H26,H27,H28,H29,H31,H47)</f>
        <v>41221263.06526053</v>
      </c>
      <c r="I48" s="102">
        <f t="shared" si="63"/>
        <v>43185055.44544445</v>
      </c>
      <c r="J48" s="102">
        <f t="shared" ref="J48:L48" si="64">SUM(J21,J25,J26,J27,J28,J29,J31,J47)</f>
        <v>44997410.434306875</v>
      </c>
      <c r="K48" s="102">
        <f t="shared" si="64"/>
        <v>46167055.738570012</v>
      </c>
      <c r="L48" s="102">
        <f t="shared" si="64"/>
        <v>48443518.36588572</v>
      </c>
      <c r="M48" s="1162">
        <f>G48-M29-M28</f>
        <v>39539869.9834916</v>
      </c>
      <c r="N48" s="46"/>
      <c r="O48" s="103"/>
      <c r="P48" s="104">
        <f>IFERROR(E48/D48-1, "-")</f>
        <v>9.9593123460168131E-2</v>
      </c>
      <c r="Q48" s="104">
        <f t="shared" si="62"/>
        <v>0.15265645999576183</v>
      </c>
      <c r="R48" s="104">
        <f t="shared" si="62"/>
        <v>3.7501361596337102E-3</v>
      </c>
      <c r="S48" s="104">
        <f t="shared" si="62"/>
        <v>1.3496026390994897E-2</v>
      </c>
      <c r="T48" s="105">
        <f t="shared" si="62"/>
        <v>4.7640276744429055E-2</v>
      </c>
      <c r="U48" s="105">
        <f t="shared" si="56"/>
        <v>4.1967179853501957E-2</v>
      </c>
      <c r="V48" s="105">
        <f t="shared" si="57"/>
        <v>2.5993613698520157E-2</v>
      </c>
      <c r="W48" s="105">
        <f t="shared" si="58"/>
        <v>4.9309244241318329E-2</v>
      </c>
      <c r="Y48" s="1174"/>
      <c r="Z48" s="1174"/>
      <c r="AA48" s="1174"/>
      <c r="AB48" s="1174"/>
      <c r="AC48" s="1174"/>
      <c r="AD48" s="1174"/>
      <c r="AE48" s="1174"/>
      <c r="AF48" s="1174"/>
    </row>
    <row r="49" spans="1:32" ht="13.15" customHeight="1" x14ac:dyDescent="0.2">
      <c r="A49" s="745" t="s">
        <v>21</v>
      </c>
      <c r="B49" s="106" t="s">
        <v>59</v>
      </c>
      <c r="C49" s="107"/>
      <c r="D49" s="108">
        <v>3200097</v>
      </c>
      <c r="E49" s="109">
        <v>3772866</v>
      </c>
      <c r="F49" s="110">
        <v>3657198</v>
      </c>
      <c r="G49" s="110">
        <f>G456</f>
        <v>3467034.49</v>
      </c>
      <c r="H49" s="110">
        <f t="shared" ref="H49:K49" si="65">H456</f>
        <v>3907497</v>
      </c>
      <c r="I49" s="110">
        <f t="shared" si="65"/>
        <v>6026481.8304444402</v>
      </c>
      <c r="J49" s="110">
        <f t="shared" si="65"/>
        <v>3866851.3172305594</v>
      </c>
      <c r="K49" s="110">
        <f t="shared" si="65"/>
        <v>4107167.6245642197</v>
      </c>
      <c r="L49" s="110">
        <f>L456</f>
        <v>3538844.6097698999</v>
      </c>
      <c r="M49" s="111"/>
      <c r="N49" s="111"/>
      <c r="O49" s="112"/>
      <c r="P49" s="113">
        <f>IFERROR(E49/D49-1, "-")</f>
        <v>0.1789848870206121</v>
      </c>
      <c r="Q49" s="113">
        <f t="shared" si="62"/>
        <v>-3.0657860629028422E-2</v>
      </c>
      <c r="R49" s="113">
        <f t="shared" si="62"/>
        <v>-5.1997050747594087E-2</v>
      </c>
      <c r="S49" s="113">
        <f t="shared" si="62"/>
        <v>0.12704301363901327</v>
      </c>
      <c r="T49" s="114">
        <f t="shared" si="62"/>
        <v>0.5422870012298</v>
      </c>
      <c r="U49" s="114">
        <f t="shared" si="56"/>
        <v>-0.35835676170197839</v>
      </c>
      <c r="V49" s="114">
        <f t="shared" si="57"/>
        <v>6.2147801303561678E-2</v>
      </c>
      <c r="W49" s="114">
        <f t="shared" si="58"/>
        <v>-0.1383734648167958</v>
      </c>
      <c r="Y49" s="1174"/>
      <c r="Z49" s="1174"/>
      <c r="AA49" s="1174"/>
      <c r="AB49" s="1174"/>
      <c r="AC49" s="1174"/>
      <c r="AD49" s="1174"/>
      <c r="AE49" s="1174"/>
      <c r="AF49" s="1174"/>
    </row>
    <row r="50" spans="1:32" s="50" customFormat="1" x14ac:dyDescent="0.2">
      <c r="A50" s="746"/>
      <c r="B50" s="115" t="s">
        <v>60</v>
      </c>
      <c r="C50" s="115"/>
      <c r="D50" s="116">
        <f t="shared" ref="D50:I50" si="66">D48+D49</f>
        <v>35170029.814531669</v>
      </c>
      <c r="E50" s="116">
        <f t="shared" si="66"/>
        <v>38926784.280342601</v>
      </c>
      <c r="F50" s="116">
        <f t="shared" si="66"/>
        <v>44177589</v>
      </c>
      <c r="G50" s="116">
        <f t="shared" si="66"/>
        <v>44139382.473491602</v>
      </c>
      <c r="H50" s="116">
        <f t="shared" si="66"/>
        <v>45128760.06526053</v>
      </c>
      <c r="I50" s="116">
        <f t="shared" si="66"/>
        <v>49211537.27588889</v>
      </c>
      <c r="J50" s="116">
        <f t="shared" ref="J50:L50" si="67">J48+J49</f>
        <v>48864261.751537435</v>
      </c>
      <c r="K50" s="116">
        <f t="shared" si="67"/>
        <v>50274223.363134235</v>
      </c>
      <c r="L50" s="116">
        <f t="shared" si="67"/>
        <v>51982362.975655623</v>
      </c>
      <c r="O50" s="117"/>
      <c r="P50" s="118">
        <f>IFERROR(E50/D50-1, "-")</f>
        <v>0.10681692582070834</v>
      </c>
      <c r="Q50" s="118">
        <f t="shared" si="62"/>
        <v>0.1348892495676548</v>
      </c>
      <c r="R50" s="118">
        <f t="shared" si="62"/>
        <v>-8.6483955718807959E-4</v>
      </c>
      <c r="S50" s="118">
        <f t="shared" si="62"/>
        <v>2.2414848969921852E-2</v>
      </c>
      <c r="T50" s="119">
        <f t="shared" si="62"/>
        <v>9.0469518877192012E-2</v>
      </c>
      <c r="U50" s="119">
        <f t="shared" si="56"/>
        <v>-7.0567908172541882E-3</v>
      </c>
      <c r="V50" s="119">
        <f t="shared" si="57"/>
        <v>2.8854659030072005E-2</v>
      </c>
      <c r="W50" s="119">
        <f t="shared" si="58"/>
        <v>3.3976449525303876E-2</v>
      </c>
      <c r="Y50" s="1174"/>
      <c r="Z50" s="1174"/>
      <c r="AA50" s="1174"/>
      <c r="AB50" s="1174"/>
      <c r="AC50" s="1174"/>
      <c r="AD50" s="1174"/>
      <c r="AE50" s="1174"/>
      <c r="AF50" s="1174"/>
    </row>
    <row r="51" spans="1:32" s="50" customFormat="1" x14ac:dyDescent="0.2">
      <c r="A51" s="747"/>
      <c r="B51" s="120" t="s">
        <v>61</v>
      </c>
      <c r="C51" s="121"/>
      <c r="D51" s="122">
        <v>0</v>
      </c>
      <c r="E51" s="123">
        <v>0</v>
      </c>
      <c r="F51" s="123">
        <v>0</v>
      </c>
      <c r="G51" s="123">
        <v>0</v>
      </c>
      <c r="H51" s="123">
        <v>0</v>
      </c>
      <c r="I51" s="123">
        <v>0</v>
      </c>
      <c r="J51" s="123"/>
      <c r="K51" s="123"/>
      <c r="L51" s="123"/>
      <c r="Y51" s="1174"/>
      <c r="Z51" s="1174"/>
      <c r="AA51" s="1174"/>
      <c r="AB51" s="1174"/>
      <c r="AC51" s="1174"/>
      <c r="AD51" s="1174"/>
      <c r="AE51" s="1174"/>
      <c r="AF51" s="1174"/>
    </row>
    <row r="52" spans="1:32" s="50" customFormat="1" x14ac:dyDescent="0.2">
      <c r="A52" s="748"/>
      <c r="B52" s="124" t="s">
        <v>62</v>
      </c>
      <c r="C52" s="124"/>
      <c r="D52" s="125">
        <f t="shared" ref="D52:I52" si="68">D17-D48</f>
        <v>3249805.1854683347</v>
      </c>
      <c r="E52" s="126">
        <f t="shared" si="68"/>
        <v>1577587.7196573988</v>
      </c>
      <c r="F52" s="126">
        <f t="shared" si="68"/>
        <v>1138440.5300000012</v>
      </c>
      <c r="G52" s="126">
        <f t="shared" si="68"/>
        <v>3373417.0165084004</v>
      </c>
      <c r="H52" s="126">
        <f>H17-H48</f>
        <v>5991052.9347394705</v>
      </c>
      <c r="I52" s="126">
        <f t="shared" si="68"/>
        <v>7027298.2286151871</v>
      </c>
      <c r="J52" s="126">
        <f t="shared" ref="J52:L52" si="69">J17-J48</f>
        <v>8328541.4158083275</v>
      </c>
      <c r="K52" s="126">
        <f t="shared" si="69"/>
        <v>9961695.2777785659</v>
      </c>
      <c r="L52" s="126">
        <f t="shared" si="69"/>
        <v>10648517.178930022</v>
      </c>
    </row>
    <row r="53" spans="1:32" s="50" customFormat="1" x14ac:dyDescent="0.2">
      <c r="A53" s="749"/>
      <c r="B53" s="127" t="s">
        <v>63</v>
      </c>
      <c r="C53" s="127"/>
      <c r="D53" s="128">
        <f t="shared" ref="D53:I53" si="70">D17-D50</f>
        <v>49708.185468330979</v>
      </c>
      <c r="E53" s="129">
        <f t="shared" si="70"/>
        <v>-2195278.2803426012</v>
      </c>
      <c r="F53" s="129">
        <f t="shared" si="70"/>
        <v>-2518757.4699999988</v>
      </c>
      <c r="G53" s="129">
        <f>G17-G50</f>
        <v>-93617.473491601646</v>
      </c>
      <c r="H53" s="129">
        <f>H17-H50</f>
        <v>2083555.9347394705</v>
      </c>
      <c r="I53" s="129">
        <f t="shared" si="70"/>
        <v>1000816.3981707469</v>
      </c>
      <c r="J53" s="129">
        <f t="shared" ref="J53:L53" si="71">J17-J50</f>
        <v>4461690.0985777676</v>
      </c>
      <c r="K53" s="129">
        <f t="shared" si="71"/>
        <v>5854527.6532143429</v>
      </c>
      <c r="L53" s="129">
        <f t="shared" si="71"/>
        <v>7109672.5691601187</v>
      </c>
    </row>
    <row r="54" spans="1:32" s="50" customFormat="1" ht="30" customHeight="1" x14ac:dyDescent="0.2">
      <c r="A54" s="750"/>
      <c r="B54" s="130" t="s">
        <v>64</v>
      </c>
      <c r="C54" s="130"/>
      <c r="D54" s="131">
        <f t="shared" ref="D54:I54" si="72">D17-D50-D51</f>
        <v>49708.185468330979</v>
      </c>
      <c r="E54" s="132">
        <f t="shared" si="72"/>
        <v>-2195278.2803426012</v>
      </c>
      <c r="F54" s="132">
        <f t="shared" si="72"/>
        <v>-2518757.4699999988</v>
      </c>
      <c r="G54" s="132">
        <f>G17-G50-G51</f>
        <v>-93617.473491601646</v>
      </c>
      <c r="H54" s="132">
        <f>H17-H50-H51</f>
        <v>2083555.9347394705</v>
      </c>
      <c r="I54" s="132">
        <f t="shared" si="72"/>
        <v>1000816.3981707469</v>
      </c>
      <c r="J54" s="132">
        <f t="shared" ref="J54:L54" si="73">J17-J50-J51</f>
        <v>4461690.0985777676</v>
      </c>
      <c r="K54" s="132">
        <f t="shared" si="73"/>
        <v>5854527.6532143429</v>
      </c>
      <c r="L54" s="132">
        <f t="shared" si="73"/>
        <v>7109672.5691601187</v>
      </c>
    </row>
    <row r="55" spans="1:32" s="50" customFormat="1" ht="6.6" customHeight="1" x14ac:dyDescent="0.2">
      <c r="A55" s="751"/>
      <c r="B55" s="133"/>
      <c r="C55" s="133"/>
      <c r="D55" s="52"/>
      <c r="E55" s="52"/>
      <c r="F55" s="54"/>
      <c r="G55" s="54"/>
      <c r="H55" s="1121"/>
      <c r="I55" s="54"/>
      <c r="J55" s="54"/>
      <c r="K55" s="54"/>
      <c r="L55" s="54"/>
    </row>
    <row r="56" spans="1:32" ht="24.6" customHeight="1" x14ac:dyDescent="0.2">
      <c r="A56" s="752"/>
      <c r="B56" s="134" t="s">
        <v>65</v>
      </c>
      <c r="C56" s="135"/>
      <c r="D56" s="136" t="s">
        <v>0</v>
      </c>
      <c r="E56" s="137">
        <v>2023</v>
      </c>
      <c r="F56" s="138">
        <v>2024</v>
      </c>
      <c r="G56" s="138">
        <v>2025</v>
      </c>
      <c r="H56" s="138">
        <v>2026</v>
      </c>
      <c r="I56" s="138">
        <v>2027</v>
      </c>
      <c r="J56" s="5">
        <v>2028</v>
      </c>
      <c r="K56" s="5">
        <v>2029</v>
      </c>
      <c r="L56" s="5">
        <v>2030</v>
      </c>
      <c r="P56" s="139"/>
      <c r="Q56" s="139"/>
      <c r="R56" s="139"/>
      <c r="S56" s="139"/>
      <c r="T56" s="139"/>
      <c r="U56" s="139"/>
      <c r="V56" s="139"/>
      <c r="W56" s="139"/>
      <c r="X56" s="139"/>
    </row>
    <row r="57" spans="1:32" s="50" customFormat="1" ht="33.6" customHeight="1" x14ac:dyDescent="0.2">
      <c r="A57" s="753" t="s">
        <v>5</v>
      </c>
      <c r="B57" s="140" t="s">
        <v>66</v>
      </c>
      <c r="C57" s="141"/>
      <c r="D57" s="142"/>
      <c r="E57" s="143">
        <f>SUM(E58,E59,E60)</f>
        <v>2994181.47</v>
      </c>
      <c r="F57" s="143" t="e">
        <f>SUM(F58,F59,F60)</f>
        <v>#REF!</v>
      </c>
      <c r="G57" s="142">
        <f>SUM(G58,G59,G60)</f>
        <v>5327465.4222392514</v>
      </c>
      <c r="H57" s="142">
        <f>SUM(H58,H59,H60)</f>
        <v>5836431.5447433339</v>
      </c>
      <c r="I57" s="142">
        <f>SUM(I58,I59,I60)</f>
        <v>2913953.2584381998</v>
      </c>
      <c r="J57" s="142">
        <f t="shared" ref="J57:L57" si="74">SUM(J58,J59,J60)</f>
        <v>3380727.2370669637</v>
      </c>
      <c r="K57" s="142">
        <f t="shared" si="74"/>
        <v>2034694.2832183032</v>
      </c>
      <c r="L57" s="142">
        <f t="shared" si="74"/>
        <v>2018574.1162826694</v>
      </c>
    </row>
    <row r="58" spans="1:32" s="151" customFormat="1" ht="13.5" x14ac:dyDescent="0.25">
      <c r="A58" s="144"/>
      <c r="B58" s="145" t="s">
        <v>1216</v>
      </c>
      <c r="C58" s="146"/>
      <c r="D58" s="147"/>
      <c r="E58" s="148">
        <f>719695.47</f>
        <v>719695.47</v>
      </c>
      <c r="F58" s="149" t="e">
        <f>1571151.29-F89-F98-F107-#REF!-F152</f>
        <v>#REF!</v>
      </c>
      <c r="G58" s="150">
        <f>Investīcijas_2025!K29-G98-G107-G125-G161-G170-G208-G244-G253-G262-G271-G370-G379-G388</f>
        <v>484032.32223925111</v>
      </c>
      <c r="H58" s="150">
        <f>3320446.636-H80-H89-H98-H107-H116-H125-H134-H143-H152-H161-H170-H179-H189-H199-H208-H217-H226-H235-H244-H253-H262-H271-H280-H289-H298-H307-H316-H325-H334-H343-H352-H361-H370-H379-H388-H397-H406-H415-H424</f>
        <v>509836.06000000046</v>
      </c>
      <c r="I58" s="150">
        <f>-(-I80-I89-I98-I107-I116-I125-I134-I143-I152-I161-I170-I179-I189-I199-I208-I217-I226-I235-I244-I253-I262-I271-I280-I289-I298-I307-I316-I325-I334-I343-I352-I361-I370-I379-I388-I397-I406-I415-I424)</f>
        <v>982966.95200000005</v>
      </c>
      <c r="J58" s="150">
        <f t="shared" ref="J58:L58" si="75">-(-J80-J89-J98-J107-J116-J125-J134-J143-J152-J161-J170-J179-J189-J199-J208-J217-J226-J235-J244-J253-J262-J271-J280-J289-J298-J307-J316-J325-J334-J343-J352-J361-J370-J379-J388-J397-J406-J415-J424)</f>
        <v>1421121.2044999998</v>
      </c>
      <c r="K58" s="150">
        <f t="shared" si="75"/>
        <v>45896.13</v>
      </c>
      <c r="L58" s="150">
        <f t="shared" si="75"/>
        <v>0</v>
      </c>
      <c r="O58" s="50"/>
      <c r="P58" s="152"/>
    </row>
    <row r="59" spans="1:32" s="155" customFormat="1" ht="13.5" x14ac:dyDescent="0.25">
      <c r="A59" s="144"/>
      <c r="B59" s="145" t="s">
        <v>67</v>
      </c>
      <c r="C59" s="153"/>
      <c r="D59" s="154"/>
      <c r="E59" s="148">
        <f>2127277.1-10610-144900-141960</f>
        <v>1829807.1</v>
      </c>
      <c r="F59" s="149">
        <f>1567975.8786-24784-155500-176650-231027</f>
        <v>980014.87859999994</v>
      </c>
      <c r="G59" s="1134">
        <f>Investīcijas_2025!K30-G217</f>
        <v>1765157.4</v>
      </c>
      <c r="H59" s="1134">
        <f>1422550.75141-30420+10797</f>
        <v>1402927.75141</v>
      </c>
      <c r="I59" s="1134">
        <f t="shared" ref="I59:L59" si="76">H59*1.02</f>
        <v>1430986.3064381999</v>
      </c>
      <c r="J59" s="1134">
        <f t="shared" si="76"/>
        <v>1459606.0325669639</v>
      </c>
      <c r="K59" s="1134">
        <f t="shared" si="76"/>
        <v>1488798.1532183033</v>
      </c>
      <c r="L59" s="1134">
        <f t="shared" si="76"/>
        <v>1518574.1162826694</v>
      </c>
      <c r="O59" s="50"/>
    </row>
    <row r="60" spans="1:32" s="159" customFormat="1" ht="13.5" x14ac:dyDescent="0.25">
      <c r="A60" s="144"/>
      <c r="B60" s="145" t="s">
        <v>68</v>
      </c>
      <c r="C60" s="157"/>
      <c r="D60" s="154"/>
      <c r="E60" s="148">
        <v>444678.9</v>
      </c>
      <c r="F60" s="148">
        <f>1245588+231027</f>
        <v>1476615</v>
      </c>
      <c r="G60" s="158">
        <f>Investīcijas_2025!K32-G179-G189-G199-G235-G352-G361</f>
        <v>3078275.7</v>
      </c>
      <c r="H60" s="158">
        <v>3923667.7333333334</v>
      </c>
      <c r="I60" s="158">
        <f>500000</f>
        <v>500000</v>
      </c>
      <c r="J60" s="158">
        <v>500000</v>
      </c>
      <c r="K60" s="158">
        <v>500000</v>
      </c>
      <c r="L60" s="158">
        <v>500000</v>
      </c>
    </row>
    <row r="61" spans="1:32" s="50" customFormat="1" ht="28.9" customHeight="1" x14ac:dyDescent="0.2">
      <c r="A61" s="160"/>
      <c r="B61" s="161" t="s">
        <v>69</v>
      </c>
      <c r="C61" s="162"/>
      <c r="D61" s="163">
        <v>5688076</v>
      </c>
      <c r="E61" s="163">
        <f>SUM(E62:E63)</f>
        <v>7741520.8000000007</v>
      </c>
      <c r="F61" s="163">
        <f>SUM(F62:F63)</f>
        <v>9755067</v>
      </c>
      <c r="G61" s="163">
        <f>SUM(G62:G63)</f>
        <v>6675551</v>
      </c>
      <c r="H61" s="163">
        <f t="shared" ref="H61:L61" si="77">SUM(H62:H63)</f>
        <v>6702990</v>
      </c>
      <c r="I61" s="163">
        <f>SUM(I62:I63)</f>
        <v>150304.1039961364</v>
      </c>
      <c r="J61" s="163">
        <f t="shared" si="77"/>
        <v>162141.4758486822</v>
      </c>
      <c r="K61" s="163">
        <f t="shared" si="77"/>
        <v>-64926.407140514639</v>
      </c>
      <c r="L61" s="163">
        <f t="shared" si="77"/>
        <v>4188930.3400555253</v>
      </c>
      <c r="M61" s="164"/>
      <c r="N61" s="164"/>
    </row>
    <row r="62" spans="1:32" s="168" customFormat="1" ht="15" customHeight="1" x14ac:dyDescent="0.2">
      <c r="A62" s="169"/>
      <c r="B62" s="165" t="s">
        <v>70</v>
      </c>
      <c r="C62" s="166"/>
      <c r="D62" s="167"/>
      <c r="E62" s="167">
        <v>1450963.94</v>
      </c>
      <c r="F62" s="167">
        <v>3195223</v>
      </c>
      <c r="G62" s="167">
        <v>1040957</v>
      </c>
      <c r="H62" s="1130"/>
      <c r="I62" s="167"/>
      <c r="J62" s="167"/>
      <c r="K62" s="167"/>
      <c r="L62" s="167"/>
    </row>
    <row r="63" spans="1:32" s="50" customFormat="1" ht="15" customHeight="1" x14ac:dyDescent="0.2">
      <c r="A63" s="169"/>
      <c r="B63" s="170" t="s">
        <v>71</v>
      </c>
      <c r="C63" s="171"/>
      <c r="D63" s="172"/>
      <c r="E63" s="172">
        <v>6290556.8600000013</v>
      </c>
      <c r="F63" s="172">
        <v>6559844</v>
      </c>
      <c r="G63" s="172">
        <f>5653286-G69</f>
        <v>5634594</v>
      </c>
      <c r="H63" s="1130">
        <v>6702990</v>
      </c>
      <c r="I63" s="172">
        <f t="shared" ref="I63:L63" si="78">H427</f>
        <v>150304.1039961364</v>
      </c>
      <c r="J63" s="172">
        <f t="shared" si="78"/>
        <v>162141.4758486822</v>
      </c>
      <c r="K63" s="172">
        <f t="shared" si="78"/>
        <v>-64926.407140514639</v>
      </c>
      <c r="L63" s="172">
        <f t="shared" si="78"/>
        <v>4188930.3400555253</v>
      </c>
      <c r="M63" s="164"/>
      <c r="N63" s="164"/>
    </row>
    <row r="64" spans="1:32" s="139" customFormat="1" ht="27" customHeight="1" x14ac:dyDescent="0.2">
      <c r="A64" s="173"/>
      <c r="B64" s="174" t="s">
        <v>72</v>
      </c>
      <c r="C64" s="175"/>
      <c r="D64" s="176">
        <f>D54-D57+D61</f>
        <v>5737784.185468331</v>
      </c>
      <c r="E64" s="176">
        <f>E54-E57+E63</f>
        <v>1101097.1096573994</v>
      </c>
      <c r="F64" s="176" t="e">
        <f>F54-F57+F63</f>
        <v>#REF!</v>
      </c>
      <c r="G64" s="176">
        <f>G54-G57+G63</f>
        <v>213511.10426914692</v>
      </c>
      <c r="H64" s="176">
        <f>H54-H57+H63</f>
        <v>2950114.3899961365</v>
      </c>
      <c r="I64" s="176">
        <f t="shared" ref="I64:L64" si="79">I54-I57+I63</f>
        <v>-1762832.7562713164</v>
      </c>
      <c r="J64" s="176">
        <f t="shared" si="79"/>
        <v>1243104.3373594861</v>
      </c>
      <c r="K64" s="176">
        <f t="shared" si="79"/>
        <v>3754906.9628555248</v>
      </c>
      <c r="L64" s="176">
        <f t="shared" si="79"/>
        <v>9280028.7929329742</v>
      </c>
    </row>
    <row r="65" spans="1:92" s="50" customFormat="1" ht="13.15" customHeight="1" x14ac:dyDescent="0.2">
      <c r="A65" s="754"/>
      <c r="B65" s="121"/>
      <c r="C65" s="121"/>
      <c r="D65" s="122"/>
      <c r="E65" s="122"/>
      <c r="F65" s="123"/>
      <c r="G65" s="177">
        <v>286711.10750839766</v>
      </c>
      <c r="H65" s="1122"/>
      <c r="I65" s="123"/>
      <c r="J65" s="123"/>
      <c r="K65" s="123"/>
      <c r="L65" s="123"/>
    </row>
    <row r="66" spans="1:92" ht="38.25" hidden="1" outlineLevel="1" x14ac:dyDescent="0.2">
      <c r="B66" s="178"/>
      <c r="C66" s="178"/>
      <c r="F66" s="180"/>
      <c r="O66" s="182" t="s">
        <v>73</v>
      </c>
      <c r="P66" s="139"/>
      <c r="Q66" s="139"/>
      <c r="R66" s="139"/>
      <c r="S66" s="139"/>
      <c r="T66" s="139"/>
      <c r="U66" s="139"/>
      <c r="V66" s="139"/>
      <c r="W66" s="139"/>
      <c r="X66" s="139"/>
    </row>
    <row r="67" spans="1:92" s="186" customFormat="1" ht="38.25" hidden="1" outlineLevel="1" x14ac:dyDescent="0.2">
      <c r="A67" s="183" t="s">
        <v>7</v>
      </c>
      <c r="B67" s="140" t="s">
        <v>74</v>
      </c>
      <c r="C67" s="184"/>
      <c r="D67" s="185"/>
      <c r="E67" s="185">
        <f>12090.93+12090.93+240.79+1936+2400</f>
        <v>28758.65</v>
      </c>
      <c r="F67" s="185">
        <v>1112</v>
      </c>
      <c r="G67" s="185">
        <v>18692</v>
      </c>
      <c r="H67" s="185">
        <v>30654</v>
      </c>
      <c r="I67" s="185">
        <f>SUM(I70:I72)</f>
        <v>0</v>
      </c>
      <c r="J67" s="185"/>
      <c r="K67" s="185"/>
      <c r="L67" s="185"/>
      <c r="O67" s="187">
        <f>SUM(D67:I67)</f>
        <v>79216.649999999994</v>
      </c>
      <c r="P67" s="139"/>
      <c r="Q67" s="139"/>
      <c r="R67" s="139"/>
      <c r="S67" s="139"/>
      <c r="T67" s="139"/>
      <c r="U67" s="139"/>
      <c r="V67" s="139"/>
      <c r="W67" s="139"/>
      <c r="X67" s="139"/>
      <c r="Y67" s="188"/>
      <c r="Z67" s="188"/>
      <c r="AA67" s="188"/>
      <c r="AB67" s="188"/>
      <c r="AC67" s="188"/>
      <c r="AD67" s="188"/>
      <c r="AE67" s="188"/>
      <c r="AF67" s="188"/>
      <c r="AG67" s="188"/>
      <c r="AH67" s="188"/>
      <c r="AI67" s="188"/>
      <c r="AJ67" s="188"/>
      <c r="AK67" s="188"/>
      <c r="AL67" s="188"/>
      <c r="AM67" s="188"/>
      <c r="AN67" s="188"/>
      <c r="AO67" s="188"/>
      <c r="AP67" s="188"/>
      <c r="AQ67" s="188"/>
      <c r="AR67" s="188"/>
      <c r="AS67" s="188"/>
      <c r="AT67" s="188"/>
      <c r="AU67" s="188"/>
      <c r="AV67" s="188"/>
      <c r="AW67" s="188"/>
      <c r="AX67" s="188"/>
      <c r="AY67" s="188"/>
      <c r="AZ67" s="188"/>
      <c r="BA67" s="188"/>
      <c r="BB67" s="188"/>
      <c r="BC67" s="188"/>
      <c r="BD67" s="188"/>
      <c r="BE67" s="188"/>
      <c r="BF67" s="188"/>
      <c r="BG67" s="188"/>
      <c r="BH67" s="188"/>
      <c r="BI67" s="188"/>
    </row>
    <row r="68" spans="1:92" s="186" customFormat="1" hidden="1" outlineLevel="1" x14ac:dyDescent="0.2">
      <c r="A68" s="723"/>
      <c r="B68" s="189" t="s">
        <v>75</v>
      </c>
      <c r="C68" s="190"/>
      <c r="D68" s="191"/>
      <c r="E68" s="191">
        <f>SUM(E69:E72)</f>
        <v>79217</v>
      </c>
      <c r="F68" s="191">
        <f>SUM(F69:F72)</f>
        <v>50458.35</v>
      </c>
      <c r="G68" s="191">
        <f>SUM(G69:G72)</f>
        <v>18692</v>
      </c>
      <c r="H68" s="191">
        <f>SUM(H69:H72)</f>
        <v>30654</v>
      </c>
      <c r="I68" s="191">
        <f>SUM(I69:I72)</f>
        <v>0</v>
      </c>
      <c r="J68" s="191"/>
      <c r="K68" s="191"/>
      <c r="L68" s="191"/>
      <c r="O68" s="192">
        <f>SUM(D68:I68)</f>
        <v>179021.35</v>
      </c>
      <c r="P68" s="139"/>
      <c r="Q68" s="139"/>
      <c r="R68" s="139"/>
      <c r="S68" s="139"/>
      <c r="T68" s="139"/>
      <c r="U68" s="139"/>
      <c r="V68" s="139"/>
      <c r="W68" s="139"/>
      <c r="X68" s="139"/>
      <c r="Y68" s="188"/>
      <c r="Z68" s="188"/>
      <c r="AA68" s="188"/>
      <c r="AB68" s="188"/>
      <c r="AC68" s="188"/>
      <c r="AD68" s="188"/>
      <c r="AE68" s="188"/>
      <c r="AF68" s="188"/>
      <c r="AG68" s="188"/>
      <c r="AH68" s="188"/>
      <c r="AI68" s="188"/>
      <c r="AJ68" s="188"/>
      <c r="AK68" s="188"/>
      <c r="AL68" s="188"/>
      <c r="AM68" s="188"/>
      <c r="AN68" s="188"/>
      <c r="AO68" s="188"/>
      <c r="AP68" s="188"/>
      <c r="AQ68" s="188"/>
      <c r="AR68" s="188"/>
      <c r="AS68" s="188"/>
      <c r="AT68" s="188"/>
      <c r="AU68" s="188"/>
      <c r="AV68" s="188"/>
      <c r="AW68" s="188"/>
      <c r="AX68" s="188"/>
      <c r="AY68" s="188"/>
      <c r="AZ68" s="188"/>
      <c r="BA68" s="188"/>
      <c r="BB68" s="188"/>
      <c r="BC68" s="188"/>
      <c r="BD68" s="188"/>
      <c r="BE68" s="188"/>
      <c r="BF68" s="188"/>
      <c r="BG68" s="188"/>
      <c r="BH68" s="188"/>
      <c r="BI68" s="188"/>
    </row>
    <row r="69" spans="1:92" s="186" customFormat="1" hidden="1" outlineLevel="1" x14ac:dyDescent="0.2">
      <c r="A69" s="723"/>
      <c r="B69" s="193" t="s">
        <v>76</v>
      </c>
      <c r="C69" s="194"/>
      <c r="D69" s="195"/>
      <c r="E69" s="196">
        <v>42000</v>
      </c>
      <c r="F69" s="196">
        <f>E73</f>
        <v>50458.35</v>
      </c>
      <c r="G69" s="196">
        <v>18692</v>
      </c>
      <c r="H69" s="196">
        <v>30654</v>
      </c>
      <c r="I69" s="196">
        <f>H73</f>
        <v>0</v>
      </c>
      <c r="J69" s="196"/>
      <c r="K69" s="196"/>
      <c r="L69" s="196"/>
      <c r="O69" s="197">
        <f>SUM(D69:I69)</f>
        <v>141804.35</v>
      </c>
      <c r="P69" s="139"/>
      <c r="Q69" s="139"/>
      <c r="R69" s="139"/>
      <c r="S69" s="139"/>
      <c r="T69" s="139"/>
      <c r="U69" s="139"/>
      <c r="V69" s="139"/>
      <c r="W69" s="139"/>
      <c r="X69" s="139"/>
      <c r="Y69" s="188"/>
      <c r="Z69" s="188"/>
      <c r="AA69" s="188"/>
      <c r="AB69" s="188"/>
      <c r="AC69" s="188"/>
      <c r="AD69" s="188"/>
      <c r="AE69" s="188"/>
      <c r="AF69" s="188"/>
      <c r="AG69" s="188"/>
      <c r="AH69" s="188"/>
      <c r="AI69" s="188"/>
      <c r="AJ69" s="188"/>
      <c r="AK69" s="188"/>
      <c r="AL69" s="188"/>
      <c r="AM69" s="188"/>
      <c r="AN69" s="188"/>
      <c r="AO69" s="188"/>
      <c r="AP69" s="188"/>
      <c r="AQ69" s="188"/>
      <c r="AR69" s="188"/>
      <c r="AS69" s="188"/>
      <c r="AT69" s="188"/>
      <c r="AU69" s="188"/>
      <c r="AV69" s="188"/>
      <c r="AW69" s="188"/>
      <c r="AX69" s="188"/>
      <c r="AY69" s="188"/>
      <c r="AZ69" s="188"/>
      <c r="BA69" s="188"/>
      <c r="BB69" s="188"/>
      <c r="BC69" s="188"/>
      <c r="BD69" s="188"/>
      <c r="BE69" s="188"/>
      <c r="BF69" s="188"/>
      <c r="BG69" s="188"/>
      <c r="BH69" s="188"/>
      <c r="BI69" s="188"/>
    </row>
    <row r="70" spans="1:92" s="89" customFormat="1" hidden="1" outlineLevel="1" x14ac:dyDescent="0.2">
      <c r="A70" s="724"/>
      <c r="B70" s="193" t="s">
        <v>77</v>
      </c>
      <c r="C70" s="194"/>
      <c r="D70" s="195"/>
      <c r="E70" s="196">
        <v>18000</v>
      </c>
      <c r="F70" s="196"/>
      <c r="G70" s="196"/>
      <c r="H70" s="194"/>
      <c r="I70" s="194"/>
      <c r="J70" s="194"/>
      <c r="K70" s="194"/>
      <c r="L70" s="194"/>
      <c r="M70" s="198"/>
      <c r="N70" s="198"/>
      <c r="O70" s="197">
        <f t="shared" ref="O70:O72" si="80">SUM(D70:I70)</f>
        <v>18000</v>
      </c>
      <c r="P70" s="139"/>
      <c r="Q70" s="139"/>
      <c r="R70" s="139"/>
      <c r="S70" s="139"/>
      <c r="T70" s="139"/>
      <c r="U70" s="139"/>
      <c r="V70" s="139"/>
      <c r="W70" s="139"/>
      <c r="X70" s="139"/>
    </row>
    <row r="71" spans="1:92" s="714" customFormat="1" ht="14.25" hidden="1" customHeight="1" outlineLevel="1" x14ac:dyDescent="0.2">
      <c r="A71" s="724"/>
      <c r="B71" s="1144" t="s">
        <v>78</v>
      </c>
      <c r="C71" s="1145"/>
      <c r="D71" s="1146"/>
      <c r="E71" s="1147">
        <v>19217</v>
      </c>
      <c r="F71" s="1147"/>
      <c r="G71" s="1147"/>
      <c r="H71" s="1145"/>
      <c r="I71" s="1145"/>
      <c r="J71" s="1145"/>
      <c r="K71" s="1145"/>
      <c r="L71" s="1145"/>
      <c r="O71" s="718">
        <f t="shared" si="80"/>
        <v>19217</v>
      </c>
      <c r="P71" s="139"/>
      <c r="Q71" s="139"/>
      <c r="R71" s="719"/>
    </row>
    <row r="72" spans="1:92" s="89" customFormat="1" ht="14.25" hidden="1" customHeight="1" outlineLevel="1" x14ac:dyDescent="0.2">
      <c r="A72" s="724"/>
      <c r="B72" s="199" t="s">
        <v>79</v>
      </c>
      <c r="C72" s="200"/>
      <c r="D72" s="201"/>
      <c r="E72" s="202">
        <v>0</v>
      </c>
      <c r="F72" s="202"/>
      <c r="G72" s="202"/>
      <c r="H72" s="200"/>
      <c r="I72" s="200"/>
      <c r="J72" s="200"/>
      <c r="K72" s="200"/>
      <c r="L72" s="200"/>
      <c r="O72" s="203">
        <f t="shared" si="80"/>
        <v>0</v>
      </c>
      <c r="P72" s="139"/>
      <c r="Q72" s="139"/>
      <c r="R72" s="139"/>
    </row>
    <row r="73" spans="1:92" s="89" customFormat="1" ht="14.25" hidden="1" customHeight="1" outlineLevel="1" x14ac:dyDescent="0.2">
      <c r="A73" s="724"/>
      <c r="B73" s="204" t="s">
        <v>80</v>
      </c>
      <c r="C73" s="205"/>
      <c r="D73" s="206"/>
      <c r="E73" s="206">
        <f>E68-E67</f>
        <v>50458.35</v>
      </c>
      <c r="F73" s="206">
        <f t="shared" ref="F73:I73" si="81">F68-F67</f>
        <v>49346.35</v>
      </c>
      <c r="G73" s="206">
        <f>G68-G67</f>
        <v>0</v>
      </c>
      <c r="H73" s="222">
        <f t="shared" si="81"/>
        <v>0</v>
      </c>
      <c r="I73" s="206">
        <f t="shared" si="81"/>
        <v>0</v>
      </c>
      <c r="J73" s="206"/>
      <c r="K73" s="206"/>
      <c r="L73" s="206"/>
      <c r="O73" s="207">
        <f>O67-O68</f>
        <v>-99804.700000000012</v>
      </c>
      <c r="P73" s="139"/>
      <c r="Q73" s="139"/>
      <c r="R73" s="139"/>
    </row>
    <row r="74" spans="1:92" s="139" customFormat="1" ht="27.75" hidden="1" customHeight="1" outlineLevel="1" x14ac:dyDescent="0.2">
      <c r="A74" s="725"/>
      <c r="B74" s="208" t="s">
        <v>81</v>
      </c>
      <c r="C74" s="208"/>
      <c r="D74" s="209"/>
      <c r="E74" s="209">
        <f>E64-E71</f>
        <v>1081880.1096573994</v>
      </c>
      <c r="F74" s="209" t="e">
        <f>F64-F71</f>
        <v>#REF!</v>
      </c>
      <c r="G74" s="209">
        <f>G64-G71</f>
        <v>213511.10426914692</v>
      </c>
      <c r="H74" s="209">
        <f t="shared" ref="H74:L74" si="82">H64-H71</f>
        <v>2950114.3899961365</v>
      </c>
      <c r="I74" s="209">
        <f t="shared" si="82"/>
        <v>-1762832.7562713164</v>
      </c>
      <c r="J74" s="209">
        <f t="shared" si="82"/>
        <v>1243104.3373594861</v>
      </c>
      <c r="K74" s="209">
        <f t="shared" si="82"/>
        <v>3754906.9628555248</v>
      </c>
      <c r="L74" s="209">
        <f t="shared" si="82"/>
        <v>9280028.7929329742</v>
      </c>
      <c r="O74" s="210"/>
    </row>
    <row r="75" spans="1:92" hidden="1" outlineLevel="1" x14ac:dyDescent="0.2">
      <c r="B75" s="178"/>
      <c r="C75" s="178"/>
      <c r="D75" s="211"/>
      <c r="E75" s="212"/>
      <c r="F75" s="213"/>
      <c r="G75" s="213"/>
      <c r="H75" s="1125"/>
      <c r="I75" s="213"/>
      <c r="J75" s="213"/>
      <c r="K75" s="213"/>
      <c r="L75" s="213"/>
      <c r="O75" s="156"/>
      <c r="Q75" s="139"/>
    </row>
    <row r="76" spans="1:92" s="186" customFormat="1" ht="36.75" hidden="1" customHeight="1" outlineLevel="1" x14ac:dyDescent="0.2">
      <c r="A76" s="183" t="s">
        <v>9</v>
      </c>
      <c r="B76" s="140" t="s">
        <v>82</v>
      </c>
      <c r="C76" s="184"/>
      <c r="D76" s="185"/>
      <c r="E76" s="185">
        <v>24992.55</v>
      </c>
      <c r="F76" s="214">
        <v>24587.200000000001</v>
      </c>
      <c r="G76" s="185">
        <v>937729</v>
      </c>
      <c r="H76" s="185">
        <v>354136.73180000001</v>
      </c>
      <c r="I76" s="185">
        <f>SUM(I79:I81)</f>
        <v>0</v>
      </c>
      <c r="J76" s="185"/>
      <c r="K76" s="185"/>
      <c r="L76" s="185"/>
      <c r="M76" s="215" t="s">
        <v>83</v>
      </c>
      <c r="N76" s="216" t="s">
        <v>84</v>
      </c>
      <c r="O76" s="217">
        <f t="shared" ref="O76:O81" si="83">SUM(D76:I76)</f>
        <v>1341445.4818</v>
      </c>
      <c r="P76" s="139"/>
      <c r="Q76" s="139"/>
      <c r="R76" s="139"/>
      <c r="S76" s="139"/>
      <c r="T76" s="139"/>
      <c r="U76" s="139"/>
      <c r="V76" s="139"/>
      <c r="W76" s="139"/>
      <c r="X76" s="139"/>
      <c r="Y76" s="188"/>
      <c r="Z76" s="188"/>
      <c r="AA76" s="188"/>
      <c r="AB76" s="188"/>
      <c r="AC76" s="188"/>
      <c r="AD76" s="188"/>
      <c r="AE76" s="188"/>
      <c r="AF76" s="188"/>
      <c r="AG76" s="188"/>
      <c r="AH76" s="188"/>
      <c r="AI76" s="188"/>
      <c r="AJ76" s="188"/>
      <c r="AK76" s="188"/>
      <c r="AL76" s="188"/>
      <c r="AM76" s="188"/>
      <c r="AN76" s="188"/>
      <c r="AO76" s="188"/>
      <c r="AP76" s="188"/>
      <c r="AQ76" s="188"/>
      <c r="AR76" s="188"/>
      <c r="AS76" s="188"/>
      <c r="AT76" s="188"/>
      <c r="AU76" s="188"/>
      <c r="AV76" s="188"/>
      <c r="AW76" s="188"/>
      <c r="AX76" s="188"/>
      <c r="AY76" s="188"/>
      <c r="AZ76" s="188"/>
      <c r="BA76" s="188"/>
      <c r="BB76" s="188"/>
      <c r="BC76" s="188"/>
      <c r="BD76" s="188"/>
      <c r="BE76" s="188"/>
      <c r="BF76" s="188"/>
      <c r="BG76" s="188"/>
      <c r="BH76" s="188"/>
      <c r="BI76" s="188"/>
      <c r="BJ76" s="188"/>
      <c r="BK76" s="188"/>
      <c r="BL76" s="188"/>
      <c r="BM76" s="188"/>
      <c r="BN76" s="188"/>
      <c r="BO76" s="188"/>
      <c r="BP76" s="188"/>
      <c r="BQ76" s="188"/>
      <c r="BR76" s="188"/>
      <c r="BS76" s="188"/>
      <c r="BT76" s="188"/>
      <c r="BU76" s="188"/>
      <c r="BV76" s="188"/>
      <c r="BW76" s="188"/>
      <c r="BX76" s="188"/>
      <c r="BY76" s="188"/>
      <c r="BZ76" s="188"/>
      <c r="CA76" s="188"/>
      <c r="CB76" s="188"/>
      <c r="CC76" s="188"/>
      <c r="CD76" s="188"/>
      <c r="CE76" s="188"/>
      <c r="CF76" s="188"/>
      <c r="CG76" s="188"/>
      <c r="CH76" s="188"/>
      <c r="CI76" s="188"/>
      <c r="CJ76" s="188"/>
      <c r="CK76" s="188"/>
      <c r="CL76" s="188"/>
      <c r="CM76" s="188"/>
      <c r="CN76" s="188"/>
    </row>
    <row r="77" spans="1:92" s="186" customFormat="1" hidden="1" outlineLevel="1" x14ac:dyDescent="0.2">
      <c r="A77" s="723"/>
      <c r="B77" s="189" t="s">
        <v>75</v>
      </c>
      <c r="C77" s="190"/>
      <c r="D77" s="191"/>
      <c r="E77" s="191">
        <f>SUM(E78:E81)</f>
        <v>24992.55</v>
      </c>
      <c r="F77" s="191">
        <f>SUM(F78:F81)</f>
        <v>56059.199999999997</v>
      </c>
      <c r="G77" s="191">
        <f>SUM(G78:G81)</f>
        <v>937729.01</v>
      </c>
      <c r="H77" s="191">
        <f>SUM(H78:H81)</f>
        <v>354136.73180000001</v>
      </c>
      <c r="I77" s="191">
        <f>SUM(I78:I81)</f>
        <v>0</v>
      </c>
      <c r="J77" s="191">
        <f t="shared" ref="J77:L77" si="84">SUM(J78:J81)</f>
        <v>0</v>
      </c>
      <c r="K77" s="191">
        <f t="shared" si="84"/>
        <v>0</v>
      </c>
      <c r="L77" s="191">
        <f t="shared" si="84"/>
        <v>0</v>
      </c>
      <c r="M77" s="216"/>
      <c r="N77" s="216"/>
      <c r="O77" s="218">
        <f t="shared" si="83"/>
        <v>1372917.4918</v>
      </c>
      <c r="P77" s="139"/>
      <c r="Q77" s="139"/>
      <c r="R77" s="139"/>
      <c r="S77" s="139"/>
      <c r="T77" s="139"/>
      <c r="U77" s="139"/>
      <c r="V77" s="139"/>
      <c r="W77" s="139"/>
      <c r="X77" s="139"/>
      <c r="Y77" s="188"/>
      <c r="Z77" s="188"/>
      <c r="AA77" s="188"/>
      <c r="AB77" s="188"/>
      <c r="AC77" s="188"/>
      <c r="AD77" s="188"/>
      <c r="AE77" s="188"/>
      <c r="AF77" s="188"/>
      <c r="AG77" s="188"/>
      <c r="AH77" s="188"/>
      <c r="AI77" s="188"/>
      <c r="AJ77" s="188"/>
      <c r="AK77" s="188"/>
      <c r="AL77" s="188"/>
      <c r="AM77" s="188"/>
      <c r="AN77" s="188"/>
      <c r="AO77" s="188"/>
      <c r="AP77" s="188"/>
      <c r="AQ77" s="188"/>
      <c r="AR77" s="188"/>
      <c r="AS77" s="188"/>
      <c r="AT77" s="188"/>
      <c r="AU77" s="188"/>
      <c r="AV77" s="188"/>
      <c r="AW77" s="188"/>
      <c r="AX77" s="188"/>
      <c r="AY77" s="188"/>
      <c r="AZ77" s="188"/>
      <c r="BA77" s="188"/>
      <c r="BB77" s="188"/>
      <c r="BC77" s="188"/>
      <c r="BD77" s="188"/>
      <c r="BE77" s="188"/>
      <c r="BF77" s="188"/>
      <c r="BG77" s="188"/>
      <c r="BH77" s="188"/>
      <c r="BI77" s="188"/>
      <c r="BJ77" s="188"/>
      <c r="BK77" s="188"/>
      <c r="BL77" s="188"/>
      <c r="BM77" s="188"/>
      <c r="BN77" s="188"/>
      <c r="BO77" s="188"/>
      <c r="BP77" s="188"/>
      <c r="BQ77" s="188"/>
      <c r="BR77" s="188"/>
      <c r="BS77" s="188"/>
      <c r="BT77" s="188"/>
      <c r="BU77" s="188"/>
      <c r="BV77" s="188"/>
      <c r="BW77" s="188"/>
      <c r="BX77" s="188"/>
      <c r="BY77" s="188"/>
      <c r="BZ77" s="188"/>
      <c r="CA77" s="188"/>
      <c r="CB77" s="188"/>
      <c r="CC77" s="188"/>
      <c r="CD77" s="188"/>
      <c r="CE77" s="188"/>
      <c r="CF77" s="188"/>
      <c r="CG77" s="188"/>
      <c r="CH77" s="188"/>
      <c r="CI77" s="188"/>
      <c r="CJ77" s="188"/>
      <c r="CK77" s="188"/>
      <c r="CL77" s="188"/>
      <c r="CM77" s="188"/>
      <c r="CN77" s="188"/>
    </row>
    <row r="78" spans="1:92" s="186" customFormat="1" hidden="1" outlineLevel="1" x14ac:dyDescent="0.2">
      <c r="A78" s="723"/>
      <c r="B78" s="193" t="s">
        <v>76</v>
      </c>
      <c r="C78" s="194"/>
      <c r="D78" s="195"/>
      <c r="E78" s="196"/>
      <c r="F78" s="196"/>
      <c r="G78" s="196">
        <f>F82</f>
        <v>31471.999999999996</v>
      </c>
      <c r="H78" s="194"/>
      <c r="I78" s="194"/>
      <c r="J78" s="194"/>
      <c r="K78" s="194"/>
      <c r="L78" s="194"/>
      <c r="M78" s="216"/>
      <c r="N78" s="216"/>
      <c r="O78" s="219">
        <f t="shared" si="83"/>
        <v>31471.999999999996</v>
      </c>
      <c r="P78" s="139"/>
      <c r="Q78" s="139"/>
      <c r="R78" s="139"/>
      <c r="S78" s="139"/>
      <c r="T78" s="139"/>
      <c r="U78" s="139"/>
      <c r="V78" s="139"/>
      <c r="W78" s="139"/>
      <c r="X78" s="139"/>
      <c r="Y78" s="188"/>
      <c r="Z78" s="188"/>
      <c r="AA78" s="188"/>
      <c r="AB78" s="188"/>
      <c r="AC78" s="188"/>
      <c r="AD78" s="188"/>
      <c r="AE78" s="188"/>
      <c r="AF78" s="188"/>
      <c r="AG78" s="188"/>
      <c r="AH78" s="188"/>
      <c r="AI78" s="188"/>
      <c r="AJ78" s="188"/>
      <c r="AK78" s="188"/>
      <c r="AL78" s="188"/>
      <c r="AM78" s="188"/>
      <c r="AN78" s="188"/>
      <c r="AO78" s="188"/>
      <c r="AP78" s="188"/>
      <c r="AQ78" s="188"/>
      <c r="AR78" s="188"/>
      <c r="AS78" s="188"/>
      <c r="AT78" s="188"/>
      <c r="AU78" s="188"/>
      <c r="AV78" s="188"/>
      <c r="AW78" s="188"/>
      <c r="AX78" s="188"/>
      <c r="AY78" s="188"/>
      <c r="AZ78" s="188"/>
      <c r="BA78" s="188"/>
      <c r="BB78" s="188"/>
      <c r="BC78" s="188"/>
      <c r="BD78" s="188"/>
      <c r="BE78" s="188"/>
      <c r="BF78" s="188"/>
      <c r="BG78" s="188"/>
      <c r="BH78" s="188"/>
      <c r="BI78" s="188"/>
      <c r="BJ78" s="188"/>
      <c r="BK78" s="188"/>
      <c r="BL78" s="188"/>
      <c r="BM78" s="188"/>
      <c r="BN78" s="188"/>
      <c r="BO78" s="188"/>
      <c r="BP78" s="188"/>
      <c r="BQ78" s="188"/>
      <c r="BR78" s="188"/>
      <c r="BS78" s="188"/>
      <c r="BT78" s="188"/>
      <c r="BU78" s="188"/>
      <c r="BV78" s="188"/>
      <c r="BW78" s="188"/>
      <c r="BX78" s="188"/>
      <c r="BY78" s="188"/>
      <c r="BZ78" s="188"/>
      <c r="CA78" s="188"/>
      <c r="CB78" s="188"/>
      <c r="CC78" s="188"/>
      <c r="CD78" s="188"/>
      <c r="CE78" s="188"/>
      <c r="CF78" s="188"/>
      <c r="CG78" s="188"/>
      <c r="CH78" s="188"/>
      <c r="CI78" s="188"/>
      <c r="CJ78" s="188"/>
      <c r="CK78" s="188"/>
      <c r="CL78" s="188"/>
      <c r="CM78" s="188"/>
      <c r="CN78" s="188"/>
    </row>
    <row r="79" spans="1:92" s="89" customFormat="1" hidden="1" outlineLevel="1" x14ac:dyDescent="0.2">
      <c r="A79" s="724"/>
      <c r="B79" s="193" t="s">
        <v>77</v>
      </c>
      <c r="C79" s="194"/>
      <c r="D79" s="195"/>
      <c r="E79" s="196"/>
      <c r="F79" s="196">
        <f>24587.2+31472</f>
        <v>56059.199999999997</v>
      </c>
      <c r="G79" s="196">
        <v>684618</v>
      </c>
      <c r="H79" s="196">
        <v>345548.73180000001</v>
      </c>
      <c r="I79" s="196"/>
      <c r="J79" s="196"/>
      <c r="K79" s="196"/>
      <c r="L79" s="196"/>
      <c r="M79" s="198">
        <v>107457</v>
      </c>
      <c r="N79" s="89">
        <v>2026</v>
      </c>
      <c r="O79" s="219">
        <f t="shared" si="83"/>
        <v>1086225.9317999999</v>
      </c>
      <c r="P79" s="139"/>
      <c r="Q79" s="139"/>
      <c r="R79" s="139"/>
      <c r="S79" s="139"/>
      <c r="T79" s="139"/>
      <c r="U79" s="139"/>
      <c r="V79" s="139"/>
      <c r="W79" s="139"/>
      <c r="X79" s="139"/>
    </row>
    <row r="80" spans="1:92" s="714" customFormat="1" ht="14.25" hidden="1" customHeight="1" outlineLevel="1" x14ac:dyDescent="0.2">
      <c r="A80" s="724"/>
      <c r="B80" s="1144" t="s">
        <v>78</v>
      </c>
      <c r="C80" s="1145"/>
      <c r="D80" s="1146"/>
      <c r="E80" s="1147">
        <v>24992.55</v>
      </c>
      <c r="F80" s="1147"/>
      <c r="G80" s="1147">
        <v>6643</v>
      </c>
      <c r="H80" s="1145"/>
      <c r="I80" s="1145"/>
      <c r="J80" s="1145"/>
      <c r="K80" s="1145"/>
      <c r="L80" s="1145"/>
      <c r="O80" s="715">
        <f t="shared" si="83"/>
        <v>31635.55</v>
      </c>
      <c r="R80" s="719"/>
    </row>
    <row r="81" spans="1:58" s="89" customFormat="1" ht="14.45" hidden="1" customHeight="1" outlineLevel="1" x14ac:dyDescent="0.2">
      <c r="A81" s="724"/>
      <c r="B81" s="199" t="s">
        <v>79</v>
      </c>
      <c r="C81" s="200"/>
      <c r="D81" s="201"/>
      <c r="E81" s="202">
        <v>0</v>
      </c>
      <c r="F81" s="202"/>
      <c r="G81" s="202">
        <v>214996.00999999998</v>
      </c>
      <c r="H81" s="202">
        <v>8588</v>
      </c>
      <c r="I81" s="202"/>
      <c r="J81" s="202"/>
      <c r="K81" s="202"/>
      <c r="L81" s="202"/>
      <c r="O81" s="221">
        <f t="shared" si="83"/>
        <v>223584.00999999998</v>
      </c>
      <c r="P81" s="139"/>
      <c r="Q81" s="139"/>
      <c r="R81" s="139"/>
    </row>
    <row r="82" spans="1:58" s="89" customFormat="1" ht="14.25" hidden="1" customHeight="1" outlineLevel="1" x14ac:dyDescent="0.2">
      <c r="A82" s="724"/>
      <c r="B82" s="204" t="s">
        <v>80</v>
      </c>
      <c r="C82" s="205"/>
      <c r="D82" s="206"/>
      <c r="E82" s="206">
        <f>E77-E76</f>
        <v>0</v>
      </c>
      <c r="F82" s="206">
        <f t="shared" ref="F82:I82" si="85">F77-F76</f>
        <v>31471.999999999996</v>
      </c>
      <c r="G82" s="206">
        <f t="shared" si="85"/>
        <v>1.0000000009313226E-2</v>
      </c>
      <c r="H82" s="1124">
        <f>H77-H76</f>
        <v>0</v>
      </c>
      <c r="I82" s="206">
        <f t="shared" si="85"/>
        <v>0</v>
      </c>
      <c r="J82" s="222"/>
      <c r="K82" s="222"/>
      <c r="L82" s="222"/>
      <c r="O82" s="223">
        <f>O76-O77</f>
        <v>-31472.010000000009</v>
      </c>
      <c r="P82" s="139"/>
      <c r="Q82" s="139"/>
      <c r="R82" s="139"/>
    </row>
    <row r="83" spans="1:58" s="139" customFormat="1" ht="27.75" hidden="1" customHeight="1" outlineLevel="1" x14ac:dyDescent="0.2">
      <c r="A83" s="725"/>
      <c r="B83" s="208" t="s">
        <v>85</v>
      </c>
      <c r="C83" s="208"/>
      <c r="D83" s="209"/>
      <c r="E83" s="209">
        <f>E74-E80</f>
        <v>1056887.5596573993</v>
      </c>
      <c r="F83" s="209" t="e">
        <f>F74-F80</f>
        <v>#REF!</v>
      </c>
      <c r="G83" s="209">
        <f>G74-G80+G82</f>
        <v>206868.11426914693</v>
      </c>
      <c r="H83" s="209">
        <f t="shared" ref="H83:L83" si="86">H74-H80+H82</f>
        <v>2950114.3899961365</v>
      </c>
      <c r="I83" s="209">
        <f t="shared" si="86"/>
        <v>-1762832.7562713164</v>
      </c>
      <c r="J83" s="209">
        <f t="shared" si="86"/>
        <v>1243104.3373594861</v>
      </c>
      <c r="K83" s="209">
        <f t="shared" si="86"/>
        <v>3754906.9628555248</v>
      </c>
      <c r="L83" s="209">
        <f t="shared" si="86"/>
        <v>9280028.7929329742</v>
      </c>
      <c r="O83" s="224"/>
    </row>
    <row r="84" spans="1:58" ht="15" hidden="1" customHeight="1" outlineLevel="1" x14ac:dyDescent="0.2">
      <c r="B84" s="178"/>
      <c r="C84" s="178"/>
      <c r="D84" s="211"/>
      <c r="E84" s="212"/>
      <c r="F84" s="213"/>
      <c r="G84" s="213"/>
      <c r="H84" s="1125"/>
      <c r="I84" s="213"/>
      <c r="J84" s="213"/>
      <c r="K84" s="213"/>
      <c r="L84" s="213"/>
      <c r="O84" s="156"/>
      <c r="Q84" s="139"/>
    </row>
    <row r="85" spans="1:58" s="186" customFormat="1" ht="25.5" hidden="1" outlineLevel="1" x14ac:dyDescent="0.2">
      <c r="A85" s="183" t="s">
        <v>11</v>
      </c>
      <c r="B85" s="140" t="s">
        <v>86</v>
      </c>
      <c r="C85" s="184"/>
      <c r="D85" s="185"/>
      <c r="E85" s="185">
        <v>25581</v>
      </c>
      <c r="F85" s="185">
        <f>302980+94357</f>
        <v>397337</v>
      </c>
      <c r="G85" s="185">
        <v>1988341</v>
      </c>
      <c r="H85" s="185">
        <v>3920860</v>
      </c>
      <c r="I85" s="185">
        <f>SUM(I88:I90)</f>
        <v>0</v>
      </c>
      <c r="J85" s="185"/>
      <c r="K85" s="185"/>
      <c r="L85" s="185"/>
      <c r="M85" s="225"/>
      <c r="N85" s="225"/>
      <c r="O85" s="217">
        <f t="shared" ref="O85:O90" si="87">SUM(D85:I85)</f>
        <v>6332119</v>
      </c>
      <c r="P85" s="226"/>
      <c r="Q85" s="226"/>
      <c r="R85" s="188"/>
      <c r="S85" s="188"/>
      <c r="T85" s="188"/>
      <c r="U85" s="188"/>
      <c r="V85" s="188"/>
      <c r="W85" s="188"/>
      <c r="X85" s="188"/>
      <c r="Y85" s="188"/>
      <c r="Z85" s="188"/>
      <c r="AA85" s="188"/>
      <c r="AB85" s="188"/>
      <c r="AC85" s="188"/>
      <c r="AD85" s="188"/>
      <c r="AE85" s="188"/>
      <c r="AF85" s="188"/>
      <c r="AG85" s="188"/>
      <c r="AH85" s="188"/>
      <c r="AI85" s="188"/>
      <c r="AJ85" s="188"/>
      <c r="AK85" s="188"/>
      <c r="AL85" s="188"/>
      <c r="AM85" s="188"/>
      <c r="AN85" s="188"/>
      <c r="AO85" s="188"/>
      <c r="AP85" s="188"/>
      <c r="AQ85" s="188"/>
      <c r="AR85" s="188"/>
      <c r="AS85" s="188"/>
      <c r="AT85" s="188"/>
      <c r="AU85" s="188"/>
      <c r="AV85" s="188"/>
      <c r="AW85" s="188"/>
      <c r="AX85" s="188"/>
      <c r="AY85" s="188"/>
      <c r="AZ85" s="188"/>
      <c r="BA85" s="188"/>
      <c r="BB85" s="188"/>
      <c r="BC85" s="188"/>
      <c r="BD85" s="188"/>
      <c r="BE85" s="188"/>
      <c r="BF85" s="188"/>
    </row>
    <row r="86" spans="1:58" s="186" customFormat="1" hidden="1" outlineLevel="1" x14ac:dyDescent="0.2">
      <c r="A86" s="723"/>
      <c r="B86" s="189" t="s">
        <v>75</v>
      </c>
      <c r="C86" s="190"/>
      <c r="D86" s="191"/>
      <c r="E86" s="191">
        <f>SUM(E87:E90)</f>
        <v>25581</v>
      </c>
      <c r="F86" s="191">
        <f>SUM(F87:F90)</f>
        <v>397337</v>
      </c>
      <c r="G86" s="191">
        <f>SUM(G87:G90)</f>
        <v>1988341.54</v>
      </c>
      <c r="H86" s="191">
        <f>SUM(H87:H90)</f>
        <v>3920860</v>
      </c>
      <c r="I86" s="191">
        <f>SUM(I87:I90)</f>
        <v>0</v>
      </c>
      <c r="J86" s="191"/>
      <c r="K86" s="191"/>
      <c r="L86" s="191"/>
      <c r="M86" s="225"/>
      <c r="N86" s="225"/>
      <c r="O86" s="218">
        <f t="shared" si="87"/>
        <v>6332119.54</v>
      </c>
      <c r="P86" s="226"/>
      <c r="Q86" s="226"/>
      <c r="R86" s="188"/>
      <c r="S86" s="188"/>
      <c r="T86" s="188"/>
      <c r="U86" s="188"/>
      <c r="V86" s="188"/>
      <c r="W86" s="188"/>
      <c r="X86" s="188"/>
      <c r="Y86" s="188"/>
      <c r="Z86" s="188"/>
      <c r="AA86" s="188"/>
      <c r="AB86" s="188"/>
      <c r="AC86" s="188"/>
      <c r="AD86" s="188"/>
      <c r="AE86" s="188"/>
      <c r="AF86" s="188"/>
      <c r="AG86" s="188"/>
      <c r="AH86" s="188"/>
      <c r="AI86" s="188"/>
      <c r="AJ86" s="188"/>
      <c r="AK86" s="188"/>
      <c r="AL86" s="188"/>
      <c r="AM86" s="188"/>
      <c r="AN86" s="188"/>
      <c r="AO86" s="188"/>
      <c r="AP86" s="188"/>
      <c r="AQ86" s="188"/>
      <c r="AR86" s="188"/>
      <c r="AS86" s="188"/>
      <c r="AT86" s="188"/>
      <c r="AU86" s="188"/>
      <c r="AV86" s="188"/>
      <c r="AW86" s="188"/>
      <c r="AX86" s="188"/>
      <c r="AY86" s="188"/>
      <c r="AZ86" s="188"/>
      <c r="BA86" s="188"/>
      <c r="BB86" s="188"/>
      <c r="BC86" s="188"/>
      <c r="BD86" s="188"/>
      <c r="BE86" s="188"/>
      <c r="BF86" s="188"/>
    </row>
    <row r="87" spans="1:58" s="186" customFormat="1" hidden="1" outlineLevel="1" x14ac:dyDescent="0.2">
      <c r="A87" s="723"/>
      <c r="B87" s="193" t="s">
        <v>76</v>
      </c>
      <c r="C87" s="194"/>
      <c r="D87" s="195"/>
      <c r="E87" s="196"/>
      <c r="F87" s="196"/>
      <c r="G87" s="196">
        <v>154572</v>
      </c>
      <c r="H87" s="196">
        <v>1612</v>
      </c>
      <c r="I87" s="194"/>
      <c r="J87" s="194"/>
      <c r="K87" s="194"/>
      <c r="L87" s="194"/>
      <c r="O87" s="219">
        <f t="shared" si="87"/>
        <v>156184</v>
      </c>
      <c r="P87" s="139"/>
      <c r="Q87" s="139"/>
      <c r="R87" s="139"/>
      <c r="S87" s="139"/>
      <c r="T87" s="139"/>
      <c r="U87" s="139"/>
      <c r="V87" s="139"/>
      <c r="W87" s="139"/>
      <c r="X87" s="139"/>
      <c r="Y87" s="188"/>
      <c r="Z87" s="188"/>
      <c r="AA87" s="188"/>
      <c r="AB87" s="188"/>
      <c r="AC87" s="188"/>
      <c r="AD87" s="188"/>
      <c r="AE87" s="188"/>
      <c r="AF87" s="188"/>
      <c r="AG87" s="188"/>
      <c r="AH87" s="188"/>
      <c r="AI87" s="188"/>
      <c r="AJ87" s="188"/>
      <c r="AK87" s="188"/>
      <c r="AL87" s="188"/>
      <c r="AM87" s="188"/>
      <c r="AN87" s="188"/>
      <c r="AO87" s="188"/>
      <c r="AP87" s="188"/>
      <c r="AQ87" s="188"/>
      <c r="AR87" s="188"/>
      <c r="AS87" s="188"/>
      <c r="AT87" s="188"/>
      <c r="AU87" s="188"/>
      <c r="AV87" s="188"/>
      <c r="AW87" s="188"/>
      <c r="AX87" s="188"/>
      <c r="AY87" s="188"/>
      <c r="AZ87" s="188"/>
      <c r="BA87" s="188"/>
      <c r="BB87" s="188"/>
      <c r="BC87" s="188"/>
      <c r="BD87" s="188"/>
      <c r="BE87" s="188"/>
      <c r="BF87" s="188"/>
    </row>
    <row r="88" spans="1:58" s="89" customFormat="1" hidden="1" outlineLevel="1" x14ac:dyDescent="0.2">
      <c r="A88" s="724"/>
      <c r="B88" s="193" t="s">
        <v>77</v>
      </c>
      <c r="C88" s="194"/>
      <c r="D88" s="195"/>
      <c r="E88" s="196">
        <v>0</v>
      </c>
      <c r="F88" s="196">
        <v>390462</v>
      </c>
      <c r="G88" s="196">
        <f>918392-1612</f>
        <v>916780</v>
      </c>
      <c r="H88" s="196">
        <f>3051714-1612</f>
        <v>3050102</v>
      </c>
      <c r="I88" s="196"/>
      <c r="J88" s="196"/>
      <c r="K88" s="196"/>
      <c r="L88" s="196"/>
      <c r="O88" s="219">
        <f t="shared" si="87"/>
        <v>4357344</v>
      </c>
      <c r="P88" s="226"/>
      <c r="Q88" s="226"/>
    </row>
    <row r="89" spans="1:58" s="714" customFormat="1" ht="14.25" hidden="1" customHeight="1" outlineLevel="1" x14ac:dyDescent="0.2">
      <c r="A89" s="724"/>
      <c r="B89" s="1144" t="s">
        <v>78</v>
      </c>
      <c r="C89" s="1145"/>
      <c r="D89" s="1146"/>
      <c r="E89" s="1147">
        <v>25581</v>
      </c>
      <c r="F89" s="1147">
        <v>6875</v>
      </c>
      <c r="G89" s="1147"/>
      <c r="H89" s="1147"/>
      <c r="I89" s="1147"/>
      <c r="J89" s="1147"/>
      <c r="K89" s="1147"/>
      <c r="L89" s="1147"/>
      <c r="O89" s="715">
        <f t="shared" si="87"/>
        <v>32456</v>
      </c>
      <c r="P89" s="716"/>
      <c r="Q89" s="716"/>
      <c r="R89" s="717"/>
    </row>
    <row r="90" spans="1:58" s="229" customFormat="1" ht="14.25" hidden="1" customHeight="1" outlineLevel="1" x14ac:dyDescent="0.2">
      <c r="A90" s="724"/>
      <c r="B90" s="199" t="s">
        <v>79</v>
      </c>
      <c r="C90" s="200"/>
      <c r="D90" s="201"/>
      <c r="E90" s="202"/>
      <c r="F90" s="202">
        <v>0</v>
      </c>
      <c r="G90" s="202">
        <f>279450.3+172850.21+223395.57+13249.5+119057.96+108986</f>
        <v>916989.54</v>
      </c>
      <c r="H90" s="202">
        <v>869146</v>
      </c>
      <c r="I90" s="202"/>
      <c r="J90" s="202"/>
      <c r="K90" s="202"/>
      <c r="L90" s="202"/>
      <c r="O90" s="221">
        <f t="shared" si="87"/>
        <v>1786135.54</v>
      </c>
      <c r="P90" s="226"/>
      <c r="Q90" s="226"/>
      <c r="T90" s="230"/>
      <c r="U90" s="230"/>
      <c r="V90" s="230"/>
      <c r="W90" s="230"/>
    </row>
    <row r="91" spans="1:58" s="229" customFormat="1" ht="14.25" hidden="1" customHeight="1" outlineLevel="1" x14ac:dyDescent="0.2">
      <c r="A91" s="724"/>
      <c r="B91" s="204" t="s">
        <v>80</v>
      </c>
      <c r="C91" s="205"/>
      <c r="D91" s="206"/>
      <c r="E91" s="206">
        <f>E86-E85</f>
        <v>0</v>
      </c>
      <c r="F91" s="206">
        <f t="shared" ref="F91" si="88">F86-F85</f>
        <v>0</v>
      </c>
      <c r="G91" s="206">
        <f>G86-G85</f>
        <v>0.5400000000372529</v>
      </c>
      <c r="H91" s="206">
        <f t="shared" ref="H91:L91" si="89">H86-H85</f>
        <v>0</v>
      </c>
      <c r="I91" s="206">
        <f t="shared" si="89"/>
        <v>0</v>
      </c>
      <c r="J91" s="206">
        <f t="shared" si="89"/>
        <v>0</v>
      </c>
      <c r="K91" s="206">
        <f t="shared" si="89"/>
        <v>0</v>
      </c>
      <c r="L91" s="206">
        <f t="shared" si="89"/>
        <v>0</v>
      </c>
      <c r="O91" s="223">
        <f>O85-O86</f>
        <v>-0.5400000000372529</v>
      </c>
      <c r="P91" s="231"/>
      <c r="Q91" s="232"/>
      <c r="T91" s="230"/>
      <c r="U91" s="230"/>
      <c r="V91" s="230"/>
      <c r="W91" s="230"/>
    </row>
    <row r="92" spans="1:58" s="139" customFormat="1" ht="28.5" hidden="1" customHeight="1" outlineLevel="1" x14ac:dyDescent="0.2">
      <c r="A92" s="725"/>
      <c r="B92" s="208" t="s">
        <v>87</v>
      </c>
      <c r="C92" s="208"/>
      <c r="D92" s="209"/>
      <c r="E92" s="209">
        <f>E74-E89</f>
        <v>1056299.1096573994</v>
      </c>
      <c r="F92" s="209" t="e">
        <f>F74-F89</f>
        <v>#REF!</v>
      </c>
      <c r="G92" s="209">
        <f>G83-G89+G91</f>
        <v>206868.65426914697</v>
      </c>
      <c r="H92" s="209">
        <f t="shared" ref="H92:L92" si="90">H83-H89+H91</f>
        <v>2950114.3899961365</v>
      </c>
      <c r="I92" s="209">
        <f t="shared" si="90"/>
        <v>-1762832.7562713164</v>
      </c>
      <c r="J92" s="209">
        <f t="shared" si="90"/>
        <v>1243104.3373594861</v>
      </c>
      <c r="K92" s="209">
        <f t="shared" si="90"/>
        <v>3754906.9628555248</v>
      </c>
      <c r="L92" s="209">
        <f t="shared" si="90"/>
        <v>9280028.7929329742</v>
      </c>
      <c r="O92" s="224"/>
    </row>
    <row r="93" spans="1:58" ht="15" hidden="1" customHeight="1" outlineLevel="1" x14ac:dyDescent="0.2">
      <c r="B93" s="178"/>
      <c r="C93" s="178"/>
      <c r="D93" s="211"/>
      <c r="E93" s="212"/>
      <c r="F93" s="213"/>
      <c r="G93" s="213"/>
      <c r="H93" s="213"/>
      <c r="I93" s="213"/>
      <c r="J93" s="213"/>
      <c r="K93" s="213"/>
      <c r="L93" s="213"/>
      <c r="O93" s="156"/>
      <c r="Q93" s="139"/>
    </row>
    <row r="94" spans="1:58" s="186" customFormat="1" ht="25.5" hidden="1" outlineLevel="1" x14ac:dyDescent="0.2">
      <c r="A94" s="183">
        <v>5</v>
      </c>
      <c r="B94" s="140" t="s">
        <v>88</v>
      </c>
      <c r="C94" s="184"/>
      <c r="D94" s="185"/>
      <c r="E94" s="185"/>
      <c r="F94" s="185">
        <v>14101</v>
      </c>
      <c r="G94" s="185">
        <v>33033</v>
      </c>
      <c r="H94" s="185">
        <v>660558.49</v>
      </c>
      <c r="I94" s="185">
        <f>SUM(I97:I99)</f>
        <v>0</v>
      </c>
      <c r="J94" s="185"/>
      <c r="K94" s="185"/>
      <c r="L94" s="185"/>
      <c r="M94" s="225"/>
      <c r="N94" s="225"/>
      <c r="O94" s="217"/>
      <c r="P94" s="226"/>
      <c r="Q94" s="226"/>
      <c r="R94" s="188"/>
      <c r="S94" s="188"/>
      <c r="T94" s="188"/>
      <c r="U94" s="188"/>
      <c r="V94" s="188"/>
      <c r="W94" s="188"/>
      <c r="X94" s="188"/>
      <c r="Y94" s="188"/>
      <c r="Z94" s="188"/>
      <c r="AA94" s="188"/>
      <c r="AB94" s="188"/>
      <c r="AC94" s="188"/>
      <c r="AD94" s="188"/>
      <c r="AE94" s="188"/>
      <c r="AF94" s="188"/>
      <c r="AG94" s="188"/>
      <c r="AH94" s="188"/>
      <c r="AI94" s="188"/>
      <c r="AJ94" s="188"/>
      <c r="AK94" s="188"/>
      <c r="AL94" s="188"/>
      <c r="AM94" s="188"/>
      <c r="AN94" s="188"/>
      <c r="AO94" s="188"/>
      <c r="AP94" s="188"/>
      <c r="AQ94" s="188"/>
      <c r="AR94" s="188"/>
      <c r="AS94" s="188"/>
      <c r="AT94" s="188"/>
      <c r="AU94" s="188"/>
      <c r="AV94" s="188"/>
      <c r="AW94" s="188"/>
      <c r="AX94" s="188"/>
      <c r="AY94" s="188"/>
      <c r="AZ94" s="188"/>
      <c r="BA94" s="188"/>
      <c r="BB94" s="188"/>
      <c r="BC94" s="188"/>
      <c r="BD94" s="188"/>
      <c r="BE94" s="188"/>
      <c r="BF94" s="188"/>
    </row>
    <row r="95" spans="1:58" s="186" customFormat="1" hidden="1" outlineLevel="1" x14ac:dyDescent="0.2">
      <c r="A95" s="723"/>
      <c r="B95" s="189" t="s">
        <v>75</v>
      </c>
      <c r="C95" s="190"/>
      <c r="D95" s="191"/>
      <c r="E95" s="191">
        <f>SUM(E96:E99)</f>
        <v>0</v>
      </c>
      <c r="F95" s="191">
        <f>SUM(F96:F99)</f>
        <v>14101</v>
      </c>
      <c r="G95" s="191">
        <f>SUM(G96:G99)</f>
        <v>33033</v>
      </c>
      <c r="H95" s="191">
        <f>SUM(H96:H99)</f>
        <v>660558.49</v>
      </c>
      <c r="I95" s="191">
        <f>SUM(I96:I99)</f>
        <v>0</v>
      </c>
      <c r="J95" s="191"/>
      <c r="K95" s="191"/>
      <c r="L95" s="191"/>
      <c r="M95" s="225"/>
      <c r="N95" s="225"/>
      <c r="O95" s="218"/>
      <c r="P95" s="226"/>
      <c r="Q95" s="226"/>
      <c r="R95" s="188"/>
      <c r="S95" s="188"/>
      <c r="T95" s="188"/>
      <c r="U95" s="188"/>
      <c r="V95" s="188"/>
      <c r="W95" s="188"/>
      <c r="X95" s="188"/>
      <c r="Y95" s="188"/>
      <c r="Z95" s="188"/>
      <c r="AA95" s="188"/>
      <c r="AB95" s="188"/>
      <c r="AC95" s="188"/>
      <c r="AD95" s="188"/>
      <c r="AE95" s="188"/>
      <c r="AF95" s="188"/>
      <c r="AG95" s="188"/>
      <c r="AH95" s="188"/>
      <c r="AI95" s="188"/>
      <c r="AJ95" s="188"/>
      <c r="AK95" s="188"/>
      <c r="AL95" s="188"/>
      <c r="AM95" s="188"/>
      <c r="AN95" s="188"/>
      <c r="AO95" s="188"/>
      <c r="AP95" s="188"/>
      <c r="AQ95" s="188"/>
      <c r="AR95" s="188"/>
      <c r="AS95" s="188"/>
      <c r="AT95" s="188"/>
      <c r="AU95" s="188"/>
      <c r="AV95" s="188"/>
      <c r="AW95" s="188"/>
      <c r="AX95" s="188"/>
      <c r="AY95" s="188"/>
      <c r="AZ95" s="188"/>
      <c r="BA95" s="188"/>
      <c r="BB95" s="188"/>
      <c r="BC95" s="188"/>
      <c r="BD95" s="188"/>
      <c r="BE95" s="188"/>
      <c r="BF95" s="188"/>
    </row>
    <row r="96" spans="1:58" s="186" customFormat="1" hidden="1" outlineLevel="1" x14ac:dyDescent="0.2">
      <c r="A96" s="723"/>
      <c r="B96" s="193" t="s">
        <v>76</v>
      </c>
      <c r="C96" s="194"/>
      <c r="D96" s="195"/>
      <c r="E96" s="196"/>
      <c r="F96" s="196"/>
      <c r="G96" s="196"/>
      <c r="H96" s="194"/>
      <c r="I96" s="194"/>
      <c r="J96" s="194"/>
      <c r="K96" s="194"/>
      <c r="L96" s="194"/>
      <c r="O96" s="219"/>
      <c r="P96" s="139"/>
      <c r="Q96" s="139"/>
      <c r="R96" s="139"/>
      <c r="S96" s="139"/>
      <c r="T96" s="139"/>
      <c r="U96" s="139"/>
      <c r="V96" s="139"/>
      <c r="W96" s="139"/>
      <c r="X96" s="139"/>
      <c r="Y96" s="188"/>
      <c r="Z96" s="188"/>
      <c r="AA96" s="188"/>
      <c r="AB96" s="188"/>
      <c r="AC96" s="188"/>
      <c r="AD96" s="188"/>
      <c r="AE96" s="188"/>
      <c r="AF96" s="188"/>
      <c r="AG96" s="188"/>
      <c r="AH96" s="188"/>
      <c r="AI96" s="188"/>
      <c r="AJ96" s="188"/>
      <c r="AK96" s="188"/>
      <c r="AL96" s="188"/>
      <c r="AM96" s="188"/>
      <c r="AN96" s="188"/>
      <c r="AO96" s="188"/>
      <c r="AP96" s="188"/>
      <c r="AQ96" s="188"/>
      <c r="AR96" s="188"/>
      <c r="AS96" s="188"/>
      <c r="AT96" s="188"/>
      <c r="AU96" s="188"/>
      <c r="AV96" s="188"/>
      <c r="AW96" s="188"/>
      <c r="AX96" s="188"/>
      <c r="AY96" s="188"/>
      <c r="AZ96" s="188"/>
      <c r="BA96" s="188"/>
      <c r="BB96" s="188"/>
      <c r="BC96" s="188"/>
      <c r="BD96" s="188"/>
      <c r="BE96" s="188"/>
      <c r="BF96" s="188"/>
    </row>
    <row r="97" spans="1:58" s="89" customFormat="1" hidden="1" outlineLevel="1" x14ac:dyDescent="0.2">
      <c r="A97" s="724"/>
      <c r="B97" s="193" t="s">
        <v>77</v>
      </c>
      <c r="C97" s="194"/>
      <c r="D97" s="195"/>
      <c r="E97" s="196"/>
      <c r="F97" s="196">
        <v>14101</v>
      </c>
      <c r="G97" s="196">
        <v>33033</v>
      </c>
      <c r="H97" s="196">
        <v>390980</v>
      </c>
      <c r="I97" s="196"/>
      <c r="J97" s="196"/>
      <c r="K97" s="196"/>
      <c r="L97" s="196"/>
      <c r="O97" s="219"/>
      <c r="P97" s="226"/>
      <c r="Q97" s="226"/>
    </row>
    <row r="98" spans="1:58" s="714" customFormat="1" ht="14.25" hidden="1" customHeight="1" outlineLevel="1" x14ac:dyDescent="0.2">
      <c r="A98" s="724"/>
      <c r="B98" s="1144" t="s">
        <v>78</v>
      </c>
      <c r="C98" s="1145"/>
      <c r="D98" s="1146"/>
      <c r="E98" s="1147"/>
      <c r="F98" s="1147"/>
      <c r="G98" s="1147">
        <v>0</v>
      </c>
      <c r="H98" s="1147">
        <v>269578.48999999993</v>
      </c>
      <c r="I98" s="1147"/>
      <c r="J98" s="1147"/>
      <c r="K98" s="1147"/>
      <c r="L98" s="1147"/>
      <c r="M98" s="720"/>
      <c r="O98" s="715"/>
      <c r="P98" s="716"/>
      <c r="Q98" s="716"/>
      <c r="R98" s="717"/>
    </row>
    <row r="99" spans="1:58" s="229" customFormat="1" ht="14.25" hidden="1" customHeight="1" outlineLevel="1" x14ac:dyDescent="0.2">
      <c r="A99" s="724"/>
      <c r="B99" s="199" t="s">
        <v>79</v>
      </c>
      <c r="C99" s="200"/>
      <c r="D99" s="201"/>
      <c r="E99" s="202"/>
      <c r="F99" s="202">
        <v>0</v>
      </c>
      <c r="G99" s="202"/>
      <c r="H99" s="202"/>
      <c r="I99" s="202"/>
      <c r="J99" s="202"/>
      <c r="K99" s="202"/>
      <c r="L99" s="202"/>
      <c r="O99" s="221"/>
      <c r="P99" s="226"/>
      <c r="Q99" s="226"/>
      <c r="T99" s="230"/>
      <c r="U99" s="230"/>
      <c r="V99" s="230"/>
      <c r="W99" s="230"/>
    </row>
    <row r="100" spans="1:58" s="229" customFormat="1" ht="14.25" hidden="1" customHeight="1" outlineLevel="1" x14ac:dyDescent="0.2">
      <c r="A100" s="724"/>
      <c r="B100" s="204" t="s">
        <v>80</v>
      </c>
      <c r="C100" s="205"/>
      <c r="D100" s="206"/>
      <c r="E100" s="206">
        <f>E95-E94</f>
        <v>0</v>
      </c>
      <c r="F100" s="206">
        <f t="shared" ref="F100:G100" si="91">F95-F94</f>
        <v>0</v>
      </c>
      <c r="G100" s="206">
        <f t="shared" si="91"/>
        <v>0</v>
      </c>
      <c r="H100" s="222">
        <f t="shared" ref="H100:L100" si="92">H95-H94</f>
        <v>0</v>
      </c>
      <c r="I100" s="206">
        <f t="shared" si="92"/>
        <v>0</v>
      </c>
      <c r="J100" s="206">
        <f t="shared" si="92"/>
        <v>0</v>
      </c>
      <c r="K100" s="206">
        <f t="shared" si="92"/>
        <v>0</v>
      </c>
      <c r="L100" s="206">
        <f t="shared" si="92"/>
        <v>0</v>
      </c>
      <c r="O100" s="223"/>
      <c r="P100" s="231"/>
      <c r="Q100" s="232"/>
      <c r="T100" s="230"/>
      <c r="U100" s="230"/>
      <c r="V100" s="230"/>
      <c r="W100" s="230"/>
    </row>
    <row r="101" spans="1:58" s="139" customFormat="1" ht="28.5" hidden="1" customHeight="1" outlineLevel="1" x14ac:dyDescent="0.2">
      <c r="A101" s="725"/>
      <c r="B101" s="208" t="s">
        <v>89</v>
      </c>
      <c r="C101" s="208"/>
      <c r="D101" s="209"/>
      <c r="E101" s="209">
        <f>E83-E98</f>
        <v>1056887.5596573993</v>
      </c>
      <c r="F101" s="209" t="e">
        <f>F83-F98</f>
        <v>#REF!</v>
      </c>
      <c r="G101" s="209">
        <f>G92-G98+G100</f>
        <v>206868.65426914697</v>
      </c>
      <c r="H101" s="209">
        <f t="shared" ref="H101:L101" si="93">H92-H98+H100</f>
        <v>2680535.8999961368</v>
      </c>
      <c r="I101" s="209">
        <f t="shared" si="93"/>
        <v>-1762832.7562713164</v>
      </c>
      <c r="J101" s="209">
        <f t="shared" si="93"/>
        <v>1243104.3373594861</v>
      </c>
      <c r="K101" s="209">
        <f t="shared" si="93"/>
        <v>3754906.9628555248</v>
      </c>
      <c r="L101" s="209">
        <f t="shared" si="93"/>
        <v>9280028.7929329742</v>
      </c>
      <c r="O101" s="224"/>
    </row>
    <row r="102" spans="1:58" s="139" customFormat="1" hidden="1" outlineLevel="1" x14ac:dyDescent="0.2">
      <c r="A102" s="181"/>
      <c r="B102" s="233"/>
      <c r="C102" s="233"/>
      <c r="D102" s="211"/>
      <c r="E102" s="234"/>
      <c r="F102" s="213"/>
      <c r="G102" s="213"/>
      <c r="H102" s="213"/>
      <c r="I102" s="213"/>
      <c r="J102" s="213"/>
      <c r="K102" s="213"/>
      <c r="L102" s="213"/>
    </row>
    <row r="103" spans="1:58" s="186" customFormat="1" ht="24" hidden="1" customHeight="1" outlineLevel="1" x14ac:dyDescent="0.2">
      <c r="A103" s="726" t="s">
        <v>15</v>
      </c>
      <c r="B103" s="235" t="s">
        <v>90</v>
      </c>
      <c r="C103" s="236"/>
      <c r="D103" s="237"/>
      <c r="E103" s="237">
        <v>0</v>
      </c>
      <c r="F103" s="237">
        <v>4064</v>
      </c>
      <c r="G103" s="237">
        <v>38763</v>
      </c>
      <c r="H103" s="237">
        <f>SUM(H106:H108)</f>
        <v>0</v>
      </c>
      <c r="I103" s="237">
        <f>SUM(I106:I108)</f>
        <v>0</v>
      </c>
      <c r="J103" s="237"/>
      <c r="K103" s="237"/>
      <c r="L103" s="237"/>
      <c r="M103" s="225"/>
      <c r="N103" s="225"/>
      <c r="O103" s="217">
        <f t="shared" ref="O103:O108" si="94">SUM(D103:I103)</f>
        <v>42827</v>
      </c>
      <c r="P103" s="188"/>
      <c r="Q103" s="139"/>
      <c r="R103" s="238"/>
      <c r="S103" s="188"/>
      <c r="T103" s="188"/>
      <c r="U103" s="188"/>
      <c r="V103" s="188"/>
      <c r="W103" s="188"/>
      <c r="X103" s="188"/>
      <c r="Y103" s="188"/>
      <c r="Z103" s="188"/>
      <c r="AA103" s="188"/>
      <c r="AB103" s="188"/>
      <c r="AC103" s="188"/>
      <c r="AD103" s="188"/>
      <c r="AE103" s="188"/>
      <c r="AF103" s="188"/>
      <c r="AG103" s="188"/>
      <c r="AH103" s="188"/>
      <c r="AI103" s="188"/>
      <c r="AJ103" s="188"/>
      <c r="AK103" s="188"/>
      <c r="AL103" s="188"/>
      <c r="AM103" s="188"/>
      <c r="AN103" s="188"/>
      <c r="AO103" s="188"/>
      <c r="AP103" s="188"/>
      <c r="AQ103" s="188"/>
      <c r="AR103" s="188"/>
      <c r="AS103" s="188"/>
      <c r="AT103" s="188"/>
      <c r="AU103" s="188"/>
      <c r="AV103" s="188"/>
      <c r="AW103" s="188"/>
      <c r="AX103" s="188"/>
      <c r="AY103" s="188"/>
      <c r="AZ103" s="188"/>
      <c r="BA103" s="188"/>
      <c r="BB103" s="188"/>
      <c r="BC103" s="188"/>
      <c r="BD103" s="188"/>
      <c r="BE103" s="188"/>
      <c r="BF103" s="188"/>
    </row>
    <row r="104" spans="1:58" s="186" customFormat="1" hidden="1" outlineLevel="1" x14ac:dyDescent="0.2">
      <c r="A104" s="727"/>
      <c r="B104" s="189" t="s">
        <v>75</v>
      </c>
      <c r="C104" s="190"/>
      <c r="D104" s="191"/>
      <c r="E104" s="191">
        <f>SUM(E105:E108)</f>
        <v>0</v>
      </c>
      <c r="F104" s="191">
        <f>SUM(F105:F108)</f>
        <v>4064</v>
      </c>
      <c r="G104" s="191">
        <f>SUM(G105:G108)</f>
        <v>38763</v>
      </c>
      <c r="H104" s="191">
        <f>SUM(H105:H108)</f>
        <v>0</v>
      </c>
      <c r="I104" s="191">
        <f>SUM(I105:I108)</f>
        <v>0</v>
      </c>
      <c r="J104" s="191"/>
      <c r="K104" s="191"/>
      <c r="L104" s="191"/>
      <c r="M104" s="225"/>
      <c r="N104" s="225"/>
      <c r="O104" s="218">
        <f t="shared" si="94"/>
        <v>42827</v>
      </c>
      <c r="P104" s="188"/>
      <c r="Q104" s="226"/>
      <c r="R104" s="188"/>
      <c r="S104" s="188"/>
      <c r="T104" s="188"/>
      <c r="U104" s="188"/>
      <c r="V104" s="188"/>
      <c r="W104" s="188"/>
      <c r="X104" s="188"/>
      <c r="Y104" s="188"/>
      <c r="Z104" s="188"/>
      <c r="AA104" s="188"/>
      <c r="AB104" s="188"/>
      <c r="AC104" s="188"/>
      <c r="AD104" s="188"/>
      <c r="AE104" s="188"/>
      <c r="AF104" s="188"/>
      <c r="AG104" s="188"/>
      <c r="AH104" s="188"/>
      <c r="AI104" s="188"/>
      <c r="AJ104" s="188"/>
      <c r="AK104" s="188"/>
      <c r="AL104" s="188"/>
      <c r="AM104" s="188"/>
      <c r="AN104" s="188"/>
      <c r="AO104" s="188"/>
      <c r="AP104" s="188"/>
      <c r="AQ104" s="188"/>
      <c r="AR104" s="188"/>
      <c r="AS104" s="188"/>
      <c r="AT104" s="188"/>
      <c r="AU104" s="188"/>
      <c r="AV104" s="188"/>
      <c r="AW104" s="188"/>
      <c r="AX104" s="188"/>
      <c r="AY104" s="188"/>
      <c r="AZ104" s="188"/>
      <c r="BA104" s="188"/>
      <c r="BB104" s="188"/>
      <c r="BC104" s="188"/>
      <c r="BD104" s="188"/>
      <c r="BE104" s="188"/>
      <c r="BF104" s="188"/>
    </row>
    <row r="105" spans="1:58" s="186" customFormat="1" hidden="1" outlineLevel="1" x14ac:dyDescent="0.2">
      <c r="A105" s="727"/>
      <c r="B105" s="193" t="s">
        <v>76</v>
      </c>
      <c r="C105" s="194"/>
      <c r="D105" s="195"/>
      <c r="E105" s="196"/>
      <c r="F105" s="196"/>
      <c r="G105" s="196">
        <v>22170</v>
      </c>
      <c r="H105" s="194"/>
      <c r="I105" s="194"/>
      <c r="J105" s="194"/>
      <c r="K105" s="194"/>
      <c r="L105" s="194"/>
      <c r="O105" s="219">
        <f t="shared" si="94"/>
        <v>22170</v>
      </c>
      <c r="P105" s="188"/>
      <c r="Q105" s="226"/>
      <c r="R105" s="139"/>
      <c r="S105" s="139"/>
      <c r="T105" s="139"/>
      <c r="U105" s="139"/>
      <c r="V105" s="139"/>
      <c r="W105" s="139"/>
      <c r="X105" s="139"/>
      <c r="Y105" s="188"/>
      <c r="Z105" s="188"/>
      <c r="AA105" s="188"/>
      <c r="AB105" s="188"/>
      <c r="AC105" s="188"/>
      <c r="AD105" s="188"/>
      <c r="AE105" s="188"/>
      <c r="AF105" s="188"/>
      <c r="AG105" s="188"/>
      <c r="AH105" s="188"/>
      <c r="AI105" s="188"/>
      <c r="AJ105" s="188"/>
      <c r="AK105" s="188"/>
      <c r="AL105" s="188"/>
      <c r="AM105" s="188"/>
      <c r="AN105" s="188"/>
      <c r="AO105" s="188"/>
      <c r="AP105" s="188"/>
      <c r="AQ105" s="188"/>
      <c r="AR105" s="188"/>
      <c r="AS105" s="188"/>
      <c r="AT105" s="188"/>
      <c r="AU105" s="188"/>
      <c r="AV105" s="188"/>
      <c r="AW105" s="188"/>
      <c r="AX105" s="188"/>
      <c r="AY105" s="188"/>
      <c r="AZ105" s="188"/>
      <c r="BA105" s="188"/>
      <c r="BB105" s="188"/>
      <c r="BC105" s="188"/>
      <c r="BD105" s="188"/>
      <c r="BE105" s="188"/>
      <c r="BF105" s="188"/>
    </row>
    <row r="106" spans="1:58" s="89" customFormat="1" hidden="1" outlineLevel="1" x14ac:dyDescent="0.2">
      <c r="A106" s="728"/>
      <c r="B106" s="193" t="s">
        <v>77</v>
      </c>
      <c r="C106" s="194"/>
      <c r="D106" s="195"/>
      <c r="E106" s="196"/>
      <c r="F106" s="196">
        <v>250</v>
      </c>
      <c r="G106" s="196"/>
      <c r="H106" s="194"/>
      <c r="I106" s="194"/>
      <c r="J106" s="194"/>
      <c r="K106" s="194"/>
      <c r="L106" s="194"/>
      <c r="O106" s="219">
        <f t="shared" si="94"/>
        <v>250</v>
      </c>
      <c r="Q106" s="239"/>
    </row>
    <row r="107" spans="1:58" s="714" customFormat="1" ht="14.25" hidden="1" customHeight="1" outlineLevel="1" x14ac:dyDescent="0.2">
      <c r="A107" s="728"/>
      <c r="B107" s="1144" t="s">
        <v>78</v>
      </c>
      <c r="C107" s="1145"/>
      <c r="D107" s="1146"/>
      <c r="E107" s="1147"/>
      <c r="F107" s="1147">
        <f>4064-250</f>
        <v>3814</v>
      </c>
      <c r="G107" s="1147">
        <f>38763-G105</f>
        <v>16593</v>
      </c>
      <c r="H107" s="1147"/>
      <c r="I107" s="1145"/>
      <c r="J107" s="1145"/>
      <c r="K107" s="1145"/>
      <c r="L107" s="1145"/>
      <c r="M107" s="720"/>
      <c r="O107" s="715">
        <f t="shared" si="94"/>
        <v>20407</v>
      </c>
      <c r="Q107" s="716"/>
      <c r="R107" s="717"/>
    </row>
    <row r="108" spans="1:58" s="229" customFormat="1" ht="14.25" hidden="1" customHeight="1" outlineLevel="1" x14ac:dyDescent="0.2">
      <c r="A108" s="728"/>
      <c r="B108" s="199" t="s">
        <v>79</v>
      </c>
      <c r="C108" s="200"/>
      <c r="D108" s="201"/>
      <c r="E108" s="202">
        <v>0</v>
      </c>
      <c r="F108" s="202"/>
      <c r="G108" s="202"/>
      <c r="H108" s="200"/>
      <c r="I108" s="200"/>
      <c r="J108" s="200"/>
      <c r="K108" s="200"/>
      <c r="L108" s="200"/>
      <c r="O108" s="221">
        <f t="shared" si="94"/>
        <v>0</v>
      </c>
      <c r="Q108" s="240"/>
      <c r="T108" s="230"/>
      <c r="U108" s="230"/>
      <c r="V108" s="230"/>
      <c r="W108" s="230"/>
    </row>
    <row r="109" spans="1:58" s="229" customFormat="1" ht="14.25" hidden="1" customHeight="1" outlineLevel="1" x14ac:dyDescent="0.2">
      <c r="A109" s="728"/>
      <c r="B109" s="204" t="s">
        <v>80</v>
      </c>
      <c r="C109" s="205"/>
      <c r="D109" s="206"/>
      <c r="E109" s="206">
        <f>E104-E103</f>
        <v>0</v>
      </c>
      <c r="F109" s="206">
        <f t="shared" ref="F109:G109" si="95">F104-F103</f>
        <v>0</v>
      </c>
      <c r="G109" s="206">
        <f t="shared" si="95"/>
        <v>0</v>
      </c>
      <c r="H109" s="222">
        <f t="shared" ref="H109:L109" si="96">H104-H103</f>
        <v>0</v>
      </c>
      <c r="I109" s="206">
        <f t="shared" si="96"/>
        <v>0</v>
      </c>
      <c r="J109" s="206">
        <f t="shared" si="96"/>
        <v>0</v>
      </c>
      <c r="K109" s="206">
        <f t="shared" si="96"/>
        <v>0</v>
      </c>
      <c r="L109" s="206">
        <f t="shared" si="96"/>
        <v>0</v>
      </c>
      <c r="O109" s="223">
        <f>O103-O104</f>
        <v>0</v>
      </c>
      <c r="Q109" s="240"/>
      <c r="T109" s="230"/>
      <c r="U109" s="230"/>
      <c r="V109" s="230"/>
      <c r="W109" s="230"/>
    </row>
    <row r="110" spans="1:58" s="139" customFormat="1" ht="28.5" hidden="1" customHeight="1" outlineLevel="1" x14ac:dyDescent="0.2">
      <c r="A110" s="729"/>
      <c r="B110" s="241" t="s">
        <v>91</v>
      </c>
      <c r="C110" s="241"/>
      <c r="D110" s="242"/>
      <c r="E110" s="242">
        <f>E101-E107</f>
        <v>1056887.5596573993</v>
      </c>
      <c r="F110" s="242" t="e">
        <f>F101-F107</f>
        <v>#REF!</v>
      </c>
      <c r="G110" s="242">
        <f>G101-G107+G109</f>
        <v>190275.65426914697</v>
      </c>
      <c r="H110" s="242">
        <f t="shared" ref="H110:L110" si="97">H101-H107+H109</f>
        <v>2680535.8999961368</v>
      </c>
      <c r="I110" s="242">
        <f t="shared" si="97"/>
        <v>-1762832.7562713164</v>
      </c>
      <c r="J110" s="242">
        <f t="shared" si="97"/>
        <v>1243104.3373594861</v>
      </c>
      <c r="K110" s="242">
        <f t="shared" si="97"/>
        <v>3754906.9628555248</v>
      </c>
      <c r="L110" s="242">
        <f t="shared" si="97"/>
        <v>9280028.7929329742</v>
      </c>
      <c r="O110" s="224"/>
      <c r="Q110" s="181"/>
    </row>
    <row r="111" spans="1:58" s="139" customFormat="1" ht="28.5" hidden="1" customHeight="1" outlineLevel="1" x14ac:dyDescent="0.2">
      <c r="A111" s="181"/>
      <c r="B111" s="243"/>
      <c r="C111" s="244"/>
      <c r="D111" s="213"/>
      <c r="E111" s="213"/>
      <c r="F111" s="213"/>
      <c r="G111" s="213"/>
      <c r="H111" s="213"/>
      <c r="I111" s="213"/>
      <c r="J111" s="213"/>
      <c r="K111" s="213"/>
      <c r="L111" s="213"/>
      <c r="Q111" s="181"/>
    </row>
    <row r="112" spans="1:58" s="186" customFormat="1" ht="43.15" hidden="1" customHeight="1" outlineLevel="1" x14ac:dyDescent="0.2">
      <c r="A112" s="726" t="s">
        <v>17</v>
      </c>
      <c r="B112" s="235" t="s">
        <v>92</v>
      </c>
      <c r="C112" s="236"/>
      <c r="D112" s="237"/>
      <c r="E112" s="237">
        <f>22711+12990</f>
        <v>35701</v>
      </c>
      <c r="F112" s="237">
        <v>0</v>
      </c>
      <c r="G112" s="237">
        <v>44830</v>
      </c>
      <c r="H112" s="237">
        <f>SUM(H115:H117)</f>
        <v>47219.45</v>
      </c>
      <c r="I112" s="237">
        <v>43069</v>
      </c>
      <c r="J112" s="237">
        <v>41579.68</v>
      </c>
      <c r="K112" s="237">
        <v>24208.14</v>
      </c>
      <c r="L112" s="237"/>
      <c r="M112" s="225"/>
      <c r="N112" s="225"/>
      <c r="O112" s="217">
        <f t="shared" ref="O112:O117" si="98">SUM(D112:I112)</f>
        <v>170819.45</v>
      </c>
      <c r="P112" s="188"/>
      <c r="Q112" s="139"/>
      <c r="R112" s="238"/>
      <c r="S112" s="188"/>
      <c r="T112" s="188"/>
      <c r="U112" s="188"/>
      <c r="V112" s="188"/>
      <c r="W112" s="188"/>
      <c r="X112" s="188"/>
      <c r="Y112" s="188"/>
      <c r="Z112" s="188"/>
      <c r="AA112" s="188"/>
      <c r="AB112" s="188"/>
      <c r="AC112" s="188"/>
      <c r="AD112" s="188"/>
      <c r="AE112" s="188"/>
      <c r="AF112" s="188"/>
      <c r="AG112" s="188"/>
      <c r="AH112" s="188"/>
      <c r="AI112" s="188"/>
      <c r="AJ112" s="188"/>
      <c r="AK112" s="188"/>
      <c r="AL112" s="188"/>
      <c r="AM112" s="188"/>
      <c r="AN112" s="188"/>
      <c r="AO112" s="188"/>
      <c r="AP112" s="188"/>
      <c r="AQ112" s="188"/>
      <c r="AR112" s="188"/>
      <c r="AS112" s="188"/>
      <c r="AT112" s="188"/>
      <c r="AU112" s="188"/>
      <c r="AV112" s="188"/>
      <c r="AW112" s="188"/>
      <c r="AX112" s="188"/>
      <c r="AY112" s="188"/>
      <c r="AZ112" s="188"/>
      <c r="BA112" s="188"/>
      <c r="BB112" s="188"/>
      <c r="BC112" s="188"/>
      <c r="BD112" s="188"/>
      <c r="BE112" s="188"/>
      <c r="BF112" s="188"/>
    </row>
    <row r="113" spans="1:58" s="186" customFormat="1" hidden="1" outlineLevel="1" x14ac:dyDescent="0.2">
      <c r="A113" s="727"/>
      <c r="B113" s="189" t="s">
        <v>75</v>
      </c>
      <c r="C113" s="190"/>
      <c r="D113" s="191"/>
      <c r="E113" s="191">
        <f>SUM(E114:E117)</f>
        <v>50059</v>
      </c>
      <c r="F113" s="191">
        <f>SUM(F114:F117)</f>
        <v>33080</v>
      </c>
      <c r="G113" s="191">
        <f>SUM(G114:G117)</f>
        <v>44830</v>
      </c>
      <c r="H113" s="191">
        <f>SUM(H114:H117)</f>
        <v>47219.45</v>
      </c>
      <c r="I113" s="191">
        <f>SUM(I114:I117)</f>
        <v>43069</v>
      </c>
      <c r="J113" s="191">
        <f t="shared" ref="J113:K113" si="99">SUM(J114:J117)</f>
        <v>41579.68</v>
      </c>
      <c r="K113" s="191">
        <f t="shared" si="99"/>
        <v>24208.14</v>
      </c>
      <c r="L113" s="191"/>
      <c r="M113" s="225"/>
      <c r="N113" s="225"/>
      <c r="O113" s="218">
        <f t="shared" si="98"/>
        <v>218257.45</v>
      </c>
      <c r="P113" s="188"/>
      <c r="Q113" s="139"/>
      <c r="R113"/>
      <c r="S113"/>
      <c r="T113"/>
      <c r="U113"/>
      <c r="V113"/>
      <c r="W113"/>
      <c r="X113" s="188"/>
      <c r="Y113" s="188"/>
      <c r="Z113" s="188"/>
      <c r="AA113" s="188"/>
      <c r="AB113" s="188"/>
      <c r="AC113" s="188"/>
      <c r="AD113" s="188"/>
      <c r="AE113" s="188"/>
      <c r="AF113" s="188"/>
      <c r="AG113" s="188"/>
      <c r="AH113" s="188"/>
      <c r="AI113" s="188"/>
      <c r="AJ113" s="188"/>
      <c r="AK113" s="188"/>
      <c r="AL113" s="188"/>
      <c r="AM113" s="188"/>
      <c r="AN113" s="188"/>
      <c r="AO113" s="188"/>
      <c r="AP113" s="188"/>
      <c r="AQ113" s="188"/>
      <c r="AR113" s="188"/>
      <c r="AS113" s="188"/>
      <c r="AT113" s="188"/>
      <c r="AU113" s="188"/>
      <c r="AV113" s="188"/>
      <c r="AW113" s="188"/>
      <c r="AX113" s="188"/>
      <c r="AY113" s="188"/>
      <c r="AZ113" s="188"/>
      <c r="BA113" s="188"/>
      <c r="BB113" s="188"/>
      <c r="BC113" s="188"/>
      <c r="BD113" s="188"/>
      <c r="BE113" s="188"/>
      <c r="BF113" s="188"/>
    </row>
    <row r="114" spans="1:58" s="186" customFormat="1" hidden="1" outlineLevel="1" x14ac:dyDescent="0.2">
      <c r="A114" s="727"/>
      <c r="B114" s="193" t="s">
        <v>76</v>
      </c>
      <c r="C114" s="194"/>
      <c r="D114" s="195"/>
      <c r="E114" s="196">
        <f>23597+18440</f>
        <v>42037</v>
      </c>
      <c r="F114" s="196">
        <f>E118</f>
        <v>14358</v>
      </c>
      <c r="G114" s="196">
        <v>44830</v>
      </c>
      <c r="H114" s="194"/>
      <c r="I114" s="194"/>
      <c r="J114" s="194"/>
      <c r="K114" s="194"/>
      <c r="L114" s="194"/>
      <c r="O114" s="219">
        <f t="shared" si="98"/>
        <v>101225</v>
      </c>
      <c r="P114" s="188"/>
      <c r="Q114" s="226"/>
      <c r="R114" s="139"/>
      <c r="S114" s="139"/>
      <c r="T114" s="139"/>
      <c r="U114" s="139"/>
      <c r="V114" s="139"/>
      <c r="W114" s="139"/>
      <c r="X114" s="139"/>
      <c r="Y114" s="188"/>
      <c r="Z114" s="188"/>
      <c r="AA114" s="188"/>
      <c r="AB114" s="188"/>
      <c r="AC114" s="188"/>
      <c r="AD114" s="188"/>
      <c r="AE114" s="188"/>
      <c r="AF114" s="188"/>
      <c r="AG114" s="188"/>
      <c r="AH114" s="188"/>
      <c r="AI114" s="188"/>
      <c r="AJ114" s="188"/>
      <c r="AK114" s="188"/>
      <c r="AL114" s="188"/>
      <c r="AM114" s="188"/>
      <c r="AN114" s="188"/>
      <c r="AO114" s="188"/>
      <c r="AP114" s="188"/>
      <c r="AQ114" s="188"/>
      <c r="AR114" s="188"/>
      <c r="AS114" s="188"/>
      <c r="AT114" s="188"/>
      <c r="AU114" s="188"/>
      <c r="AV114" s="188"/>
      <c r="AW114" s="188"/>
      <c r="AX114" s="188"/>
      <c r="AY114" s="188"/>
      <c r="AZ114" s="188"/>
      <c r="BA114" s="188"/>
      <c r="BB114" s="188"/>
      <c r="BC114" s="188"/>
      <c r="BD114" s="188"/>
      <c r="BE114" s="188"/>
      <c r="BF114" s="188"/>
    </row>
    <row r="115" spans="1:58" s="89" customFormat="1" hidden="1" outlineLevel="1" x14ac:dyDescent="0.2">
      <c r="A115" s="728"/>
      <c r="B115" s="193" t="s">
        <v>77</v>
      </c>
      <c r="C115" s="194"/>
      <c r="D115" s="195"/>
      <c r="E115" s="196">
        <f>8022</f>
        <v>8022</v>
      </c>
      <c r="F115" s="196">
        <f>18722</f>
        <v>18722</v>
      </c>
      <c r="G115" s="196"/>
      <c r="H115" s="196">
        <v>47219.45</v>
      </c>
      <c r="I115" s="196">
        <v>43069</v>
      </c>
      <c r="J115" s="196">
        <v>41579.68</v>
      </c>
      <c r="K115" s="196">
        <v>24208.14</v>
      </c>
      <c r="L115" s="194"/>
      <c r="O115" s="219">
        <f t="shared" si="98"/>
        <v>117032.45</v>
      </c>
      <c r="Q115" s="239"/>
    </row>
    <row r="116" spans="1:58" s="714" customFormat="1" ht="14.25" hidden="1" customHeight="1" outlineLevel="1" x14ac:dyDescent="0.2">
      <c r="A116" s="728"/>
      <c r="B116" s="1144" t="s">
        <v>78</v>
      </c>
      <c r="C116" s="1145"/>
      <c r="D116" s="1146"/>
      <c r="E116" s="1147"/>
      <c r="F116" s="1147"/>
      <c r="G116" s="1147"/>
      <c r="H116" s="1145"/>
      <c r="I116" s="1147">
        <f>I112-I115</f>
        <v>0</v>
      </c>
      <c r="J116" s="1147">
        <f t="shared" ref="J116:K116" si="100">J112-J115</f>
        <v>0</v>
      </c>
      <c r="K116" s="1147">
        <f t="shared" si="100"/>
        <v>0</v>
      </c>
      <c r="L116" s="1145"/>
      <c r="O116" s="715">
        <f>SUM(D116:I116)</f>
        <v>0</v>
      </c>
      <c r="Q116" s="716"/>
      <c r="R116" s="717"/>
    </row>
    <row r="117" spans="1:58" s="229" customFormat="1" ht="14.25" hidden="1" customHeight="1" outlineLevel="1" x14ac:dyDescent="0.2">
      <c r="A117" s="728"/>
      <c r="B117" s="199" t="s">
        <v>79</v>
      </c>
      <c r="C117" s="200"/>
      <c r="D117" s="201"/>
      <c r="E117" s="202"/>
      <c r="F117" s="202"/>
      <c r="G117" s="202"/>
      <c r="H117" s="200"/>
      <c r="I117" s="200"/>
      <c r="J117" s="200"/>
      <c r="K117" s="200"/>
      <c r="L117" s="200"/>
      <c r="O117" s="221">
        <f t="shared" si="98"/>
        <v>0</v>
      </c>
      <c r="Q117" s="240"/>
      <c r="T117" s="230"/>
      <c r="U117" s="230"/>
      <c r="V117" s="230"/>
      <c r="W117" s="230"/>
    </row>
    <row r="118" spans="1:58" s="229" customFormat="1" ht="14.25" hidden="1" customHeight="1" outlineLevel="1" x14ac:dyDescent="0.2">
      <c r="A118" s="728"/>
      <c r="B118" s="204" t="s">
        <v>80</v>
      </c>
      <c r="C118" s="205"/>
      <c r="D118" s="206"/>
      <c r="E118" s="206">
        <f>E113-E112</f>
        <v>14358</v>
      </c>
      <c r="F118" s="206">
        <f t="shared" ref="F118:G118" si="101">F113-F112</f>
        <v>33080</v>
      </c>
      <c r="G118" s="206">
        <f t="shared" si="101"/>
        <v>0</v>
      </c>
      <c r="H118" s="222">
        <f t="shared" ref="H118:L118" si="102">H113-H112</f>
        <v>0</v>
      </c>
      <c r="I118" s="206">
        <f t="shared" si="102"/>
        <v>0</v>
      </c>
      <c r="J118" s="206">
        <f t="shared" si="102"/>
        <v>0</v>
      </c>
      <c r="K118" s="206">
        <f t="shared" si="102"/>
        <v>0</v>
      </c>
      <c r="L118" s="206">
        <f t="shared" si="102"/>
        <v>0</v>
      </c>
      <c r="O118" s="223">
        <f>O112-O113</f>
        <v>-47438</v>
      </c>
      <c r="Q118" s="240"/>
      <c r="T118" s="230"/>
      <c r="U118" s="230"/>
      <c r="V118" s="230"/>
      <c r="W118" s="230"/>
    </row>
    <row r="119" spans="1:58" s="139" customFormat="1" ht="28.5" hidden="1" customHeight="1" outlineLevel="1" x14ac:dyDescent="0.2">
      <c r="A119" s="729"/>
      <c r="B119" s="241" t="s">
        <v>93</v>
      </c>
      <c r="C119" s="241"/>
      <c r="D119" s="242"/>
      <c r="E119" s="242">
        <f>E110-E116</f>
        <v>1056887.5596573993</v>
      </c>
      <c r="F119" s="242" t="e">
        <f>F110-F116</f>
        <v>#REF!</v>
      </c>
      <c r="G119" s="242">
        <f>G110-G116+G118</f>
        <v>190275.65426914697</v>
      </c>
      <c r="H119" s="242">
        <f t="shared" ref="H119:L119" si="103">H110-H116+H118</f>
        <v>2680535.8999961368</v>
      </c>
      <c r="I119" s="242">
        <f t="shared" si="103"/>
        <v>-1762832.7562713164</v>
      </c>
      <c r="J119" s="242">
        <f t="shared" si="103"/>
        <v>1243104.3373594861</v>
      </c>
      <c r="K119" s="242">
        <f t="shared" si="103"/>
        <v>3754906.9628555248</v>
      </c>
      <c r="L119" s="242">
        <f t="shared" si="103"/>
        <v>9280028.7929329742</v>
      </c>
      <c r="O119" s="224"/>
      <c r="Q119" s="181"/>
    </row>
    <row r="120" spans="1:58" s="139" customFormat="1" ht="28.5" hidden="1" customHeight="1" outlineLevel="1" x14ac:dyDescent="0.2">
      <c r="A120" s="181"/>
      <c r="B120" s="243"/>
      <c r="C120" s="244"/>
      <c r="D120" s="213"/>
      <c r="E120" s="213"/>
      <c r="F120" s="213"/>
      <c r="G120" s="213"/>
      <c r="H120" s="213"/>
      <c r="I120" s="213"/>
      <c r="J120" s="213"/>
      <c r="K120" s="213"/>
      <c r="L120" s="213"/>
      <c r="Q120" s="181"/>
    </row>
    <row r="121" spans="1:58" s="186" customFormat="1" ht="25.5" hidden="1" outlineLevel="1" x14ac:dyDescent="0.2">
      <c r="A121" s="726" t="s">
        <v>19</v>
      </c>
      <c r="B121" s="235" t="s">
        <v>94</v>
      </c>
      <c r="C121" s="236"/>
      <c r="D121" s="237"/>
      <c r="E121" s="237"/>
      <c r="F121" s="237"/>
      <c r="G121" s="237">
        <v>15591</v>
      </c>
      <c r="H121" s="237">
        <v>907436</v>
      </c>
      <c r="I121" s="237">
        <f>SUM(I124:I126)</f>
        <v>0</v>
      </c>
      <c r="J121" s="237"/>
      <c r="K121" s="237"/>
      <c r="L121" s="237"/>
      <c r="M121" s="225"/>
      <c r="N121" s="225"/>
      <c r="O121" s="217">
        <f t="shared" ref="O121:O126" si="104">SUM(D121:I121)</f>
        <v>923027</v>
      </c>
      <c r="P121" s="188"/>
      <c r="Q121" s="238"/>
      <c r="R121" s="139"/>
      <c r="S121" s="139"/>
      <c r="T121" s="188"/>
      <c r="U121" s="188"/>
      <c r="V121" s="188"/>
      <c r="W121" s="188"/>
      <c r="X121" s="188"/>
      <c r="Y121" s="188"/>
      <c r="Z121" s="188"/>
      <c r="AA121" s="188"/>
      <c r="AB121" s="188"/>
      <c r="AC121" s="188"/>
      <c r="AD121" s="188"/>
      <c r="AE121" s="188"/>
      <c r="AF121" s="188"/>
      <c r="AG121" s="188"/>
      <c r="AH121" s="188"/>
      <c r="AI121" s="188"/>
      <c r="AJ121" s="188"/>
      <c r="AK121" s="188"/>
      <c r="AL121" s="188"/>
      <c r="AM121" s="188"/>
      <c r="AN121" s="188"/>
      <c r="AO121" s="188"/>
      <c r="AP121" s="188"/>
      <c r="AQ121" s="188"/>
      <c r="AR121" s="188"/>
      <c r="AS121" s="188"/>
      <c r="AT121" s="188"/>
      <c r="AU121" s="188"/>
      <c r="AV121" s="188"/>
      <c r="AW121" s="188"/>
      <c r="AX121" s="188"/>
      <c r="AY121" s="188"/>
      <c r="AZ121" s="188"/>
      <c r="BA121" s="188"/>
      <c r="BB121" s="188"/>
      <c r="BC121" s="188"/>
      <c r="BD121" s="188"/>
      <c r="BE121" s="188"/>
      <c r="BF121" s="188"/>
    </row>
    <row r="122" spans="1:58" s="186" customFormat="1" hidden="1" outlineLevel="1" x14ac:dyDescent="0.2">
      <c r="A122" s="727"/>
      <c r="B122" s="189" t="s">
        <v>75</v>
      </c>
      <c r="C122" s="190"/>
      <c r="D122" s="191"/>
      <c r="E122" s="191">
        <f>SUM(E123:E126)</f>
        <v>0</v>
      </c>
      <c r="F122" s="191">
        <f>SUM(F123:F126)</f>
        <v>0</v>
      </c>
      <c r="G122" s="191">
        <f>SUM(G123:G126)</f>
        <v>15591</v>
      </c>
      <c r="H122" s="191">
        <f>SUM(H123:H126)</f>
        <v>907436.40000000014</v>
      </c>
      <c r="I122" s="191">
        <f>SUM(I123:I126)</f>
        <v>0</v>
      </c>
      <c r="J122" s="191"/>
      <c r="K122" s="191"/>
      <c r="L122" s="191"/>
      <c r="M122" s="225"/>
      <c r="N122" s="225"/>
      <c r="O122" s="218">
        <f t="shared" si="104"/>
        <v>923027.40000000014</v>
      </c>
      <c r="P122" s="188"/>
      <c r="Q122" s="226"/>
      <c r="R122" s="139"/>
      <c r="S122" s="139"/>
      <c r="T122" s="188"/>
      <c r="U122" s="188"/>
      <c r="V122" s="188"/>
      <c r="W122" s="188"/>
      <c r="X122" s="188"/>
      <c r="Y122" s="188"/>
      <c r="Z122" s="188"/>
      <c r="AA122" s="188"/>
      <c r="AB122" s="188"/>
      <c r="AC122" s="188"/>
      <c r="AD122" s="188"/>
      <c r="AE122" s="188"/>
      <c r="AF122" s="188"/>
      <c r="AG122" s="188"/>
      <c r="AH122" s="188"/>
      <c r="AI122" s="188"/>
      <c r="AJ122" s="188"/>
      <c r="AK122" s="188"/>
      <c r="AL122" s="188"/>
      <c r="AM122" s="188"/>
      <c r="AN122" s="188"/>
      <c r="AO122" s="188"/>
      <c r="AP122" s="188"/>
      <c r="AQ122" s="188"/>
      <c r="AR122" s="188"/>
      <c r="AS122" s="188"/>
      <c r="AT122" s="188"/>
      <c r="AU122" s="188"/>
      <c r="AV122" s="188"/>
      <c r="AW122" s="188"/>
      <c r="AX122" s="188"/>
      <c r="AY122" s="188"/>
      <c r="AZ122" s="188"/>
      <c r="BA122" s="188"/>
      <c r="BB122" s="188"/>
      <c r="BC122" s="188"/>
      <c r="BD122" s="188"/>
      <c r="BE122" s="188"/>
      <c r="BF122" s="188"/>
    </row>
    <row r="123" spans="1:58" s="186" customFormat="1" hidden="1" outlineLevel="1" x14ac:dyDescent="0.2">
      <c r="A123" s="727"/>
      <c r="B123" s="193" t="s">
        <v>76</v>
      </c>
      <c r="C123" s="194"/>
      <c r="D123" s="195"/>
      <c r="E123" s="196"/>
      <c r="F123" s="196"/>
      <c r="G123" s="196"/>
      <c r="H123" s="194"/>
      <c r="I123" s="194"/>
      <c r="J123" s="194"/>
      <c r="K123" s="194"/>
      <c r="L123" s="194"/>
      <c r="O123" s="219">
        <f t="shared" si="104"/>
        <v>0</v>
      </c>
      <c r="P123" s="188"/>
      <c r="Q123" s="226"/>
      <c r="R123" s="139"/>
      <c r="S123" s="139"/>
      <c r="T123" s="139"/>
      <c r="U123" s="139"/>
      <c r="V123" s="139"/>
      <c r="W123" s="139"/>
      <c r="X123" s="139"/>
      <c r="Y123" s="188"/>
      <c r="Z123" s="188"/>
      <c r="AA123" s="188"/>
      <c r="AB123" s="188"/>
      <c r="AC123" s="188"/>
      <c r="AD123" s="188"/>
      <c r="AE123" s="188"/>
      <c r="AF123" s="188"/>
      <c r="AG123" s="188"/>
      <c r="AH123" s="188"/>
      <c r="AI123" s="188"/>
      <c r="AJ123" s="188"/>
      <c r="AK123" s="188"/>
      <c r="AL123" s="188"/>
      <c r="AM123" s="188"/>
      <c r="AN123" s="188"/>
      <c r="AO123" s="188"/>
      <c r="AP123" s="188"/>
      <c r="AQ123" s="188"/>
      <c r="AR123" s="188"/>
      <c r="AS123" s="188"/>
      <c r="AT123" s="188"/>
      <c r="AU123" s="188"/>
      <c r="AV123" s="188"/>
      <c r="AW123" s="188"/>
      <c r="AX123" s="188"/>
      <c r="AY123" s="188"/>
      <c r="AZ123" s="188"/>
      <c r="BA123" s="188"/>
      <c r="BB123" s="188"/>
      <c r="BC123" s="188"/>
      <c r="BD123" s="188"/>
      <c r="BE123" s="188"/>
      <c r="BF123" s="188"/>
    </row>
    <row r="124" spans="1:58" s="89" customFormat="1" hidden="1" outlineLevel="1" x14ac:dyDescent="0.2">
      <c r="A124" s="728"/>
      <c r="B124" s="193" t="s">
        <v>77</v>
      </c>
      <c r="C124" s="194"/>
      <c r="D124" s="195"/>
      <c r="E124" s="196"/>
      <c r="F124" s="196"/>
      <c r="G124" s="196"/>
      <c r="H124" s="196">
        <v>638646</v>
      </c>
      <c r="I124" s="194"/>
      <c r="J124" s="194"/>
      <c r="K124" s="194"/>
      <c r="L124" s="194"/>
      <c r="O124" s="219">
        <f t="shared" si="104"/>
        <v>638646</v>
      </c>
      <c r="Q124" s="226"/>
      <c r="R124" s="139"/>
      <c r="S124" s="139"/>
    </row>
    <row r="125" spans="1:58" s="714" customFormat="1" ht="14.25" hidden="1" customHeight="1" outlineLevel="1" x14ac:dyDescent="0.2">
      <c r="A125" s="728"/>
      <c r="B125" s="1149" t="s">
        <v>78</v>
      </c>
      <c r="C125" s="1150"/>
      <c r="D125" s="1151"/>
      <c r="E125" s="1148"/>
      <c r="F125" s="1148"/>
      <c r="G125" s="1148">
        <v>15591</v>
      </c>
      <c r="H125" s="1148">
        <v>28362</v>
      </c>
      <c r="I125" s="1148"/>
      <c r="J125" s="1150"/>
      <c r="K125" s="1150"/>
      <c r="L125" s="1150"/>
      <c r="M125" s="720"/>
      <c r="O125" s="715">
        <f t="shared" si="104"/>
        <v>43953</v>
      </c>
      <c r="Q125" s="716"/>
      <c r="R125" s="139"/>
      <c r="S125" s="139"/>
    </row>
    <row r="126" spans="1:58" s="229" customFormat="1" ht="14.25" hidden="1" customHeight="1" outlineLevel="1" x14ac:dyDescent="0.2">
      <c r="A126" s="728"/>
      <c r="B126" s="199" t="s">
        <v>79</v>
      </c>
      <c r="C126" s="200"/>
      <c r="D126" s="201"/>
      <c r="E126" s="202"/>
      <c r="F126" s="202"/>
      <c r="G126" s="202"/>
      <c r="H126" s="202">
        <v>240428.40000000014</v>
      </c>
      <c r="I126" s="200"/>
      <c r="J126" s="200"/>
      <c r="K126" s="200"/>
      <c r="L126" s="200"/>
      <c r="O126" s="221">
        <f t="shared" si="104"/>
        <v>240428.40000000014</v>
      </c>
      <c r="Q126" s="226"/>
      <c r="R126" s="139"/>
      <c r="S126" s="139"/>
      <c r="T126" s="230"/>
      <c r="U126" s="230"/>
      <c r="V126" s="230"/>
      <c r="W126" s="230"/>
    </row>
    <row r="127" spans="1:58" s="229" customFormat="1" ht="14.25" hidden="1" customHeight="1" outlineLevel="1" x14ac:dyDescent="0.2">
      <c r="A127" s="728"/>
      <c r="B127" s="204" t="s">
        <v>80</v>
      </c>
      <c r="C127" s="205"/>
      <c r="D127" s="206"/>
      <c r="E127" s="206">
        <f>E122-E121</f>
        <v>0</v>
      </c>
      <c r="F127" s="206">
        <f t="shared" ref="F127:G127" si="105">F122-F121</f>
        <v>0</v>
      </c>
      <c r="G127" s="206">
        <f t="shared" si="105"/>
        <v>0</v>
      </c>
      <c r="H127" s="222">
        <f t="shared" ref="H127:L127" si="106">H122-H121</f>
        <v>0.40000000013969839</v>
      </c>
      <c r="I127" s="206">
        <f t="shared" si="106"/>
        <v>0</v>
      </c>
      <c r="J127" s="206">
        <f t="shared" si="106"/>
        <v>0</v>
      </c>
      <c r="K127" s="206">
        <f t="shared" si="106"/>
        <v>0</v>
      </c>
      <c r="L127" s="206">
        <f t="shared" si="106"/>
        <v>0</v>
      </c>
      <c r="O127" s="223">
        <f>O121-O122</f>
        <v>-0.40000000013969839</v>
      </c>
      <c r="Q127" s="226"/>
      <c r="R127" s="139"/>
      <c r="S127" s="139"/>
      <c r="T127" s="230"/>
      <c r="U127" s="230"/>
      <c r="V127" s="230"/>
      <c r="W127" s="230"/>
    </row>
    <row r="128" spans="1:58" s="139" customFormat="1" ht="28.5" hidden="1" customHeight="1" outlineLevel="1" x14ac:dyDescent="0.2">
      <c r="A128" s="729"/>
      <c r="B128" s="241" t="s">
        <v>95</v>
      </c>
      <c r="C128" s="241"/>
      <c r="D128" s="242"/>
      <c r="E128" s="209">
        <f>E101-E125</f>
        <v>1056887.5596573993</v>
      </c>
      <c r="F128" s="209" t="e">
        <f>F101-F125</f>
        <v>#REF!</v>
      </c>
      <c r="G128" s="209">
        <f>G119-G125+G127</f>
        <v>174684.65426914697</v>
      </c>
      <c r="H128" s="209">
        <f t="shared" ref="H128:L128" si="107">H119-H125+H127</f>
        <v>2652174.2999961367</v>
      </c>
      <c r="I128" s="209">
        <f t="shared" si="107"/>
        <v>-1762832.7562713164</v>
      </c>
      <c r="J128" s="209">
        <f t="shared" si="107"/>
        <v>1243104.3373594861</v>
      </c>
      <c r="K128" s="209">
        <f t="shared" si="107"/>
        <v>3754906.9628555248</v>
      </c>
      <c r="L128" s="209">
        <f t="shared" si="107"/>
        <v>9280028.7929329742</v>
      </c>
      <c r="O128" s="224"/>
      <c r="Q128" s="181"/>
    </row>
    <row r="129" spans="1:58" s="139" customFormat="1" ht="28.5" hidden="1" customHeight="1" outlineLevel="1" x14ac:dyDescent="0.2">
      <c r="A129" s="181"/>
      <c r="B129" s="243"/>
      <c r="C129" s="244"/>
      <c r="D129" s="213"/>
      <c r="E129" s="213"/>
      <c r="F129" s="213"/>
      <c r="G129" s="213"/>
      <c r="H129" s="1125"/>
      <c r="I129" s="213"/>
      <c r="J129" s="213"/>
      <c r="K129" s="213"/>
      <c r="L129" s="213"/>
      <c r="Q129" s="181"/>
    </row>
    <row r="130" spans="1:58" s="186" customFormat="1" ht="40.5" hidden="1" customHeight="1" outlineLevel="1" x14ac:dyDescent="0.2">
      <c r="A130" s="726" t="s">
        <v>21</v>
      </c>
      <c r="B130" s="235" t="s">
        <v>653</v>
      </c>
      <c r="C130" s="236"/>
      <c r="D130" s="237"/>
      <c r="E130" s="237"/>
      <c r="F130" s="237"/>
      <c r="G130" s="237">
        <v>0</v>
      </c>
      <c r="H130" s="237">
        <f>SUM(H133:H135)</f>
        <v>363945.29000000004</v>
      </c>
      <c r="I130" s="237">
        <f>SUM(I133:I135)</f>
        <v>0</v>
      </c>
      <c r="J130" s="237"/>
      <c r="K130" s="237"/>
      <c r="L130" s="237"/>
      <c r="M130" s="225"/>
      <c r="N130" s="225"/>
      <c r="O130" s="217">
        <f t="shared" ref="O130:O135" si="108">SUM(D130:I130)</f>
        <v>363945.29000000004</v>
      </c>
      <c r="P130" s="188"/>
      <c r="Q130" s="238"/>
      <c r="R130" s="188"/>
      <c r="S130" s="188"/>
      <c r="T130" s="188"/>
      <c r="U130" s="188"/>
      <c r="V130" s="188"/>
      <c r="W130" s="188"/>
      <c r="X130" s="188"/>
      <c r="Y130" s="188"/>
      <c r="Z130" s="188"/>
      <c r="AA130" s="188"/>
      <c r="AB130" s="188"/>
      <c r="AC130" s="188"/>
      <c r="AD130" s="188"/>
      <c r="AE130" s="188"/>
      <c r="AF130" s="188"/>
      <c r="AG130" s="188"/>
      <c r="AH130" s="188"/>
      <c r="AI130" s="188"/>
      <c r="AJ130" s="188"/>
      <c r="AK130" s="188"/>
      <c r="AL130" s="188"/>
      <c r="AM130" s="188"/>
      <c r="AN130" s="188"/>
      <c r="AO130" s="188"/>
      <c r="AP130" s="188"/>
      <c r="AQ130" s="188"/>
      <c r="AR130" s="188"/>
      <c r="AS130" s="188"/>
      <c r="AT130" s="188"/>
      <c r="AU130" s="188"/>
      <c r="AV130" s="188"/>
      <c r="AW130" s="188"/>
      <c r="AX130" s="188"/>
      <c r="AY130" s="188"/>
      <c r="AZ130" s="188"/>
      <c r="BA130" s="188"/>
      <c r="BB130" s="188"/>
      <c r="BC130" s="188"/>
      <c r="BD130" s="188"/>
      <c r="BE130" s="188"/>
      <c r="BF130" s="188"/>
    </row>
    <row r="131" spans="1:58" s="186" customFormat="1" hidden="1" outlineLevel="1" x14ac:dyDescent="0.2">
      <c r="A131" s="727"/>
      <c r="B131" s="189" t="s">
        <v>75</v>
      </c>
      <c r="C131" s="190"/>
      <c r="D131" s="191"/>
      <c r="E131" s="191">
        <f>SUM(E132:E135)</f>
        <v>0</v>
      </c>
      <c r="F131" s="191">
        <f>SUM(F132:F135)</f>
        <v>0</v>
      </c>
      <c r="G131" s="191">
        <f>SUM(G132:G135)</f>
        <v>0</v>
      </c>
      <c r="H131" s="191">
        <f>SUM(H132:H135)</f>
        <v>363945.29000000004</v>
      </c>
      <c r="I131" s="191">
        <f>SUM(I132:I135)</f>
        <v>0</v>
      </c>
      <c r="J131" s="191"/>
      <c r="K131" s="191"/>
      <c r="L131" s="191"/>
      <c r="M131" s="225"/>
      <c r="N131" s="225"/>
      <c r="O131" s="218">
        <f t="shared" si="108"/>
        <v>363945.29000000004</v>
      </c>
      <c r="P131" s="188"/>
      <c r="Q131" s="226"/>
      <c r="R131" s="188"/>
      <c r="S131" s="188"/>
      <c r="T131" s="188"/>
      <c r="U131" s="188"/>
      <c r="V131" s="188"/>
      <c r="W131" s="188"/>
      <c r="X131" s="188"/>
      <c r="Y131" s="188"/>
      <c r="Z131" s="188"/>
      <c r="AA131" s="188"/>
      <c r="AB131" s="188"/>
      <c r="AC131" s="188"/>
      <c r="AD131" s="188"/>
      <c r="AE131" s="188"/>
      <c r="AF131" s="188"/>
      <c r="AG131" s="188"/>
      <c r="AH131" s="188"/>
      <c r="AI131" s="188"/>
      <c r="AJ131" s="188"/>
      <c r="AK131" s="188"/>
      <c r="AL131" s="188"/>
      <c r="AM131" s="188"/>
      <c r="AN131" s="188"/>
      <c r="AO131" s="188"/>
      <c r="AP131" s="188"/>
      <c r="AQ131" s="188"/>
      <c r="AR131" s="188"/>
      <c r="AS131" s="188"/>
      <c r="AT131" s="188"/>
      <c r="AU131" s="188"/>
      <c r="AV131" s="188"/>
      <c r="AW131" s="188"/>
      <c r="AX131" s="188"/>
      <c r="AY131" s="188"/>
      <c r="AZ131" s="188"/>
      <c r="BA131" s="188"/>
      <c r="BB131" s="188"/>
      <c r="BC131" s="188"/>
      <c r="BD131" s="188"/>
      <c r="BE131" s="188"/>
      <c r="BF131" s="188"/>
    </row>
    <row r="132" spans="1:58" s="186" customFormat="1" hidden="1" outlineLevel="1" x14ac:dyDescent="0.2">
      <c r="A132" s="727"/>
      <c r="B132" s="193" t="s">
        <v>76</v>
      </c>
      <c r="C132" s="194"/>
      <c r="D132" s="195"/>
      <c r="E132" s="196"/>
      <c r="F132" s="196"/>
      <c r="G132" s="196"/>
      <c r="H132" s="194"/>
      <c r="I132" s="194"/>
      <c r="J132" s="194"/>
      <c r="K132" s="194"/>
      <c r="L132" s="194"/>
      <c r="O132" s="219">
        <f t="shared" si="108"/>
        <v>0</v>
      </c>
      <c r="P132" s="188"/>
      <c r="Q132" s="226"/>
      <c r="R132" s="139"/>
      <c r="S132" s="139"/>
      <c r="T132" s="139"/>
      <c r="U132" s="139"/>
      <c r="V132" s="139"/>
      <c r="W132" s="139"/>
      <c r="X132" s="139"/>
      <c r="Y132" s="188"/>
      <c r="Z132" s="188"/>
      <c r="AA132" s="188"/>
      <c r="AB132" s="188"/>
      <c r="AC132" s="188"/>
      <c r="AD132" s="188"/>
      <c r="AE132" s="188"/>
      <c r="AF132" s="188"/>
      <c r="AG132" s="188"/>
      <c r="AH132" s="188"/>
      <c r="AI132" s="188"/>
      <c r="AJ132" s="188"/>
      <c r="AK132" s="188"/>
      <c r="AL132" s="188"/>
      <c r="AM132" s="188"/>
      <c r="AN132" s="188"/>
      <c r="AO132" s="188"/>
      <c r="AP132" s="188"/>
      <c r="AQ132" s="188"/>
      <c r="AR132" s="188"/>
      <c r="AS132" s="188"/>
      <c r="AT132" s="188"/>
      <c r="AU132" s="188"/>
      <c r="AV132" s="188"/>
      <c r="AW132" s="188"/>
      <c r="AX132" s="188"/>
      <c r="AY132" s="188"/>
      <c r="AZ132" s="188"/>
      <c r="BA132" s="188"/>
      <c r="BB132" s="188"/>
      <c r="BC132" s="188"/>
      <c r="BD132" s="188"/>
      <c r="BE132" s="188"/>
      <c r="BF132" s="188"/>
    </row>
    <row r="133" spans="1:58" s="89" customFormat="1" hidden="1" outlineLevel="1" x14ac:dyDescent="0.2">
      <c r="A133" s="728"/>
      <c r="B133" s="193" t="s">
        <v>77</v>
      </c>
      <c r="C133" s="194"/>
      <c r="D133" s="195"/>
      <c r="E133" s="196"/>
      <c r="F133" s="196"/>
      <c r="G133" s="196"/>
      <c r="H133" s="196">
        <v>283727.46999999997</v>
      </c>
      <c r="I133" s="194"/>
      <c r="J133" s="194"/>
      <c r="K133" s="194"/>
      <c r="L133" s="194"/>
      <c r="O133" s="219">
        <f t="shared" si="108"/>
        <v>283727.46999999997</v>
      </c>
      <c r="Q133" s="226"/>
    </row>
    <row r="134" spans="1:58" s="714" customFormat="1" ht="14.25" hidden="1" customHeight="1" outlineLevel="1" x14ac:dyDescent="0.2">
      <c r="A134" s="728"/>
      <c r="B134" s="1149" t="s">
        <v>78</v>
      </c>
      <c r="C134" s="1150"/>
      <c r="D134" s="1151"/>
      <c r="E134" s="1148"/>
      <c r="F134" s="1148"/>
      <c r="G134" s="1148"/>
      <c r="H134" s="1148">
        <v>80217.820000000065</v>
      </c>
      <c r="I134" s="1148"/>
      <c r="J134" s="1150"/>
      <c r="K134" s="1150"/>
      <c r="L134" s="1150"/>
      <c r="O134" s="715">
        <f t="shared" si="108"/>
        <v>80217.820000000065</v>
      </c>
      <c r="Q134" s="716"/>
      <c r="R134" s="717"/>
    </row>
    <row r="135" spans="1:58" s="229" customFormat="1" ht="14.25" hidden="1" customHeight="1" outlineLevel="1" x14ac:dyDescent="0.2">
      <c r="A135" s="728"/>
      <c r="B135" s="199" t="s">
        <v>79</v>
      </c>
      <c r="C135" s="200"/>
      <c r="D135" s="201"/>
      <c r="E135" s="202"/>
      <c r="F135" s="202"/>
      <c r="G135" s="202"/>
      <c r="H135" s="200"/>
      <c r="I135" s="200"/>
      <c r="J135" s="200"/>
      <c r="K135" s="200"/>
      <c r="L135" s="200"/>
      <c r="O135" s="221">
        <f t="shared" si="108"/>
        <v>0</v>
      </c>
      <c r="Q135" s="226"/>
      <c r="T135" s="230"/>
      <c r="U135" s="230"/>
      <c r="V135" s="230"/>
      <c r="W135" s="230"/>
    </row>
    <row r="136" spans="1:58" s="229" customFormat="1" ht="14.25" hidden="1" customHeight="1" outlineLevel="1" x14ac:dyDescent="0.2">
      <c r="A136" s="728"/>
      <c r="B136" s="204" t="s">
        <v>80</v>
      </c>
      <c r="C136" s="205"/>
      <c r="D136" s="206"/>
      <c r="E136" s="206">
        <f>E131-E130</f>
        <v>0</v>
      </c>
      <c r="F136" s="206">
        <f t="shared" ref="F136:G136" si="109">F131-F130</f>
        <v>0</v>
      </c>
      <c r="G136" s="206">
        <f t="shared" si="109"/>
        <v>0</v>
      </c>
      <c r="H136" s="222">
        <f t="shared" ref="H136:L136" si="110">H131-H130</f>
        <v>0</v>
      </c>
      <c r="I136" s="206">
        <f t="shared" si="110"/>
        <v>0</v>
      </c>
      <c r="J136" s="206">
        <f t="shared" si="110"/>
        <v>0</v>
      </c>
      <c r="K136" s="206">
        <f t="shared" si="110"/>
        <v>0</v>
      </c>
      <c r="L136" s="206">
        <f t="shared" si="110"/>
        <v>0</v>
      </c>
      <c r="O136" s="223">
        <f>O130-O131</f>
        <v>0</v>
      </c>
      <c r="Q136" s="226"/>
      <c r="T136" s="230"/>
      <c r="U136" s="230"/>
      <c r="V136" s="230"/>
      <c r="W136" s="230"/>
    </row>
    <row r="137" spans="1:58" s="139" customFormat="1" ht="28.5" hidden="1" customHeight="1" outlineLevel="1" x14ac:dyDescent="0.2">
      <c r="A137" s="729"/>
      <c r="B137" s="241" t="s">
        <v>96</v>
      </c>
      <c r="C137" s="241"/>
      <c r="D137" s="242"/>
      <c r="E137" s="209">
        <f>E110-E134</f>
        <v>1056887.5596573993</v>
      </c>
      <c r="F137" s="209" t="e">
        <f>F110-F134</f>
        <v>#REF!</v>
      </c>
      <c r="G137" s="209">
        <f>G128-G134+G136</f>
        <v>174684.65426914697</v>
      </c>
      <c r="H137" s="209">
        <f t="shared" ref="H137:L137" si="111">H128-H134+H136</f>
        <v>2571956.4799961364</v>
      </c>
      <c r="I137" s="209">
        <f t="shared" si="111"/>
        <v>-1762832.7562713164</v>
      </c>
      <c r="J137" s="209">
        <f t="shared" si="111"/>
        <v>1243104.3373594861</v>
      </c>
      <c r="K137" s="209">
        <f t="shared" si="111"/>
        <v>3754906.9628555248</v>
      </c>
      <c r="L137" s="209">
        <f t="shared" si="111"/>
        <v>9280028.7929329742</v>
      </c>
      <c r="O137" s="224"/>
      <c r="Q137" s="181"/>
    </row>
    <row r="138" spans="1:58" s="139" customFormat="1" ht="28.5" hidden="1" customHeight="1" outlineLevel="1" x14ac:dyDescent="0.2">
      <c r="A138" s="181"/>
      <c r="B138" s="243"/>
      <c r="C138" s="244"/>
      <c r="D138" s="213"/>
      <c r="E138" s="213"/>
      <c r="F138" s="213"/>
      <c r="G138" s="213"/>
      <c r="H138" s="1125"/>
      <c r="I138" s="213"/>
      <c r="J138" s="213"/>
      <c r="K138" s="213"/>
      <c r="L138" s="213"/>
      <c r="Q138" s="181"/>
    </row>
    <row r="139" spans="1:58" s="186" customFormat="1" ht="30" hidden="1" customHeight="1" outlineLevel="1" x14ac:dyDescent="0.2">
      <c r="A139" s="726" t="s">
        <v>23</v>
      </c>
      <c r="B139" s="235" t="s">
        <v>97</v>
      </c>
      <c r="C139" s="236"/>
      <c r="D139" s="237"/>
      <c r="E139" s="237">
        <v>355206</v>
      </c>
      <c r="F139" s="237">
        <v>123933</v>
      </c>
      <c r="G139" s="237">
        <v>0</v>
      </c>
      <c r="H139" s="237">
        <f>SUM(H142:H144)</f>
        <v>191255</v>
      </c>
      <c r="I139" s="237">
        <f>SUM(I142:I144)</f>
        <v>0</v>
      </c>
      <c r="J139" s="237"/>
      <c r="K139" s="237"/>
      <c r="L139" s="237"/>
      <c r="M139" s="225"/>
      <c r="N139" s="225"/>
      <c r="O139" s="217">
        <f t="shared" ref="O139:O144" si="112">SUM(D139:I139)</f>
        <v>670394</v>
      </c>
      <c r="P139" s="188"/>
      <c r="Q139" s="181"/>
      <c r="R139" s="238"/>
      <c r="S139" s="188"/>
      <c r="T139" s="188"/>
      <c r="U139" s="188"/>
      <c r="V139" s="188"/>
      <c r="W139" s="188"/>
      <c r="X139" s="188"/>
      <c r="Y139" s="188"/>
      <c r="Z139" s="188"/>
      <c r="AA139" s="188"/>
      <c r="AB139" s="188"/>
      <c r="AC139" s="188"/>
      <c r="AD139" s="188"/>
      <c r="AE139" s="188"/>
      <c r="AF139" s="188"/>
      <c r="AG139" s="188"/>
      <c r="AH139" s="188"/>
      <c r="AI139" s="188"/>
      <c r="AJ139" s="188"/>
      <c r="AK139" s="188"/>
      <c r="AL139" s="188"/>
      <c r="AM139" s="188"/>
      <c r="AN139" s="188"/>
      <c r="AO139" s="188"/>
      <c r="AP139" s="188"/>
      <c r="AQ139" s="188"/>
      <c r="AR139" s="188"/>
      <c r="AS139" s="188"/>
      <c r="AT139" s="188"/>
      <c r="AU139" s="188"/>
      <c r="AV139" s="188"/>
      <c r="AW139" s="188"/>
      <c r="AX139" s="188"/>
      <c r="AY139" s="188"/>
      <c r="AZ139" s="188"/>
      <c r="BA139" s="188"/>
      <c r="BB139" s="188"/>
      <c r="BC139" s="188"/>
      <c r="BD139" s="188"/>
      <c r="BE139" s="188"/>
      <c r="BF139" s="188"/>
    </row>
    <row r="140" spans="1:58" s="186" customFormat="1" hidden="1" outlineLevel="1" x14ac:dyDescent="0.2">
      <c r="A140" s="727"/>
      <c r="B140" s="189" t="s">
        <v>75</v>
      </c>
      <c r="C140" s="190"/>
      <c r="D140" s="191"/>
      <c r="E140" s="191">
        <f>SUM(E141:E144)</f>
        <v>365150.49</v>
      </c>
      <c r="F140" s="191">
        <f>SUM(F141:F144)</f>
        <v>123933.48999999999</v>
      </c>
      <c r="G140" s="191">
        <f>SUM(G141:G144)</f>
        <v>0</v>
      </c>
      <c r="H140" s="191">
        <f>SUM(H141:H144)</f>
        <v>191255</v>
      </c>
      <c r="I140" s="191">
        <f>SUM(I141:I144)</f>
        <v>0</v>
      </c>
      <c r="J140" s="191">
        <f t="shared" ref="J140:L140" si="113">SUM(J141:J144)</f>
        <v>0</v>
      </c>
      <c r="K140" s="191">
        <f t="shared" si="113"/>
        <v>0</v>
      </c>
      <c r="L140" s="191">
        <f t="shared" si="113"/>
        <v>0</v>
      </c>
      <c r="M140" s="225"/>
      <c r="N140" s="225"/>
      <c r="O140" s="218">
        <f t="shared" si="112"/>
        <v>680338.98</v>
      </c>
      <c r="P140" s="188"/>
      <c r="Q140" s="181"/>
      <c r="R140" s="188"/>
      <c r="S140" s="188"/>
      <c r="T140" s="188"/>
      <c r="U140" s="188"/>
      <c r="V140" s="188"/>
      <c r="W140" s="188"/>
      <c r="X140" s="188"/>
      <c r="Y140" s="188"/>
      <c r="Z140" s="188"/>
      <c r="AA140" s="188"/>
      <c r="AB140" s="188"/>
      <c r="AC140" s="188"/>
      <c r="AD140" s="188"/>
      <c r="AE140" s="188"/>
      <c r="AF140" s="188"/>
      <c r="AG140" s="188"/>
      <c r="AH140" s="188"/>
      <c r="AI140" s="188"/>
      <c r="AJ140" s="188"/>
      <c r="AK140" s="188"/>
      <c r="AL140" s="188"/>
      <c r="AM140" s="188"/>
      <c r="AN140" s="188"/>
      <c r="AO140" s="188"/>
      <c r="AP140" s="188"/>
      <c r="AQ140" s="188"/>
      <c r="AR140" s="188"/>
      <c r="AS140" s="188"/>
      <c r="AT140" s="188"/>
      <c r="AU140" s="188"/>
      <c r="AV140" s="188"/>
      <c r="AW140" s="188"/>
      <c r="AX140" s="188"/>
      <c r="AY140" s="188"/>
      <c r="AZ140" s="188"/>
      <c r="BA140" s="188"/>
      <c r="BB140" s="188"/>
      <c r="BC140" s="188"/>
      <c r="BD140" s="188"/>
      <c r="BE140" s="188"/>
      <c r="BF140" s="188"/>
    </row>
    <row r="141" spans="1:58" s="186" customFormat="1" hidden="1" outlineLevel="1" x14ac:dyDescent="0.2">
      <c r="A141" s="727"/>
      <c r="B141" s="193" t="s">
        <v>76</v>
      </c>
      <c r="C141" s="194"/>
      <c r="D141" s="195"/>
      <c r="E141" s="196">
        <v>90431.9</v>
      </c>
      <c r="F141" s="196">
        <f>E145</f>
        <v>9944.4899999999907</v>
      </c>
      <c r="G141" s="196"/>
      <c r="H141" s="194"/>
      <c r="I141" s="194"/>
      <c r="J141" s="194"/>
      <c r="K141" s="194"/>
      <c r="L141" s="194"/>
      <c r="O141" s="219">
        <f t="shared" si="112"/>
        <v>100376.38999999998</v>
      </c>
      <c r="P141" s="188"/>
      <c r="Q141" s="226"/>
      <c r="R141" s="139"/>
      <c r="S141" s="139"/>
      <c r="T141" s="139"/>
      <c r="U141" s="139"/>
      <c r="V141" s="139"/>
      <c r="W141" s="139"/>
      <c r="X141" s="139"/>
      <c r="Y141" s="188"/>
      <c r="Z141" s="188"/>
      <c r="AA141" s="188"/>
      <c r="AB141" s="188"/>
      <c r="AC141" s="188"/>
      <c r="AD141" s="188"/>
      <c r="AE141" s="188"/>
      <c r="AF141" s="188"/>
      <c r="AG141" s="188"/>
      <c r="AH141" s="188"/>
      <c r="AI141" s="188"/>
      <c r="AJ141" s="188"/>
      <c r="AK141" s="188"/>
      <c r="AL141" s="188"/>
      <c r="AM141" s="188"/>
      <c r="AN141" s="188"/>
      <c r="AO141" s="188"/>
      <c r="AP141" s="188"/>
      <c r="AQ141" s="188"/>
      <c r="AR141" s="188"/>
      <c r="AS141" s="188"/>
      <c r="AT141" s="188"/>
      <c r="AU141" s="188"/>
      <c r="AV141" s="188"/>
      <c r="AW141" s="188"/>
      <c r="AX141" s="188"/>
      <c r="AY141" s="188"/>
      <c r="AZ141" s="188"/>
      <c r="BA141" s="188"/>
      <c r="BB141" s="188"/>
      <c r="BC141" s="188"/>
      <c r="BD141" s="188"/>
      <c r="BE141" s="188"/>
      <c r="BF141" s="188"/>
    </row>
    <row r="142" spans="1:58" s="89" customFormat="1" hidden="1" outlineLevel="1" x14ac:dyDescent="0.2">
      <c r="A142" s="728"/>
      <c r="B142" s="193" t="s">
        <v>77</v>
      </c>
      <c r="C142" s="194"/>
      <c r="D142" s="195"/>
      <c r="E142" s="196">
        <v>0</v>
      </c>
      <c r="F142" s="196">
        <v>109840</v>
      </c>
      <c r="G142" s="196"/>
      <c r="H142" s="194"/>
      <c r="I142" s="194"/>
      <c r="J142" s="194"/>
      <c r="K142" s="194"/>
      <c r="L142" s="194"/>
      <c r="O142" s="219">
        <f t="shared" si="112"/>
        <v>109840</v>
      </c>
      <c r="Q142" s="226"/>
    </row>
    <row r="143" spans="1:58" s="714" customFormat="1" ht="14.25" hidden="1" customHeight="1" outlineLevel="1" x14ac:dyDescent="0.2">
      <c r="A143" s="728"/>
      <c r="B143" s="1149" t="s">
        <v>78</v>
      </c>
      <c r="C143" s="1150"/>
      <c r="D143" s="1151"/>
      <c r="E143" s="1148"/>
      <c r="F143" s="1148"/>
      <c r="G143" s="1148"/>
      <c r="H143" s="1148">
        <v>191255</v>
      </c>
      <c r="I143" s="1150"/>
      <c r="J143" s="1150"/>
      <c r="K143" s="1148"/>
      <c r="L143" s="1150"/>
      <c r="O143" s="715">
        <f t="shared" si="112"/>
        <v>191255</v>
      </c>
      <c r="Q143" s="716"/>
      <c r="R143" s="717"/>
    </row>
    <row r="144" spans="1:58" s="229" customFormat="1" ht="14.25" hidden="1" customHeight="1" outlineLevel="1" x14ac:dyDescent="0.2">
      <c r="A144" s="728"/>
      <c r="B144" s="199" t="s">
        <v>79</v>
      </c>
      <c r="C144" s="200"/>
      <c r="D144" s="201"/>
      <c r="E144" s="202">
        <v>274718.59000000003</v>
      </c>
      <c r="F144" s="202">
        <v>4149</v>
      </c>
      <c r="G144" s="202"/>
      <c r="H144" s="200"/>
      <c r="I144" s="200"/>
      <c r="J144" s="200"/>
      <c r="K144" s="200"/>
      <c r="L144" s="200"/>
      <c r="O144" s="221">
        <f t="shared" si="112"/>
        <v>278867.59000000003</v>
      </c>
      <c r="Q144" s="226"/>
      <c r="T144" s="230"/>
      <c r="U144" s="230"/>
      <c r="V144" s="230"/>
      <c r="W144" s="230"/>
    </row>
    <row r="145" spans="1:58" s="229" customFormat="1" ht="14.25" hidden="1" customHeight="1" outlineLevel="1" x14ac:dyDescent="0.2">
      <c r="A145" s="728"/>
      <c r="B145" s="204" t="s">
        <v>80</v>
      </c>
      <c r="C145" s="205"/>
      <c r="D145" s="206"/>
      <c r="E145" s="206">
        <f>E140-E139</f>
        <v>9944.4899999999907</v>
      </c>
      <c r="F145" s="206">
        <f t="shared" ref="F145:G145" si="114">F140-F139</f>
        <v>0.48999999999068677</v>
      </c>
      <c r="G145" s="206">
        <f t="shared" si="114"/>
        <v>0</v>
      </c>
      <c r="H145" s="222">
        <f t="shared" ref="H145:L145" si="115">H140-H139</f>
        <v>0</v>
      </c>
      <c r="I145" s="206">
        <f t="shared" si="115"/>
        <v>0</v>
      </c>
      <c r="J145" s="206">
        <f t="shared" si="115"/>
        <v>0</v>
      </c>
      <c r="K145" s="206">
        <f t="shared" si="115"/>
        <v>0</v>
      </c>
      <c r="L145" s="206">
        <f t="shared" si="115"/>
        <v>0</v>
      </c>
      <c r="O145" s="223">
        <f>O139-O140</f>
        <v>-9944.9799999999814</v>
      </c>
      <c r="Q145" s="226"/>
      <c r="T145" s="230"/>
      <c r="U145" s="230"/>
      <c r="V145" s="230"/>
      <c r="W145" s="230"/>
    </row>
    <row r="146" spans="1:58" s="139" customFormat="1" ht="28.5" hidden="1" customHeight="1" outlineLevel="1" x14ac:dyDescent="0.2">
      <c r="A146" s="729"/>
      <c r="B146" s="241" t="s">
        <v>98</v>
      </c>
      <c r="C146" s="241"/>
      <c r="D146" s="242"/>
      <c r="E146" s="242">
        <f>E137-E143</f>
        <v>1056887.5596573993</v>
      </c>
      <c r="F146" s="242" t="e">
        <f>F137-F143</f>
        <v>#REF!</v>
      </c>
      <c r="G146" s="242">
        <f>G137-G143+G145</f>
        <v>174684.65426914697</v>
      </c>
      <c r="H146" s="242">
        <f t="shared" ref="H146:L146" si="116">H137-H143+H145</f>
        <v>2380701.4799961364</v>
      </c>
      <c r="I146" s="242">
        <f t="shared" si="116"/>
        <v>-1762832.7562713164</v>
      </c>
      <c r="J146" s="242">
        <f t="shared" si="116"/>
        <v>1243104.3373594861</v>
      </c>
      <c r="K146" s="242">
        <f t="shared" si="116"/>
        <v>3754906.9628555248</v>
      </c>
      <c r="L146" s="242">
        <f t="shared" si="116"/>
        <v>9280028.7929329742</v>
      </c>
      <c r="O146" s="224"/>
      <c r="Q146" s="181"/>
    </row>
    <row r="147" spans="1:58" s="139" customFormat="1" ht="28.5" hidden="1" customHeight="1" outlineLevel="1" x14ac:dyDescent="0.2">
      <c r="A147" s="181"/>
      <c r="B147" s="243"/>
      <c r="C147" s="244"/>
      <c r="D147" s="213"/>
      <c r="E147" s="213"/>
      <c r="F147" s="213"/>
      <c r="G147" s="213"/>
      <c r="H147" s="1125"/>
      <c r="I147" s="213"/>
      <c r="J147" s="213"/>
      <c r="K147" s="213"/>
      <c r="L147" s="213"/>
      <c r="Q147" s="181"/>
    </row>
    <row r="148" spans="1:58" s="186" customFormat="1" ht="30" hidden="1" customHeight="1" outlineLevel="1" x14ac:dyDescent="0.2">
      <c r="A148" s="726" t="s">
        <v>25</v>
      </c>
      <c r="B148" s="235" t="s">
        <v>99</v>
      </c>
      <c r="C148" s="236"/>
      <c r="D148" s="237"/>
      <c r="E148" s="237">
        <v>282455.50179999997</v>
      </c>
      <c r="F148" s="237">
        <v>124051.31</v>
      </c>
      <c r="G148" s="237">
        <f>1267736-2039</f>
        <v>1265697</v>
      </c>
      <c r="H148" s="237">
        <v>8910182.6090000011</v>
      </c>
      <c r="I148" s="237">
        <v>1963778.9110000001</v>
      </c>
      <c r="J148" s="237"/>
      <c r="K148" s="237"/>
      <c r="L148" s="237"/>
      <c r="M148" s="215" t="s">
        <v>83</v>
      </c>
      <c r="N148" s="216" t="s">
        <v>84</v>
      </c>
      <c r="O148" s="217">
        <f t="shared" ref="O148:O153" si="117">SUM(D148:I148)</f>
        <v>12546165.331800001</v>
      </c>
      <c r="P148" s="188"/>
      <c r="Q148" s="139"/>
      <c r="R148" s="238"/>
      <c r="S148" s="188"/>
      <c r="T148" s="188"/>
      <c r="U148" s="188"/>
      <c r="V148" s="188"/>
      <c r="W148" s="188"/>
      <c r="X148" s="188"/>
      <c r="Y148" s="188"/>
      <c r="Z148" s="188"/>
      <c r="AA148" s="188"/>
      <c r="AB148" s="188"/>
      <c r="AC148" s="188"/>
      <c r="AD148" s="188"/>
      <c r="AE148" s="188"/>
      <c r="AF148" s="188"/>
      <c r="AG148" s="188"/>
      <c r="AH148" s="188"/>
      <c r="AI148" s="188"/>
      <c r="AJ148" s="188"/>
      <c r="AK148" s="188"/>
      <c r="AL148" s="188"/>
      <c r="AM148" s="188"/>
      <c r="AN148" s="188"/>
      <c r="AO148" s="188"/>
      <c r="AP148" s="188"/>
      <c r="AQ148" s="188"/>
      <c r="AR148" s="188"/>
      <c r="AS148" s="188"/>
      <c r="AT148" s="188"/>
      <c r="AU148" s="188"/>
      <c r="AV148" s="188"/>
      <c r="AW148" s="188"/>
      <c r="AX148" s="188"/>
      <c r="AY148" s="188"/>
      <c r="AZ148" s="188"/>
      <c r="BA148" s="188"/>
      <c r="BB148" s="188"/>
      <c r="BC148" s="188"/>
      <c r="BD148" s="188"/>
      <c r="BE148" s="188"/>
      <c r="BF148" s="188"/>
    </row>
    <row r="149" spans="1:58" s="186" customFormat="1" hidden="1" outlineLevel="1" x14ac:dyDescent="0.2">
      <c r="A149" s="727"/>
      <c r="B149" s="189" t="s">
        <v>75</v>
      </c>
      <c r="C149" s="190"/>
      <c r="D149" s="191"/>
      <c r="E149" s="191">
        <f>SUM(E150:E153)</f>
        <v>282455.50179999997</v>
      </c>
      <c r="F149" s="191">
        <f>SUM(F150:F153)</f>
        <v>124051.31</v>
      </c>
      <c r="G149" s="191">
        <f>SUM(G150:G153)</f>
        <v>1265697</v>
      </c>
      <c r="H149" s="191">
        <f>SUM(H150:H153)</f>
        <v>8910182.6090000011</v>
      </c>
      <c r="I149" s="191">
        <f>SUM(I150:I153)</f>
        <v>4499806.1009999989</v>
      </c>
      <c r="J149" s="191"/>
      <c r="K149" s="191"/>
      <c r="L149" s="191"/>
      <c r="M149" s="216"/>
      <c r="N149" s="216"/>
      <c r="O149" s="218">
        <f t="shared" si="117"/>
        <v>15082192.5218</v>
      </c>
      <c r="P149" s="188"/>
      <c r="Q149" s="226"/>
      <c r="R149" s="188"/>
      <c r="S149" s="188"/>
      <c r="T149" s="188"/>
      <c r="U149" s="188"/>
      <c r="V149" s="188"/>
      <c r="W149" s="188"/>
      <c r="X149" s="188"/>
      <c r="Y149" s="188"/>
      <c r="Z149" s="188"/>
      <c r="AA149" s="188"/>
      <c r="AB149" s="188"/>
      <c r="AC149" s="188"/>
      <c r="AD149" s="188"/>
      <c r="AE149" s="188"/>
      <c r="AF149" s="188"/>
      <c r="AG149" s="188"/>
      <c r="AH149" s="188"/>
      <c r="AI149" s="188"/>
      <c r="AJ149" s="188"/>
      <c r="AK149" s="188"/>
      <c r="AL149" s="188"/>
      <c r="AM149" s="188"/>
      <c r="AN149" s="188"/>
      <c r="AO149" s="188"/>
      <c r="AP149" s="188"/>
      <c r="AQ149" s="188"/>
      <c r="AR149" s="188"/>
      <c r="AS149" s="188"/>
      <c r="AT149" s="188"/>
      <c r="AU149" s="188"/>
      <c r="AV149" s="188"/>
      <c r="AW149" s="188"/>
      <c r="AX149" s="188"/>
      <c r="AY149" s="188"/>
      <c r="AZ149" s="188"/>
      <c r="BA149" s="188"/>
      <c r="BB149" s="188"/>
      <c r="BC149" s="188"/>
      <c r="BD149" s="188"/>
      <c r="BE149" s="188"/>
      <c r="BF149" s="188"/>
    </row>
    <row r="150" spans="1:58" s="186" customFormat="1" hidden="1" outlineLevel="1" x14ac:dyDescent="0.2">
      <c r="A150" s="727"/>
      <c r="B150" s="193" t="s">
        <v>76</v>
      </c>
      <c r="C150" s="194"/>
      <c r="D150" s="195"/>
      <c r="E150" s="196"/>
      <c r="F150" s="196"/>
      <c r="G150" s="767"/>
      <c r="H150" s="194"/>
      <c r="I150" s="194"/>
      <c r="J150" s="194"/>
      <c r="K150" s="194"/>
      <c r="L150" s="194"/>
      <c r="M150" s="216"/>
      <c r="N150" s="216"/>
      <c r="O150" s="219">
        <f t="shared" si="117"/>
        <v>0</v>
      </c>
      <c r="P150" s="188"/>
      <c r="Q150" s="226"/>
      <c r="R150" s="139"/>
      <c r="S150" s="139"/>
      <c r="T150" s="139"/>
      <c r="U150" s="139"/>
      <c r="V150" s="139"/>
      <c r="W150" s="139"/>
      <c r="X150" s="139"/>
      <c r="Y150" s="188"/>
      <c r="Z150" s="188"/>
      <c r="AA150" s="188"/>
      <c r="AB150" s="188"/>
      <c r="AC150" s="188"/>
      <c r="AD150" s="188"/>
      <c r="AE150" s="188"/>
      <c r="AF150" s="188"/>
      <c r="AG150" s="188"/>
      <c r="AH150" s="188"/>
      <c r="AI150" s="188"/>
      <c r="AJ150" s="188"/>
      <c r="AK150" s="188"/>
      <c r="AL150" s="188"/>
      <c r="AM150" s="188"/>
      <c r="AN150" s="188"/>
      <c r="AO150" s="188"/>
      <c r="AP150" s="188"/>
      <c r="AQ150" s="188"/>
      <c r="AR150" s="188"/>
      <c r="AS150" s="188"/>
      <c r="AT150" s="188"/>
      <c r="AU150" s="188"/>
      <c r="AV150" s="188"/>
      <c r="AW150" s="188"/>
      <c r="AX150" s="188"/>
      <c r="AY150" s="188"/>
      <c r="AZ150" s="188"/>
      <c r="BA150" s="188"/>
      <c r="BB150" s="188"/>
      <c r="BC150" s="188"/>
      <c r="BD150" s="188"/>
      <c r="BE150" s="188"/>
      <c r="BF150" s="188"/>
    </row>
    <row r="151" spans="1:58" s="89" customFormat="1" hidden="1" outlineLevel="1" x14ac:dyDescent="0.2">
      <c r="A151" s="728"/>
      <c r="B151" s="193" t="s">
        <v>77</v>
      </c>
      <c r="C151" s="194"/>
      <c r="D151" s="195"/>
      <c r="E151" s="196"/>
      <c r="F151" s="196"/>
      <c r="G151" s="196">
        <f>1000000+165768+96286</f>
        <v>1262054</v>
      </c>
      <c r="H151" s="196">
        <v>1403713.71</v>
      </c>
      <c r="I151" s="196">
        <v>2334232</v>
      </c>
      <c r="J151" s="194"/>
      <c r="K151" s="194"/>
      <c r="L151" s="194"/>
      <c r="M151" s="198">
        <f>I151</f>
        <v>2334232</v>
      </c>
      <c r="N151" s="89">
        <v>2027</v>
      </c>
      <c r="O151" s="219">
        <f t="shared" si="117"/>
        <v>4999999.71</v>
      </c>
      <c r="Q151" s="226"/>
    </row>
    <row r="152" spans="1:58" s="714" customFormat="1" ht="14.25" hidden="1" customHeight="1" outlineLevel="1" x14ac:dyDescent="0.2">
      <c r="A152" s="728"/>
      <c r="B152" s="1144" t="s">
        <v>78</v>
      </c>
      <c r="C152" s="1145"/>
      <c r="D152" s="1146"/>
      <c r="E152" s="1147">
        <v>282455.50179999997</v>
      </c>
      <c r="F152" s="1147">
        <v>124051.31</v>
      </c>
      <c r="G152" s="1147">
        <v>3643</v>
      </c>
      <c r="H152" s="1147">
        <v>0</v>
      </c>
      <c r="I152" s="1147"/>
      <c r="J152" s="1145"/>
      <c r="K152" s="1147"/>
      <c r="L152" s="1145"/>
      <c r="O152" s="715">
        <f t="shared" si="117"/>
        <v>410149.81179999997</v>
      </c>
      <c r="Q152" s="716"/>
      <c r="R152" s="717"/>
    </row>
    <row r="153" spans="1:58" s="229" customFormat="1" ht="14.25" hidden="1" customHeight="1" outlineLevel="1" x14ac:dyDescent="0.2">
      <c r="A153" s="728"/>
      <c r="B153" s="199" t="s">
        <v>79</v>
      </c>
      <c r="C153" s="200"/>
      <c r="D153" s="201"/>
      <c r="E153" s="202"/>
      <c r="F153" s="202"/>
      <c r="G153" s="202">
        <v>0</v>
      </c>
      <c r="H153" s="202">
        <v>7506468.8990000011</v>
      </c>
      <c r="I153" s="202">
        <v>2165574.1009999989</v>
      </c>
      <c r="J153" s="200"/>
      <c r="K153" s="200"/>
      <c r="L153" s="200"/>
      <c r="O153" s="221">
        <f t="shared" si="117"/>
        <v>9672043</v>
      </c>
      <c r="Q153" s="226"/>
      <c r="T153" s="230"/>
      <c r="U153" s="230"/>
      <c r="V153" s="230"/>
      <c r="W153" s="230"/>
    </row>
    <row r="154" spans="1:58" s="229" customFormat="1" ht="14.25" hidden="1" customHeight="1" outlineLevel="1" x14ac:dyDescent="0.2">
      <c r="A154" s="728"/>
      <c r="B154" s="204" t="s">
        <v>80</v>
      </c>
      <c r="C154" s="205"/>
      <c r="D154" s="206"/>
      <c r="E154" s="206">
        <f>E149-E148</f>
        <v>0</v>
      </c>
      <c r="F154" s="206">
        <f t="shared" ref="F154:G154" si="118">F149-F148</f>
        <v>0</v>
      </c>
      <c r="G154" s="206">
        <f t="shared" si="118"/>
        <v>0</v>
      </c>
      <c r="H154" s="1124">
        <f t="shared" ref="H154:L154" si="119">H149-H148</f>
        <v>0</v>
      </c>
      <c r="I154" s="206">
        <f t="shared" si="119"/>
        <v>2536027.1899999985</v>
      </c>
      <c r="J154" s="206">
        <f t="shared" si="119"/>
        <v>0</v>
      </c>
      <c r="K154" s="206">
        <f t="shared" si="119"/>
        <v>0</v>
      </c>
      <c r="L154" s="206">
        <f t="shared" si="119"/>
        <v>0</v>
      </c>
      <c r="O154" s="223">
        <f>O148-O149</f>
        <v>-2536027.1899999995</v>
      </c>
      <c r="Q154" s="226"/>
      <c r="T154" s="230"/>
      <c r="U154" s="230"/>
      <c r="V154" s="230"/>
      <c r="W154" s="230"/>
    </row>
    <row r="155" spans="1:58" s="139" customFormat="1" ht="28.5" hidden="1" customHeight="1" outlineLevel="1" x14ac:dyDescent="0.2">
      <c r="A155" s="729"/>
      <c r="B155" s="241" t="s">
        <v>100</v>
      </c>
      <c r="C155" s="241"/>
      <c r="D155" s="242"/>
      <c r="E155" s="242" t="e">
        <f>#REF!-E148+E150+E151+E153-E154</f>
        <v>#REF!</v>
      </c>
      <c r="F155" s="242" t="e">
        <f>#REF!-F148+F150+F151+F153</f>
        <v>#REF!</v>
      </c>
      <c r="G155" s="242">
        <f>G146-G152+G154</f>
        <v>171041.65426914697</v>
      </c>
      <c r="H155" s="242">
        <f t="shared" ref="H155:L155" si="120">H146-H152+H154</f>
        <v>2380701.4799961364</v>
      </c>
      <c r="I155" s="242">
        <f>I146-I152+I154</f>
        <v>773194.43372868211</v>
      </c>
      <c r="J155" s="242">
        <f t="shared" si="120"/>
        <v>1243104.3373594861</v>
      </c>
      <c r="K155" s="242">
        <f t="shared" si="120"/>
        <v>3754906.9628555248</v>
      </c>
      <c r="L155" s="242">
        <f t="shared" si="120"/>
        <v>9280028.7929329742</v>
      </c>
      <c r="O155" s="224"/>
      <c r="Q155" s="181"/>
    </row>
    <row r="156" spans="1:58" s="139" customFormat="1" ht="28.5" hidden="1" customHeight="1" outlineLevel="1" x14ac:dyDescent="0.2">
      <c r="A156" s="181"/>
      <c r="B156" s="243"/>
      <c r="C156" s="244"/>
      <c r="D156" s="213"/>
      <c r="E156" s="213"/>
      <c r="F156" s="213"/>
      <c r="G156" s="213"/>
      <c r="H156" s="1125"/>
      <c r="I156" s="213"/>
      <c r="J156" s="213"/>
      <c r="K156" s="213"/>
      <c r="L156" s="213"/>
      <c r="Q156" s="181"/>
    </row>
    <row r="157" spans="1:58" s="186" customFormat="1" ht="39" hidden="1" customHeight="1" outlineLevel="1" x14ac:dyDescent="0.2">
      <c r="A157" s="726" t="s">
        <v>27</v>
      </c>
      <c r="B157" s="235" t="s">
        <v>101</v>
      </c>
      <c r="C157" s="236"/>
      <c r="D157" s="237"/>
      <c r="E157" s="237">
        <v>1372.26</v>
      </c>
      <c r="F157" s="237">
        <v>17184.25</v>
      </c>
      <c r="G157" s="237">
        <f>20125+21584</f>
        <v>41709</v>
      </c>
      <c r="H157" s="237">
        <v>852463.49</v>
      </c>
      <c r="I157" s="237">
        <f>986255-SUM(E157:H157)</f>
        <v>73526</v>
      </c>
      <c r="J157" s="237"/>
      <c r="K157" s="237"/>
      <c r="L157" s="237"/>
      <c r="M157" s="225"/>
      <c r="N157" s="225"/>
      <c r="O157" s="217">
        <f t="shared" ref="O157:O162" si="121">SUM(D157:I157)</f>
        <v>986255</v>
      </c>
      <c r="P157" s="188"/>
      <c r="Q157" s="139"/>
      <c r="R157" s="238"/>
      <c r="S157" s="188"/>
      <c r="T157" s="188"/>
      <c r="U157" s="188"/>
      <c r="V157" s="188"/>
      <c r="W157" s="188"/>
      <c r="X157" s="188"/>
      <c r="Y157" s="188"/>
      <c r="Z157" s="188"/>
      <c r="AA157" s="188"/>
      <c r="AB157" s="188"/>
      <c r="AC157" s="188"/>
      <c r="AD157" s="188"/>
      <c r="AE157" s="188"/>
      <c r="AF157" s="188"/>
      <c r="AG157" s="188"/>
      <c r="AH157" s="188"/>
      <c r="AI157" s="188"/>
      <c r="AJ157" s="188"/>
      <c r="AK157" s="188"/>
      <c r="AL157" s="188"/>
      <c r="AM157" s="188"/>
      <c r="AN157" s="188"/>
      <c r="AO157" s="188"/>
      <c r="AP157" s="188"/>
      <c r="AQ157" s="188"/>
      <c r="AR157" s="188"/>
      <c r="AS157" s="188"/>
      <c r="AT157" s="188"/>
      <c r="AU157" s="188"/>
      <c r="AV157" s="188"/>
      <c r="AW157" s="188"/>
      <c r="AX157" s="188"/>
      <c r="AY157" s="188"/>
      <c r="AZ157" s="188"/>
      <c r="BA157" s="188"/>
      <c r="BB157" s="188"/>
      <c r="BC157" s="188"/>
      <c r="BD157" s="188"/>
      <c r="BE157" s="188"/>
      <c r="BF157" s="188"/>
    </row>
    <row r="158" spans="1:58" s="186" customFormat="1" hidden="1" outlineLevel="1" x14ac:dyDescent="0.2">
      <c r="A158" s="727"/>
      <c r="B158" s="189" t="s">
        <v>75</v>
      </c>
      <c r="C158" s="190"/>
      <c r="D158" s="191"/>
      <c r="E158" s="191">
        <f>SUM(E159:E162)</f>
        <v>169899.21999999997</v>
      </c>
      <c r="F158" s="191">
        <f>SUM(F159:F162)</f>
        <v>169737.23999999996</v>
      </c>
      <c r="G158" s="191">
        <f>SUM(G159:G162)</f>
        <v>215453</v>
      </c>
      <c r="H158" s="191">
        <f>SUM(H159:H162)</f>
        <v>852463.49</v>
      </c>
      <c r="I158" s="191">
        <f>SUM(I159:I162)</f>
        <v>398904.08</v>
      </c>
      <c r="J158" s="191"/>
      <c r="K158" s="191"/>
      <c r="L158" s="191"/>
      <c r="M158" s="225"/>
      <c r="N158" s="225"/>
      <c r="O158" s="218">
        <f t="shared" si="121"/>
        <v>1806457.03</v>
      </c>
      <c r="P158" s="188"/>
      <c r="Q158" s="226"/>
      <c r="R158" s="188"/>
      <c r="S158" s="188"/>
      <c r="T158" s="188"/>
      <c r="U158" s="188"/>
      <c r="V158" s="188"/>
      <c r="W158" s="188"/>
      <c r="X158" s="188"/>
      <c r="Y158" s="188"/>
      <c r="Z158" s="188"/>
      <c r="AA158" s="188"/>
      <c r="AB158" s="188"/>
      <c r="AC158" s="188"/>
      <c r="AD158" s="188"/>
      <c r="AE158" s="188"/>
      <c r="AF158" s="188"/>
      <c r="AG158" s="188"/>
      <c r="AH158" s="188"/>
      <c r="AI158" s="188"/>
      <c r="AJ158" s="188"/>
      <c r="AK158" s="188"/>
      <c r="AL158" s="188"/>
      <c r="AM158" s="188"/>
      <c r="AN158" s="188"/>
      <c r="AO158" s="188"/>
      <c r="AP158" s="188"/>
      <c r="AQ158" s="188"/>
      <c r="AR158" s="188"/>
      <c r="AS158" s="188"/>
      <c r="AT158" s="188"/>
      <c r="AU158" s="188"/>
      <c r="AV158" s="188"/>
      <c r="AW158" s="188"/>
      <c r="AX158" s="188"/>
      <c r="AY158" s="188"/>
      <c r="AZ158" s="188"/>
      <c r="BA158" s="188"/>
      <c r="BB158" s="188"/>
      <c r="BC158" s="188"/>
      <c r="BD158" s="188"/>
      <c r="BE158" s="188"/>
      <c r="BF158" s="188"/>
    </row>
    <row r="159" spans="1:58" s="186" customFormat="1" hidden="1" outlineLevel="1" x14ac:dyDescent="0.2">
      <c r="A159" s="727"/>
      <c r="B159" s="193" t="s">
        <v>76</v>
      </c>
      <c r="C159" s="194"/>
      <c r="D159" s="195"/>
      <c r="E159" s="196"/>
      <c r="F159" s="196">
        <f>E163</f>
        <v>168526.95999999996</v>
      </c>
      <c r="G159" s="196">
        <v>152553</v>
      </c>
      <c r="H159" s="196">
        <f>G163</f>
        <v>173744</v>
      </c>
      <c r="I159" s="196">
        <f>H163</f>
        <v>0</v>
      </c>
      <c r="J159" s="194"/>
      <c r="K159" s="194"/>
      <c r="L159" s="194"/>
      <c r="O159" s="219">
        <f t="shared" si="121"/>
        <v>494823.95999999996</v>
      </c>
      <c r="P159" s="188"/>
      <c r="Q159" s="226"/>
      <c r="R159" s="139"/>
      <c r="S159" s="139"/>
      <c r="T159" s="139"/>
      <c r="U159" s="139"/>
      <c r="V159" s="139"/>
      <c r="W159" s="139"/>
      <c r="X159" s="139"/>
      <c r="Y159" s="188"/>
      <c r="Z159" s="188"/>
      <c r="AA159" s="188"/>
      <c r="AB159" s="188"/>
      <c r="AC159" s="188"/>
      <c r="AD159" s="188"/>
      <c r="AE159" s="188"/>
      <c r="AF159" s="188"/>
      <c r="AG159" s="188"/>
      <c r="AH159" s="188"/>
      <c r="AI159" s="188"/>
      <c r="AJ159" s="188"/>
      <c r="AK159" s="188"/>
      <c r="AL159" s="188"/>
      <c r="AM159" s="188"/>
      <c r="AN159" s="188"/>
      <c r="AO159" s="188"/>
      <c r="AP159" s="188"/>
      <c r="AQ159" s="188"/>
      <c r="AR159" s="188"/>
      <c r="AS159" s="188"/>
      <c r="AT159" s="188"/>
      <c r="AU159" s="188"/>
      <c r="AV159" s="188"/>
      <c r="AW159" s="188"/>
      <c r="AX159" s="188"/>
      <c r="AY159" s="188"/>
      <c r="AZ159" s="188"/>
      <c r="BA159" s="188"/>
      <c r="BB159" s="188"/>
      <c r="BC159" s="188"/>
      <c r="BD159" s="188"/>
      <c r="BE159" s="188"/>
      <c r="BF159" s="188"/>
    </row>
    <row r="160" spans="1:58" s="89" customFormat="1" hidden="1" outlineLevel="1" x14ac:dyDescent="0.2">
      <c r="A160" s="728"/>
      <c r="B160" s="193" t="s">
        <v>77</v>
      </c>
      <c r="C160" s="194"/>
      <c r="D160" s="195"/>
      <c r="E160" s="196">
        <f>125925.92+41900</f>
        <v>167825.91999999998</v>
      </c>
      <c r="F160" s="196"/>
      <c r="G160" s="770">
        <v>62900</v>
      </c>
      <c r="H160" s="1127"/>
      <c r="I160" s="196">
        <f>419753+209877-SUM(E160:H160)</f>
        <v>398904.08</v>
      </c>
      <c r="J160" s="194"/>
      <c r="K160" s="194"/>
      <c r="L160" s="194"/>
      <c r="M160" s="1140">
        <v>325378.08</v>
      </c>
      <c r="N160" s="89">
        <v>2027</v>
      </c>
      <c r="O160" s="219">
        <f t="shared" si="121"/>
        <v>629630</v>
      </c>
      <c r="Q160" s="226"/>
    </row>
    <row r="161" spans="1:58" s="714" customFormat="1" ht="14.25" hidden="1" customHeight="1" outlineLevel="1" x14ac:dyDescent="0.2">
      <c r="A161" s="728"/>
      <c r="B161" s="1149" t="s">
        <v>78</v>
      </c>
      <c r="C161" s="1150"/>
      <c r="D161" s="1151"/>
      <c r="E161" s="1148">
        <f>399.3+1674</f>
        <v>2073.3000000000002</v>
      </c>
      <c r="F161" s="1148">
        <f>F157-15973.97</f>
        <v>1210.2800000000007</v>
      </c>
      <c r="G161" s="1148">
        <v>0</v>
      </c>
      <c r="H161" s="1148">
        <v>678719.49</v>
      </c>
      <c r="I161" s="1148"/>
      <c r="J161" s="1148"/>
      <c r="K161" s="1148"/>
      <c r="L161" s="1148"/>
      <c r="M161" s="720"/>
      <c r="O161" s="715">
        <f t="shared" si="121"/>
        <v>682003.07</v>
      </c>
      <c r="Q161" s="716"/>
      <c r="R161" s="717"/>
    </row>
    <row r="162" spans="1:58" s="229" customFormat="1" ht="14.25" hidden="1" customHeight="1" outlineLevel="1" x14ac:dyDescent="0.2">
      <c r="A162" s="728"/>
      <c r="B162" s="199" t="s">
        <v>79</v>
      </c>
      <c r="C162" s="200"/>
      <c r="D162" s="201"/>
      <c r="E162" s="202"/>
      <c r="F162" s="202"/>
      <c r="G162" s="202"/>
      <c r="H162" s="1123"/>
      <c r="I162" s="200"/>
      <c r="J162" s="200"/>
      <c r="K162" s="200"/>
      <c r="L162" s="200"/>
      <c r="O162" s="221">
        <f t="shared" si="121"/>
        <v>0</v>
      </c>
      <c r="Q162" s="226"/>
      <c r="T162" s="230"/>
      <c r="U162" s="230"/>
      <c r="V162" s="230"/>
      <c r="W162" s="230"/>
    </row>
    <row r="163" spans="1:58" s="229" customFormat="1" ht="14.25" hidden="1" customHeight="1" outlineLevel="1" x14ac:dyDescent="0.2">
      <c r="A163" s="728"/>
      <c r="B163" s="204" t="s">
        <v>80</v>
      </c>
      <c r="C163" s="205"/>
      <c r="D163" s="206"/>
      <c r="E163" s="206">
        <f>E158-E157</f>
        <v>168526.95999999996</v>
      </c>
      <c r="F163" s="206">
        <f t="shared" ref="F163:G163" si="122">F158-F157</f>
        <v>152552.98999999996</v>
      </c>
      <c r="G163" s="206">
        <f t="shared" si="122"/>
        <v>173744</v>
      </c>
      <c r="H163" s="1124">
        <f t="shared" ref="H163:L163" si="123">H158-H157</f>
        <v>0</v>
      </c>
      <c r="I163" s="206">
        <f t="shared" si="123"/>
        <v>325378.08</v>
      </c>
      <c r="J163" s="206">
        <f t="shared" si="123"/>
        <v>0</v>
      </c>
      <c r="K163" s="206">
        <f t="shared" si="123"/>
        <v>0</v>
      </c>
      <c r="L163" s="206">
        <f t="shared" si="123"/>
        <v>0</v>
      </c>
      <c r="O163" s="223">
        <f>O157-O158</f>
        <v>-820202.03</v>
      </c>
      <c r="Q163" s="226"/>
      <c r="T163" s="230"/>
      <c r="U163" s="230"/>
      <c r="V163" s="230"/>
      <c r="W163" s="230"/>
    </row>
    <row r="164" spans="1:58" s="139" customFormat="1" ht="28.5" hidden="1" customHeight="1" outlineLevel="1" x14ac:dyDescent="0.2">
      <c r="A164" s="729"/>
      <c r="B164" s="241" t="s">
        <v>102</v>
      </c>
      <c r="C164" s="241"/>
      <c r="D164" s="242"/>
      <c r="E164" s="242" t="e">
        <f>E155-E161</f>
        <v>#REF!</v>
      </c>
      <c r="F164" s="242" t="e">
        <f>F155-F161</f>
        <v>#REF!</v>
      </c>
      <c r="G164" s="242">
        <f>G155-G161+G163</f>
        <v>344785.65426914697</v>
      </c>
      <c r="H164" s="242">
        <f t="shared" ref="H164:L164" si="124">H155-H161+H163</f>
        <v>1701981.9899961364</v>
      </c>
      <c r="I164" s="242">
        <f t="shared" si="124"/>
        <v>1098572.5137286822</v>
      </c>
      <c r="J164" s="242">
        <f t="shared" si="124"/>
        <v>1243104.3373594861</v>
      </c>
      <c r="K164" s="242">
        <f t="shared" si="124"/>
        <v>3754906.9628555248</v>
      </c>
      <c r="L164" s="242">
        <f t="shared" si="124"/>
        <v>9280028.7929329742</v>
      </c>
      <c r="O164" s="224"/>
      <c r="Q164" s="181"/>
    </row>
    <row r="165" spans="1:58" s="139" customFormat="1" ht="28.5" hidden="1" customHeight="1" outlineLevel="1" x14ac:dyDescent="0.2">
      <c r="A165" s="181"/>
      <c r="B165" s="243"/>
      <c r="C165" s="244"/>
      <c r="D165" s="213"/>
      <c r="E165" s="213"/>
      <c r="F165" s="213"/>
      <c r="G165" s="213"/>
      <c r="H165" s="1125"/>
      <c r="I165" s="213"/>
      <c r="J165" s="213"/>
      <c r="K165" s="213"/>
      <c r="L165" s="213"/>
      <c r="Q165" s="181"/>
    </row>
    <row r="166" spans="1:58" s="186" customFormat="1" ht="27" hidden="1" customHeight="1" outlineLevel="1" x14ac:dyDescent="0.2">
      <c r="A166" s="726" t="s">
        <v>103</v>
      </c>
      <c r="B166" s="235" t="s">
        <v>104</v>
      </c>
      <c r="C166" s="236"/>
      <c r="D166" s="237"/>
      <c r="E166" s="237"/>
      <c r="F166" s="237"/>
      <c r="G166" s="237">
        <v>0</v>
      </c>
      <c r="H166" s="237">
        <f>SUM(H169:H171)</f>
        <v>42495</v>
      </c>
      <c r="I166" s="237">
        <f>SUM(I169:I171)</f>
        <v>0</v>
      </c>
      <c r="J166" s="237"/>
      <c r="K166" s="237"/>
      <c r="L166" s="237"/>
      <c r="M166" s="225"/>
      <c r="N166" s="225"/>
      <c r="O166" s="217">
        <f t="shared" ref="O166:O171" si="125">SUM(D166:I166)</f>
        <v>42495</v>
      </c>
      <c r="P166" s="188"/>
      <c r="Q166" s="139"/>
      <c r="R166" s="238"/>
      <c r="S166" s="188"/>
      <c r="T166" s="188"/>
      <c r="U166" s="188"/>
      <c r="V166" s="188"/>
      <c r="W166" s="188"/>
      <c r="X166" s="188"/>
      <c r="Y166" s="188"/>
      <c r="Z166" s="188"/>
      <c r="AA166" s="188"/>
      <c r="AB166" s="188"/>
      <c r="AC166" s="188"/>
      <c r="AD166" s="188"/>
      <c r="AE166" s="188"/>
      <c r="AF166" s="188"/>
      <c r="AG166" s="188"/>
      <c r="AH166" s="188"/>
      <c r="AI166" s="188"/>
      <c r="AJ166" s="188"/>
      <c r="AK166" s="188"/>
      <c r="AL166" s="188"/>
      <c r="AM166" s="188"/>
      <c r="AN166" s="188"/>
      <c r="AO166" s="188"/>
      <c r="AP166" s="188"/>
      <c r="AQ166" s="188"/>
      <c r="AR166" s="188"/>
      <c r="AS166" s="188"/>
      <c r="AT166" s="188"/>
      <c r="AU166" s="188"/>
      <c r="AV166" s="188"/>
      <c r="AW166" s="188"/>
      <c r="AX166" s="188"/>
      <c r="AY166" s="188"/>
      <c r="AZ166" s="188"/>
      <c r="BA166" s="188"/>
      <c r="BB166" s="188"/>
      <c r="BC166" s="188"/>
      <c r="BD166" s="188"/>
      <c r="BE166" s="188"/>
      <c r="BF166" s="188"/>
    </row>
    <row r="167" spans="1:58" s="186" customFormat="1" hidden="1" outlineLevel="1" x14ac:dyDescent="0.2">
      <c r="A167" s="727"/>
      <c r="B167" s="189" t="s">
        <v>75</v>
      </c>
      <c r="C167" s="190"/>
      <c r="D167" s="191"/>
      <c r="E167" s="191">
        <f>SUM(E168:E171)</f>
        <v>0</v>
      </c>
      <c r="F167" s="191">
        <f>SUM(F168:F171)</f>
        <v>0</v>
      </c>
      <c r="G167" s="191">
        <f>SUM(G168:G171)</f>
        <v>0</v>
      </c>
      <c r="H167" s="191">
        <f>SUM(H168:H171)</f>
        <v>42495</v>
      </c>
      <c r="I167" s="191">
        <f>SUM(I168:I171)</f>
        <v>0</v>
      </c>
      <c r="J167" s="191"/>
      <c r="K167" s="191"/>
      <c r="L167" s="191"/>
      <c r="M167" s="225"/>
      <c r="N167" s="225"/>
      <c r="O167" s="218">
        <f t="shared" si="125"/>
        <v>42495</v>
      </c>
      <c r="P167" s="188"/>
      <c r="Q167" s="226"/>
      <c r="R167" s="188"/>
      <c r="S167" s="188"/>
      <c r="T167" s="188"/>
      <c r="U167" s="188"/>
      <c r="V167" s="188"/>
      <c r="W167" s="188"/>
      <c r="X167" s="188"/>
      <c r="Y167" s="188"/>
      <c r="Z167" s="188"/>
      <c r="AA167" s="188"/>
      <c r="AB167" s="188"/>
      <c r="AC167" s="188"/>
      <c r="AD167" s="188"/>
      <c r="AE167" s="188"/>
      <c r="AF167" s="188"/>
      <c r="AG167" s="188"/>
      <c r="AH167" s="188"/>
      <c r="AI167" s="188"/>
      <c r="AJ167" s="188"/>
      <c r="AK167" s="188"/>
      <c r="AL167" s="188"/>
      <c r="AM167" s="188"/>
      <c r="AN167" s="188"/>
      <c r="AO167" s="188"/>
      <c r="AP167" s="188"/>
      <c r="AQ167" s="188"/>
      <c r="AR167" s="188"/>
      <c r="AS167" s="188"/>
      <c r="AT167" s="188"/>
      <c r="AU167" s="188"/>
      <c r="AV167" s="188"/>
      <c r="AW167" s="188"/>
      <c r="AX167" s="188"/>
      <c r="AY167" s="188"/>
      <c r="AZ167" s="188"/>
      <c r="BA167" s="188"/>
      <c r="BB167" s="188"/>
      <c r="BC167" s="188"/>
      <c r="BD167" s="188"/>
      <c r="BE167" s="188"/>
      <c r="BF167" s="188"/>
    </row>
    <row r="168" spans="1:58" s="186" customFormat="1" hidden="1" outlineLevel="1" x14ac:dyDescent="0.2">
      <c r="A168" s="727"/>
      <c r="B168" s="193" t="s">
        <v>76</v>
      </c>
      <c r="C168" s="194"/>
      <c r="D168" s="195"/>
      <c r="E168" s="196"/>
      <c r="F168" s="196"/>
      <c r="G168" s="196"/>
      <c r="H168" s="194"/>
      <c r="I168" s="194"/>
      <c r="J168" s="194"/>
      <c r="K168" s="194"/>
      <c r="L168" s="194"/>
      <c r="O168" s="219">
        <f t="shared" si="125"/>
        <v>0</v>
      </c>
      <c r="P168" s="188"/>
      <c r="Q168" s="226"/>
      <c r="R168" s="139"/>
      <c r="S168" s="139"/>
      <c r="T168" s="139"/>
      <c r="U168" s="139"/>
      <c r="V168" s="139"/>
      <c r="W168" s="139"/>
      <c r="X168" s="139"/>
      <c r="Y168" s="188"/>
      <c r="Z168" s="188"/>
      <c r="AA168" s="188"/>
      <c r="AB168" s="188"/>
      <c r="AC168" s="188"/>
      <c r="AD168" s="188"/>
      <c r="AE168" s="188"/>
      <c r="AF168" s="188"/>
      <c r="AG168" s="188"/>
      <c r="AH168" s="188"/>
      <c r="AI168" s="188"/>
      <c r="AJ168" s="188"/>
      <c r="AK168" s="188"/>
      <c r="AL168" s="188"/>
      <c r="AM168" s="188"/>
      <c r="AN168" s="188"/>
      <c r="AO168" s="188"/>
      <c r="AP168" s="188"/>
      <c r="AQ168" s="188"/>
      <c r="AR168" s="188"/>
      <c r="AS168" s="188"/>
      <c r="AT168" s="188"/>
      <c r="AU168" s="188"/>
      <c r="AV168" s="188"/>
      <c r="AW168" s="188"/>
      <c r="AX168" s="188"/>
      <c r="AY168" s="188"/>
      <c r="AZ168" s="188"/>
      <c r="BA168" s="188"/>
      <c r="BB168" s="188"/>
      <c r="BC168" s="188"/>
      <c r="BD168" s="188"/>
      <c r="BE168" s="188"/>
      <c r="BF168" s="188"/>
    </row>
    <row r="169" spans="1:58" s="89" customFormat="1" hidden="1" outlineLevel="1" x14ac:dyDescent="0.2">
      <c r="A169" s="728"/>
      <c r="B169" s="193" t="s">
        <v>77</v>
      </c>
      <c r="C169" s="194"/>
      <c r="D169" s="195"/>
      <c r="E169" s="196"/>
      <c r="F169" s="196"/>
      <c r="G169" s="196"/>
      <c r="H169" s="196">
        <v>36495</v>
      </c>
      <c r="I169" s="194"/>
      <c r="J169" s="194"/>
      <c r="K169" s="194"/>
      <c r="L169" s="194"/>
      <c r="O169" s="219">
        <f t="shared" si="125"/>
        <v>36495</v>
      </c>
      <c r="Q169" s="226"/>
    </row>
    <row r="170" spans="1:58" s="714" customFormat="1" ht="14.25" hidden="1" customHeight="1" outlineLevel="1" x14ac:dyDescent="0.2">
      <c r="A170" s="728"/>
      <c r="B170" s="1149" t="s">
        <v>78</v>
      </c>
      <c r="C170" s="1150"/>
      <c r="D170" s="1151"/>
      <c r="E170" s="1148"/>
      <c r="F170" s="1148"/>
      <c r="G170" s="1148">
        <v>0</v>
      </c>
      <c r="H170" s="1148">
        <v>6000</v>
      </c>
      <c r="I170" s="1148"/>
      <c r="J170" s="1148"/>
      <c r="K170" s="1148"/>
      <c r="L170" s="1150"/>
      <c r="M170" s="720"/>
      <c r="O170" s="715">
        <f t="shared" si="125"/>
        <v>6000</v>
      </c>
      <c r="Q170" s="716"/>
      <c r="R170" s="717"/>
    </row>
    <row r="171" spans="1:58" s="229" customFormat="1" ht="14.25" hidden="1" customHeight="1" outlineLevel="1" x14ac:dyDescent="0.2">
      <c r="A171" s="728"/>
      <c r="B171" s="199" t="s">
        <v>79</v>
      </c>
      <c r="C171" s="200"/>
      <c r="D171" s="201"/>
      <c r="E171" s="202"/>
      <c r="F171" s="202"/>
      <c r="G171" s="202"/>
      <c r="H171" s="1123"/>
      <c r="I171" s="200"/>
      <c r="J171" s="200"/>
      <c r="K171" s="200"/>
      <c r="L171" s="200"/>
      <c r="O171" s="221">
        <f t="shared" si="125"/>
        <v>0</v>
      </c>
      <c r="Q171" s="226"/>
      <c r="T171" s="230"/>
      <c r="U171" s="230"/>
      <c r="V171" s="230"/>
      <c r="W171" s="230"/>
    </row>
    <row r="172" spans="1:58" s="229" customFormat="1" ht="14.25" hidden="1" customHeight="1" outlineLevel="1" x14ac:dyDescent="0.2">
      <c r="A172" s="728"/>
      <c r="B172" s="204" t="s">
        <v>80</v>
      </c>
      <c r="C172" s="205"/>
      <c r="D172" s="206"/>
      <c r="E172" s="206">
        <f>E167-E166</f>
        <v>0</v>
      </c>
      <c r="F172" s="206">
        <f t="shared" ref="F172" si="126">F167-F166</f>
        <v>0</v>
      </c>
      <c r="G172" s="206">
        <f>G167-G166</f>
        <v>0</v>
      </c>
      <c r="H172" s="1124">
        <f t="shared" ref="H172:L172" si="127">H167-H166</f>
        <v>0</v>
      </c>
      <c r="I172" s="206">
        <f t="shared" si="127"/>
        <v>0</v>
      </c>
      <c r="J172" s="206">
        <f t="shared" si="127"/>
        <v>0</v>
      </c>
      <c r="K172" s="206">
        <f t="shared" si="127"/>
        <v>0</v>
      </c>
      <c r="L172" s="206">
        <f t="shared" si="127"/>
        <v>0</v>
      </c>
      <c r="O172" s="223">
        <f>O166-O167</f>
        <v>0</v>
      </c>
      <c r="Q172" s="226"/>
      <c r="T172" s="230"/>
      <c r="U172" s="230"/>
      <c r="V172" s="230"/>
      <c r="W172" s="230"/>
    </row>
    <row r="173" spans="1:58" s="139" customFormat="1" ht="28.5" hidden="1" customHeight="1" outlineLevel="1" x14ac:dyDescent="0.2">
      <c r="A173" s="729"/>
      <c r="B173" s="241" t="s">
        <v>105</v>
      </c>
      <c r="C173" s="241"/>
      <c r="D173" s="242"/>
      <c r="E173" s="242" t="e">
        <f>E164-E170</f>
        <v>#REF!</v>
      </c>
      <c r="F173" s="242" t="e">
        <f>F164-F170</f>
        <v>#REF!</v>
      </c>
      <c r="G173" s="242">
        <f>G164-G170+G172</f>
        <v>344785.65426914697</v>
      </c>
      <c r="H173" s="242">
        <f t="shared" ref="H173:L173" si="128">H164-H170+H172</f>
        <v>1695981.9899961364</v>
      </c>
      <c r="I173" s="242">
        <f t="shared" si="128"/>
        <v>1098572.5137286822</v>
      </c>
      <c r="J173" s="242">
        <f t="shared" si="128"/>
        <v>1243104.3373594861</v>
      </c>
      <c r="K173" s="242">
        <f t="shared" si="128"/>
        <v>3754906.9628555248</v>
      </c>
      <c r="L173" s="242">
        <f t="shared" si="128"/>
        <v>9280028.7929329742</v>
      </c>
      <c r="O173" s="224"/>
      <c r="Q173" s="181"/>
    </row>
    <row r="174" spans="1:58" s="139" customFormat="1" ht="28.5" hidden="1" customHeight="1" outlineLevel="1" x14ac:dyDescent="0.2">
      <c r="A174" s="181"/>
      <c r="B174" s="243"/>
      <c r="C174" s="244"/>
      <c r="D174" s="213"/>
      <c r="E174" s="213"/>
      <c r="F174" s="213"/>
      <c r="G174" s="213"/>
      <c r="H174" s="1125"/>
      <c r="I174" s="213"/>
      <c r="J174" s="213"/>
      <c r="K174" s="213"/>
      <c r="L174" s="213"/>
      <c r="Q174" s="181"/>
    </row>
    <row r="175" spans="1:58" s="186" customFormat="1" ht="28.5" hidden="1" customHeight="1" outlineLevel="1" x14ac:dyDescent="0.2">
      <c r="A175" s="726" t="s">
        <v>106</v>
      </c>
      <c r="B175" s="235" t="s">
        <v>107</v>
      </c>
      <c r="C175" s="236"/>
      <c r="D175" s="237"/>
      <c r="E175" s="237"/>
      <c r="F175" s="237">
        <v>0</v>
      </c>
      <c r="G175" s="237">
        <v>17584</v>
      </c>
      <c r="H175" s="237">
        <f>SUM(H178:H180)</f>
        <v>0</v>
      </c>
      <c r="I175" s="237">
        <f>SUM(I178:I180)</f>
        <v>0</v>
      </c>
      <c r="J175" s="237"/>
      <c r="K175" s="237"/>
      <c r="L175" s="237"/>
      <c r="M175" s="225"/>
      <c r="N175" s="225"/>
      <c r="O175" s="217">
        <v>6454</v>
      </c>
      <c r="P175" s="188"/>
      <c r="Q175" s="139"/>
      <c r="R175" s="238"/>
      <c r="S175" s="188"/>
      <c r="T175" s="188"/>
      <c r="U175" s="188"/>
      <c r="V175" s="188"/>
      <c r="W175" s="188"/>
      <c r="X175" s="188"/>
      <c r="Y175" s="188"/>
      <c r="Z175" s="188"/>
      <c r="AA175" s="188"/>
      <c r="AB175" s="188"/>
      <c r="AC175" s="188"/>
      <c r="AD175" s="188"/>
      <c r="AE175" s="188"/>
      <c r="AF175" s="188"/>
      <c r="AG175" s="188"/>
      <c r="AH175" s="188"/>
      <c r="AI175" s="188"/>
      <c r="AJ175" s="188"/>
      <c r="AK175" s="188"/>
      <c r="AL175" s="188"/>
      <c r="AM175" s="188"/>
      <c r="AN175" s="188"/>
      <c r="AO175" s="188"/>
      <c r="AP175" s="188"/>
      <c r="AQ175" s="188"/>
      <c r="AR175" s="188"/>
      <c r="AS175" s="188"/>
      <c r="AT175" s="188"/>
      <c r="AU175" s="188"/>
      <c r="AV175" s="188"/>
      <c r="AW175" s="188"/>
      <c r="AX175" s="188"/>
      <c r="AY175" s="188"/>
      <c r="AZ175" s="188"/>
      <c r="BA175" s="188"/>
      <c r="BB175" s="188"/>
      <c r="BC175" s="188"/>
      <c r="BD175" s="188"/>
      <c r="BE175" s="188"/>
      <c r="BF175" s="188"/>
    </row>
    <row r="176" spans="1:58" s="186" customFormat="1" hidden="1" outlineLevel="1" x14ac:dyDescent="0.2">
      <c r="A176" s="727"/>
      <c r="B176" s="189" t="s">
        <v>75</v>
      </c>
      <c r="C176" s="190"/>
      <c r="D176" s="191"/>
      <c r="E176" s="191"/>
      <c r="F176" s="191">
        <f>SUM(F177:F180)</f>
        <v>0</v>
      </c>
      <c r="G176" s="191">
        <f>SUM(G177:G180)</f>
        <v>17584</v>
      </c>
      <c r="H176" s="191">
        <f>SUM(H177:H180)</f>
        <v>0</v>
      </c>
      <c r="I176" s="191">
        <f>SUM(I177:I180)</f>
        <v>0</v>
      </c>
      <c r="J176" s="191"/>
      <c r="K176" s="191"/>
      <c r="L176" s="191"/>
      <c r="M176" s="225"/>
      <c r="N176" s="225"/>
      <c r="O176" s="218">
        <v>6454</v>
      </c>
      <c r="P176" s="188"/>
      <c r="Q176" s="139"/>
      <c r="R176"/>
      <c r="S176"/>
      <c r="T176"/>
      <c r="U176"/>
      <c r="V176"/>
      <c r="W176"/>
      <c r="X176" s="188"/>
      <c r="Y176" s="188"/>
      <c r="Z176" s="188"/>
      <c r="AA176" s="188"/>
      <c r="AB176" s="188"/>
      <c r="AC176" s="188"/>
      <c r="AD176" s="188"/>
      <c r="AE176" s="188"/>
      <c r="AF176" s="188"/>
      <c r="AG176" s="188"/>
      <c r="AH176" s="188"/>
      <c r="AI176" s="188"/>
      <c r="AJ176" s="188"/>
      <c r="AK176" s="188"/>
      <c r="AL176" s="188"/>
      <c r="AM176" s="188"/>
      <c r="AN176" s="188"/>
      <c r="AO176" s="188"/>
      <c r="AP176" s="188"/>
      <c r="AQ176" s="188"/>
      <c r="AR176" s="188"/>
      <c r="AS176" s="188"/>
      <c r="AT176" s="188"/>
      <c r="AU176" s="188"/>
      <c r="AV176" s="188"/>
      <c r="AW176" s="188"/>
      <c r="AX176" s="188"/>
      <c r="AY176" s="188"/>
      <c r="AZ176" s="188"/>
      <c r="BA176" s="188"/>
      <c r="BB176" s="188"/>
      <c r="BC176" s="188"/>
      <c r="BD176" s="188"/>
      <c r="BE176" s="188"/>
      <c r="BF176" s="188"/>
    </row>
    <row r="177" spans="1:58" s="186" customFormat="1" hidden="1" outlineLevel="1" x14ac:dyDescent="0.2">
      <c r="A177" s="727"/>
      <c r="B177" s="193" t="s">
        <v>76</v>
      </c>
      <c r="C177" s="194"/>
      <c r="D177" s="195"/>
      <c r="E177" s="196"/>
      <c r="F177" s="196"/>
      <c r="G177" s="196"/>
      <c r="H177" s="194"/>
      <c r="I177" s="194"/>
      <c r="J177" s="194"/>
      <c r="K177" s="194"/>
      <c r="L177" s="194"/>
      <c r="O177" s="219">
        <v>0</v>
      </c>
      <c r="P177" s="188"/>
      <c r="Q177" s="226"/>
      <c r="R177" s="139"/>
      <c r="S177" s="139"/>
      <c r="T177" s="139"/>
      <c r="U177" s="139"/>
      <c r="V177" s="139"/>
      <c r="W177" s="139"/>
      <c r="X177" s="139"/>
      <c r="Y177" s="188"/>
      <c r="Z177" s="188"/>
      <c r="AA177" s="188"/>
      <c r="AB177" s="188"/>
      <c r="AC177" s="188"/>
      <c r="AD177" s="188"/>
      <c r="AE177" s="188"/>
      <c r="AF177" s="188"/>
      <c r="AG177" s="188"/>
      <c r="AH177" s="188"/>
      <c r="AI177" s="188"/>
      <c r="AJ177" s="188"/>
      <c r="AK177" s="188"/>
      <c r="AL177" s="188"/>
      <c r="AM177" s="188"/>
      <c r="AN177" s="188"/>
      <c r="AO177" s="188"/>
      <c r="AP177" s="188"/>
      <c r="AQ177" s="188"/>
      <c r="AR177" s="188"/>
      <c r="AS177" s="188"/>
      <c r="AT177" s="188"/>
      <c r="AU177" s="188"/>
      <c r="AV177" s="188"/>
      <c r="AW177" s="188"/>
      <c r="AX177" s="188"/>
      <c r="AY177" s="188"/>
      <c r="AZ177" s="188"/>
      <c r="BA177" s="188"/>
      <c r="BB177" s="188"/>
      <c r="BC177" s="188"/>
      <c r="BD177" s="188"/>
      <c r="BE177" s="188"/>
      <c r="BF177" s="188"/>
    </row>
    <row r="178" spans="1:58" s="89" customFormat="1" hidden="1" outlineLevel="1" x14ac:dyDescent="0.2">
      <c r="A178" s="728"/>
      <c r="B178" s="193" t="s">
        <v>77</v>
      </c>
      <c r="C178" s="194"/>
      <c r="D178" s="195"/>
      <c r="E178" s="196"/>
      <c r="F178" s="196"/>
      <c r="G178" s="196">
        <v>15584</v>
      </c>
      <c r="H178" s="194"/>
      <c r="I178" s="194"/>
      <c r="J178" s="194"/>
      <c r="K178" s="194"/>
      <c r="L178" s="194"/>
      <c r="O178" s="219">
        <v>6454</v>
      </c>
      <c r="Q178" s="240"/>
    </row>
    <row r="179" spans="1:58" s="714" customFormat="1" ht="14.25" hidden="1" customHeight="1" outlineLevel="1" x14ac:dyDescent="0.2">
      <c r="A179" s="728"/>
      <c r="B179" s="1144" t="s">
        <v>78</v>
      </c>
      <c r="C179" s="1145"/>
      <c r="D179" s="1146"/>
      <c r="E179" s="1147"/>
      <c r="F179" s="1147"/>
      <c r="G179" s="1147">
        <v>2000</v>
      </c>
      <c r="H179" s="1145"/>
      <c r="I179" s="1145"/>
      <c r="J179" s="1145"/>
      <c r="K179" s="1145"/>
      <c r="L179" s="1145"/>
      <c r="M179" s="722"/>
      <c r="O179" s="715">
        <f>SUM(D179:I179)</f>
        <v>2000</v>
      </c>
      <c r="Q179" s="716"/>
      <c r="R179" s="717"/>
    </row>
    <row r="180" spans="1:58" s="229" customFormat="1" ht="14.25" hidden="1" customHeight="1" outlineLevel="1" x14ac:dyDescent="0.2">
      <c r="A180" s="728"/>
      <c r="B180" s="199" t="s">
        <v>79</v>
      </c>
      <c r="C180" s="200"/>
      <c r="D180" s="201"/>
      <c r="E180" s="202"/>
      <c r="F180" s="202"/>
      <c r="G180" s="202"/>
      <c r="H180" s="1123"/>
      <c r="I180" s="200"/>
      <c r="J180" s="200"/>
      <c r="K180" s="200"/>
      <c r="L180" s="200"/>
      <c r="O180" s="221">
        <f>SUM(D180:I180)</f>
        <v>0</v>
      </c>
      <c r="Q180" s="240"/>
      <c r="T180" s="230"/>
      <c r="U180" s="230"/>
      <c r="V180" s="230"/>
      <c r="W180" s="230"/>
    </row>
    <row r="181" spans="1:58" s="229" customFormat="1" ht="14.25" hidden="1" customHeight="1" outlineLevel="1" x14ac:dyDescent="0.2">
      <c r="A181" s="728"/>
      <c r="B181" s="204" t="s">
        <v>80</v>
      </c>
      <c r="C181" s="205"/>
      <c r="D181" s="206"/>
      <c r="E181" s="206">
        <f>E176-E175</f>
        <v>0</v>
      </c>
      <c r="F181" s="206">
        <f t="shared" ref="F181:G181" si="129">F176-F175</f>
        <v>0</v>
      </c>
      <c r="G181" s="206">
        <f t="shared" si="129"/>
        <v>0</v>
      </c>
      <c r="H181" s="1124">
        <f t="shared" ref="H181:L181" si="130">H176-H175</f>
        <v>0</v>
      </c>
      <c r="I181" s="206">
        <f t="shared" si="130"/>
        <v>0</v>
      </c>
      <c r="J181" s="206">
        <f t="shared" si="130"/>
        <v>0</v>
      </c>
      <c r="K181" s="206">
        <f t="shared" si="130"/>
        <v>0</v>
      </c>
      <c r="L181" s="206">
        <f t="shared" si="130"/>
        <v>0</v>
      </c>
      <c r="O181" s="223">
        <f>O175-O176</f>
        <v>0</v>
      </c>
      <c r="Q181" s="240"/>
      <c r="T181" s="230"/>
      <c r="U181" s="230"/>
      <c r="V181" s="230"/>
      <c r="W181" s="230"/>
    </row>
    <row r="182" spans="1:58" s="139" customFormat="1" ht="28.5" hidden="1" customHeight="1" outlineLevel="1" x14ac:dyDescent="0.2">
      <c r="A182" s="729"/>
      <c r="B182" s="241" t="s">
        <v>108</v>
      </c>
      <c r="C182" s="241"/>
      <c r="D182" s="242"/>
      <c r="E182" s="242" t="e">
        <f>E173-E179</f>
        <v>#REF!</v>
      </c>
      <c r="F182" s="242" t="e">
        <f>F173-F179</f>
        <v>#REF!</v>
      </c>
      <c r="G182" s="242">
        <f>G173-G179+G181</f>
        <v>342785.65426914697</v>
      </c>
      <c r="H182" s="242">
        <f t="shared" ref="H182:L182" si="131">H173-H179+H181</f>
        <v>1695981.9899961364</v>
      </c>
      <c r="I182" s="242">
        <f t="shared" si="131"/>
        <v>1098572.5137286822</v>
      </c>
      <c r="J182" s="242">
        <f t="shared" si="131"/>
        <v>1243104.3373594861</v>
      </c>
      <c r="K182" s="242">
        <f t="shared" si="131"/>
        <v>3754906.9628555248</v>
      </c>
      <c r="L182" s="242">
        <f t="shared" si="131"/>
        <v>9280028.7929329742</v>
      </c>
      <c r="O182" s="224"/>
      <c r="Q182" s="181"/>
    </row>
    <row r="183" spans="1:58" s="139" customFormat="1" ht="28.15" hidden="1" customHeight="1" outlineLevel="1" x14ac:dyDescent="0.2">
      <c r="A183" s="181"/>
      <c r="B183" s="243"/>
      <c r="C183" s="244"/>
      <c r="D183" s="213"/>
      <c r="E183" s="213"/>
      <c r="F183" s="213"/>
      <c r="G183" s="213"/>
      <c r="H183" s="1125"/>
      <c r="I183" s="213"/>
      <c r="J183" s="213"/>
      <c r="K183" s="213"/>
      <c r="L183" s="213"/>
      <c r="Q183" s="181"/>
    </row>
    <row r="184" spans="1:58" s="186" customFormat="1" ht="30.75" hidden="1" customHeight="1" outlineLevel="1" x14ac:dyDescent="0.2">
      <c r="A184" s="726" t="s">
        <v>109</v>
      </c>
      <c r="B184" s="235" t="s">
        <v>110</v>
      </c>
      <c r="C184" s="236"/>
      <c r="D184" s="237"/>
      <c r="E184" s="237"/>
      <c r="F184" s="237">
        <v>0</v>
      </c>
      <c r="G184" s="237">
        <v>21816</v>
      </c>
      <c r="H184" s="237">
        <f>SUM(H187:H190)</f>
        <v>613434</v>
      </c>
      <c r="I184" s="237">
        <f>SUM(I187:I190)</f>
        <v>0</v>
      </c>
      <c r="J184" s="237"/>
      <c r="K184" s="237"/>
      <c r="L184" s="237"/>
      <c r="M184" s="225"/>
      <c r="N184" s="225"/>
      <c r="O184" s="217">
        <v>6454</v>
      </c>
      <c r="P184" s="188"/>
      <c r="Q184" s="139"/>
      <c r="R184" s="238"/>
      <c r="S184" s="188"/>
      <c r="T184" s="188"/>
      <c r="U184" s="188"/>
      <c r="V184" s="188"/>
      <c r="W184" s="188"/>
      <c r="X184" s="188"/>
      <c r="Y184" s="188"/>
      <c r="Z184" s="188"/>
      <c r="AA184" s="188"/>
      <c r="AB184" s="188"/>
      <c r="AC184" s="188"/>
      <c r="AD184" s="188"/>
      <c r="AE184" s="188"/>
      <c r="AF184" s="188"/>
      <c r="AG184" s="188"/>
      <c r="AH184" s="188"/>
      <c r="AI184" s="188"/>
      <c r="AJ184" s="188"/>
      <c r="AK184" s="188"/>
      <c r="AL184" s="188"/>
      <c r="AM184" s="188"/>
      <c r="AN184" s="188"/>
      <c r="AO184" s="188"/>
      <c r="AP184" s="188"/>
      <c r="AQ184" s="188"/>
      <c r="AR184" s="188"/>
      <c r="AS184" s="188"/>
      <c r="AT184" s="188"/>
      <c r="AU184" s="188"/>
      <c r="AV184" s="188"/>
      <c r="AW184" s="188"/>
      <c r="AX184" s="188"/>
      <c r="AY184" s="188"/>
      <c r="AZ184" s="188"/>
      <c r="BA184" s="188"/>
      <c r="BB184" s="188"/>
      <c r="BC184" s="188"/>
      <c r="BD184" s="188"/>
      <c r="BE184" s="188"/>
      <c r="BF184" s="188"/>
    </row>
    <row r="185" spans="1:58" s="186" customFormat="1" hidden="1" outlineLevel="1" x14ac:dyDescent="0.2">
      <c r="A185" s="727"/>
      <c r="B185" s="189" t="s">
        <v>75</v>
      </c>
      <c r="C185" s="190"/>
      <c r="D185" s="191"/>
      <c r="E185" s="191"/>
      <c r="F185" s="191">
        <f>SUM(F186:F190)</f>
        <v>0</v>
      </c>
      <c r="G185" s="191">
        <f>SUM(G186:G190)</f>
        <v>21816</v>
      </c>
      <c r="H185" s="191">
        <f>SUM(H186:H190)</f>
        <v>613434</v>
      </c>
      <c r="I185" s="191">
        <f>SUM(I186:I190)</f>
        <v>0</v>
      </c>
      <c r="J185" s="191"/>
      <c r="K185" s="191"/>
      <c r="L185" s="191"/>
      <c r="M185" s="225"/>
      <c r="N185" s="225"/>
      <c r="O185" s="218">
        <v>6454</v>
      </c>
      <c r="P185" s="188"/>
      <c r="Q185" s="139"/>
      <c r="R185"/>
      <c r="S185"/>
      <c r="T185"/>
      <c r="U185"/>
      <c r="V185"/>
      <c r="W185"/>
      <c r="X185" s="188"/>
      <c r="Y185" s="188"/>
      <c r="Z185" s="188"/>
      <c r="AA185" s="188"/>
      <c r="AB185" s="188"/>
      <c r="AC185" s="188"/>
      <c r="AD185" s="188"/>
      <c r="AE185" s="188"/>
      <c r="AF185" s="188"/>
      <c r="AG185" s="188"/>
      <c r="AH185" s="188"/>
      <c r="AI185" s="188"/>
      <c r="AJ185" s="188"/>
      <c r="AK185" s="188"/>
      <c r="AL185" s="188"/>
      <c r="AM185" s="188"/>
      <c r="AN185" s="188"/>
      <c r="AO185" s="188"/>
      <c r="AP185" s="188"/>
      <c r="AQ185" s="188"/>
      <c r="AR185" s="188"/>
      <c r="AS185" s="188"/>
      <c r="AT185" s="188"/>
      <c r="AU185" s="188"/>
      <c r="AV185" s="188"/>
      <c r="AW185" s="188"/>
      <c r="AX185" s="188"/>
      <c r="AY185" s="188"/>
      <c r="AZ185" s="188"/>
      <c r="BA185" s="188"/>
      <c r="BB185" s="188"/>
      <c r="BC185" s="188"/>
      <c r="BD185" s="188"/>
      <c r="BE185" s="188"/>
      <c r="BF185" s="188"/>
    </row>
    <row r="186" spans="1:58" s="186" customFormat="1" hidden="1" outlineLevel="1" x14ac:dyDescent="0.2">
      <c r="A186" s="727"/>
      <c r="B186" s="193" t="s">
        <v>76</v>
      </c>
      <c r="C186" s="194"/>
      <c r="D186" s="195"/>
      <c r="E186" s="196"/>
      <c r="F186" s="196"/>
      <c r="G186" s="196"/>
      <c r="H186" s="768"/>
      <c r="I186" s="194"/>
      <c r="J186" s="194"/>
      <c r="K186" s="194"/>
      <c r="L186" s="194"/>
      <c r="O186" s="219">
        <v>0</v>
      </c>
      <c r="P186" s="188"/>
      <c r="Q186" s="226"/>
      <c r="R186" s="139"/>
      <c r="S186" s="139"/>
      <c r="T186" s="139"/>
      <c r="U186" s="139"/>
      <c r="V186" s="139"/>
      <c r="W186" s="139"/>
      <c r="X186" s="139"/>
      <c r="Y186" s="188"/>
      <c r="Z186" s="188"/>
      <c r="AA186" s="188"/>
      <c r="AB186" s="188"/>
      <c r="AC186" s="188"/>
      <c r="AD186" s="188"/>
      <c r="AE186" s="188"/>
      <c r="AF186" s="188"/>
      <c r="AG186" s="188"/>
      <c r="AH186" s="188"/>
      <c r="AI186" s="188"/>
      <c r="AJ186" s="188"/>
      <c r="AK186" s="188"/>
      <c r="AL186" s="188"/>
      <c r="AM186" s="188"/>
      <c r="AN186" s="188"/>
      <c r="AO186" s="188"/>
      <c r="AP186" s="188"/>
      <c r="AQ186" s="188"/>
      <c r="AR186" s="188"/>
      <c r="AS186" s="188"/>
      <c r="AT186" s="188"/>
      <c r="AU186" s="188"/>
      <c r="AV186" s="188"/>
      <c r="AW186" s="188"/>
      <c r="AX186" s="188"/>
      <c r="AY186" s="188"/>
      <c r="AZ186" s="188"/>
      <c r="BA186" s="188"/>
      <c r="BB186" s="188"/>
      <c r="BC186" s="188"/>
      <c r="BD186" s="188"/>
      <c r="BE186" s="188"/>
      <c r="BF186" s="188"/>
    </row>
    <row r="187" spans="1:58" s="89" customFormat="1" hidden="1" outlineLevel="1" x14ac:dyDescent="0.2">
      <c r="A187" s="728"/>
      <c r="B187" s="193" t="s">
        <v>77</v>
      </c>
      <c r="C187" s="194"/>
      <c r="D187" s="195"/>
      <c r="E187" s="196"/>
      <c r="F187" s="196"/>
      <c r="G187" s="196"/>
      <c r="H187" s="196">
        <v>270000</v>
      </c>
      <c r="I187" s="194"/>
      <c r="J187" s="194"/>
      <c r="K187" s="194"/>
      <c r="L187" s="194"/>
      <c r="O187" s="219">
        <v>6454</v>
      </c>
      <c r="Q187" s="240"/>
    </row>
    <row r="188" spans="1:58" s="89" customFormat="1" hidden="1" outlineLevel="1" x14ac:dyDescent="0.2">
      <c r="A188" s="728"/>
      <c r="B188" s="193" t="s">
        <v>701</v>
      </c>
      <c r="C188" s="194"/>
      <c r="D188" s="195"/>
      <c r="E188" s="196"/>
      <c r="F188" s="196"/>
      <c r="G188" s="196"/>
      <c r="H188" s="196">
        <v>150000</v>
      </c>
      <c r="I188" s="194"/>
      <c r="J188" s="194"/>
      <c r="K188" s="194"/>
      <c r="L188" s="194"/>
      <c r="O188" s="219"/>
      <c r="Q188" s="240"/>
    </row>
    <row r="189" spans="1:58" s="714" customFormat="1" ht="14.25" hidden="1" customHeight="1" outlineLevel="1" x14ac:dyDescent="0.2">
      <c r="A189" s="728"/>
      <c r="B189" s="1149" t="s">
        <v>78</v>
      </c>
      <c r="C189" s="1150"/>
      <c r="D189" s="1151"/>
      <c r="E189" s="1148"/>
      <c r="F189" s="1148"/>
      <c r="G189" s="1148">
        <v>21816</v>
      </c>
      <c r="H189" s="1148">
        <v>193434</v>
      </c>
      <c r="I189" s="1148"/>
      <c r="J189" s="1148"/>
      <c r="K189" s="1150"/>
      <c r="L189" s="1150"/>
      <c r="M189" s="722"/>
      <c r="O189" s="715">
        <f>SUM(D189:I189)</f>
        <v>215250</v>
      </c>
      <c r="Q189" s="716"/>
      <c r="R189" s="717"/>
    </row>
    <row r="190" spans="1:58" s="229" customFormat="1" ht="14.25" hidden="1" customHeight="1" outlineLevel="1" x14ac:dyDescent="0.2">
      <c r="A190" s="728"/>
      <c r="B190" s="199" t="s">
        <v>79</v>
      </c>
      <c r="C190" s="200"/>
      <c r="D190" s="201"/>
      <c r="E190" s="202"/>
      <c r="F190" s="202"/>
      <c r="G190" s="202"/>
      <c r="H190" s="1123"/>
      <c r="I190" s="200"/>
      <c r="J190" s="200"/>
      <c r="K190" s="200"/>
      <c r="L190" s="200"/>
      <c r="O190" s="221">
        <f>SUM(D190:I190)</f>
        <v>0</v>
      </c>
      <c r="Q190" s="240"/>
      <c r="T190" s="230"/>
      <c r="U190" s="230"/>
      <c r="V190" s="230"/>
      <c r="W190" s="230"/>
    </row>
    <row r="191" spans="1:58" s="229" customFormat="1" ht="14.25" hidden="1" customHeight="1" outlineLevel="1" x14ac:dyDescent="0.2">
      <c r="A191" s="728"/>
      <c r="B191" s="204" t="s">
        <v>80</v>
      </c>
      <c r="C191" s="205"/>
      <c r="D191" s="206"/>
      <c r="E191" s="206">
        <f>E185-E184</f>
        <v>0</v>
      </c>
      <c r="F191" s="206">
        <f t="shared" ref="F191" si="132">F185-F184</f>
        <v>0</v>
      </c>
      <c r="G191" s="206">
        <f>G185-G184</f>
        <v>0</v>
      </c>
      <c r="H191" s="206">
        <f>H185-H184</f>
        <v>0</v>
      </c>
      <c r="I191" s="206">
        <f t="shared" ref="I191:L191" si="133">I185-I184</f>
        <v>0</v>
      </c>
      <c r="J191" s="206">
        <f t="shared" si="133"/>
        <v>0</v>
      </c>
      <c r="K191" s="206">
        <f t="shared" si="133"/>
        <v>0</v>
      </c>
      <c r="L191" s="206">
        <f t="shared" si="133"/>
        <v>0</v>
      </c>
      <c r="O191" s="223">
        <f>O184-O185</f>
        <v>0</v>
      </c>
      <c r="Q191" s="240"/>
      <c r="T191" s="230"/>
      <c r="U191" s="230"/>
      <c r="V191" s="230"/>
      <c r="W191" s="230"/>
    </row>
    <row r="192" spans="1:58" s="139" customFormat="1" ht="28.5" hidden="1" customHeight="1" outlineLevel="1" x14ac:dyDescent="0.2">
      <c r="A192" s="729"/>
      <c r="B192" s="241" t="s">
        <v>111</v>
      </c>
      <c r="C192" s="241"/>
      <c r="D192" s="242"/>
      <c r="E192" s="242" t="e">
        <f>E182-E189</f>
        <v>#REF!</v>
      </c>
      <c r="F192" s="242" t="e">
        <f>F182-F189</f>
        <v>#REF!</v>
      </c>
      <c r="G192" s="242">
        <f>G182-G189+G191</f>
        <v>320969.65426914697</v>
      </c>
      <c r="H192" s="242">
        <f t="shared" ref="H192:L192" si="134">H182-H189+H191</f>
        <v>1502547.9899961364</v>
      </c>
      <c r="I192" s="242">
        <f t="shared" si="134"/>
        <v>1098572.5137286822</v>
      </c>
      <c r="J192" s="242">
        <f t="shared" si="134"/>
        <v>1243104.3373594861</v>
      </c>
      <c r="K192" s="242">
        <f t="shared" si="134"/>
        <v>3754906.9628555248</v>
      </c>
      <c r="L192" s="242">
        <f t="shared" si="134"/>
        <v>9280028.7929329742</v>
      </c>
      <c r="O192" s="224"/>
      <c r="Q192" s="181"/>
    </row>
    <row r="193" spans="1:58" s="139" customFormat="1" ht="28.15" hidden="1" customHeight="1" outlineLevel="1" x14ac:dyDescent="0.2">
      <c r="A193" s="181"/>
      <c r="B193" s="243"/>
      <c r="C193" s="244"/>
      <c r="D193" s="213"/>
      <c r="E193" s="213"/>
      <c r="F193" s="213"/>
      <c r="G193" s="213"/>
      <c r="H193" s="1125"/>
      <c r="I193" s="213"/>
      <c r="J193" s="213"/>
      <c r="K193" s="213"/>
      <c r="L193" s="213"/>
      <c r="Q193" s="181"/>
    </row>
    <row r="194" spans="1:58" s="186" customFormat="1" ht="31.9" hidden="1" customHeight="1" outlineLevel="1" x14ac:dyDescent="0.2">
      <c r="A194" s="726" t="s">
        <v>112</v>
      </c>
      <c r="B194" s="235" t="s">
        <v>113</v>
      </c>
      <c r="C194" s="236"/>
      <c r="D194" s="237"/>
      <c r="E194" s="237"/>
      <c r="F194" s="237">
        <v>0</v>
      </c>
      <c r="G194" s="237">
        <v>6857</v>
      </c>
      <c r="H194" s="237">
        <v>268727.84999999998</v>
      </c>
      <c r="I194" s="237"/>
      <c r="J194" s="237"/>
      <c r="K194" s="237"/>
      <c r="L194" s="237"/>
      <c r="M194" s="225"/>
      <c r="N194" s="225"/>
      <c r="O194" s="217">
        <v>6454</v>
      </c>
      <c r="P194" s="188"/>
      <c r="Q194" s="139"/>
      <c r="R194" s="238"/>
      <c r="S194" s="188"/>
      <c r="T194" s="188"/>
      <c r="U194" s="188"/>
      <c r="V194" s="188"/>
      <c r="W194" s="188"/>
      <c r="X194" s="188"/>
      <c r="Y194" s="188"/>
      <c r="Z194" s="188"/>
      <c r="AA194" s="188"/>
      <c r="AB194" s="188"/>
      <c r="AC194" s="188"/>
      <c r="AD194" s="188"/>
      <c r="AE194" s="188"/>
      <c r="AF194" s="188"/>
      <c r="AG194" s="188"/>
      <c r="AH194" s="188"/>
      <c r="AI194" s="188"/>
      <c r="AJ194" s="188"/>
      <c r="AK194" s="188"/>
      <c r="AL194" s="188"/>
      <c r="AM194" s="188"/>
      <c r="AN194" s="188"/>
      <c r="AO194" s="188"/>
      <c r="AP194" s="188"/>
      <c r="AQ194" s="188"/>
      <c r="AR194" s="188"/>
      <c r="AS194" s="188"/>
      <c r="AT194" s="188"/>
      <c r="AU194" s="188"/>
      <c r="AV194" s="188"/>
      <c r="AW194" s="188"/>
      <c r="AX194" s="188"/>
      <c r="AY194" s="188"/>
      <c r="AZ194" s="188"/>
      <c r="BA194" s="188"/>
      <c r="BB194" s="188"/>
      <c r="BC194" s="188"/>
      <c r="BD194" s="188"/>
      <c r="BE194" s="188"/>
      <c r="BF194" s="188"/>
    </row>
    <row r="195" spans="1:58" s="186" customFormat="1" hidden="1" outlineLevel="1" x14ac:dyDescent="0.2">
      <c r="A195" s="727"/>
      <c r="B195" s="189" t="s">
        <v>75</v>
      </c>
      <c r="C195" s="190"/>
      <c r="D195" s="191"/>
      <c r="E195" s="191"/>
      <c r="F195" s="191">
        <f>SUM(F196:F200)</f>
        <v>0</v>
      </c>
      <c r="G195" s="191">
        <f>SUM(G196:G200)</f>
        <v>6857</v>
      </c>
      <c r="H195" s="191">
        <f>SUM(H196:H200)</f>
        <v>268727.74</v>
      </c>
      <c r="I195" s="191">
        <f>SUM(I196:I200)</f>
        <v>0</v>
      </c>
      <c r="J195" s="191"/>
      <c r="K195" s="191"/>
      <c r="L195" s="191"/>
      <c r="M195" s="225"/>
      <c r="N195" s="225"/>
      <c r="O195" s="218">
        <v>6454</v>
      </c>
      <c r="P195" s="188"/>
      <c r="Q195" s="139"/>
      <c r="R195"/>
      <c r="S195"/>
      <c r="T195"/>
      <c r="U195"/>
      <c r="V195"/>
      <c r="W195"/>
      <c r="X195" s="188"/>
      <c r="Y195" s="188"/>
      <c r="Z195" s="188"/>
      <c r="AA195" s="188"/>
      <c r="AB195" s="188"/>
      <c r="AC195" s="188"/>
      <c r="AD195" s="188"/>
      <c r="AE195" s="188"/>
      <c r="AF195" s="188"/>
      <c r="AG195" s="188"/>
      <c r="AH195" s="188"/>
      <c r="AI195" s="188"/>
      <c r="AJ195" s="188"/>
      <c r="AK195" s="188"/>
      <c r="AL195" s="188"/>
      <c r="AM195" s="188"/>
      <c r="AN195" s="188"/>
      <c r="AO195" s="188"/>
      <c r="AP195" s="188"/>
      <c r="AQ195" s="188"/>
      <c r="AR195" s="188"/>
      <c r="AS195" s="188"/>
      <c r="AT195" s="188"/>
      <c r="AU195" s="188"/>
      <c r="AV195" s="188"/>
      <c r="AW195" s="188"/>
      <c r="AX195" s="188"/>
      <c r="AY195" s="188"/>
      <c r="AZ195" s="188"/>
      <c r="BA195" s="188"/>
      <c r="BB195" s="188"/>
      <c r="BC195" s="188"/>
      <c r="BD195" s="188"/>
      <c r="BE195" s="188"/>
      <c r="BF195" s="188"/>
    </row>
    <row r="196" spans="1:58" s="186" customFormat="1" hidden="1" outlineLevel="1" x14ac:dyDescent="0.2">
      <c r="A196" s="727"/>
      <c r="B196" s="193" t="s">
        <v>76</v>
      </c>
      <c r="C196" s="194"/>
      <c r="D196" s="195"/>
      <c r="E196" s="196"/>
      <c r="F196" s="196"/>
      <c r="G196" s="196"/>
      <c r="H196" s="194"/>
      <c r="I196" s="194"/>
      <c r="J196" s="194"/>
      <c r="K196" s="194"/>
      <c r="L196" s="194"/>
      <c r="O196" s="219">
        <v>0</v>
      </c>
      <c r="P196" s="188"/>
      <c r="Q196" s="226"/>
      <c r="R196" s="139"/>
      <c r="S196" s="139"/>
      <c r="T196" s="139"/>
      <c r="U196" s="139"/>
      <c r="V196" s="139"/>
      <c r="W196" s="139"/>
      <c r="X196" s="139"/>
      <c r="Y196" s="188"/>
      <c r="Z196" s="188"/>
      <c r="AA196" s="188"/>
      <c r="AB196" s="188"/>
      <c r="AC196" s="188"/>
      <c r="AD196" s="188"/>
      <c r="AE196" s="188"/>
      <c r="AF196" s="188"/>
      <c r="AG196" s="188"/>
      <c r="AH196" s="188"/>
      <c r="AI196" s="188"/>
      <c r="AJ196" s="188"/>
      <c r="AK196" s="188"/>
      <c r="AL196" s="188"/>
      <c r="AM196" s="188"/>
      <c r="AN196" s="188"/>
      <c r="AO196" s="188"/>
      <c r="AP196" s="188"/>
      <c r="AQ196" s="188"/>
      <c r="AR196" s="188"/>
      <c r="AS196" s="188"/>
      <c r="AT196" s="188"/>
      <c r="AU196" s="188"/>
      <c r="AV196" s="188"/>
      <c r="AW196" s="188"/>
      <c r="AX196" s="188"/>
      <c r="AY196" s="188"/>
      <c r="AZ196" s="188"/>
      <c r="BA196" s="188"/>
      <c r="BB196" s="188"/>
      <c r="BC196" s="188"/>
      <c r="BD196" s="188"/>
      <c r="BE196" s="188"/>
      <c r="BF196" s="188"/>
    </row>
    <row r="197" spans="1:58" s="89" customFormat="1" hidden="1" outlineLevel="1" x14ac:dyDescent="0.2">
      <c r="A197" s="728"/>
      <c r="B197" s="193" t="s">
        <v>77</v>
      </c>
      <c r="C197" s="194"/>
      <c r="D197" s="195"/>
      <c r="E197" s="196"/>
      <c r="F197" s="196"/>
      <c r="G197" s="196"/>
      <c r="H197" s="196">
        <f>42241+98563</f>
        <v>140804</v>
      </c>
      <c r="I197" s="769">
        <f>140804-H197</f>
        <v>0</v>
      </c>
      <c r="J197" s="194"/>
      <c r="K197" s="194"/>
      <c r="L197" s="194"/>
      <c r="O197" s="219">
        <v>6454</v>
      </c>
      <c r="Q197" s="240"/>
    </row>
    <row r="198" spans="1:58" s="89" customFormat="1" hidden="1" outlineLevel="1" x14ac:dyDescent="0.2">
      <c r="A198" s="728"/>
      <c r="B198" s="193" t="s">
        <v>700</v>
      </c>
      <c r="C198" s="194"/>
      <c r="D198" s="195"/>
      <c r="E198" s="196"/>
      <c r="F198" s="196"/>
      <c r="G198" s="196"/>
      <c r="H198" s="196">
        <f>127923.74</f>
        <v>127923.74</v>
      </c>
      <c r="I198" s="194"/>
      <c r="J198" s="194"/>
      <c r="K198" s="194"/>
      <c r="L198" s="194"/>
      <c r="M198" s="198">
        <f>I201</f>
        <v>0</v>
      </c>
      <c r="N198" s="89">
        <v>2027</v>
      </c>
      <c r="O198" s="219"/>
      <c r="Q198" s="240"/>
    </row>
    <row r="199" spans="1:58" s="714" customFormat="1" ht="14.25" hidden="1" customHeight="1" outlineLevel="1" x14ac:dyDescent="0.2">
      <c r="A199" s="728"/>
      <c r="B199" s="1144" t="s">
        <v>78</v>
      </c>
      <c r="C199" s="1145"/>
      <c r="D199" s="1146"/>
      <c r="E199" s="1147"/>
      <c r="F199" s="1147"/>
      <c r="G199" s="1147">
        <v>6857</v>
      </c>
      <c r="H199" s="1147"/>
      <c r="I199" s="1145"/>
      <c r="J199" s="1145"/>
      <c r="K199" s="1145"/>
      <c r="L199" s="1145"/>
      <c r="M199" s="722"/>
      <c r="O199" s="715">
        <f>SUM(D199:I199)</f>
        <v>6857</v>
      </c>
      <c r="Q199" s="716"/>
      <c r="R199" s="717"/>
    </row>
    <row r="200" spans="1:58" s="229" customFormat="1" ht="14.25" hidden="1" customHeight="1" outlineLevel="1" x14ac:dyDescent="0.2">
      <c r="A200" s="728"/>
      <c r="B200" s="199" t="s">
        <v>79</v>
      </c>
      <c r="C200" s="200"/>
      <c r="D200" s="201"/>
      <c r="E200" s="202"/>
      <c r="F200" s="202"/>
      <c r="G200" s="202"/>
      <c r="H200" s="1123"/>
      <c r="I200" s="200"/>
      <c r="J200" s="200"/>
      <c r="K200" s="200"/>
      <c r="L200" s="200"/>
      <c r="O200" s="221">
        <f>SUM(D200:I200)</f>
        <v>0</v>
      </c>
      <c r="Q200" s="240"/>
      <c r="T200" s="230"/>
      <c r="U200" s="230"/>
      <c r="V200" s="230"/>
      <c r="W200" s="230"/>
    </row>
    <row r="201" spans="1:58" s="229" customFormat="1" ht="14.25" hidden="1" customHeight="1" outlineLevel="1" x14ac:dyDescent="0.2">
      <c r="A201" s="728"/>
      <c r="B201" s="204" t="s">
        <v>80</v>
      </c>
      <c r="C201" s="205"/>
      <c r="D201" s="206"/>
      <c r="E201" s="206">
        <f>E195-E194</f>
        <v>0</v>
      </c>
      <c r="F201" s="206">
        <f t="shared" ref="F201:G201" si="135">F195-F194</f>
        <v>0</v>
      </c>
      <c r="G201" s="206">
        <f t="shared" si="135"/>
        <v>0</v>
      </c>
      <c r="H201" s="206">
        <f>H195-H194</f>
        <v>-0.10999999998603016</v>
      </c>
      <c r="I201" s="206">
        <f t="shared" ref="I201:L201" si="136">I195-I194</f>
        <v>0</v>
      </c>
      <c r="J201" s="206">
        <f t="shared" si="136"/>
        <v>0</v>
      </c>
      <c r="K201" s="206">
        <f t="shared" si="136"/>
        <v>0</v>
      </c>
      <c r="L201" s="206">
        <f t="shared" si="136"/>
        <v>0</v>
      </c>
      <c r="O201" s="223">
        <f>O194-O195</f>
        <v>0</v>
      </c>
      <c r="Q201" s="240"/>
      <c r="T201" s="230"/>
      <c r="U201" s="230"/>
      <c r="V201" s="230"/>
      <c r="W201" s="230"/>
    </row>
    <row r="202" spans="1:58" s="139" customFormat="1" ht="28.5" hidden="1" customHeight="1" outlineLevel="1" x14ac:dyDescent="0.2">
      <c r="A202" s="729"/>
      <c r="B202" s="241" t="s">
        <v>114</v>
      </c>
      <c r="C202" s="241"/>
      <c r="D202" s="242"/>
      <c r="E202" s="242" t="e">
        <f>E192-E199</f>
        <v>#REF!</v>
      </c>
      <c r="F202" s="242" t="e">
        <f>F192-F199</f>
        <v>#REF!</v>
      </c>
      <c r="G202" s="242">
        <f>G192-G199+G201</f>
        <v>314112.65426914697</v>
      </c>
      <c r="H202" s="242">
        <f t="shared" ref="H202:L202" si="137">H192-H199+H201</f>
        <v>1502547.8799961363</v>
      </c>
      <c r="I202" s="242">
        <f t="shared" si="137"/>
        <v>1098572.5137286822</v>
      </c>
      <c r="J202" s="242">
        <f t="shared" si="137"/>
        <v>1243104.3373594861</v>
      </c>
      <c r="K202" s="242">
        <f t="shared" si="137"/>
        <v>3754906.9628555248</v>
      </c>
      <c r="L202" s="242">
        <f t="shared" si="137"/>
        <v>9280028.7929329742</v>
      </c>
      <c r="O202" s="224"/>
      <c r="Q202" s="181"/>
    </row>
    <row r="203" spans="1:58" s="139" customFormat="1" ht="28.15" hidden="1" customHeight="1" outlineLevel="1" x14ac:dyDescent="0.2">
      <c r="A203" s="181"/>
      <c r="B203" s="243"/>
      <c r="C203" s="244"/>
      <c r="D203" s="213"/>
      <c r="E203" s="213"/>
      <c r="F203" s="213"/>
      <c r="G203" s="213"/>
      <c r="H203" s="1125"/>
      <c r="I203" s="213"/>
      <c r="J203" s="213"/>
      <c r="K203" s="213"/>
      <c r="L203" s="213"/>
      <c r="Q203" s="181"/>
    </row>
    <row r="204" spans="1:58" s="186" customFormat="1" ht="40.5" hidden="1" customHeight="1" outlineLevel="1" x14ac:dyDescent="0.2">
      <c r="A204" s="726" t="s">
        <v>115</v>
      </c>
      <c r="B204" s="235" t="s">
        <v>116</v>
      </c>
      <c r="C204" s="236"/>
      <c r="D204" s="237"/>
      <c r="E204" s="237"/>
      <c r="F204" s="237">
        <v>27821.53</v>
      </c>
      <c r="G204" s="237">
        <v>130</v>
      </c>
      <c r="H204" s="237">
        <v>2415898.0672426187</v>
      </c>
      <c r="I204" s="237">
        <f>2847772-H204-G204-F204</f>
        <v>403922.40275738132</v>
      </c>
      <c r="J204" s="237"/>
      <c r="K204" s="237"/>
      <c r="L204" s="237"/>
      <c r="M204" s="225"/>
      <c r="N204" s="225"/>
      <c r="O204" s="217">
        <v>6454</v>
      </c>
      <c r="P204" s="188"/>
      <c r="Q204" s="139"/>
      <c r="R204" s="238"/>
      <c r="S204" s="188"/>
      <c r="T204" s="188"/>
      <c r="U204" s="188"/>
      <c r="V204" s="188"/>
      <c r="W204" s="188"/>
      <c r="X204" s="188"/>
      <c r="Y204" s="188"/>
      <c r="Z204" s="188"/>
      <c r="AA204" s="188"/>
      <c r="AB204" s="188"/>
      <c r="AC204" s="188"/>
      <c r="AD204" s="188"/>
      <c r="AE204" s="188"/>
      <c r="AF204" s="188"/>
      <c r="AG204" s="188"/>
      <c r="AH204" s="188"/>
      <c r="AI204" s="188"/>
      <c r="AJ204" s="188"/>
      <c r="AK204" s="188"/>
      <c r="AL204" s="188"/>
      <c r="AM204" s="188"/>
      <c r="AN204" s="188"/>
      <c r="AO204" s="188"/>
      <c r="AP204" s="188"/>
      <c r="AQ204" s="188"/>
      <c r="AR204" s="188"/>
      <c r="AS204" s="188"/>
      <c r="AT204" s="188"/>
      <c r="AU204" s="188"/>
      <c r="AV204" s="188"/>
      <c r="AW204" s="188"/>
      <c r="AX204" s="188"/>
      <c r="AY204" s="188"/>
      <c r="AZ204" s="188"/>
      <c r="BA204" s="188"/>
      <c r="BB204" s="188"/>
      <c r="BC204" s="188"/>
      <c r="BD204" s="188"/>
      <c r="BE204" s="188"/>
      <c r="BF204" s="188"/>
    </row>
    <row r="205" spans="1:58" s="186" customFormat="1" hidden="1" outlineLevel="1" x14ac:dyDescent="0.2">
      <c r="A205" s="727"/>
      <c r="B205" s="189" t="s">
        <v>75</v>
      </c>
      <c r="C205" s="190"/>
      <c r="D205" s="191"/>
      <c r="E205" s="191"/>
      <c r="F205" s="191">
        <f>SUM(F206:F209)</f>
        <v>27821.53</v>
      </c>
      <c r="G205" s="191">
        <f>SUM(G206:G209)</f>
        <v>130</v>
      </c>
      <c r="H205" s="191">
        <f>SUM(H206:H209)</f>
        <v>2415898.0672426187</v>
      </c>
      <c r="I205" s="191">
        <f>SUM(I206:I209)</f>
        <v>403923.0027573813</v>
      </c>
      <c r="J205" s="191"/>
      <c r="K205" s="191"/>
      <c r="L205" s="191"/>
      <c r="M205" s="225"/>
      <c r="N205" s="225"/>
      <c r="O205" s="218">
        <v>6454</v>
      </c>
      <c r="P205" s="188"/>
      <c r="Q205" s="139"/>
      <c r="R205"/>
      <c r="S205"/>
      <c r="T205"/>
      <c r="U205"/>
      <c r="V205"/>
      <c r="W205"/>
      <c r="X205" s="188"/>
      <c r="Y205" s="188"/>
      <c r="Z205" s="188"/>
      <c r="AA205" s="188"/>
      <c r="AB205" s="188"/>
      <c r="AC205" s="188"/>
      <c r="AD205" s="188"/>
      <c r="AE205" s="188"/>
      <c r="AF205" s="188"/>
      <c r="AG205" s="188"/>
      <c r="AH205" s="188"/>
      <c r="AI205" s="188"/>
      <c r="AJ205" s="188"/>
      <c r="AK205" s="188"/>
      <c r="AL205" s="188"/>
      <c r="AM205" s="188"/>
      <c r="AN205" s="188"/>
      <c r="AO205" s="188"/>
      <c r="AP205" s="188"/>
      <c r="AQ205" s="188"/>
      <c r="AR205" s="188"/>
      <c r="AS205" s="188"/>
      <c r="AT205" s="188"/>
      <c r="AU205" s="188"/>
      <c r="AV205" s="188"/>
      <c r="AW205" s="188"/>
      <c r="AX205" s="188"/>
      <c r="AY205" s="188"/>
      <c r="AZ205" s="188"/>
      <c r="BA205" s="188"/>
      <c r="BB205" s="188"/>
      <c r="BC205" s="188"/>
      <c r="BD205" s="188"/>
      <c r="BE205" s="188"/>
      <c r="BF205" s="188"/>
    </row>
    <row r="206" spans="1:58" s="186" customFormat="1" hidden="1" outlineLevel="1" x14ac:dyDescent="0.2">
      <c r="A206" s="727"/>
      <c r="B206" s="193" t="s">
        <v>76</v>
      </c>
      <c r="C206" s="194"/>
      <c r="D206" s="195"/>
      <c r="E206" s="196"/>
      <c r="F206" s="196"/>
      <c r="G206" s="196"/>
      <c r="H206" s="768"/>
      <c r="I206" s="194"/>
      <c r="J206" s="194"/>
      <c r="K206" s="194"/>
      <c r="L206" s="194"/>
      <c r="O206" s="219">
        <v>0</v>
      </c>
      <c r="P206" s="188"/>
      <c r="Q206" s="226"/>
      <c r="R206" s="139"/>
      <c r="S206" s="139"/>
      <c r="T206" s="139"/>
      <c r="U206" s="139"/>
      <c r="V206" s="139"/>
      <c r="W206" s="139"/>
      <c r="X206" s="139"/>
      <c r="Y206" s="188"/>
      <c r="Z206" s="188"/>
      <c r="AA206" s="188"/>
      <c r="AB206" s="188"/>
      <c r="AC206" s="188"/>
      <c r="AD206" s="188"/>
      <c r="AE206" s="188"/>
      <c r="AF206" s="188"/>
      <c r="AG206" s="188"/>
      <c r="AH206" s="188"/>
      <c r="AI206" s="188"/>
      <c r="AJ206" s="188"/>
      <c r="AK206" s="188"/>
      <c r="AL206" s="188"/>
      <c r="AM206" s="188"/>
      <c r="AN206" s="188"/>
      <c r="AO206" s="188"/>
      <c r="AP206" s="188"/>
      <c r="AQ206" s="188"/>
      <c r="AR206" s="188"/>
      <c r="AS206" s="188"/>
      <c r="AT206" s="188"/>
      <c r="AU206" s="188"/>
      <c r="AV206" s="188"/>
      <c r="AW206" s="188"/>
      <c r="AX206" s="188"/>
      <c r="AY206" s="188"/>
      <c r="AZ206" s="188"/>
      <c r="BA206" s="188"/>
      <c r="BB206" s="188"/>
      <c r="BC206" s="188"/>
      <c r="BD206" s="188"/>
      <c r="BE206" s="188"/>
      <c r="BF206" s="188"/>
    </row>
    <row r="207" spans="1:58" s="89" customFormat="1" hidden="1" outlineLevel="1" x14ac:dyDescent="0.2">
      <c r="A207" s="728"/>
      <c r="B207" s="193" t="s">
        <v>77</v>
      </c>
      <c r="C207" s="194"/>
      <c r="D207" s="195"/>
      <c r="E207" s="196"/>
      <c r="F207" s="196"/>
      <c r="G207" s="196">
        <v>130</v>
      </c>
      <c r="H207" s="196">
        <v>1072582.0672426189</v>
      </c>
      <c r="I207" s="196">
        <f>2420606.2-H207-G207-1008046</f>
        <v>339848.1327573813</v>
      </c>
      <c r="J207" s="194"/>
      <c r="K207" s="194"/>
      <c r="L207" s="194"/>
      <c r="M207" s="89" t="s">
        <v>1218</v>
      </c>
      <c r="O207" s="219">
        <v>6454</v>
      </c>
      <c r="Q207" s="240"/>
    </row>
    <row r="208" spans="1:58" s="714" customFormat="1" ht="14.25" hidden="1" customHeight="1" outlineLevel="1" x14ac:dyDescent="0.2">
      <c r="A208" s="728"/>
      <c r="B208" s="1149" t="s">
        <v>78</v>
      </c>
      <c r="C208" s="1150"/>
      <c r="D208" s="1151"/>
      <c r="E208" s="1148"/>
      <c r="F208" s="1148">
        <v>27821.53</v>
      </c>
      <c r="G208" s="1148"/>
      <c r="H208" s="1148">
        <v>190125</v>
      </c>
      <c r="I208" s="1148">
        <v>64074.869999999995</v>
      </c>
      <c r="J208" s="1150"/>
      <c r="K208" s="1150"/>
      <c r="L208" s="1150"/>
      <c r="M208" s="720"/>
      <c r="O208" s="715">
        <f>SUM(D208:I208)</f>
        <v>282021.40000000002</v>
      </c>
      <c r="Q208" s="716"/>
      <c r="R208" s="717"/>
    </row>
    <row r="209" spans="1:58" s="229" customFormat="1" ht="14.25" hidden="1" customHeight="1" outlineLevel="1" x14ac:dyDescent="0.2">
      <c r="A209" s="728"/>
      <c r="B209" s="199" t="s">
        <v>79</v>
      </c>
      <c r="C209" s="200"/>
      <c r="D209" s="201"/>
      <c r="E209" s="202"/>
      <c r="F209" s="202"/>
      <c r="G209" s="202"/>
      <c r="H209" s="202">
        <f>320000+833191</f>
        <v>1153191</v>
      </c>
      <c r="I209" s="202"/>
      <c r="J209" s="200"/>
      <c r="K209" s="200"/>
      <c r="L209" s="200"/>
      <c r="O209" s="221">
        <f>SUM(D209:I209)</f>
        <v>1153191</v>
      </c>
      <c r="Q209" s="240"/>
      <c r="T209" s="230"/>
      <c r="U209" s="230"/>
      <c r="V209" s="230"/>
      <c r="W209" s="230"/>
    </row>
    <row r="210" spans="1:58" s="229" customFormat="1" ht="14.25" hidden="1" customHeight="1" outlineLevel="1" x14ac:dyDescent="0.2">
      <c r="A210" s="728"/>
      <c r="B210" s="204" t="s">
        <v>80</v>
      </c>
      <c r="C210" s="205"/>
      <c r="D210" s="206"/>
      <c r="E210" s="206">
        <f>E205-E204</f>
        <v>0</v>
      </c>
      <c r="F210" s="206">
        <f t="shared" ref="F210:G210" si="138">F205-F204</f>
        <v>0</v>
      </c>
      <c r="G210" s="206">
        <f t="shared" si="138"/>
        <v>0</v>
      </c>
      <c r="H210" s="1124">
        <f t="shared" ref="H210:L210" si="139">H205-H204</f>
        <v>0</v>
      </c>
      <c r="I210" s="206">
        <f t="shared" si="139"/>
        <v>0.59999999997671694</v>
      </c>
      <c r="J210" s="206">
        <f t="shared" si="139"/>
        <v>0</v>
      </c>
      <c r="K210" s="206">
        <f t="shared" si="139"/>
        <v>0</v>
      </c>
      <c r="L210" s="206">
        <f t="shared" si="139"/>
        <v>0</v>
      </c>
      <c r="O210" s="223">
        <f>O204-O205</f>
        <v>0</v>
      </c>
      <c r="Q210" s="240"/>
      <c r="T210" s="230"/>
      <c r="U210" s="230"/>
      <c r="V210" s="230"/>
      <c r="W210" s="230"/>
    </row>
    <row r="211" spans="1:58" s="139" customFormat="1" ht="28.5" hidden="1" customHeight="1" outlineLevel="1" x14ac:dyDescent="0.2">
      <c r="A211" s="729"/>
      <c r="B211" s="241" t="s">
        <v>117</v>
      </c>
      <c r="C211" s="241"/>
      <c r="D211" s="242"/>
      <c r="E211" s="242" t="e">
        <f>E202-E208</f>
        <v>#REF!</v>
      </c>
      <c r="F211" s="242" t="e">
        <f>F202-F208</f>
        <v>#REF!</v>
      </c>
      <c r="G211" s="242">
        <f>G202-G208+G210</f>
        <v>314112.65426914697</v>
      </c>
      <c r="H211" s="242">
        <f t="shared" ref="H211:L211" si="140">H202-H208+H210</f>
        <v>1312422.8799961363</v>
      </c>
      <c r="I211" s="242">
        <f t="shared" si="140"/>
        <v>1034498.2437286822</v>
      </c>
      <c r="J211" s="242">
        <f t="shared" si="140"/>
        <v>1243104.3373594861</v>
      </c>
      <c r="K211" s="242">
        <f t="shared" si="140"/>
        <v>3754906.9628555248</v>
      </c>
      <c r="L211" s="242">
        <f t="shared" si="140"/>
        <v>9280028.7929329742</v>
      </c>
      <c r="O211" s="224"/>
      <c r="Q211" s="181"/>
    </row>
    <row r="212" spans="1:58" s="139" customFormat="1" ht="28.15" hidden="1" customHeight="1" outlineLevel="1" x14ac:dyDescent="0.2">
      <c r="A212" s="181"/>
      <c r="B212" s="243"/>
      <c r="C212" s="244"/>
      <c r="D212" s="213"/>
      <c r="E212" s="213"/>
      <c r="F212" s="213"/>
      <c r="G212" s="213"/>
      <c r="H212" s="1125"/>
      <c r="I212" s="213"/>
      <c r="J212" s="213"/>
      <c r="K212" s="213"/>
      <c r="L212" s="213"/>
      <c r="Q212" s="181"/>
    </row>
    <row r="213" spans="1:58" s="186" customFormat="1" ht="30.75" hidden="1" customHeight="1" outlineLevel="1" x14ac:dyDescent="0.2">
      <c r="A213" s="726" t="s">
        <v>118</v>
      </c>
      <c r="B213" s="235" t="s">
        <v>119</v>
      </c>
      <c r="C213" s="236"/>
      <c r="D213" s="237"/>
      <c r="E213" s="237"/>
      <c r="F213" s="237"/>
      <c r="G213" s="237">
        <v>1815</v>
      </c>
      <c r="H213" s="237">
        <v>404972</v>
      </c>
      <c r="I213" s="237">
        <v>177340.72999999998</v>
      </c>
      <c r="J213" s="237"/>
      <c r="K213" s="237"/>
      <c r="L213" s="237"/>
      <c r="M213" s="225"/>
      <c r="N213" s="225"/>
      <c r="O213" s="217">
        <v>6454</v>
      </c>
      <c r="P213" s="188"/>
      <c r="Q213" s="139"/>
      <c r="R213" s="238"/>
      <c r="S213" s="188"/>
      <c r="T213" s="188"/>
      <c r="U213" s="188"/>
      <c r="V213" s="188"/>
      <c r="W213" s="188"/>
      <c r="X213" s="188"/>
      <c r="Y213" s="188"/>
      <c r="Z213" s="188"/>
      <c r="AA213" s="188"/>
      <c r="AB213" s="188"/>
      <c r="AC213" s="188"/>
      <c r="AD213" s="188"/>
      <c r="AE213" s="188"/>
      <c r="AF213" s="188"/>
      <c r="AG213" s="188"/>
      <c r="AH213" s="188"/>
      <c r="AI213" s="188"/>
      <c r="AJ213" s="188"/>
      <c r="AK213" s="188"/>
      <c r="AL213" s="188"/>
      <c r="AM213" s="188"/>
      <c r="AN213" s="188"/>
      <c r="AO213" s="188"/>
      <c r="AP213" s="188"/>
      <c r="AQ213" s="188"/>
      <c r="AR213" s="188"/>
      <c r="AS213" s="188"/>
      <c r="AT213" s="188"/>
      <c r="AU213" s="188"/>
      <c r="AV213" s="188"/>
      <c r="AW213" s="188"/>
      <c r="AX213" s="188"/>
      <c r="AY213" s="188"/>
      <c r="AZ213" s="188"/>
      <c r="BA213" s="188"/>
      <c r="BB213" s="188"/>
      <c r="BC213" s="188"/>
      <c r="BD213" s="188"/>
      <c r="BE213" s="188"/>
      <c r="BF213" s="188"/>
    </row>
    <row r="214" spans="1:58" s="186" customFormat="1" hidden="1" outlineLevel="1" x14ac:dyDescent="0.2">
      <c r="A214" s="727"/>
      <c r="B214" s="189" t="s">
        <v>75</v>
      </c>
      <c r="C214" s="190"/>
      <c r="D214" s="191"/>
      <c r="E214" s="191"/>
      <c r="F214" s="191">
        <f>SUM(F215:F218)</f>
        <v>0</v>
      </c>
      <c r="G214" s="191">
        <f>SUM(G215:G218)</f>
        <v>3630</v>
      </c>
      <c r="H214" s="191">
        <f>SUM(H215:H218)</f>
        <v>404972</v>
      </c>
      <c r="I214" s="191">
        <f>SUM(I215:I218)</f>
        <v>223875</v>
      </c>
      <c r="J214" s="191"/>
      <c r="K214" s="191"/>
      <c r="L214" s="191"/>
      <c r="M214" s="225"/>
      <c r="N214" s="225"/>
      <c r="O214" s="218">
        <v>6454</v>
      </c>
      <c r="P214" s="188"/>
      <c r="Q214" s="139"/>
      <c r="R214"/>
      <c r="S214"/>
      <c r="T214"/>
      <c r="U214"/>
      <c r="V214"/>
      <c r="W214"/>
      <c r="X214" s="188"/>
      <c r="Y214" s="188"/>
      <c r="Z214" s="188"/>
      <c r="AA214" s="188"/>
      <c r="AB214" s="188"/>
      <c r="AC214" s="188"/>
      <c r="AD214" s="188"/>
      <c r="AE214" s="188"/>
      <c r="AF214" s="188"/>
      <c r="AG214" s="188"/>
      <c r="AH214" s="188"/>
      <c r="AI214" s="188"/>
      <c r="AJ214" s="188"/>
      <c r="AK214" s="188"/>
      <c r="AL214" s="188"/>
      <c r="AM214" s="188"/>
      <c r="AN214" s="188"/>
      <c r="AO214" s="188"/>
      <c r="AP214" s="188"/>
      <c r="AQ214" s="188"/>
      <c r="AR214" s="188"/>
      <c r="AS214" s="188"/>
      <c r="AT214" s="188"/>
      <c r="AU214" s="188"/>
      <c r="AV214" s="188"/>
      <c r="AW214" s="188"/>
      <c r="AX214" s="188"/>
      <c r="AY214" s="188"/>
      <c r="AZ214" s="188"/>
      <c r="BA214" s="188"/>
      <c r="BB214" s="188"/>
      <c r="BC214" s="188"/>
      <c r="BD214" s="188"/>
      <c r="BE214" s="188"/>
      <c r="BF214" s="188"/>
    </row>
    <row r="215" spans="1:58" s="186" customFormat="1" hidden="1" outlineLevel="1" x14ac:dyDescent="0.2">
      <c r="A215" s="727"/>
      <c r="B215" s="193" t="s">
        <v>76</v>
      </c>
      <c r="C215" s="194"/>
      <c r="D215" s="195"/>
      <c r="E215" s="196"/>
      <c r="F215" s="196"/>
      <c r="G215" s="196"/>
      <c r="H215" s="196">
        <f>76125</f>
        <v>76125</v>
      </c>
      <c r="I215" s="194"/>
      <c r="J215" s="194"/>
      <c r="K215" s="194"/>
      <c r="L215" s="194"/>
      <c r="O215" s="219">
        <v>0</v>
      </c>
      <c r="P215" s="188"/>
      <c r="Q215" s="226"/>
      <c r="R215" s="139"/>
      <c r="S215" s="139"/>
      <c r="T215" s="139"/>
      <c r="U215" s="139"/>
      <c r="V215" s="139"/>
      <c r="W215" s="139"/>
      <c r="X215" s="139"/>
      <c r="Y215" s="188"/>
      <c r="Z215" s="188"/>
      <c r="AA215" s="188"/>
      <c r="AB215" s="188"/>
      <c r="AC215" s="188"/>
      <c r="AD215" s="188"/>
      <c r="AE215" s="188"/>
      <c r="AF215" s="188"/>
      <c r="AG215" s="188"/>
      <c r="AH215" s="188"/>
      <c r="AI215" s="188"/>
      <c r="AJ215" s="188"/>
      <c r="AK215" s="188"/>
      <c r="AL215" s="188"/>
      <c r="AM215" s="188"/>
      <c r="AN215" s="188"/>
      <c r="AO215" s="188"/>
      <c r="AP215" s="188"/>
      <c r="AQ215" s="188"/>
      <c r="AR215" s="188"/>
      <c r="AS215" s="188"/>
      <c r="AT215" s="188"/>
      <c r="AU215" s="188"/>
      <c r="AV215" s="188"/>
      <c r="AW215" s="188"/>
      <c r="AX215" s="188"/>
      <c r="AY215" s="188"/>
      <c r="AZ215" s="188"/>
      <c r="BA215" s="188"/>
      <c r="BB215" s="188"/>
      <c r="BC215" s="188"/>
      <c r="BD215" s="188"/>
      <c r="BE215" s="188"/>
      <c r="BF215" s="188"/>
    </row>
    <row r="216" spans="1:58" s="89" customFormat="1" hidden="1" outlineLevel="1" x14ac:dyDescent="0.2">
      <c r="A216" s="728"/>
      <c r="B216" s="193" t="s">
        <v>77</v>
      </c>
      <c r="C216" s="194"/>
      <c r="D216" s="195"/>
      <c r="E216" s="196"/>
      <c r="F216" s="196"/>
      <c r="G216" s="196">
        <v>1815</v>
      </c>
      <c r="H216" s="767"/>
      <c r="I216" s="196">
        <f>300000-H215</f>
        <v>223875</v>
      </c>
      <c r="J216" s="194"/>
      <c r="K216" s="194"/>
      <c r="L216" s="194"/>
      <c r="M216" s="198">
        <f>I219</f>
        <v>46534.270000000019</v>
      </c>
      <c r="N216" s="89">
        <v>2027</v>
      </c>
      <c r="O216" s="219">
        <v>6454</v>
      </c>
      <c r="Q216" s="240"/>
    </row>
    <row r="217" spans="1:58" s="714" customFormat="1" ht="14.25" hidden="1" customHeight="1" outlineLevel="1" x14ac:dyDescent="0.2">
      <c r="A217" s="728"/>
      <c r="B217" s="1149" t="s">
        <v>78</v>
      </c>
      <c r="C217" s="1150"/>
      <c r="D217" s="1151"/>
      <c r="E217" s="1148"/>
      <c r="F217" s="1148"/>
      <c r="G217" s="1148">
        <v>1815</v>
      </c>
      <c r="H217" s="1148">
        <v>328847</v>
      </c>
      <c r="I217" s="1148"/>
      <c r="J217" s="1150"/>
      <c r="K217" s="1150"/>
      <c r="L217" s="1150"/>
      <c r="M217" s="722"/>
      <c r="O217" s="715">
        <f>SUM(D217:I217)</f>
        <v>330662</v>
      </c>
      <c r="Q217" s="716"/>
      <c r="R217" s="717"/>
    </row>
    <row r="218" spans="1:58" s="229" customFormat="1" ht="14.25" hidden="1" customHeight="1" outlineLevel="1" x14ac:dyDescent="0.2">
      <c r="A218" s="728"/>
      <c r="B218" s="199" t="s">
        <v>79</v>
      </c>
      <c r="C218" s="200"/>
      <c r="D218" s="201"/>
      <c r="E218" s="202"/>
      <c r="F218" s="202"/>
      <c r="G218" s="202"/>
      <c r="H218" s="1123"/>
      <c r="I218" s="200"/>
      <c r="J218" s="200"/>
      <c r="K218" s="200"/>
      <c r="L218" s="200"/>
      <c r="O218" s="221">
        <f>SUM(D218:I218)</f>
        <v>0</v>
      </c>
      <c r="Q218" s="240"/>
      <c r="T218" s="230"/>
      <c r="U218" s="230"/>
      <c r="V218" s="230"/>
      <c r="W218" s="230"/>
    </row>
    <row r="219" spans="1:58" s="229" customFormat="1" ht="14.25" hidden="1" customHeight="1" outlineLevel="1" x14ac:dyDescent="0.2">
      <c r="A219" s="728"/>
      <c r="B219" s="204" t="s">
        <v>80</v>
      </c>
      <c r="C219" s="205"/>
      <c r="D219" s="206"/>
      <c r="E219" s="206">
        <f>E214-E213</f>
        <v>0</v>
      </c>
      <c r="F219" s="206">
        <f t="shared" ref="F219:G219" si="141">F214-F213</f>
        <v>0</v>
      </c>
      <c r="G219" s="206">
        <f t="shared" si="141"/>
        <v>1815</v>
      </c>
      <c r="H219" s="206">
        <f t="shared" ref="H219:L219" si="142">H214-H213</f>
        <v>0</v>
      </c>
      <c r="I219" s="206">
        <f t="shared" si="142"/>
        <v>46534.270000000019</v>
      </c>
      <c r="J219" s="206">
        <f t="shared" si="142"/>
        <v>0</v>
      </c>
      <c r="K219" s="206">
        <f t="shared" si="142"/>
        <v>0</v>
      </c>
      <c r="L219" s="206">
        <f t="shared" si="142"/>
        <v>0</v>
      </c>
      <c r="O219" s="223">
        <f>O213-O214</f>
        <v>0</v>
      </c>
      <c r="Q219" s="240"/>
      <c r="T219" s="230"/>
      <c r="U219" s="230"/>
      <c r="V219" s="230"/>
      <c r="W219" s="230"/>
    </row>
    <row r="220" spans="1:58" s="139" customFormat="1" ht="28.5" hidden="1" customHeight="1" outlineLevel="1" x14ac:dyDescent="0.2">
      <c r="A220" s="729"/>
      <c r="B220" s="241" t="s">
        <v>120</v>
      </c>
      <c r="C220" s="241"/>
      <c r="D220" s="242"/>
      <c r="E220" s="242" t="e">
        <f>E211-E217</f>
        <v>#REF!</v>
      </c>
      <c r="F220" s="242" t="e">
        <f>F211-F217</f>
        <v>#REF!</v>
      </c>
      <c r="G220" s="242">
        <f>G211-G217+G219</f>
        <v>314112.65426914697</v>
      </c>
      <c r="H220" s="242">
        <f t="shared" ref="H220:L220" si="143">H211-H217+H219</f>
        <v>983575.8799961363</v>
      </c>
      <c r="I220" s="242">
        <f t="shared" si="143"/>
        <v>1081032.5137286822</v>
      </c>
      <c r="J220" s="242">
        <f t="shared" si="143"/>
        <v>1243104.3373594861</v>
      </c>
      <c r="K220" s="242">
        <f t="shared" si="143"/>
        <v>3754906.9628555248</v>
      </c>
      <c r="L220" s="242">
        <f t="shared" si="143"/>
        <v>9280028.7929329742</v>
      </c>
      <c r="O220" s="224"/>
      <c r="Q220" s="181"/>
    </row>
    <row r="221" spans="1:58" s="139" customFormat="1" ht="28.15" hidden="1" customHeight="1" outlineLevel="1" x14ac:dyDescent="0.2">
      <c r="A221" s="181"/>
      <c r="B221" s="243"/>
      <c r="C221" s="244"/>
      <c r="D221" s="213"/>
      <c r="E221" s="213"/>
      <c r="F221" s="213"/>
      <c r="G221" s="213"/>
      <c r="H221" s="1125"/>
      <c r="I221" s="213"/>
      <c r="J221" s="213"/>
      <c r="K221" s="213"/>
      <c r="L221" s="213"/>
      <c r="Q221" s="181"/>
    </row>
    <row r="222" spans="1:58" s="186" customFormat="1" ht="44.25" hidden="1" customHeight="1" outlineLevel="1" x14ac:dyDescent="0.2">
      <c r="A222" s="726" t="s">
        <v>121</v>
      </c>
      <c r="B222" s="235" t="s">
        <v>652</v>
      </c>
      <c r="C222" s="236"/>
      <c r="D222" s="237"/>
      <c r="E222" s="237"/>
      <c r="F222" s="237"/>
      <c r="G222" s="237"/>
      <c r="H222" s="237">
        <v>41250</v>
      </c>
      <c r="I222" s="237">
        <v>392974.8</v>
      </c>
      <c r="J222" s="237">
        <v>392974.8</v>
      </c>
      <c r="K222" s="237"/>
      <c r="L222" s="237"/>
      <c r="M222" s="225"/>
      <c r="N222" s="225"/>
      <c r="O222" s="217">
        <v>6454</v>
      </c>
      <c r="P222" s="188"/>
      <c r="Q222" s="139"/>
      <c r="R222" s="238"/>
      <c r="S222" s="188"/>
      <c r="T222" s="188"/>
      <c r="U222" s="188"/>
      <c r="V222" s="188"/>
      <c r="W222" s="188"/>
      <c r="X222" s="188"/>
      <c r="Y222" s="188"/>
      <c r="Z222" s="188"/>
      <c r="AA222" s="188"/>
      <c r="AB222" s="188"/>
      <c r="AC222" s="188"/>
      <c r="AD222" s="188"/>
      <c r="AE222" s="188"/>
      <c r="AF222" s="188"/>
      <c r="AG222" s="188"/>
      <c r="AH222" s="188"/>
      <c r="AI222" s="188"/>
      <c r="AJ222" s="188"/>
      <c r="AK222" s="188"/>
      <c r="AL222" s="188"/>
      <c r="AM222" s="188"/>
      <c r="AN222" s="188"/>
      <c r="AO222" s="188"/>
      <c r="AP222" s="188"/>
      <c r="AQ222" s="188"/>
      <c r="AR222" s="188"/>
      <c r="AS222" s="188"/>
      <c r="AT222" s="188"/>
      <c r="AU222" s="188"/>
      <c r="AV222" s="188"/>
      <c r="AW222" s="188"/>
      <c r="AX222" s="188"/>
      <c r="AY222" s="188"/>
      <c r="AZ222" s="188"/>
      <c r="BA222" s="188"/>
      <c r="BB222" s="188"/>
      <c r="BC222" s="188"/>
      <c r="BD222" s="188"/>
      <c r="BE222" s="188"/>
      <c r="BF222" s="188"/>
    </row>
    <row r="223" spans="1:58" s="186" customFormat="1" hidden="1" outlineLevel="1" x14ac:dyDescent="0.2">
      <c r="A223" s="727"/>
      <c r="B223" s="189" t="s">
        <v>75</v>
      </c>
      <c r="C223" s="190"/>
      <c r="D223" s="191"/>
      <c r="E223" s="191"/>
      <c r="F223" s="191">
        <f>SUM(F224:F227)</f>
        <v>0</v>
      </c>
      <c r="G223" s="191">
        <f>SUM(G224:G227)</f>
        <v>0</v>
      </c>
      <c r="H223" s="191">
        <f>SUM(H224:H227)</f>
        <v>41250</v>
      </c>
      <c r="I223" s="191">
        <f>SUM(I224:I227)</f>
        <v>392974.8</v>
      </c>
      <c r="J223" s="191">
        <f>SUM(J224:J227)</f>
        <v>392974.8</v>
      </c>
      <c r="K223" s="191"/>
      <c r="L223" s="191"/>
      <c r="M223" s="225"/>
      <c r="N223" s="225"/>
      <c r="O223" s="218">
        <v>6454</v>
      </c>
      <c r="P223" s="188"/>
      <c r="Q223" s="139"/>
      <c r="R223"/>
      <c r="S223"/>
      <c r="T223"/>
      <c r="U223"/>
      <c r="V223"/>
      <c r="W223"/>
      <c r="X223" s="188"/>
      <c r="Y223" s="188"/>
      <c r="Z223" s="188"/>
      <c r="AA223" s="188"/>
      <c r="AB223" s="188"/>
      <c r="AC223" s="188"/>
      <c r="AD223" s="188"/>
      <c r="AE223" s="188"/>
      <c r="AF223" s="188"/>
      <c r="AG223" s="188"/>
      <c r="AH223" s="188"/>
      <c r="AI223" s="188"/>
      <c r="AJ223" s="188"/>
      <c r="AK223" s="188"/>
      <c r="AL223" s="188"/>
      <c r="AM223" s="188"/>
      <c r="AN223" s="188"/>
      <c r="AO223" s="188"/>
      <c r="AP223" s="188"/>
      <c r="AQ223" s="188"/>
      <c r="AR223" s="188"/>
      <c r="AS223" s="188"/>
      <c r="AT223" s="188"/>
      <c r="AU223" s="188"/>
      <c r="AV223" s="188"/>
      <c r="AW223" s="188"/>
      <c r="AX223" s="188"/>
      <c r="AY223" s="188"/>
      <c r="AZ223" s="188"/>
      <c r="BA223" s="188"/>
      <c r="BB223" s="188"/>
      <c r="BC223" s="188"/>
      <c r="BD223" s="188"/>
      <c r="BE223" s="188"/>
      <c r="BF223" s="188"/>
    </row>
    <row r="224" spans="1:58" s="186" customFormat="1" hidden="1" outlineLevel="1" x14ac:dyDescent="0.2">
      <c r="A224" s="727"/>
      <c r="B224" s="193" t="s">
        <v>76</v>
      </c>
      <c r="C224" s="194"/>
      <c r="D224" s="195"/>
      <c r="E224" s="196"/>
      <c r="F224" s="196"/>
      <c r="G224" s="196"/>
      <c r="H224" s="194"/>
      <c r="I224" s="194"/>
      <c r="J224" s="194"/>
      <c r="K224" s="194"/>
      <c r="L224" s="194"/>
      <c r="O224" s="219">
        <v>0</v>
      </c>
      <c r="P224" s="188"/>
      <c r="Q224" s="226"/>
      <c r="R224" s="139"/>
      <c r="S224" s="139"/>
      <c r="T224" s="139"/>
      <c r="U224" s="139"/>
      <c r="V224" s="139"/>
      <c r="W224" s="139"/>
      <c r="X224" s="139"/>
      <c r="Y224" s="188"/>
      <c r="Z224" s="188"/>
      <c r="AA224" s="188"/>
      <c r="AB224" s="188"/>
      <c r="AC224" s="188"/>
      <c r="AD224" s="188"/>
      <c r="AE224" s="188"/>
      <c r="AF224" s="188"/>
      <c r="AG224" s="188"/>
      <c r="AH224" s="188"/>
      <c r="AI224" s="188"/>
      <c r="AJ224" s="188"/>
      <c r="AK224" s="188"/>
      <c r="AL224" s="188"/>
      <c r="AM224" s="188"/>
      <c r="AN224" s="188"/>
      <c r="AO224" s="188"/>
      <c r="AP224" s="188"/>
      <c r="AQ224" s="188"/>
      <c r="AR224" s="188"/>
      <c r="AS224" s="188"/>
      <c r="AT224" s="188"/>
      <c r="AU224" s="188"/>
      <c r="AV224" s="188"/>
      <c r="AW224" s="188"/>
      <c r="AX224" s="188"/>
      <c r="AY224" s="188"/>
      <c r="AZ224" s="188"/>
      <c r="BA224" s="188"/>
      <c r="BB224" s="188"/>
      <c r="BC224" s="188"/>
      <c r="BD224" s="188"/>
      <c r="BE224" s="188"/>
      <c r="BF224" s="188"/>
    </row>
    <row r="225" spans="1:58" s="89" customFormat="1" hidden="1" outlineLevel="1" x14ac:dyDescent="0.2">
      <c r="A225" s="728"/>
      <c r="B225" s="193" t="s">
        <v>77</v>
      </c>
      <c r="C225" s="194"/>
      <c r="D225" s="195"/>
      <c r="E225" s="196"/>
      <c r="F225" s="196"/>
      <c r="G225" s="196"/>
      <c r="H225" s="196"/>
      <c r="I225" s="196">
        <v>166234.68</v>
      </c>
      <c r="J225" s="196">
        <v>112215.36</v>
      </c>
      <c r="K225" s="194"/>
      <c r="L225" s="194"/>
      <c r="O225" s="219">
        <v>6454</v>
      </c>
      <c r="Q225" s="240"/>
    </row>
    <row r="226" spans="1:58" s="714" customFormat="1" ht="14.25" hidden="1" customHeight="1" outlineLevel="1" x14ac:dyDescent="0.2">
      <c r="A226" s="728"/>
      <c r="B226" s="1149" t="s">
        <v>78</v>
      </c>
      <c r="C226" s="1150"/>
      <c r="D226" s="1151"/>
      <c r="E226" s="1148"/>
      <c r="F226" s="1148"/>
      <c r="G226" s="1148"/>
      <c r="H226" s="1148">
        <v>41250</v>
      </c>
      <c r="I226" s="1148">
        <v>226740.12</v>
      </c>
      <c r="J226" s="1148">
        <v>280759.44</v>
      </c>
      <c r="K226" s="1150"/>
      <c r="L226" s="1150"/>
      <c r="O226" s="715">
        <f>SUM(D226:I226)</f>
        <v>267990.12</v>
      </c>
      <c r="Q226" s="716"/>
      <c r="R226" s="717"/>
    </row>
    <row r="227" spans="1:58" s="229" customFormat="1" ht="14.25" hidden="1" customHeight="1" outlineLevel="1" x14ac:dyDescent="0.2">
      <c r="A227" s="728"/>
      <c r="B227" s="199" t="s">
        <v>79</v>
      </c>
      <c r="C227" s="200"/>
      <c r="D227" s="201"/>
      <c r="E227" s="202"/>
      <c r="F227" s="202"/>
      <c r="G227" s="202"/>
      <c r="H227" s="1126"/>
      <c r="I227" s="202"/>
      <c r="J227" s="200"/>
      <c r="K227" s="200"/>
      <c r="L227" s="200"/>
      <c r="O227" s="221">
        <f>SUM(D227:I227)</f>
        <v>0</v>
      </c>
      <c r="Q227" s="240"/>
      <c r="T227" s="230"/>
      <c r="U227" s="230"/>
      <c r="V227" s="230"/>
      <c r="W227" s="230"/>
    </row>
    <row r="228" spans="1:58" s="229" customFormat="1" ht="14.25" hidden="1" customHeight="1" outlineLevel="1" x14ac:dyDescent="0.2">
      <c r="A228" s="728"/>
      <c r="B228" s="204" t="s">
        <v>80</v>
      </c>
      <c r="C228" s="205"/>
      <c r="D228" s="206"/>
      <c r="E228" s="206">
        <f>E223-E222</f>
        <v>0</v>
      </c>
      <c r="F228" s="206">
        <f t="shared" ref="F228:G228" si="144">F223-F222</f>
        <v>0</v>
      </c>
      <c r="G228" s="206">
        <f t="shared" si="144"/>
        <v>0</v>
      </c>
      <c r="H228" s="1124">
        <f t="shared" ref="H228:L228" si="145">H223-H222</f>
        <v>0</v>
      </c>
      <c r="I228" s="206">
        <f t="shared" si="145"/>
        <v>0</v>
      </c>
      <c r="J228" s="206">
        <f>J223-J222</f>
        <v>0</v>
      </c>
      <c r="K228" s="206">
        <f t="shared" si="145"/>
        <v>0</v>
      </c>
      <c r="L228" s="206">
        <f t="shared" si="145"/>
        <v>0</v>
      </c>
      <c r="O228" s="223">
        <f>O222-O223</f>
        <v>0</v>
      </c>
      <c r="Q228" s="240"/>
      <c r="T228" s="230"/>
      <c r="U228" s="230"/>
      <c r="V228" s="230"/>
      <c r="W228" s="230"/>
    </row>
    <row r="229" spans="1:58" s="139" customFormat="1" ht="28.5" hidden="1" customHeight="1" outlineLevel="1" x14ac:dyDescent="0.2">
      <c r="A229" s="729"/>
      <c r="B229" s="241" t="s">
        <v>127</v>
      </c>
      <c r="C229" s="241"/>
      <c r="D229" s="242"/>
      <c r="E229" s="242" t="e">
        <f>E220-E226</f>
        <v>#REF!</v>
      </c>
      <c r="F229" s="242" t="e">
        <f>F220-F226</f>
        <v>#REF!</v>
      </c>
      <c r="G229" s="242">
        <f>G220-G226+G228</f>
        <v>314112.65426914697</v>
      </c>
      <c r="H229" s="242">
        <f t="shared" ref="H229:L229" si="146">H220-H226+H228</f>
        <v>942325.8799961363</v>
      </c>
      <c r="I229" s="242">
        <f t="shared" si="146"/>
        <v>854292.39372868219</v>
      </c>
      <c r="J229" s="242">
        <f t="shared" si="146"/>
        <v>962344.8973594862</v>
      </c>
      <c r="K229" s="242">
        <f t="shared" si="146"/>
        <v>3754906.9628555248</v>
      </c>
      <c r="L229" s="242">
        <f t="shared" si="146"/>
        <v>9280028.7929329742</v>
      </c>
      <c r="O229" s="224"/>
      <c r="Q229" s="181"/>
    </row>
    <row r="230" spans="1:58" s="139" customFormat="1" ht="28.15" hidden="1" customHeight="1" outlineLevel="1" x14ac:dyDescent="0.2">
      <c r="A230" s="181"/>
      <c r="B230" s="243"/>
      <c r="C230" s="244"/>
      <c r="D230" s="213"/>
      <c r="E230" s="213"/>
      <c r="F230" s="213"/>
      <c r="G230" s="213"/>
      <c r="H230" s="1125"/>
      <c r="I230" s="213"/>
      <c r="J230" s="213"/>
      <c r="K230" s="213"/>
      <c r="L230" s="213"/>
      <c r="Q230" s="181"/>
    </row>
    <row r="231" spans="1:58" s="186" customFormat="1" ht="37.5" hidden="1" customHeight="1" outlineLevel="1" x14ac:dyDescent="0.2">
      <c r="A231" s="726" t="s">
        <v>654</v>
      </c>
      <c r="B231" s="235" t="s">
        <v>705</v>
      </c>
      <c r="C231" s="236"/>
      <c r="D231" s="237"/>
      <c r="E231" s="237"/>
      <c r="F231" s="237"/>
      <c r="G231" s="237">
        <f>11350-1750</f>
        <v>9600</v>
      </c>
      <c r="H231" s="237">
        <v>16700</v>
      </c>
      <c r="I231" s="237">
        <f>SUM(I234:I236)</f>
        <v>0</v>
      </c>
      <c r="J231" s="237"/>
      <c r="K231" s="237"/>
      <c r="L231" s="237"/>
      <c r="M231" s="225"/>
      <c r="N231" s="225"/>
      <c r="O231" s="217">
        <v>6454</v>
      </c>
      <c r="P231" s="188"/>
      <c r="Q231" s="139"/>
      <c r="R231" s="238"/>
      <c r="S231" s="188"/>
      <c r="T231" s="188"/>
      <c r="U231" s="188"/>
      <c r="V231" s="188"/>
      <c r="W231" s="188"/>
      <c r="X231" s="188"/>
      <c r="Y231" s="188"/>
      <c r="Z231" s="188"/>
      <c r="AA231" s="188"/>
      <c r="AB231" s="188"/>
      <c r="AC231" s="188"/>
      <c r="AD231" s="188"/>
      <c r="AE231" s="188"/>
      <c r="AF231" s="188"/>
      <c r="AG231" s="188"/>
      <c r="AH231" s="188"/>
      <c r="AI231" s="188"/>
      <c r="AJ231" s="188"/>
      <c r="AK231" s="188"/>
      <c r="AL231" s="188"/>
      <c r="AM231" s="188"/>
      <c r="AN231" s="188"/>
      <c r="AO231" s="188"/>
      <c r="AP231" s="188"/>
      <c r="AQ231" s="188"/>
      <c r="AR231" s="188"/>
      <c r="AS231" s="188"/>
      <c r="AT231" s="188"/>
      <c r="AU231" s="188"/>
      <c r="AV231" s="188"/>
      <c r="AW231" s="188"/>
      <c r="AX231" s="188"/>
      <c r="AY231" s="188"/>
      <c r="AZ231" s="188"/>
      <c r="BA231" s="188"/>
      <c r="BB231" s="188"/>
      <c r="BC231" s="188"/>
      <c r="BD231" s="188"/>
      <c r="BE231" s="188"/>
      <c r="BF231" s="188"/>
    </row>
    <row r="232" spans="1:58" s="186" customFormat="1" hidden="1" outlineLevel="1" x14ac:dyDescent="0.2">
      <c r="A232" s="727"/>
      <c r="B232" s="189" t="s">
        <v>75</v>
      </c>
      <c r="C232" s="190"/>
      <c r="D232" s="191"/>
      <c r="E232" s="191"/>
      <c r="F232" s="191">
        <f>SUM(F233:F236)</f>
        <v>0</v>
      </c>
      <c r="G232" s="191">
        <f>SUM(G233:G236)</f>
        <v>9600</v>
      </c>
      <c r="H232" s="191">
        <f>SUM(H233:H236)</f>
        <v>16700</v>
      </c>
      <c r="I232" s="191">
        <f>SUM(I233:I236)</f>
        <v>0</v>
      </c>
      <c r="J232" s="191"/>
      <c r="K232" s="191"/>
      <c r="L232" s="191"/>
      <c r="M232" s="225"/>
      <c r="N232" s="225"/>
      <c r="O232" s="218">
        <v>6454</v>
      </c>
      <c r="P232" s="188"/>
      <c r="Q232" s="139"/>
      <c r="R232"/>
      <c r="S232"/>
      <c r="T232"/>
      <c r="U232"/>
      <c r="V232"/>
      <c r="W232"/>
      <c r="X232" s="188"/>
      <c r="Y232" s="188"/>
      <c r="Z232" s="188"/>
      <c r="AA232" s="188"/>
      <c r="AB232" s="188"/>
      <c r="AC232" s="188"/>
      <c r="AD232" s="188"/>
      <c r="AE232" s="188"/>
      <c r="AF232" s="188"/>
      <c r="AG232" s="188"/>
      <c r="AH232" s="188"/>
      <c r="AI232" s="188"/>
      <c r="AJ232" s="188"/>
      <c r="AK232" s="188"/>
      <c r="AL232" s="188"/>
      <c r="AM232" s="188"/>
      <c r="AN232" s="188"/>
      <c r="AO232" s="188"/>
      <c r="AP232" s="188"/>
      <c r="AQ232" s="188"/>
      <c r="AR232" s="188"/>
      <c r="AS232" s="188"/>
      <c r="AT232" s="188"/>
      <c r="AU232" s="188"/>
      <c r="AV232" s="188"/>
      <c r="AW232" s="188"/>
      <c r="AX232" s="188"/>
      <c r="AY232" s="188"/>
      <c r="AZ232" s="188"/>
      <c r="BA232" s="188"/>
      <c r="BB232" s="188"/>
      <c r="BC232" s="188"/>
      <c r="BD232" s="188"/>
      <c r="BE232" s="188"/>
      <c r="BF232" s="188"/>
    </row>
    <row r="233" spans="1:58" s="186" customFormat="1" hidden="1" outlineLevel="1" x14ac:dyDescent="0.2">
      <c r="A233" s="727"/>
      <c r="B233" s="193" t="s">
        <v>76</v>
      </c>
      <c r="C233" s="194"/>
      <c r="D233" s="195"/>
      <c r="E233" s="196"/>
      <c r="F233" s="196"/>
      <c r="G233" s="196"/>
      <c r="H233" s="194"/>
      <c r="I233" s="194"/>
      <c r="J233" s="194"/>
      <c r="K233" s="194"/>
      <c r="L233" s="194"/>
      <c r="O233" s="219">
        <v>0</v>
      </c>
      <c r="P233" s="188"/>
      <c r="Q233" s="226"/>
      <c r="R233" s="139"/>
      <c r="S233" s="139"/>
      <c r="T233" s="139"/>
      <c r="U233" s="139"/>
      <c r="V233" s="139"/>
      <c r="W233" s="139"/>
      <c r="X233" s="139"/>
      <c r="Y233" s="188"/>
      <c r="Z233" s="188"/>
      <c r="AA233" s="188"/>
      <c r="AB233" s="188"/>
      <c r="AC233" s="188"/>
      <c r="AD233" s="188"/>
      <c r="AE233" s="188"/>
      <c r="AF233" s="188"/>
      <c r="AG233" s="188"/>
      <c r="AH233" s="188"/>
      <c r="AI233" s="188"/>
      <c r="AJ233" s="188"/>
      <c r="AK233" s="188"/>
      <c r="AL233" s="188"/>
      <c r="AM233" s="188"/>
      <c r="AN233" s="188"/>
      <c r="AO233" s="188"/>
      <c r="AP233" s="188"/>
      <c r="AQ233" s="188"/>
      <c r="AR233" s="188"/>
      <c r="AS233" s="188"/>
      <c r="AT233" s="188"/>
      <c r="AU233" s="188"/>
      <c r="AV233" s="188"/>
      <c r="AW233" s="188"/>
      <c r="AX233" s="188"/>
      <c r="AY233" s="188"/>
      <c r="AZ233" s="188"/>
      <c r="BA233" s="188"/>
      <c r="BB233" s="188"/>
      <c r="BC233" s="188"/>
      <c r="BD233" s="188"/>
      <c r="BE233" s="188"/>
      <c r="BF233" s="188"/>
    </row>
    <row r="234" spans="1:58" s="89" customFormat="1" hidden="1" outlineLevel="1" x14ac:dyDescent="0.2">
      <c r="A234" s="728"/>
      <c r="B234" s="193" t="s">
        <v>77</v>
      </c>
      <c r="C234" s="194"/>
      <c r="D234" s="195"/>
      <c r="E234" s="196"/>
      <c r="F234" s="196"/>
      <c r="G234" s="196">
        <v>3600</v>
      </c>
      <c r="H234" s="196">
        <v>14400</v>
      </c>
      <c r="I234" s="194"/>
      <c r="J234" s="194"/>
      <c r="K234" s="194"/>
      <c r="L234" s="194"/>
      <c r="O234" s="219">
        <v>6454</v>
      </c>
      <c r="Q234" s="240"/>
    </row>
    <row r="235" spans="1:58" s="714" customFormat="1" ht="14.25" hidden="1" customHeight="1" outlineLevel="1" x14ac:dyDescent="0.2">
      <c r="A235" s="728"/>
      <c r="B235" s="1149" t="s">
        <v>78</v>
      </c>
      <c r="C235" s="1150"/>
      <c r="D235" s="1151"/>
      <c r="E235" s="1148"/>
      <c r="F235" s="1148"/>
      <c r="G235" s="1148">
        <f>7750-1750</f>
        <v>6000</v>
      </c>
      <c r="H235" s="1148">
        <v>2300</v>
      </c>
      <c r="I235" s="1150"/>
      <c r="J235" s="1150"/>
      <c r="K235" s="1150"/>
      <c r="L235" s="1150"/>
      <c r="M235" s="722"/>
      <c r="O235" s="715">
        <f>SUM(D235:I235)</f>
        <v>8300</v>
      </c>
      <c r="Q235" s="716"/>
      <c r="R235" s="717"/>
    </row>
    <row r="236" spans="1:58" s="229" customFormat="1" ht="14.25" hidden="1" customHeight="1" outlineLevel="1" x14ac:dyDescent="0.2">
      <c r="A236" s="728"/>
      <c r="B236" s="199" t="s">
        <v>79</v>
      </c>
      <c r="C236" s="200"/>
      <c r="D236" s="201"/>
      <c r="E236" s="202"/>
      <c r="F236" s="202"/>
      <c r="G236" s="202"/>
      <c r="H236" s="1123"/>
      <c r="I236" s="200"/>
      <c r="J236" s="200"/>
      <c r="K236" s="200"/>
      <c r="L236" s="200"/>
      <c r="O236" s="221">
        <f>SUM(D236:I236)</f>
        <v>0</v>
      </c>
      <c r="Q236" s="240"/>
      <c r="T236" s="230"/>
      <c r="U236" s="230"/>
      <c r="V236" s="230"/>
      <c r="W236" s="230"/>
    </row>
    <row r="237" spans="1:58" s="229" customFormat="1" ht="14.25" hidden="1" customHeight="1" outlineLevel="1" x14ac:dyDescent="0.2">
      <c r="A237" s="728"/>
      <c r="B237" s="204" t="s">
        <v>80</v>
      </c>
      <c r="C237" s="205"/>
      <c r="D237" s="206"/>
      <c r="E237" s="206">
        <f>E232-E231</f>
        <v>0</v>
      </c>
      <c r="F237" s="206">
        <f t="shared" ref="F237:H237" si="147">F232-F231</f>
        <v>0</v>
      </c>
      <c r="G237" s="206">
        <f t="shared" si="147"/>
        <v>0</v>
      </c>
      <c r="H237" s="206">
        <f t="shared" si="147"/>
        <v>0</v>
      </c>
      <c r="I237" s="206">
        <f t="shared" ref="I237:L237" si="148">I232-I231</f>
        <v>0</v>
      </c>
      <c r="J237" s="206">
        <f t="shared" si="148"/>
        <v>0</v>
      </c>
      <c r="K237" s="206">
        <f t="shared" si="148"/>
        <v>0</v>
      </c>
      <c r="L237" s="206">
        <f t="shared" si="148"/>
        <v>0</v>
      </c>
      <c r="O237" s="223">
        <f>O231-O232</f>
        <v>0</v>
      </c>
      <c r="Q237" s="240"/>
      <c r="T237" s="230"/>
      <c r="U237" s="230"/>
      <c r="V237" s="230"/>
      <c r="W237" s="230"/>
    </row>
    <row r="238" spans="1:58" s="139" customFormat="1" ht="28.5" hidden="1" customHeight="1" outlineLevel="1" x14ac:dyDescent="0.2">
      <c r="A238" s="729"/>
      <c r="B238" s="241" t="s">
        <v>128</v>
      </c>
      <c r="C238" s="241"/>
      <c r="D238" s="242"/>
      <c r="E238" s="242" t="e">
        <f>E229-E235</f>
        <v>#REF!</v>
      </c>
      <c r="F238" s="242" t="e">
        <f>F229-F235</f>
        <v>#REF!</v>
      </c>
      <c r="G238" s="242">
        <f>G229-G235+G237</f>
        <v>308112.65426914697</v>
      </c>
      <c r="H238" s="242">
        <f t="shared" ref="H238:L238" si="149">H229-H235+H237</f>
        <v>940025.8799961363</v>
      </c>
      <c r="I238" s="242">
        <f t="shared" si="149"/>
        <v>854292.39372868219</v>
      </c>
      <c r="J238" s="242">
        <f t="shared" si="149"/>
        <v>962344.8973594862</v>
      </c>
      <c r="K238" s="242">
        <f t="shared" si="149"/>
        <v>3754906.9628555248</v>
      </c>
      <c r="L238" s="242">
        <f t="shared" si="149"/>
        <v>9280028.7929329742</v>
      </c>
      <c r="O238" s="224"/>
      <c r="Q238" s="181"/>
    </row>
    <row r="239" spans="1:58" s="139" customFormat="1" ht="28.15" hidden="1" customHeight="1" outlineLevel="1" x14ac:dyDescent="0.2">
      <c r="A239" s="181"/>
      <c r="B239" s="243"/>
      <c r="C239" s="244"/>
      <c r="D239" s="213"/>
      <c r="E239" s="213"/>
      <c r="F239" s="213"/>
      <c r="G239" s="213"/>
      <c r="H239" s="1125"/>
      <c r="I239" s="213"/>
      <c r="J239" s="213"/>
      <c r="K239" s="213"/>
      <c r="L239" s="213"/>
      <c r="Q239" s="181"/>
    </row>
    <row r="240" spans="1:58" s="186" customFormat="1" ht="30.75" hidden="1" customHeight="1" outlineLevel="1" x14ac:dyDescent="0.2">
      <c r="A240" s="726" t="s">
        <v>655</v>
      </c>
      <c r="B240" s="235" t="s">
        <v>656</v>
      </c>
      <c r="C240" s="236"/>
      <c r="D240" s="237"/>
      <c r="E240" s="237"/>
      <c r="F240" s="237"/>
      <c r="G240" s="237">
        <v>0</v>
      </c>
      <c r="H240" s="237">
        <v>48400</v>
      </c>
      <c r="I240" s="237">
        <f>SUM(I243:I245)</f>
        <v>0</v>
      </c>
      <c r="J240" s="237"/>
      <c r="K240" s="237"/>
      <c r="L240" s="237"/>
      <c r="M240" s="225"/>
      <c r="N240" s="225"/>
      <c r="O240" s="217">
        <v>6454</v>
      </c>
      <c r="P240" s="188"/>
      <c r="Q240" s="139"/>
      <c r="R240" s="238"/>
      <c r="S240" s="188"/>
      <c r="T240" s="188"/>
      <c r="U240" s="188"/>
      <c r="V240" s="188"/>
      <c r="W240" s="188"/>
      <c r="X240" s="188"/>
      <c r="Y240" s="188"/>
      <c r="Z240" s="188"/>
      <c r="AA240" s="188"/>
      <c r="AB240" s="188"/>
      <c r="AC240" s="188"/>
      <c r="AD240" s="188"/>
      <c r="AE240" s="188"/>
      <c r="AF240" s="188"/>
      <c r="AG240" s="188"/>
      <c r="AH240" s="188"/>
      <c r="AI240" s="188"/>
      <c r="AJ240" s="188"/>
      <c r="AK240" s="188"/>
      <c r="AL240" s="188"/>
      <c r="AM240" s="188"/>
      <c r="AN240" s="188"/>
      <c r="AO240" s="188"/>
      <c r="AP240" s="188"/>
      <c r="AQ240" s="188"/>
      <c r="AR240" s="188"/>
      <c r="AS240" s="188"/>
      <c r="AT240" s="188"/>
      <c r="AU240" s="188"/>
      <c r="AV240" s="188"/>
      <c r="AW240" s="188"/>
      <c r="AX240" s="188"/>
      <c r="AY240" s="188"/>
      <c r="AZ240" s="188"/>
      <c r="BA240" s="188"/>
      <c r="BB240" s="188"/>
      <c r="BC240" s="188"/>
      <c r="BD240" s="188"/>
      <c r="BE240" s="188"/>
      <c r="BF240" s="188"/>
    </row>
    <row r="241" spans="1:58" s="186" customFormat="1" hidden="1" outlineLevel="1" x14ac:dyDescent="0.2">
      <c r="A241" s="727"/>
      <c r="B241" s="189" t="s">
        <v>75</v>
      </c>
      <c r="C241" s="190"/>
      <c r="D241" s="191"/>
      <c r="E241" s="191"/>
      <c r="F241" s="191">
        <f>SUM(F242:F245)</f>
        <v>0</v>
      </c>
      <c r="G241" s="191">
        <f>SUM(G242:G245)</f>
        <v>0</v>
      </c>
      <c r="H241" s="191">
        <f>SUM(H242:H245)</f>
        <v>48400</v>
      </c>
      <c r="I241" s="191">
        <f>SUM(I242:I245)</f>
        <v>0</v>
      </c>
      <c r="J241" s="191"/>
      <c r="K241" s="191"/>
      <c r="L241" s="191"/>
      <c r="M241" s="225"/>
      <c r="N241" s="225"/>
      <c r="O241" s="218">
        <v>6454</v>
      </c>
      <c r="P241" s="188"/>
      <c r="Q241" s="139"/>
      <c r="R241"/>
      <c r="S241"/>
      <c r="T241"/>
      <c r="U241"/>
      <c r="V241"/>
      <c r="W241"/>
      <c r="X241" s="188"/>
      <c r="Y241" s="188"/>
      <c r="Z241" s="188"/>
      <c r="AA241" s="188"/>
      <c r="AB241" s="188"/>
      <c r="AC241" s="188"/>
      <c r="AD241" s="188"/>
      <c r="AE241" s="188"/>
      <c r="AF241" s="188"/>
      <c r="AG241" s="188"/>
      <c r="AH241" s="188"/>
      <c r="AI241" s="188"/>
      <c r="AJ241" s="188"/>
      <c r="AK241" s="188"/>
      <c r="AL241" s="188"/>
      <c r="AM241" s="188"/>
      <c r="AN241" s="188"/>
      <c r="AO241" s="188"/>
      <c r="AP241" s="188"/>
      <c r="AQ241" s="188"/>
      <c r="AR241" s="188"/>
      <c r="AS241" s="188"/>
      <c r="AT241" s="188"/>
      <c r="AU241" s="188"/>
      <c r="AV241" s="188"/>
      <c r="AW241" s="188"/>
      <c r="AX241" s="188"/>
      <c r="AY241" s="188"/>
      <c r="AZ241" s="188"/>
      <c r="BA241" s="188"/>
      <c r="BB241" s="188"/>
      <c r="BC241" s="188"/>
      <c r="BD241" s="188"/>
      <c r="BE241" s="188"/>
      <c r="BF241" s="188"/>
    </row>
    <row r="242" spans="1:58" s="186" customFormat="1" hidden="1" outlineLevel="1" x14ac:dyDescent="0.2">
      <c r="A242" s="727"/>
      <c r="B242" s="193" t="s">
        <v>76</v>
      </c>
      <c r="C242" s="194"/>
      <c r="D242" s="195"/>
      <c r="E242" s="196"/>
      <c r="F242" s="196"/>
      <c r="G242" s="196"/>
      <c r="H242" s="194"/>
      <c r="I242" s="194"/>
      <c r="J242" s="194"/>
      <c r="K242" s="194"/>
      <c r="L242" s="194"/>
      <c r="O242" s="219">
        <v>0</v>
      </c>
      <c r="P242" s="188"/>
      <c r="Q242" s="226"/>
      <c r="R242" s="139"/>
      <c r="S242" s="139"/>
      <c r="T242" s="139"/>
      <c r="U242" s="139"/>
      <c r="V242" s="139"/>
      <c r="W242" s="139"/>
      <c r="X242" s="139"/>
      <c r="Y242" s="188"/>
      <c r="Z242" s="188"/>
      <c r="AA242" s="188"/>
      <c r="AB242" s="188"/>
      <c r="AC242" s="188"/>
      <c r="AD242" s="188"/>
      <c r="AE242" s="188"/>
      <c r="AF242" s="188"/>
      <c r="AG242" s="188"/>
      <c r="AH242" s="188"/>
      <c r="AI242" s="188"/>
      <c r="AJ242" s="188"/>
      <c r="AK242" s="188"/>
      <c r="AL242" s="188"/>
      <c r="AM242" s="188"/>
      <c r="AN242" s="188"/>
      <c r="AO242" s="188"/>
      <c r="AP242" s="188"/>
      <c r="AQ242" s="188"/>
      <c r="AR242" s="188"/>
      <c r="AS242" s="188"/>
      <c r="AT242" s="188"/>
      <c r="AU242" s="188"/>
      <c r="AV242" s="188"/>
      <c r="AW242" s="188"/>
      <c r="AX242" s="188"/>
      <c r="AY242" s="188"/>
      <c r="AZ242" s="188"/>
      <c r="BA242" s="188"/>
      <c r="BB242" s="188"/>
      <c r="BC242" s="188"/>
      <c r="BD242" s="188"/>
      <c r="BE242" s="188"/>
      <c r="BF242" s="188"/>
    </row>
    <row r="243" spans="1:58" s="89" customFormat="1" hidden="1" outlineLevel="1" x14ac:dyDescent="0.2">
      <c r="A243" s="728"/>
      <c r="B243" s="193" t="s">
        <v>77</v>
      </c>
      <c r="C243" s="194"/>
      <c r="D243" s="195"/>
      <c r="E243" s="196"/>
      <c r="F243" s="196"/>
      <c r="G243" s="196"/>
      <c r="H243" s="196">
        <v>25689.510000000002</v>
      </c>
      <c r="I243" s="194"/>
      <c r="J243" s="194"/>
      <c r="K243" s="194"/>
      <c r="L243" s="194"/>
      <c r="O243" s="219">
        <v>6454</v>
      </c>
      <c r="Q243" s="240"/>
    </row>
    <row r="244" spans="1:58" s="714" customFormat="1" ht="14.25" hidden="1" customHeight="1" outlineLevel="1" x14ac:dyDescent="0.2">
      <c r="A244" s="728"/>
      <c r="B244" s="1149" t="s">
        <v>78</v>
      </c>
      <c r="C244" s="1150"/>
      <c r="D244" s="1151"/>
      <c r="E244" s="1148"/>
      <c r="F244" s="1148"/>
      <c r="G244" s="1148"/>
      <c r="H244" s="1148">
        <v>22710.489999999998</v>
      </c>
      <c r="I244" s="1150"/>
      <c r="J244" s="1150"/>
      <c r="K244" s="1150"/>
      <c r="L244" s="1150"/>
      <c r="M244" s="720"/>
      <c r="O244" s="715">
        <f>SUM(D244:I244)</f>
        <v>22710.489999999998</v>
      </c>
      <c r="Q244" s="716"/>
      <c r="R244" s="717"/>
    </row>
    <row r="245" spans="1:58" s="229" customFormat="1" ht="14.25" hidden="1" customHeight="1" outlineLevel="1" x14ac:dyDescent="0.2">
      <c r="A245" s="728"/>
      <c r="B245" s="199" t="s">
        <v>79</v>
      </c>
      <c r="C245" s="200"/>
      <c r="D245" s="201"/>
      <c r="E245" s="202"/>
      <c r="F245" s="202"/>
      <c r="G245" s="202"/>
      <c r="H245" s="1123"/>
      <c r="I245" s="200"/>
      <c r="J245" s="200"/>
      <c r="K245" s="200"/>
      <c r="L245" s="200"/>
      <c r="O245" s="221">
        <f>SUM(D245:I245)</f>
        <v>0</v>
      </c>
      <c r="Q245" s="240"/>
      <c r="T245" s="230"/>
      <c r="U245" s="230"/>
      <c r="V245" s="230"/>
      <c r="W245" s="230"/>
    </row>
    <row r="246" spans="1:58" s="229" customFormat="1" ht="14.25" hidden="1" customHeight="1" outlineLevel="1" x14ac:dyDescent="0.2">
      <c r="A246" s="728"/>
      <c r="B246" s="204" t="s">
        <v>80</v>
      </c>
      <c r="C246" s="205"/>
      <c r="D246" s="206"/>
      <c r="E246" s="206">
        <f>E241-E240</f>
        <v>0</v>
      </c>
      <c r="F246" s="206">
        <f t="shared" ref="F246:G246" si="150">F241-F240</f>
        <v>0</v>
      </c>
      <c r="G246" s="206">
        <f t="shared" si="150"/>
        <v>0</v>
      </c>
      <c r="H246" s="1124">
        <f t="shared" ref="H246:L246" si="151">H241-H240</f>
        <v>0</v>
      </c>
      <c r="I246" s="206">
        <f t="shared" si="151"/>
        <v>0</v>
      </c>
      <c r="J246" s="206">
        <f t="shared" si="151"/>
        <v>0</v>
      </c>
      <c r="K246" s="206">
        <f t="shared" si="151"/>
        <v>0</v>
      </c>
      <c r="L246" s="206">
        <f t="shared" si="151"/>
        <v>0</v>
      </c>
      <c r="O246" s="223">
        <f>O240-O241</f>
        <v>0</v>
      </c>
      <c r="Q246" s="240"/>
      <c r="T246" s="230"/>
      <c r="U246" s="230"/>
      <c r="V246" s="230"/>
      <c r="W246" s="230"/>
    </row>
    <row r="247" spans="1:58" s="139" customFormat="1" ht="28.5" hidden="1" customHeight="1" outlineLevel="1" x14ac:dyDescent="0.2">
      <c r="A247" s="729"/>
      <c r="B247" s="241" t="s">
        <v>129</v>
      </c>
      <c r="C247" s="241"/>
      <c r="D247" s="242"/>
      <c r="E247" s="242" t="e">
        <f>E238-E244</f>
        <v>#REF!</v>
      </c>
      <c r="F247" s="242" t="e">
        <f>F238-F244</f>
        <v>#REF!</v>
      </c>
      <c r="G247" s="242">
        <f>G238-G244+G246</f>
        <v>308112.65426914697</v>
      </c>
      <c r="H247" s="242">
        <f t="shared" ref="H247:L247" si="152">H238-H244+H246</f>
        <v>917315.38999613631</v>
      </c>
      <c r="I247" s="242">
        <f t="shared" si="152"/>
        <v>854292.39372868219</v>
      </c>
      <c r="J247" s="242">
        <f t="shared" si="152"/>
        <v>962344.8973594862</v>
      </c>
      <c r="K247" s="242">
        <f t="shared" si="152"/>
        <v>3754906.9628555248</v>
      </c>
      <c r="L247" s="242">
        <f t="shared" si="152"/>
        <v>9280028.7929329742</v>
      </c>
      <c r="O247" s="224"/>
      <c r="Q247" s="181"/>
    </row>
    <row r="248" spans="1:58" s="139" customFormat="1" ht="28.15" hidden="1" customHeight="1" outlineLevel="1" x14ac:dyDescent="0.2">
      <c r="A248" s="181"/>
      <c r="B248" s="243"/>
      <c r="C248" s="244"/>
      <c r="D248" s="213"/>
      <c r="E248" s="213"/>
      <c r="F248" s="213"/>
      <c r="G248" s="213"/>
      <c r="H248" s="1125"/>
      <c r="I248" s="213"/>
      <c r="J248" s="213"/>
      <c r="K248" s="213"/>
      <c r="L248" s="213"/>
      <c r="Q248" s="181"/>
    </row>
    <row r="249" spans="1:58" s="186" customFormat="1" ht="39" hidden="1" customHeight="1" outlineLevel="1" x14ac:dyDescent="0.2">
      <c r="A249" s="726" t="s">
        <v>657</v>
      </c>
      <c r="B249" s="235" t="s">
        <v>658</v>
      </c>
      <c r="C249" s="236"/>
      <c r="D249" s="237"/>
      <c r="E249" s="237"/>
      <c r="F249" s="237"/>
      <c r="G249" s="237">
        <v>10000</v>
      </c>
      <c r="H249" s="237"/>
      <c r="I249" s="237">
        <f>SUM(I252:I254)</f>
        <v>0</v>
      </c>
      <c r="J249" s="237"/>
      <c r="K249" s="237"/>
      <c r="L249" s="237"/>
      <c r="M249" s="225"/>
      <c r="N249" s="225"/>
      <c r="O249" s="217">
        <v>6454</v>
      </c>
      <c r="P249" s="188"/>
      <c r="Q249" s="139"/>
      <c r="R249" s="238"/>
      <c r="S249" s="188"/>
      <c r="T249" s="188"/>
      <c r="U249" s="188"/>
      <c r="V249" s="188"/>
      <c r="W249" s="188"/>
      <c r="X249" s="188"/>
      <c r="Y249" s="188"/>
      <c r="Z249" s="188"/>
      <c r="AA249" s="188"/>
      <c r="AB249" s="188"/>
      <c r="AC249" s="188"/>
      <c r="AD249" s="188"/>
      <c r="AE249" s="188"/>
      <c r="AF249" s="188"/>
      <c r="AG249" s="188"/>
      <c r="AH249" s="188"/>
      <c r="AI249" s="188"/>
      <c r="AJ249" s="188"/>
      <c r="AK249" s="188"/>
      <c r="AL249" s="188"/>
      <c r="AM249" s="188"/>
      <c r="AN249" s="188"/>
      <c r="AO249" s="188"/>
      <c r="AP249" s="188"/>
      <c r="AQ249" s="188"/>
      <c r="AR249" s="188"/>
      <c r="AS249" s="188"/>
      <c r="AT249" s="188"/>
      <c r="AU249" s="188"/>
      <c r="AV249" s="188"/>
      <c r="AW249" s="188"/>
      <c r="AX249" s="188"/>
      <c r="AY249" s="188"/>
      <c r="AZ249" s="188"/>
      <c r="BA249" s="188"/>
      <c r="BB249" s="188"/>
      <c r="BC249" s="188"/>
      <c r="BD249" s="188"/>
      <c r="BE249" s="188"/>
      <c r="BF249" s="188"/>
    </row>
    <row r="250" spans="1:58" s="186" customFormat="1" hidden="1" outlineLevel="1" x14ac:dyDescent="0.2">
      <c r="A250" s="727"/>
      <c r="B250" s="189" t="s">
        <v>75</v>
      </c>
      <c r="C250" s="190"/>
      <c r="D250" s="191"/>
      <c r="E250" s="191"/>
      <c r="F250" s="191">
        <f>SUM(F251:F254)</f>
        <v>0</v>
      </c>
      <c r="G250" s="191">
        <f>SUM(G251:G254)</f>
        <v>10000</v>
      </c>
      <c r="H250" s="191">
        <f>SUM(H251:H254)</f>
        <v>7200</v>
      </c>
      <c r="I250" s="191">
        <f>SUM(I251:I254)</f>
        <v>0</v>
      </c>
      <c r="J250" s="191"/>
      <c r="K250" s="191"/>
      <c r="L250" s="191"/>
      <c r="M250" s="225"/>
      <c r="N250" s="225"/>
      <c r="O250" s="218">
        <v>6454</v>
      </c>
      <c r="P250" s="188"/>
      <c r="Q250" s="139"/>
      <c r="R250"/>
      <c r="S250"/>
      <c r="T250"/>
      <c r="U250"/>
      <c r="V250"/>
      <c r="W250"/>
      <c r="X250" s="188"/>
      <c r="Y250" s="188"/>
      <c r="Z250" s="188"/>
      <c r="AA250" s="188"/>
      <c r="AB250" s="188"/>
      <c r="AC250" s="188"/>
      <c r="AD250" s="188"/>
      <c r="AE250" s="188"/>
      <c r="AF250" s="188"/>
      <c r="AG250" s="188"/>
      <c r="AH250" s="188"/>
      <c r="AI250" s="188"/>
      <c r="AJ250" s="188"/>
      <c r="AK250" s="188"/>
      <c r="AL250" s="188"/>
      <c r="AM250" s="188"/>
      <c r="AN250" s="188"/>
      <c r="AO250" s="188"/>
      <c r="AP250" s="188"/>
      <c r="AQ250" s="188"/>
      <c r="AR250" s="188"/>
      <c r="AS250" s="188"/>
      <c r="AT250" s="188"/>
      <c r="AU250" s="188"/>
      <c r="AV250" s="188"/>
      <c r="AW250" s="188"/>
      <c r="AX250" s="188"/>
      <c r="AY250" s="188"/>
      <c r="AZ250" s="188"/>
      <c r="BA250" s="188"/>
      <c r="BB250" s="188"/>
      <c r="BC250" s="188"/>
      <c r="BD250" s="188"/>
      <c r="BE250" s="188"/>
      <c r="BF250" s="188"/>
    </row>
    <row r="251" spans="1:58" s="186" customFormat="1" hidden="1" outlineLevel="1" x14ac:dyDescent="0.2">
      <c r="A251" s="727"/>
      <c r="B251" s="193" t="s">
        <v>76</v>
      </c>
      <c r="C251" s="194"/>
      <c r="D251" s="195"/>
      <c r="E251" s="196"/>
      <c r="F251" s="196"/>
      <c r="G251" s="196"/>
      <c r="H251" s="194"/>
      <c r="I251" s="194"/>
      <c r="J251" s="194"/>
      <c r="K251" s="194"/>
      <c r="L251" s="194"/>
      <c r="O251" s="219">
        <v>0</v>
      </c>
      <c r="P251" s="188"/>
      <c r="Q251" s="226"/>
      <c r="R251" s="139"/>
      <c r="S251" s="139"/>
      <c r="T251" s="139"/>
      <c r="U251" s="139"/>
      <c r="V251" s="139"/>
      <c r="W251" s="139"/>
      <c r="X251" s="139"/>
      <c r="Y251" s="188"/>
      <c r="Z251" s="188"/>
      <c r="AA251" s="188"/>
      <c r="AB251" s="188"/>
      <c r="AC251" s="188"/>
      <c r="AD251" s="188"/>
      <c r="AE251" s="188"/>
      <c r="AF251" s="188"/>
      <c r="AG251" s="188"/>
      <c r="AH251" s="188"/>
      <c r="AI251" s="188"/>
      <c r="AJ251" s="188"/>
      <c r="AK251" s="188"/>
      <c r="AL251" s="188"/>
      <c r="AM251" s="188"/>
      <c r="AN251" s="188"/>
      <c r="AO251" s="188"/>
      <c r="AP251" s="188"/>
      <c r="AQ251" s="188"/>
      <c r="AR251" s="188"/>
      <c r="AS251" s="188"/>
      <c r="AT251" s="188"/>
      <c r="AU251" s="188"/>
      <c r="AV251" s="188"/>
      <c r="AW251" s="188"/>
      <c r="AX251" s="188"/>
      <c r="AY251" s="188"/>
      <c r="AZ251" s="188"/>
      <c r="BA251" s="188"/>
      <c r="BB251" s="188"/>
      <c r="BC251" s="188"/>
      <c r="BD251" s="188"/>
      <c r="BE251" s="188"/>
      <c r="BF251" s="188"/>
    </row>
    <row r="252" spans="1:58" s="89" customFormat="1" hidden="1" outlineLevel="1" x14ac:dyDescent="0.2">
      <c r="A252" s="728"/>
      <c r="B252" s="193" t="s">
        <v>77</v>
      </c>
      <c r="C252" s="194"/>
      <c r="D252" s="195"/>
      <c r="E252" s="196"/>
      <c r="F252" s="196"/>
      <c r="G252" s="196">
        <v>1800</v>
      </c>
      <c r="H252" s="196">
        <v>7200</v>
      </c>
      <c r="I252" s="194"/>
      <c r="J252" s="194"/>
      <c r="K252" s="194"/>
      <c r="L252" s="194"/>
      <c r="O252" s="219">
        <v>6454</v>
      </c>
      <c r="Q252" s="240"/>
    </row>
    <row r="253" spans="1:58" s="714" customFormat="1" ht="14.25" hidden="1" customHeight="1" outlineLevel="1" x14ac:dyDescent="0.2">
      <c r="A253" s="728"/>
      <c r="B253" s="1149" t="s">
        <v>78</v>
      </c>
      <c r="C253" s="1150"/>
      <c r="D253" s="1151"/>
      <c r="E253" s="1148"/>
      <c r="F253" s="1148"/>
      <c r="G253" s="1148">
        <v>8200</v>
      </c>
      <c r="H253" s="1148"/>
      <c r="I253" s="1150"/>
      <c r="J253" s="1150"/>
      <c r="K253" s="1150"/>
      <c r="L253" s="1150"/>
      <c r="M253" s="720"/>
      <c r="O253" s="715">
        <f>SUM(D253:I253)</f>
        <v>8200</v>
      </c>
      <c r="Q253" s="716"/>
      <c r="R253" s="717"/>
    </row>
    <row r="254" spans="1:58" s="229" customFormat="1" ht="14.25" hidden="1" customHeight="1" outlineLevel="1" x14ac:dyDescent="0.2">
      <c r="A254" s="728"/>
      <c r="B254" s="199" t="s">
        <v>79</v>
      </c>
      <c r="C254" s="200"/>
      <c r="D254" s="201"/>
      <c r="E254" s="202"/>
      <c r="F254" s="202"/>
      <c r="G254" s="202"/>
      <c r="H254" s="1123"/>
      <c r="I254" s="200"/>
      <c r="J254" s="200"/>
      <c r="K254" s="200"/>
      <c r="L254" s="200"/>
      <c r="O254" s="221">
        <f>SUM(D254:I254)</f>
        <v>0</v>
      </c>
      <c r="Q254" s="240"/>
      <c r="T254" s="230"/>
      <c r="U254" s="230"/>
      <c r="V254" s="230"/>
      <c r="W254" s="230"/>
    </row>
    <row r="255" spans="1:58" s="229" customFormat="1" ht="14.25" hidden="1" customHeight="1" outlineLevel="1" x14ac:dyDescent="0.2">
      <c r="A255" s="728"/>
      <c r="B255" s="204" t="s">
        <v>80</v>
      </c>
      <c r="C255" s="205"/>
      <c r="D255" s="206"/>
      <c r="E255" s="206">
        <f>E250-E249</f>
        <v>0</v>
      </c>
      <c r="F255" s="206">
        <f t="shared" ref="F255:G255" si="153">F250-F249</f>
        <v>0</v>
      </c>
      <c r="G255" s="206">
        <f t="shared" si="153"/>
        <v>0</v>
      </c>
      <c r="H255" s="206">
        <f>H250-H249</f>
        <v>7200</v>
      </c>
      <c r="I255" s="206">
        <f t="shared" ref="I255:L255" si="154">I250-I249</f>
        <v>0</v>
      </c>
      <c r="J255" s="206">
        <f t="shared" si="154"/>
        <v>0</v>
      </c>
      <c r="K255" s="206">
        <f t="shared" si="154"/>
        <v>0</v>
      </c>
      <c r="L255" s="206">
        <f t="shared" si="154"/>
        <v>0</v>
      </c>
      <c r="O255" s="223">
        <f>O249-O250</f>
        <v>0</v>
      </c>
      <c r="Q255" s="240"/>
      <c r="T255" s="230"/>
      <c r="U255" s="230"/>
      <c r="V255" s="230"/>
      <c r="W255" s="230"/>
    </row>
    <row r="256" spans="1:58" s="139" customFormat="1" ht="28.5" hidden="1" customHeight="1" outlineLevel="1" x14ac:dyDescent="0.2">
      <c r="A256" s="729"/>
      <c r="B256" s="241" t="s">
        <v>130</v>
      </c>
      <c r="C256" s="241"/>
      <c r="D256" s="242"/>
      <c r="E256" s="242" t="e">
        <f>E247-E253</f>
        <v>#REF!</v>
      </c>
      <c r="F256" s="242" t="e">
        <f>F247-F253</f>
        <v>#REF!</v>
      </c>
      <c r="G256" s="242">
        <f>G247-G253+G255</f>
        <v>299912.65426914697</v>
      </c>
      <c r="H256" s="242">
        <f t="shared" ref="H256:L256" si="155">H247-H253+H255</f>
        <v>924515.38999613631</v>
      </c>
      <c r="I256" s="242">
        <f t="shared" si="155"/>
        <v>854292.39372868219</v>
      </c>
      <c r="J256" s="242">
        <f t="shared" si="155"/>
        <v>962344.8973594862</v>
      </c>
      <c r="K256" s="242">
        <f t="shared" si="155"/>
        <v>3754906.9628555248</v>
      </c>
      <c r="L256" s="242">
        <f t="shared" si="155"/>
        <v>9280028.7929329742</v>
      </c>
      <c r="O256" s="224"/>
      <c r="Q256" s="181"/>
    </row>
    <row r="257" spans="1:58" s="139" customFormat="1" ht="28.15" hidden="1" customHeight="1" outlineLevel="1" x14ac:dyDescent="0.2">
      <c r="A257" s="181"/>
      <c r="B257" s="243"/>
      <c r="C257" s="244"/>
      <c r="D257" s="213"/>
      <c r="E257" s="213"/>
      <c r="F257" s="213"/>
      <c r="G257" s="213"/>
      <c r="H257" s="1125"/>
      <c r="I257" s="213"/>
      <c r="J257" s="213"/>
      <c r="K257" s="213"/>
      <c r="L257" s="213"/>
      <c r="Q257" s="181"/>
    </row>
    <row r="258" spans="1:58" s="186" customFormat="1" ht="24.75" hidden="1" customHeight="1" outlineLevel="1" x14ac:dyDescent="0.2">
      <c r="A258" s="726" t="s">
        <v>659</v>
      </c>
      <c r="B258" s="235" t="s">
        <v>661</v>
      </c>
      <c r="C258" s="236"/>
      <c r="D258" s="237"/>
      <c r="E258" s="237"/>
      <c r="F258" s="237"/>
      <c r="G258" s="237">
        <v>10708.1955</v>
      </c>
      <c r="H258" s="237">
        <v>20933.849999999999</v>
      </c>
      <c r="I258" s="237">
        <f>SUM(I261:I263)</f>
        <v>0</v>
      </c>
      <c r="J258" s="237"/>
      <c r="K258" s="237"/>
      <c r="L258" s="237"/>
      <c r="M258" s="225"/>
      <c r="N258" s="225"/>
      <c r="O258" s="217">
        <v>6454</v>
      </c>
      <c r="P258" s="188"/>
      <c r="Q258" s="139"/>
      <c r="R258" s="238"/>
      <c r="S258" s="188"/>
      <c r="T258" s="188"/>
      <c r="U258" s="188"/>
      <c r="V258" s="188"/>
      <c r="W258" s="188"/>
      <c r="X258" s="188"/>
      <c r="Y258" s="188"/>
      <c r="Z258" s="188"/>
      <c r="AA258" s="188"/>
      <c r="AB258" s="188"/>
      <c r="AC258" s="188"/>
      <c r="AD258" s="188"/>
      <c r="AE258" s="188"/>
      <c r="AF258" s="188"/>
      <c r="AG258" s="188"/>
      <c r="AH258" s="188"/>
      <c r="AI258" s="188"/>
      <c r="AJ258" s="188"/>
      <c r="AK258" s="188"/>
      <c r="AL258" s="188"/>
      <c r="AM258" s="188"/>
      <c r="AN258" s="188"/>
      <c r="AO258" s="188"/>
      <c r="AP258" s="188"/>
      <c r="AQ258" s="188"/>
      <c r="AR258" s="188"/>
      <c r="AS258" s="188"/>
      <c r="AT258" s="188"/>
      <c r="AU258" s="188"/>
      <c r="AV258" s="188"/>
      <c r="AW258" s="188"/>
      <c r="AX258" s="188"/>
      <c r="AY258" s="188"/>
      <c r="AZ258" s="188"/>
      <c r="BA258" s="188"/>
      <c r="BB258" s="188"/>
      <c r="BC258" s="188"/>
      <c r="BD258" s="188"/>
      <c r="BE258" s="188"/>
      <c r="BF258" s="188"/>
    </row>
    <row r="259" spans="1:58" s="186" customFormat="1" hidden="1" outlineLevel="1" x14ac:dyDescent="0.2">
      <c r="A259" s="727"/>
      <c r="B259" s="189" t="s">
        <v>75</v>
      </c>
      <c r="C259" s="190"/>
      <c r="D259" s="191"/>
      <c r="E259" s="191"/>
      <c r="F259" s="191">
        <f>SUM(F260:F263)</f>
        <v>0</v>
      </c>
      <c r="G259" s="191">
        <f>SUM(G260:G263)</f>
        <v>10708.1955</v>
      </c>
      <c r="H259" s="191">
        <f>SUM(H260:H263)</f>
        <v>20933.849999999999</v>
      </c>
      <c r="I259" s="191">
        <f>SUM(I260:I263)</f>
        <v>0</v>
      </c>
      <c r="J259" s="191"/>
      <c r="K259" s="191"/>
      <c r="L259" s="191"/>
      <c r="M259" s="225"/>
      <c r="N259" s="225"/>
      <c r="O259" s="218">
        <v>6454</v>
      </c>
      <c r="P259" s="188"/>
      <c r="Q259" s="139"/>
      <c r="R259"/>
      <c r="S259"/>
      <c r="T259"/>
      <c r="U259"/>
      <c r="V259"/>
      <c r="W259"/>
      <c r="X259" s="188"/>
      <c r="Y259" s="188"/>
      <c r="Z259" s="188"/>
      <c r="AA259" s="188"/>
      <c r="AB259" s="188"/>
      <c r="AC259" s="188"/>
      <c r="AD259" s="188"/>
      <c r="AE259" s="188"/>
      <c r="AF259" s="188"/>
      <c r="AG259" s="188"/>
      <c r="AH259" s="188"/>
      <c r="AI259" s="188"/>
      <c r="AJ259" s="188"/>
      <c r="AK259" s="188"/>
      <c r="AL259" s="188"/>
      <c r="AM259" s="188"/>
      <c r="AN259" s="188"/>
      <c r="AO259" s="188"/>
      <c r="AP259" s="188"/>
      <c r="AQ259" s="188"/>
      <c r="AR259" s="188"/>
      <c r="AS259" s="188"/>
      <c r="AT259" s="188"/>
      <c r="AU259" s="188"/>
      <c r="AV259" s="188"/>
      <c r="AW259" s="188"/>
      <c r="AX259" s="188"/>
      <c r="AY259" s="188"/>
      <c r="AZ259" s="188"/>
      <c r="BA259" s="188"/>
      <c r="BB259" s="188"/>
      <c r="BC259" s="188"/>
      <c r="BD259" s="188"/>
      <c r="BE259" s="188"/>
      <c r="BF259" s="188"/>
    </row>
    <row r="260" spans="1:58" s="186" customFormat="1" hidden="1" outlineLevel="1" x14ac:dyDescent="0.2">
      <c r="A260" s="727"/>
      <c r="B260" s="193" t="s">
        <v>76</v>
      </c>
      <c r="C260" s="194"/>
      <c r="D260" s="195"/>
      <c r="E260" s="196"/>
      <c r="F260" s="196"/>
      <c r="G260" s="196"/>
      <c r="H260" s="194"/>
      <c r="I260" s="194"/>
      <c r="J260" s="194"/>
      <c r="K260" s="194"/>
      <c r="L260" s="194"/>
      <c r="O260" s="219">
        <v>0</v>
      </c>
      <c r="P260" s="188"/>
      <c r="Q260" s="226"/>
      <c r="R260" s="139"/>
      <c r="S260" s="139"/>
      <c r="T260" s="139"/>
      <c r="U260" s="139"/>
      <c r="V260" s="139"/>
      <c r="W260" s="139"/>
      <c r="X260" s="139"/>
      <c r="Y260" s="188"/>
      <c r="Z260" s="188"/>
      <c r="AA260" s="188"/>
      <c r="AB260" s="188"/>
      <c r="AC260" s="188"/>
      <c r="AD260" s="188"/>
      <c r="AE260" s="188"/>
      <c r="AF260" s="188"/>
      <c r="AG260" s="188"/>
      <c r="AH260" s="188"/>
      <c r="AI260" s="188"/>
      <c r="AJ260" s="188"/>
      <c r="AK260" s="188"/>
      <c r="AL260" s="188"/>
      <c r="AM260" s="188"/>
      <c r="AN260" s="188"/>
      <c r="AO260" s="188"/>
      <c r="AP260" s="188"/>
      <c r="AQ260" s="188"/>
      <c r="AR260" s="188"/>
      <c r="AS260" s="188"/>
      <c r="AT260" s="188"/>
      <c r="AU260" s="188"/>
      <c r="AV260" s="188"/>
      <c r="AW260" s="188"/>
      <c r="AX260" s="188"/>
      <c r="AY260" s="188"/>
      <c r="AZ260" s="188"/>
      <c r="BA260" s="188"/>
      <c r="BB260" s="188"/>
      <c r="BC260" s="188"/>
      <c r="BD260" s="188"/>
      <c r="BE260" s="188"/>
      <c r="BF260" s="188"/>
    </row>
    <row r="261" spans="1:58" s="89" customFormat="1" hidden="1" outlineLevel="1" x14ac:dyDescent="0.2">
      <c r="A261" s="728"/>
      <c r="B261" s="193" t="s">
        <v>77</v>
      </c>
      <c r="C261" s="194"/>
      <c r="D261" s="195"/>
      <c r="E261" s="196"/>
      <c r="F261" s="196"/>
      <c r="G261" s="196">
        <v>6749.8</v>
      </c>
      <c r="H261" s="196">
        <v>20249.41</v>
      </c>
      <c r="I261" s="194"/>
      <c r="J261" s="194"/>
      <c r="K261" s="194"/>
      <c r="L261" s="194"/>
      <c r="O261" s="219">
        <v>6454</v>
      </c>
      <c r="Q261" s="240"/>
    </row>
    <row r="262" spans="1:58" s="714" customFormat="1" ht="14.25" hidden="1" customHeight="1" outlineLevel="1" x14ac:dyDescent="0.2">
      <c r="A262" s="728"/>
      <c r="B262" s="1149" t="s">
        <v>78</v>
      </c>
      <c r="C262" s="1150"/>
      <c r="D262" s="1151"/>
      <c r="E262" s="1148"/>
      <c r="F262" s="1148"/>
      <c r="G262" s="1148">
        <v>3958.3954999999996</v>
      </c>
      <c r="H262" s="1148">
        <v>684.43999999999869</v>
      </c>
      <c r="I262" s="1150"/>
      <c r="J262" s="1150"/>
      <c r="K262" s="1150"/>
      <c r="L262" s="1150"/>
      <c r="M262" s="720"/>
      <c r="O262" s="715">
        <f>SUM(D262:I262)</f>
        <v>4642.8354999999983</v>
      </c>
      <c r="Q262" s="716"/>
      <c r="R262" s="717"/>
    </row>
    <row r="263" spans="1:58" s="229" customFormat="1" ht="14.25" hidden="1" customHeight="1" outlineLevel="1" x14ac:dyDescent="0.2">
      <c r="A263" s="728"/>
      <c r="B263" s="199" t="s">
        <v>79</v>
      </c>
      <c r="C263" s="200"/>
      <c r="D263" s="201"/>
      <c r="E263" s="202"/>
      <c r="F263" s="202"/>
      <c r="G263" s="202"/>
      <c r="H263" s="1123"/>
      <c r="I263" s="200"/>
      <c r="J263" s="200"/>
      <c r="K263" s="200"/>
      <c r="L263" s="200"/>
      <c r="O263" s="221">
        <f>SUM(D263:I263)</f>
        <v>0</v>
      </c>
      <c r="Q263" s="240"/>
      <c r="T263" s="230"/>
      <c r="U263" s="230"/>
      <c r="V263" s="230"/>
      <c r="W263" s="230"/>
    </row>
    <row r="264" spans="1:58" s="229" customFormat="1" ht="14.25" hidden="1" customHeight="1" outlineLevel="1" x14ac:dyDescent="0.2">
      <c r="A264" s="728"/>
      <c r="B264" s="204" t="s">
        <v>80</v>
      </c>
      <c r="C264" s="205"/>
      <c r="D264" s="206"/>
      <c r="E264" s="206">
        <f>E259-E258</f>
        <v>0</v>
      </c>
      <c r="F264" s="206">
        <f t="shared" ref="F264:G264" si="156">F259-F258</f>
        <v>0</v>
      </c>
      <c r="G264" s="206">
        <f t="shared" si="156"/>
        <v>0</v>
      </c>
      <c r="H264" s="1124">
        <f>H259-H258</f>
        <v>0</v>
      </c>
      <c r="I264" s="206">
        <f t="shared" ref="I264:L264" si="157">I259-I258</f>
        <v>0</v>
      </c>
      <c r="J264" s="206">
        <f t="shared" si="157"/>
        <v>0</v>
      </c>
      <c r="K264" s="206">
        <f t="shared" si="157"/>
        <v>0</v>
      </c>
      <c r="L264" s="206">
        <f t="shared" si="157"/>
        <v>0</v>
      </c>
      <c r="O264" s="223">
        <f>O258-O259</f>
        <v>0</v>
      </c>
      <c r="Q264" s="240"/>
      <c r="T264" s="230"/>
      <c r="U264" s="230"/>
      <c r="V264" s="230"/>
      <c r="W264" s="230"/>
    </row>
    <row r="265" spans="1:58" s="139" customFormat="1" ht="28.5" hidden="1" customHeight="1" outlineLevel="1" x14ac:dyDescent="0.2">
      <c r="A265" s="729"/>
      <c r="B265" s="241" t="s">
        <v>660</v>
      </c>
      <c r="C265" s="241"/>
      <c r="D265" s="242"/>
      <c r="E265" s="242" t="e">
        <f>E256-E262</f>
        <v>#REF!</v>
      </c>
      <c r="F265" s="242" t="e">
        <f>F256-F262</f>
        <v>#REF!</v>
      </c>
      <c r="G265" s="242">
        <f>G256-G262+G264</f>
        <v>295954.25876914698</v>
      </c>
      <c r="H265" s="242">
        <f t="shared" ref="H265:L265" si="158">H256-H262+H264</f>
        <v>923830.94999613636</v>
      </c>
      <c r="I265" s="242">
        <f t="shared" si="158"/>
        <v>854292.39372868219</v>
      </c>
      <c r="J265" s="242">
        <f t="shared" si="158"/>
        <v>962344.8973594862</v>
      </c>
      <c r="K265" s="242">
        <f t="shared" si="158"/>
        <v>3754906.9628555248</v>
      </c>
      <c r="L265" s="242">
        <f t="shared" si="158"/>
        <v>9280028.7929329742</v>
      </c>
      <c r="O265" s="224"/>
      <c r="Q265" s="181"/>
    </row>
    <row r="266" spans="1:58" s="139" customFormat="1" ht="28.15" hidden="1" customHeight="1" outlineLevel="1" x14ac:dyDescent="0.2">
      <c r="A266" s="181"/>
      <c r="B266" s="243"/>
      <c r="C266" s="244"/>
      <c r="D266" s="213"/>
      <c r="E266" s="213"/>
      <c r="F266" s="213"/>
      <c r="G266" s="213"/>
      <c r="H266" s="1125"/>
      <c r="I266" s="213"/>
      <c r="J266" s="213"/>
      <c r="K266" s="213"/>
      <c r="L266" s="213"/>
      <c r="Q266" s="181"/>
    </row>
    <row r="267" spans="1:58" s="186" customFormat="1" ht="24.75" hidden="1" customHeight="1" outlineLevel="1" x14ac:dyDescent="0.2">
      <c r="A267" s="726" t="s">
        <v>662</v>
      </c>
      <c r="B267" s="235" t="s">
        <v>663</v>
      </c>
      <c r="C267" s="236"/>
      <c r="D267" s="237"/>
      <c r="E267" s="237"/>
      <c r="F267" s="237"/>
      <c r="G267" s="237">
        <v>5000</v>
      </c>
      <c r="H267" s="766"/>
      <c r="I267" s="237">
        <f>SUM(I270:I272)</f>
        <v>0</v>
      </c>
      <c r="J267" s="237"/>
      <c r="K267" s="237"/>
      <c r="L267" s="237"/>
      <c r="M267" s="225"/>
      <c r="N267" s="225"/>
      <c r="O267" s="217">
        <v>6454</v>
      </c>
      <c r="P267" s="188"/>
      <c r="Q267" s="139"/>
      <c r="R267" s="238"/>
      <c r="S267" s="188"/>
      <c r="T267" s="188"/>
      <c r="U267" s="188"/>
      <c r="V267" s="188"/>
      <c r="W267" s="188"/>
      <c r="X267" s="188"/>
      <c r="Y267" s="188"/>
      <c r="Z267" s="188"/>
      <c r="AA267" s="188"/>
      <c r="AB267" s="188"/>
      <c r="AC267" s="188"/>
      <c r="AD267" s="188"/>
      <c r="AE267" s="188"/>
      <c r="AF267" s="188"/>
      <c r="AG267" s="188"/>
      <c r="AH267" s="188"/>
      <c r="AI267" s="188"/>
      <c r="AJ267" s="188"/>
      <c r="AK267" s="188"/>
      <c r="AL267" s="188"/>
      <c r="AM267" s="188"/>
      <c r="AN267" s="188"/>
      <c r="AO267" s="188"/>
      <c r="AP267" s="188"/>
      <c r="AQ267" s="188"/>
      <c r="AR267" s="188"/>
      <c r="AS267" s="188"/>
      <c r="AT267" s="188"/>
      <c r="AU267" s="188"/>
      <c r="AV267" s="188"/>
      <c r="AW267" s="188"/>
      <c r="AX267" s="188"/>
      <c r="AY267" s="188"/>
      <c r="AZ267" s="188"/>
      <c r="BA267" s="188"/>
      <c r="BB267" s="188"/>
      <c r="BC267" s="188"/>
      <c r="BD267" s="188"/>
      <c r="BE267" s="188"/>
      <c r="BF267" s="188"/>
    </row>
    <row r="268" spans="1:58" s="186" customFormat="1" hidden="1" outlineLevel="1" x14ac:dyDescent="0.2">
      <c r="A268" s="727"/>
      <c r="B268" s="189" t="s">
        <v>75</v>
      </c>
      <c r="C268" s="190"/>
      <c r="D268" s="191"/>
      <c r="E268" s="191"/>
      <c r="F268" s="191">
        <f>SUM(F269:F272)</f>
        <v>0</v>
      </c>
      <c r="G268" s="191">
        <f>SUM(G269:G272)</f>
        <v>5000</v>
      </c>
      <c r="H268" s="191">
        <f>SUM(H269:H272)</f>
        <v>3600</v>
      </c>
      <c r="I268" s="191">
        <f>SUM(I269:I272)</f>
        <v>0</v>
      </c>
      <c r="J268" s="191"/>
      <c r="K268" s="191"/>
      <c r="L268" s="191"/>
      <c r="M268" s="225"/>
      <c r="N268" s="225"/>
      <c r="O268" s="218">
        <v>6454</v>
      </c>
      <c r="P268" s="188"/>
      <c r="Q268" s="139"/>
      <c r="R268"/>
      <c r="S268"/>
      <c r="T268"/>
      <c r="U268"/>
      <c r="V268"/>
      <c r="W268"/>
      <c r="X268" s="188"/>
      <c r="Y268" s="188"/>
      <c r="Z268" s="188"/>
      <c r="AA268" s="188"/>
      <c r="AB268" s="188"/>
      <c r="AC268" s="188"/>
      <c r="AD268" s="188"/>
      <c r="AE268" s="188"/>
      <c r="AF268" s="188"/>
      <c r="AG268" s="188"/>
      <c r="AH268" s="188"/>
      <c r="AI268" s="188"/>
      <c r="AJ268" s="188"/>
      <c r="AK268" s="188"/>
      <c r="AL268" s="188"/>
      <c r="AM268" s="188"/>
      <c r="AN268" s="188"/>
      <c r="AO268" s="188"/>
      <c r="AP268" s="188"/>
      <c r="AQ268" s="188"/>
      <c r="AR268" s="188"/>
      <c r="AS268" s="188"/>
      <c r="AT268" s="188"/>
      <c r="AU268" s="188"/>
      <c r="AV268" s="188"/>
      <c r="AW268" s="188"/>
      <c r="AX268" s="188"/>
      <c r="AY268" s="188"/>
      <c r="AZ268" s="188"/>
      <c r="BA268" s="188"/>
      <c r="BB268" s="188"/>
      <c r="BC268" s="188"/>
      <c r="BD268" s="188"/>
      <c r="BE268" s="188"/>
      <c r="BF268" s="188"/>
    </row>
    <row r="269" spans="1:58" s="186" customFormat="1" hidden="1" outlineLevel="1" x14ac:dyDescent="0.2">
      <c r="A269" s="727"/>
      <c r="B269" s="193" t="s">
        <v>76</v>
      </c>
      <c r="C269" s="194"/>
      <c r="D269" s="195"/>
      <c r="E269" s="196"/>
      <c r="F269" s="196"/>
      <c r="G269" s="196"/>
      <c r="H269" s="194"/>
      <c r="I269" s="194"/>
      <c r="J269" s="194"/>
      <c r="K269" s="194"/>
      <c r="L269" s="194"/>
      <c r="O269" s="219">
        <v>0</v>
      </c>
      <c r="P269" s="188"/>
      <c r="Q269" s="226"/>
      <c r="R269" s="139"/>
      <c r="S269" s="139"/>
      <c r="T269" s="139"/>
      <c r="U269" s="139"/>
      <c r="V269" s="139"/>
      <c r="W269" s="139"/>
      <c r="X269" s="139"/>
      <c r="Y269" s="188"/>
      <c r="Z269" s="188"/>
      <c r="AA269" s="188"/>
      <c r="AB269" s="188"/>
      <c r="AC269" s="188"/>
      <c r="AD269" s="188"/>
      <c r="AE269" s="188"/>
      <c r="AF269" s="188"/>
      <c r="AG269" s="188"/>
      <c r="AH269" s="188"/>
      <c r="AI269" s="188"/>
      <c r="AJ269" s="188"/>
      <c r="AK269" s="188"/>
      <c r="AL269" s="188"/>
      <c r="AM269" s="188"/>
      <c r="AN269" s="188"/>
      <c r="AO269" s="188"/>
      <c r="AP269" s="188"/>
      <c r="AQ269" s="188"/>
      <c r="AR269" s="188"/>
      <c r="AS269" s="188"/>
      <c r="AT269" s="188"/>
      <c r="AU269" s="188"/>
      <c r="AV269" s="188"/>
      <c r="AW269" s="188"/>
      <c r="AX269" s="188"/>
      <c r="AY269" s="188"/>
      <c r="AZ269" s="188"/>
      <c r="BA269" s="188"/>
      <c r="BB269" s="188"/>
      <c r="BC269" s="188"/>
      <c r="BD269" s="188"/>
      <c r="BE269" s="188"/>
      <c r="BF269" s="188"/>
    </row>
    <row r="270" spans="1:58" s="89" customFormat="1" hidden="1" outlineLevel="1" x14ac:dyDescent="0.2">
      <c r="A270" s="728"/>
      <c r="B270" s="193" t="s">
        <v>77</v>
      </c>
      <c r="C270" s="194"/>
      <c r="D270" s="195"/>
      <c r="E270" s="196"/>
      <c r="F270" s="196"/>
      <c r="G270" s="196">
        <v>900</v>
      </c>
      <c r="H270" s="196">
        <v>3600</v>
      </c>
      <c r="I270" s="194"/>
      <c r="J270" s="194"/>
      <c r="K270" s="194"/>
      <c r="L270" s="194"/>
      <c r="O270" s="219">
        <v>6454</v>
      </c>
      <c r="Q270" s="240"/>
    </row>
    <row r="271" spans="1:58" s="714" customFormat="1" ht="14.25" hidden="1" customHeight="1" outlineLevel="1" x14ac:dyDescent="0.2">
      <c r="A271" s="728"/>
      <c r="B271" s="1144" t="s">
        <v>78</v>
      </c>
      <c r="C271" s="1145"/>
      <c r="D271" s="1146"/>
      <c r="E271" s="1147"/>
      <c r="F271" s="1147"/>
      <c r="G271" s="1147">
        <v>4100</v>
      </c>
      <c r="H271" s="1147"/>
      <c r="I271" s="1145"/>
      <c r="J271" s="1145"/>
      <c r="K271" s="1145"/>
      <c r="L271" s="1145"/>
      <c r="M271" s="720"/>
      <c r="O271" s="715">
        <f>SUM(D271:I271)</f>
        <v>4100</v>
      </c>
      <c r="Q271" s="716"/>
      <c r="R271" s="717"/>
    </row>
    <row r="272" spans="1:58" s="229" customFormat="1" ht="14.25" hidden="1" customHeight="1" outlineLevel="1" x14ac:dyDescent="0.2">
      <c r="A272" s="728"/>
      <c r="B272" s="199" t="s">
        <v>79</v>
      </c>
      <c r="C272" s="200"/>
      <c r="D272" s="201"/>
      <c r="E272" s="202"/>
      <c r="F272" s="202"/>
      <c r="G272" s="202"/>
      <c r="H272" s="1123"/>
      <c r="I272" s="200"/>
      <c r="J272" s="200"/>
      <c r="K272" s="200"/>
      <c r="L272" s="200"/>
      <c r="O272" s="221">
        <f>SUM(D272:I272)</f>
        <v>0</v>
      </c>
      <c r="Q272" s="240"/>
      <c r="T272" s="230"/>
      <c r="U272" s="230"/>
      <c r="V272" s="230"/>
      <c r="W272" s="230"/>
    </row>
    <row r="273" spans="1:58" s="229" customFormat="1" ht="14.25" hidden="1" customHeight="1" outlineLevel="1" x14ac:dyDescent="0.2">
      <c r="A273" s="728"/>
      <c r="B273" s="204" t="s">
        <v>80</v>
      </c>
      <c r="C273" s="205"/>
      <c r="D273" s="206"/>
      <c r="E273" s="206">
        <f>E268-E267</f>
        <v>0</v>
      </c>
      <c r="F273" s="206">
        <f t="shared" ref="F273:G273" si="159">F268-F267</f>
        <v>0</v>
      </c>
      <c r="G273" s="206">
        <f t="shared" si="159"/>
        <v>0</v>
      </c>
      <c r="H273" s="206">
        <f t="shared" ref="H273:L273" si="160">H268-H267</f>
        <v>3600</v>
      </c>
      <c r="I273" s="206">
        <f t="shared" si="160"/>
        <v>0</v>
      </c>
      <c r="J273" s="206">
        <f t="shared" si="160"/>
        <v>0</v>
      </c>
      <c r="K273" s="206">
        <f t="shared" si="160"/>
        <v>0</v>
      </c>
      <c r="L273" s="206">
        <f t="shared" si="160"/>
        <v>0</v>
      </c>
      <c r="O273" s="223">
        <f>O267-O268</f>
        <v>0</v>
      </c>
      <c r="Q273" s="240"/>
      <c r="T273" s="230"/>
      <c r="U273" s="230"/>
      <c r="V273" s="230"/>
      <c r="W273" s="230"/>
    </row>
    <row r="274" spans="1:58" s="139" customFormat="1" ht="28.5" hidden="1" customHeight="1" outlineLevel="1" x14ac:dyDescent="0.2">
      <c r="A274" s="729"/>
      <c r="B274" s="241" t="s">
        <v>131</v>
      </c>
      <c r="C274" s="241"/>
      <c r="D274" s="242"/>
      <c r="E274" s="242" t="e">
        <f>E265-E271</f>
        <v>#REF!</v>
      </c>
      <c r="F274" s="242" t="e">
        <f>F265-F271</f>
        <v>#REF!</v>
      </c>
      <c r="G274" s="242">
        <f>G265-G271+G273</f>
        <v>291854.25876914698</v>
      </c>
      <c r="H274" s="242">
        <f t="shared" ref="H274:L274" si="161">H265-H271+H273</f>
        <v>927430.94999613636</v>
      </c>
      <c r="I274" s="242">
        <f t="shared" si="161"/>
        <v>854292.39372868219</v>
      </c>
      <c r="J274" s="242">
        <f t="shared" si="161"/>
        <v>962344.8973594862</v>
      </c>
      <c r="K274" s="242">
        <f t="shared" si="161"/>
        <v>3754906.9628555248</v>
      </c>
      <c r="L274" s="242">
        <f t="shared" si="161"/>
        <v>9280028.7929329742</v>
      </c>
      <c r="O274" s="224"/>
      <c r="Q274" s="181"/>
    </row>
    <row r="275" spans="1:58" s="139" customFormat="1" ht="28.15" hidden="1" customHeight="1" outlineLevel="1" x14ac:dyDescent="0.2">
      <c r="A275" s="181"/>
      <c r="B275" s="243"/>
      <c r="C275" s="244"/>
      <c r="D275" s="213"/>
      <c r="E275" s="213"/>
      <c r="F275" s="213"/>
      <c r="G275" s="213"/>
      <c r="H275" s="1125"/>
      <c r="I275" s="213"/>
      <c r="J275" s="213"/>
      <c r="K275" s="213"/>
      <c r="L275" s="213"/>
      <c r="Q275" s="181"/>
    </row>
    <row r="276" spans="1:58" s="186" customFormat="1" ht="24.75" hidden="1" customHeight="1" outlineLevel="1" x14ac:dyDescent="0.2">
      <c r="A276" s="726" t="s">
        <v>664</v>
      </c>
      <c r="B276" s="235" t="s">
        <v>666</v>
      </c>
      <c r="C276" s="236"/>
      <c r="D276" s="237"/>
      <c r="E276" s="237"/>
      <c r="F276" s="237"/>
      <c r="G276" s="237">
        <v>480</v>
      </c>
      <c r="H276" s="237">
        <v>44625.11</v>
      </c>
      <c r="I276" s="237">
        <v>290698.59000000003</v>
      </c>
      <c r="J276" s="237">
        <v>673011.23</v>
      </c>
      <c r="K276" s="237"/>
      <c r="L276" s="237"/>
      <c r="M276" s="225"/>
      <c r="N276" s="225"/>
      <c r="O276" s="217">
        <v>6454</v>
      </c>
      <c r="P276" s="188"/>
      <c r="Q276" s="139"/>
      <c r="R276" s="238"/>
      <c r="S276" s="188"/>
      <c r="T276" s="188"/>
      <c r="U276" s="188"/>
      <c r="V276" s="188"/>
      <c r="W276" s="188"/>
      <c r="X276" s="188"/>
      <c r="Y276" s="188"/>
      <c r="Z276" s="188"/>
      <c r="AA276" s="188"/>
      <c r="AB276" s="188"/>
      <c r="AC276" s="188"/>
      <c r="AD276" s="188"/>
      <c r="AE276" s="188"/>
      <c r="AF276" s="188"/>
      <c r="AG276" s="188"/>
      <c r="AH276" s="188"/>
      <c r="AI276" s="188"/>
      <c r="AJ276" s="188"/>
      <c r="AK276" s="188"/>
      <c r="AL276" s="188"/>
      <c r="AM276" s="188"/>
      <c r="AN276" s="188"/>
      <c r="AO276" s="188"/>
      <c r="AP276" s="188"/>
      <c r="AQ276" s="188"/>
      <c r="AR276" s="188"/>
      <c r="AS276" s="188"/>
      <c r="AT276" s="188"/>
      <c r="AU276" s="188"/>
      <c r="AV276" s="188"/>
      <c r="AW276" s="188"/>
      <c r="AX276" s="188"/>
      <c r="AY276" s="188"/>
      <c r="AZ276" s="188"/>
      <c r="BA276" s="188"/>
      <c r="BB276" s="188"/>
      <c r="BC276" s="188"/>
      <c r="BD276" s="188"/>
      <c r="BE276" s="188"/>
      <c r="BF276" s="188"/>
    </row>
    <row r="277" spans="1:58" s="186" customFormat="1" hidden="1" outlineLevel="1" x14ac:dyDescent="0.2">
      <c r="A277" s="727"/>
      <c r="B277" s="189" t="s">
        <v>75</v>
      </c>
      <c r="C277" s="190"/>
      <c r="D277" s="191"/>
      <c r="E277" s="191"/>
      <c r="F277" s="191">
        <f>SUM(F278:F281)</f>
        <v>0</v>
      </c>
      <c r="G277" s="191">
        <f>SUM(G278:G281)</f>
        <v>480</v>
      </c>
      <c r="H277" s="191">
        <f>SUM(H278:H281)</f>
        <v>44625.11</v>
      </c>
      <c r="I277" s="191">
        <f>SUM(I278:I281)</f>
        <v>290698.74000000005</v>
      </c>
      <c r="J277" s="191">
        <f t="shared" ref="J277:L277" si="162">SUM(J278:J281)</f>
        <v>673011.41999999993</v>
      </c>
      <c r="K277" s="191">
        <f t="shared" si="162"/>
        <v>75177.48</v>
      </c>
      <c r="L277" s="191">
        <f t="shared" si="162"/>
        <v>0</v>
      </c>
      <c r="M277" s="225"/>
      <c r="N277" s="225"/>
      <c r="O277" s="218">
        <v>6454</v>
      </c>
      <c r="P277" s="188"/>
      <c r="Q277" s="139"/>
      <c r="R277"/>
      <c r="S277"/>
      <c r="T277"/>
      <c r="U277"/>
      <c r="V277"/>
      <c r="W277"/>
      <c r="X277" s="188"/>
      <c r="Y277" s="188"/>
      <c r="Z277" s="188"/>
      <c r="AA277" s="188"/>
      <c r="AB277" s="188"/>
      <c r="AC277" s="188"/>
      <c r="AD277" s="188"/>
      <c r="AE277" s="188"/>
      <c r="AF277" s="188"/>
      <c r="AG277" s="188"/>
      <c r="AH277" s="188"/>
      <c r="AI277" s="188"/>
      <c r="AJ277" s="188"/>
      <c r="AK277" s="188"/>
      <c r="AL277" s="188"/>
      <c r="AM277" s="188"/>
      <c r="AN277" s="188"/>
      <c r="AO277" s="188"/>
      <c r="AP277" s="188"/>
      <c r="AQ277" s="188"/>
      <c r="AR277" s="188"/>
      <c r="AS277" s="188"/>
      <c r="AT277" s="188"/>
      <c r="AU277" s="188"/>
      <c r="AV277" s="188"/>
      <c r="AW277" s="188"/>
      <c r="AX277" s="188"/>
      <c r="AY277" s="188"/>
      <c r="AZ277" s="188"/>
      <c r="BA277" s="188"/>
      <c r="BB277" s="188"/>
      <c r="BC277" s="188"/>
      <c r="BD277" s="188"/>
      <c r="BE277" s="188"/>
      <c r="BF277" s="188"/>
    </row>
    <row r="278" spans="1:58" s="186" customFormat="1" hidden="1" outlineLevel="1" x14ac:dyDescent="0.2">
      <c r="A278" s="727"/>
      <c r="B278" s="193" t="s">
        <v>76</v>
      </c>
      <c r="C278" s="194"/>
      <c r="D278" s="195"/>
      <c r="E278" s="196"/>
      <c r="F278" s="196"/>
      <c r="G278" s="196"/>
      <c r="H278" s="194"/>
      <c r="I278" s="194"/>
      <c r="J278" s="194"/>
      <c r="K278" s="194"/>
      <c r="L278" s="194"/>
      <c r="O278" s="219">
        <v>0</v>
      </c>
      <c r="P278" s="188"/>
      <c r="Q278" s="226"/>
      <c r="R278" s="139"/>
      <c r="S278" s="139"/>
      <c r="T278" s="139"/>
      <c r="U278" s="139"/>
      <c r="V278" s="139"/>
      <c r="W278" s="139"/>
      <c r="X278" s="139"/>
      <c r="Y278" s="188"/>
      <c r="Z278" s="188"/>
      <c r="AA278" s="188"/>
      <c r="AB278" s="188"/>
      <c r="AC278" s="188"/>
      <c r="AD278" s="188"/>
      <c r="AE278" s="188"/>
      <c r="AF278" s="188"/>
      <c r="AG278" s="188"/>
      <c r="AH278" s="188"/>
      <c r="AI278" s="188"/>
      <c r="AJ278" s="188"/>
      <c r="AK278" s="188"/>
      <c r="AL278" s="188"/>
      <c r="AM278" s="188"/>
      <c r="AN278" s="188"/>
      <c r="AO278" s="188"/>
      <c r="AP278" s="188"/>
      <c r="AQ278" s="188"/>
      <c r="AR278" s="188"/>
      <c r="AS278" s="188"/>
      <c r="AT278" s="188"/>
      <c r="AU278" s="188"/>
      <c r="AV278" s="188"/>
      <c r="AW278" s="188"/>
      <c r="AX278" s="188"/>
      <c r="AY278" s="188"/>
      <c r="AZ278" s="188"/>
      <c r="BA278" s="188"/>
      <c r="BB278" s="188"/>
      <c r="BC278" s="188"/>
      <c r="BD278" s="188"/>
      <c r="BE278" s="188"/>
      <c r="BF278" s="188"/>
    </row>
    <row r="279" spans="1:58" s="89" customFormat="1" hidden="1" outlineLevel="1" x14ac:dyDescent="0.2">
      <c r="A279" s="728"/>
      <c r="B279" s="193" t="s">
        <v>77</v>
      </c>
      <c r="C279" s="194"/>
      <c r="D279" s="195"/>
      <c r="E279" s="196"/>
      <c r="F279" s="196"/>
      <c r="G279" s="196"/>
      <c r="H279" s="196">
        <v>35684.11</v>
      </c>
      <c r="I279" s="196">
        <v>289385.74000000005</v>
      </c>
      <c r="J279" s="196">
        <v>351527.41999999987</v>
      </c>
      <c r="K279" s="196">
        <v>75177.48</v>
      </c>
      <c r="L279" s="194"/>
      <c r="M279" s="198">
        <f>K282</f>
        <v>75177.48</v>
      </c>
      <c r="N279" s="89" t="s">
        <v>669</v>
      </c>
      <c r="O279" s="219">
        <v>6454</v>
      </c>
      <c r="Q279" s="240"/>
    </row>
    <row r="280" spans="1:58" s="714" customFormat="1" ht="14.25" hidden="1" customHeight="1" outlineLevel="1" x14ac:dyDescent="0.2">
      <c r="A280" s="728"/>
      <c r="B280" s="1149" t="s">
        <v>78</v>
      </c>
      <c r="C280" s="1150"/>
      <c r="D280" s="1151"/>
      <c r="E280" s="1148"/>
      <c r="F280" s="1148"/>
      <c r="G280" s="1148">
        <v>480</v>
      </c>
      <c r="H280" s="1148">
        <v>8941</v>
      </c>
      <c r="I280" s="1148">
        <f>98808-97495</f>
        <v>1313</v>
      </c>
      <c r="J280" s="1148">
        <v>98808</v>
      </c>
      <c r="K280" s="1150"/>
      <c r="L280" s="1150"/>
      <c r="O280" s="715">
        <f>SUM(D280:I280)</f>
        <v>10734</v>
      </c>
      <c r="Q280" s="716"/>
      <c r="R280" s="717"/>
    </row>
    <row r="281" spans="1:58" s="229" customFormat="1" ht="14.25" hidden="1" customHeight="1" outlineLevel="1" x14ac:dyDescent="0.2">
      <c r="A281" s="728"/>
      <c r="B281" s="199" t="s">
        <v>79</v>
      </c>
      <c r="C281" s="200"/>
      <c r="D281" s="201"/>
      <c r="E281" s="202"/>
      <c r="F281" s="202"/>
      <c r="G281" s="202"/>
      <c r="H281" s="1123"/>
      <c r="I281" s="202"/>
      <c r="J281" s="202">
        <v>222676</v>
      </c>
      <c r="K281" s="200"/>
      <c r="L281" s="200"/>
      <c r="O281" s="221">
        <f>SUM(D281:I281)</f>
        <v>0</v>
      </c>
      <c r="Q281" s="240"/>
      <c r="T281" s="230"/>
      <c r="U281" s="230"/>
      <c r="V281" s="230"/>
      <c r="W281" s="230"/>
    </row>
    <row r="282" spans="1:58" s="229" customFormat="1" ht="14.25" hidden="1" customHeight="1" outlineLevel="1" x14ac:dyDescent="0.2">
      <c r="A282" s="728"/>
      <c r="B282" s="204" t="s">
        <v>80</v>
      </c>
      <c r="C282" s="205"/>
      <c r="D282" s="206"/>
      <c r="E282" s="206">
        <f>E277-E276</f>
        <v>0</v>
      </c>
      <c r="F282" s="206">
        <f t="shared" ref="F282:G282" si="163">F277-F276</f>
        <v>0</v>
      </c>
      <c r="G282" s="206">
        <f t="shared" si="163"/>
        <v>0</v>
      </c>
      <c r="H282" s="1124">
        <f t="shared" ref="H282:L282" si="164">H277-H276</f>
        <v>0</v>
      </c>
      <c r="I282" s="206">
        <f t="shared" si="164"/>
        <v>0.15000000002328306</v>
      </c>
      <c r="J282" s="206">
        <f t="shared" si="164"/>
        <v>0.18999999994412065</v>
      </c>
      <c r="K282" s="206">
        <f t="shared" si="164"/>
        <v>75177.48</v>
      </c>
      <c r="L282" s="206">
        <f t="shared" si="164"/>
        <v>0</v>
      </c>
      <c r="O282" s="223">
        <f>O276-O277</f>
        <v>0</v>
      </c>
      <c r="Q282" s="240"/>
      <c r="T282" s="230"/>
      <c r="U282" s="230"/>
      <c r="V282" s="230"/>
      <c r="W282" s="230"/>
    </row>
    <row r="283" spans="1:58" s="139" customFormat="1" ht="28.5" hidden="1" customHeight="1" outlineLevel="1" x14ac:dyDescent="0.2">
      <c r="A283" s="729"/>
      <c r="B283" s="241" t="s">
        <v>665</v>
      </c>
      <c r="C283" s="241"/>
      <c r="D283" s="242"/>
      <c r="E283" s="242" t="e">
        <f>E274-E280</f>
        <v>#REF!</v>
      </c>
      <c r="F283" s="242" t="e">
        <f>F274-F280</f>
        <v>#REF!</v>
      </c>
      <c r="G283" s="242">
        <f>G274-G280+G282</f>
        <v>291374.25876914698</v>
      </c>
      <c r="H283" s="242">
        <f t="shared" ref="H283:L283" si="165">H274-H280+H282</f>
        <v>918489.94999613636</v>
      </c>
      <c r="I283" s="242">
        <f t="shared" si="165"/>
        <v>852979.54372868221</v>
      </c>
      <c r="J283" s="242">
        <f t="shared" si="165"/>
        <v>863537.08735948615</v>
      </c>
      <c r="K283" s="242">
        <f t="shared" si="165"/>
        <v>3830084.4428555248</v>
      </c>
      <c r="L283" s="242">
        <f t="shared" si="165"/>
        <v>9280028.7929329742</v>
      </c>
      <c r="O283" s="224"/>
      <c r="Q283" s="181"/>
    </row>
    <row r="284" spans="1:58" s="139" customFormat="1" ht="28.15" hidden="1" customHeight="1" outlineLevel="1" x14ac:dyDescent="0.2">
      <c r="A284" s="181"/>
      <c r="B284" s="243"/>
      <c r="C284" s="244"/>
      <c r="D284" s="213"/>
      <c r="E284" s="213"/>
      <c r="F284" s="213"/>
      <c r="G284" s="213"/>
      <c r="H284" s="1125"/>
      <c r="I284" s="213"/>
      <c r="J284" s="213"/>
      <c r="K284" s="213"/>
      <c r="L284" s="213"/>
      <c r="Q284" s="181"/>
    </row>
    <row r="285" spans="1:58" s="186" customFormat="1" ht="24.75" hidden="1" customHeight="1" outlineLevel="1" x14ac:dyDescent="0.2">
      <c r="A285" s="726" t="s">
        <v>122</v>
      </c>
      <c r="B285" s="235" t="s">
        <v>668</v>
      </c>
      <c r="C285" s="236"/>
      <c r="D285" s="237"/>
      <c r="E285" s="237"/>
      <c r="F285" s="237"/>
      <c r="G285" s="237">
        <v>0</v>
      </c>
      <c r="H285" s="237">
        <v>39567</v>
      </c>
      <c r="I285" s="237">
        <v>550586.6</v>
      </c>
      <c r="J285" s="237">
        <v>642346.4</v>
      </c>
      <c r="K285" s="237"/>
      <c r="L285" s="237"/>
      <c r="M285" s="225"/>
      <c r="N285" s="225"/>
      <c r="O285" s="217">
        <v>6454</v>
      </c>
      <c r="P285" s="188"/>
      <c r="Q285" s="139"/>
      <c r="R285" s="238"/>
      <c r="S285" s="188"/>
      <c r="T285" s="188"/>
      <c r="U285" s="188"/>
      <c r="V285" s="188"/>
      <c r="W285" s="188"/>
      <c r="X285" s="188"/>
      <c r="Y285" s="188"/>
      <c r="Z285" s="188"/>
      <c r="AA285" s="188"/>
      <c r="AB285" s="188"/>
      <c r="AC285" s="188"/>
      <c r="AD285" s="188"/>
      <c r="AE285" s="188"/>
      <c r="AF285" s="188"/>
      <c r="AG285" s="188"/>
      <c r="AH285" s="188"/>
      <c r="AI285" s="188"/>
      <c r="AJ285" s="188"/>
      <c r="AK285" s="188"/>
      <c r="AL285" s="188"/>
      <c r="AM285" s="188"/>
      <c r="AN285" s="188"/>
      <c r="AO285" s="188"/>
      <c r="AP285" s="188"/>
      <c r="AQ285" s="188"/>
      <c r="AR285" s="188"/>
      <c r="AS285" s="188"/>
      <c r="AT285" s="188"/>
      <c r="AU285" s="188"/>
      <c r="AV285" s="188"/>
      <c r="AW285" s="188"/>
      <c r="AX285" s="188"/>
      <c r="AY285" s="188"/>
      <c r="AZ285" s="188"/>
      <c r="BA285" s="188"/>
      <c r="BB285" s="188"/>
      <c r="BC285" s="188"/>
      <c r="BD285" s="188"/>
      <c r="BE285" s="188"/>
      <c r="BF285" s="188"/>
    </row>
    <row r="286" spans="1:58" s="186" customFormat="1" hidden="1" outlineLevel="1" x14ac:dyDescent="0.2">
      <c r="A286" s="727"/>
      <c r="B286" s="189" t="s">
        <v>75</v>
      </c>
      <c r="C286" s="190"/>
      <c r="D286" s="191"/>
      <c r="E286" s="191"/>
      <c r="F286" s="191">
        <f>SUM(F287:F290)</f>
        <v>0</v>
      </c>
      <c r="G286" s="191">
        <f>SUM(G287:G290)</f>
        <v>0</v>
      </c>
      <c r="H286" s="191">
        <f>SUM(H287:H290)</f>
        <v>39567</v>
      </c>
      <c r="I286" s="191">
        <f>SUM(I287:I290)</f>
        <v>550586.61</v>
      </c>
      <c r="J286" s="191">
        <f t="shared" ref="J286:L286" si="166">SUM(J287:J290)</f>
        <v>642346.06499999994</v>
      </c>
      <c r="K286" s="191">
        <f t="shared" si="166"/>
        <v>63179.07499999999</v>
      </c>
      <c r="L286" s="191">
        <f t="shared" si="166"/>
        <v>0</v>
      </c>
      <c r="M286" s="225"/>
      <c r="N286" s="225"/>
      <c r="O286" s="218">
        <v>6454</v>
      </c>
      <c r="P286" s="188"/>
      <c r="Q286" s="139"/>
      <c r="R286"/>
      <c r="S286"/>
      <c r="T286"/>
      <c r="U286"/>
      <c r="V286"/>
      <c r="W286"/>
      <c r="X286" s="188"/>
      <c r="Y286" s="188"/>
      <c r="Z286" s="188"/>
      <c r="AA286" s="188"/>
      <c r="AB286" s="188"/>
      <c r="AC286" s="188"/>
      <c r="AD286" s="188"/>
      <c r="AE286" s="188"/>
      <c r="AF286" s="188"/>
      <c r="AG286" s="188"/>
      <c r="AH286" s="188"/>
      <c r="AI286" s="188"/>
      <c r="AJ286" s="188"/>
      <c r="AK286" s="188"/>
      <c r="AL286" s="188"/>
      <c r="AM286" s="188"/>
      <c r="AN286" s="188"/>
      <c r="AO286" s="188"/>
      <c r="AP286" s="188"/>
      <c r="AQ286" s="188"/>
      <c r="AR286" s="188"/>
      <c r="AS286" s="188"/>
      <c r="AT286" s="188"/>
      <c r="AU286" s="188"/>
      <c r="AV286" s="188"/>
      <c r="AW286" s="188"/>
      <c r="AX286" s="188"/>
      <c r="AY286" s="188"/>
      <c r="AZ286" s="188"/>
      <c r="BA286" s="188"/>
      <c r="BB286" s="188"/>
      <c r="BC286" s="188"/>
      <c r="BD286" s="188"/>
      <c r="BE286" s="188"/>
      <c r="BF286" s="188"/>
    </row>
    <row r="287" spans="1:58" s="186" customFormat="1" hidden="1" outlineLevel="1" x14ac:dyDescent="0.2">
      <c r="A287" s="727"/>
      <c r="B287" s="193" t="s">
        <v>76</v>
      </c>
      <c r="C287" s="194"/>
      <c r="D287" s="195"/>
      <c r="E287" s="196"/>
      <c r="F287" s="196"/>
      <c r="G287" s="196"/>
      <c r="H287" s="768"/>
      <c r="I287" s="194"/>
      <c r="J287" s="194"/>
      <c r="K287" s="194"/>
      <c r="L287" s="194"/>
      <c r="O287" s="219">
        <v>0</v>
      </c>
      <c r="P287" s="188"/>
      <c r="Q287" s="226"/>
      <c r="R287" s="139"/>
      <c r="S287" s="139"/>
      <c r="T287" s="139"/>
      <c r="U287" s="139"/>
      <c r="V287" s="139"/>
      <c r="W287" s="139"/>
      <c r="X287" s="139"/>
      <c r="Y287" s="188"/>
      <c r="Z287" s="188"/>
      <c r="AA287" s="188"/>
      <c r="AB287" s="188"/>
      <c r="AC287" s="188"/>
      <c r="AD287" s="188"/>
      <c r="AE287" s="188"/>
      <c r="AF287" s="188"/>
      <c r="AG287" s="188"/>
      <c r="AH287" s="188"/>
      <c r="AI287" s="188"/>
      <c r="AJ287" s="188"/>
      <c r="AK287" s="188"/>
      <c r="AL287" s="188"/>
      <c r="AM287" s="188"/>
      <c r="AN287" s="188"/>
      <c r="AO287" s="188"/>
      <c r="AP287" s="188"/>
      <c r="AQ287" s="188"/>
      <c r="AR287" s="188"/>
      <c r="AS287" s="188"/>
      <c r="AT287" s="188"/>
      <c r="AU287" s="188"/>
      <c r="AV287" s="188"/>
      <c r="AW287" s="188"/>
      <c r="AX287" s="188"/>
      <c r="AY287" s="188"/>
      <c r="AZ287" s="188"/>
      <c r="BA287" s="188"/>
      <c r="BB287" s="188"/>
      <c r="BC287" s="188"/>
      <c r="BD287" s="188"/>
      <c r="BE287" s="188"/>
      <c r="BF287" s="188"/>
    </row>
    <row r="288" spans="1:58" s="89" customFormat="1" hidden="1" outlineLevel="1" x14ac:dyDescent="0.2">
      <c r="A288" s="728"/>
      <c r="B288" s="193" t="s">
        <v>77</v>
      </c>
      <c r="C288" s="194"/>
      <c r="D288" s="195"/>
      <c r="E288" s="196"/>
      <c r="F288" s="196"/>
      <c r="G288" s="196"/>
      <c r="H288" s="196">
        <v>39567</v>
      </c>
      <c r="I288" s="196">
        <v>467998.61</v>
      </c>
      <c r="J288" s="196">
        <v>61046.064999999908</v>
      </c>
      <c r="K288" s="196">
        <v>63179.07499999999</v>
      </c>
      <c r="L288" s="194"/>
      <c r="M288" s="198">
        <f>K288</f>
        <v>63179.07499999999</v>
      </c>
      <c r="N288" s="89" t="s">
        <v>669</v>
      </c>
      <c r="O288" s="219">
        <v>6454</v>
      </c>
      <c r="Q288" s="240"/>
    </row>
    <row r="289" spans="1:58" s="714" customFormat="1" ht="14.25" hidden="1" customHeight="1" outlineLevel="1" x14ac:dyDescent="0.2">
      <c r="A289" s="728"/>
      <c r="B289" s="1144" t="s">
        <v>78</v>
      </c>
      <c r="C289" s="1145"/>
      <c r="D289" s="1146"/>
      <c r="E289" s="1147"/>
      <c r="F289" s="1147"/>
      <c r="G289" s="1147"/>
      <c r="H289" s="1147"/>
      <c r="I289" s="1147">
        <f>123250-40662</f>
        <v>82588</v>
      </c>
      <c r="J289" s="1147">
        <v>207758</v>
      </c>
      <c r="K289" s="1145"/>
      <c r="L289" s="1145"/>
      <c r="O289" s="715">
        <f>SUM(D289:I289)</f>
        <v>82588</v>
      </c>
      <c r="Q289" s="716"/>
      <c r="R289" s="717"/>
    </row>
    <row r="290" spans="1:58" s="229" customFormat="1" ht="14.25" hidden="1" customHeight="1" outlineLevel="1" x14ac:dyDescent="0.2">
      <c r="A290" s="728"/>
      <c r="B290" s="199" t="s">
        <v>79</v>
      </c>
      <c r="C290" s="200"/>
      <c r="D290" s="201"/>
      <c r="E290" s="202"/>
      <c r="F290" s="202"/>
      <c r="G290" s="202"/>
      <c r="H290" s="1126"/>
      <c r="I290" s="202"/>
      <c r="J290" s="202">
        <f>373542</f>
        <v>373542</v>
      </c>
      <c r="K290" s="202"/>
      <c r="L290" s="200"/>
      <c r="O290" s="221">
        <f>SUM(D290:I290)</f>
        <v>0</v>
      </c>
      <c r="Q290" s="240"/>
      <c r="T290" s="230"/>
      <c r="U290" s="230"/>
      <c r="V290" s="230"/>
      <c r="W290" s="230"/>
    </row>
    <row r="291" spans="1:58" s="229" customFormat="1" ht="14.25" hidden="1" customHeight="1" outlineLevel="1" x14ac:dyDescent="0.2">
      <c r="A291" s="728"/>
      <c r="B291" s="204" t="s">
        <v>80</v>
      </c>
      <c r="C291" s="205"/>
      <c r="D291" s="206"/>
      <c r="E291" s="206">
        <f>E286-E285</f>
        <v>0</v>
      </c>
      <c r="F291" s="206">
        <f t="shared" ref="F291:H291" si="167">F286-F285</f>
        <v>0</v>
      </c>
      <c r="G291" s="206">
        <f t="shared" si="167"/>
        <v>0</v>
      </c>
      <c r="H291" s="206">
        <f t="shared" si="167"/>
        <v>0</v>
      </c>
      <c r="I291" s="206">
        <f t="shared" ref="I291:L291" si="168">I286-I285</f>
        <v>1.0000000009313226E-2</v>
      </c>
      <c r="J291" s="206">
        <f t="shared" si="168"/>
        <v>-0.33500000007916242</v>
      </c>
      <c r="K291" s="206">
        <f t="shared" si="168"/>
        <v>63179.07499999999</v>
      </c>
      <c r="L291" s="206">
        <f t="shared" si="168"/>
        <v>0</v>
      </c>
      <c r="O291" s="223">
        <f>O285-O286</f>
        <v>0</v>
      </c>
      <c r="Q291" s="240"/>
      <c r="T291" s="230"/>
      <c r="U291" s="230"/>
      <c r="V291" s="230"/>
      <c r="W291" s="230"/>
    </row>
    <row r="292" spans="1:58" s="139" customFormat="1" ht="28.5" hidden="1" customHeight="1" outlineLevel="1" x14ac:dyDescent="0.2">
      <c r="A292" s="729"/>
      <c r="B292" s="241" t="s">
        <v>123</v>
      </c>
      <c r="C292" s="241"/>
      <c r="D292" s="242"/>
      <c r="E292" s="242" t="e">
        <f>E283-E289</f>
        <v>#REF!</v>
      </c>
      <c r="F292" s="242" t="e">
        <f>F283-F289</f>
        <v>#REF!</v>
      </c>
      <c r="G292" s="242">
        <f>G283-G289+G291</f>
        <v>291374.25876914698</v>
      </c>
      <c r="H292" s="242">
        <f t="shared" ref="H292:L292" si="169">H283-H289+H291</f>
        <v>918489.94999613636</v>
      </c>
      <c r="I292" s="242">
        <f t="shared" si="169"/>
        <v>770391.55372868222</v>
      </c>
      <c r="J292" s="242">
        <f t="shared" si="169"/>
        <v>655778.75235948607</v>
      </c>
      <c r="K292" s="242">
        <f t="shared" si="169"/>
        <v>3893263.517855525</v>
      </c>
      <c r="L292" s="242">
        <f t="shared" si="169"/>
        <v>9280028.7929329742</v>
      </c>
      <c r="O292" s="224"/>
      <c r="Q292" s="181"/>
    </row>
    <row r="293" spans="1:58" s="139" customFormat="1" ht="28.15" hidden="1" customHeight="1" outlineLevel="1" x14ac:dyDescent="0.2">
      <c r="A293" s="181"/>
      <c r="B293" s="243"/>
      <c r="C293" s="244"/>
      <c r="D293" s="213"/>
      <c r="E293" s="213"/>
      <c r="F293" s="213"/>
      <c r="G293" s="213"/>
      <c r="H293" s="1125"/>
      <c r="I293" s="213"/>
      <c r="J293" s="213"/>
      <c r="K293" s="213"/>
      <c r="L293" s="213"/>
      <c r="Q293" s="181"/>
    </row>
    <row r="294" spans="1:58" s="186" customFormat="1" ht="24.75" hidden="1" customHeight="1" outlineLevel="1" x14ac:dyDescent="0.2">
      <c r="A294" s="726" t="s">
        <v>670</v>
      </c>
      <c r="B294" s="235" t="s">
        <v>671</v>
      </c>
      <c r="C294" s="236"/>
      <c r="D294" s="237"/>
      <c r="E294" s="237"/>
      <c r="F294" s="237"/>
      <c r="G294" s="237"/>
      <c r="H294" s="237">
        <v>71218.600000000006</v>
      </c>
      <c r="I294" s="237">
        <v>691620.53888000001</v>
      </c>
      <c r="J294" s="237">
        <v>0</v>
      </c>
      <c r="K294" s="237"/>
      <c r="L294" s="237"/>
      <c r="M294" s="225"/>
      <c r="N294" s="225"/>
      <c r="O294" s="217">
        <v>6454</v>
      </c>
      <c r="P294" s="188"/>
      <c r="Q294" s="139"/>
      <c r="R294" s="238"/>
      <c r="S294" s="188"/>
      <c r="T294" s="188"/>
      <c r="U294" s="188"/>
      <c r="V294" s="188"/>
      <c r="W294" s="188"/>
      <c r="X294" s="188"/>
      <c r="Y294" s="188"/>
      <c r="Z294" s="188"/>
      <c r="AA294" s="188"/>
      <c r="AB294" s="188"/>
      <c r="AC294" s="188"/>
      <c r="AD294" s="188"/>
      <c r="AE294" s="188"/>
      <c r="AF294" s="188"/>
      <c r="AG294" s="188"/>
      <c r="AH294" s="188"/>
      <c r="AI294" s="188"/>
      <c r="AJ294" s="188"/>
      <c r="AK294" s="188"/>
      <c r="AL294" s="188"/>
      <c r="AM294" s="188"/>
      <c r="AN294" s="188"/>
      <c r="AO294" s="188"/>
      <c r="AP294" s="188"/>
      <c r="AQ294" s="188"/>
      <c r="AR294" s="188"/>
      <c r="AS294" s="188"/>
      <c r="AT294" s="188"/>
      <c r="AU294" s="188"/>
      <c r="AV294" s="188"/>
      <c r="AW294" s="188"/>
      <c r="AX294" s="188"/>
      <c r="AY294" s="188"/>
      <c r="AZ294" s="188"/>
      <c r="BA294" s="188"/>
      <c r="BB294" s="188"/>
      <c r="BC294" s="188"/>
      <c r="BD294" s="188"/>
      <c r="BE294" s="188"/>
      <c r="BF294" s="188"/>
    </row>
    <row r="295" spans="1:58" s="186" customFormat="1" hidden="1" outlineLevel="1" x14ac:dyDescent="0.2">
      <c r="A295" s="727"/>
      <c r="B295" s="189" t="s">
        <v>75</v>
      </c>
      <c r="C295" s="190"/>
      <c r="D295" s="191"/>
      <c r="E295" s="191"/>
      <c r="F295" s="191">
        <f>SUM(F296:F299)</f>
        <v>0</v>
      </c>
      <c r="G295" s="191">
        <f>SUM(G296:G299)</f>
        <v>0</v>
      </c>
      <c r="H295" s="191">
        <f>SUM(H296:H299)</f>
        <v>71218.600000000006</v>
      </c>
      <c r="I295" s="191">
        <f>SUM(I296:I299)</f>
        <v>691620.72200000007</v>
      </c>
      <c r="J295" s="191">
        <f t="shared" ref="J295:L295" si="170">SUM(J296:J299)</f>
        <v>113089.83999999997</v>
      </c>
      <c r="K295" s="191">
        <f t="shared" si="170"/>
        <v>0</v>
      </c>
      <c r="L295" s="191">
        <f t="shared" si="170"/>
        <v>0</v>
      </c>
      <c r="M295" s="225"/>
      <c r="N295" s="225"/>
      <c r="O295" s="218">
        <v>6454</v>
      </c>
      <c r="P295" s="188"/>
      <c r="Q295" s="139"/>
      <c r="R295"/>
      <c r="S295"/>
      <c r="T295"/>
      <c r="U295"/>
      <c r="V295"/>
      <c r="W295"/>
      <c r="X295" s="188"/>
      <c r="Y295" s="188"/>
      <c r="Z295" s="188"/>
      <c r="AA295" s="188"/>
      <c r="AB295" s="188"/>
      <c r="AC295" s="188"/>
      <c r="AD295" s="188"/>
      <c r="AE295" s="188"/>
      <c r="AF295" s="188"/>
      <c r="AG295" s="188"/>
      <c r="AH295" s="188"/>
      <c r="AI295" s="188"/>
      <c r="AJ295" s="188"/>
      <c r="AK295" s="188"/>
      <c r="AL295" s="188"/>
      <c r="AM295" s="188"/>
      <c r="AN295" s="188"/>
      <c r="AO295" s="188"/>
      <c r="AP295" s="188"/>
      <c r="AQ295" s="188"/>
      <c r="AR295" s="188"/>
      <c r="AS295" s="188"/>
      <c r="AT295" s="188"/>
      <c r="AU295" s="188"/>
      <c r="AV295" s="188"/>
      <c r="AW295" s="188"/>
      <c r="AX295" s="188"/>
      <c r="AY295" s="188"/>
      <c r="AZ295" s="188"/>
      <c r="BA295" s="188"/>
      <c r="BB295" s="188"/>
      <c r="BC295" s="188"/>
      <c r="BD295" s="188"/>
      <c r="BE295" s="188"/>
      <c r="BF295" s="188"/>
    </row>
    <row r="296" spans="1:58" s="186" customFormat="1" hidden="1" outlineLevel="1" x14ac:dyDescent="0.2">
      <c r="A296" s="727"/>
      <c r="B296" s="193" t="s">
        <v>76</v>
      </c>
      <c r="C296" s="194"/>
      <c r="D296" s="195"/>
      <c r="E296" s="196"/>
      <c r="F296" s="196"/>
      <c r="G296" s="196"/>
      <c r="H296" s="768"/>
      <c r="I296" s="194"/>
      <c r="J296" s="194"/>
      <c r="K296" s="194"/>
      <c r="L296" s="194"/>
      <c r="O296" s="219">
        <v>0</v>
      </c>
      <c r="P296" s="188"/>
      <c r="Q296" s="226"/>
      <c r="R296" s="139"/>
      <c r="S296" s="139"/>
      <c r="T296" s="139"/>
      <c r="U296" s="139"/>
      <c r="V296" s="139"/>
      <c r="W296" s="139"/>
      <c r="X296" s="139"/>
      <c r="Y296" s="188"/>
      <c r="Z296" s="188"/>
      <c r="AA296" s="188"/>
      <c r="AB296" s="188"/>
      <c r="AC296" s="188"/>
      <c r="AD296" s="188"/>
      <c r="AE296" s="188"/>
      <c r="AF296" s="188"/>
      <c r="AG296" s="188"/>
      <c r="AH296" s="188"/>
      <c r="AI296" s="188"/>
      <c r="AJ296" s="188"/>
      <c r="AK296" s="188"/>
      <c r="AL296" s="188"/>
      <c r="AM296" s="188"/>
      <c r="AN296" s="188"/>
      <c r="AO296" s="188"/>
      <c r="AP296" s="188"/>
      <c r="AQ296" s="188"/>
      <c r="AR296" s="188"/>
      <c r="AS296" s="188"/>
      <c r="AT296" s="188"/>
      <c r="AU296" s="188"/>
      <c r="AV296" s="188"/>
      <c r="AW296" s="188"/>
      <c r="AX296" s="188"/>
      <c r="AY296" s="188"/>
      <c r="AZ296" s="188"/>
      <c r="BA296" s="188"/>
      <c r="BB296" s="188"/>
      <c r="BC296" s="188"/>
      <c r="BD296" s="188"/>
      <c r="BE296" s="188"/>
      <c r="BF296" s="188"/>
    </row>
    <row r="297" spans="1:58" s="89" customFormat="1" hidden="1" outlineLevel="1" x14ac:dyDescent="0.2">
      <c r="A297" s="728"/>
      <c r="B297" s="193" t="s">
        <v>77</v>
      </c>
      <c r="C297" s="194"/>
      <c r="D297" s="195"/>
      <c r="E297" s="196"/>
      <c r="F297" s="196"/>
      <c r="G297" s="196"/>
      <c r="H297" s="196">
        <v>63718.6</v>
      </c>
      <c r="I297" s="196">
        <v>452358</v>
      </c>
      <c r="J297" s="196">
        <v>113089.83999999997</v>
      </c>
      <c r="K297" s="196"/>
      <c r="L297" s="194"/>
      <c r="M297" s="198">
        <f>J297</f>
        <v>113089.83999999997</v>
      </c>
      <c r="N297" s="89" t="s">
        <v>667</v>
      </c>
      <c r="O297" s="219">
        <v>6454</v>
      </c>
      <c r="Q297" s="240"/>
    </row>
    <row r="298" spans="1:58" s="714" customFormat="1" ht="14.25" hidden="1" customHeight="1" outlineLevel="1" x14ac:dyDescent="0.2">
      <c r="A298" s="728"/>
      <c r="B298" s="1149" t="s">
        <v>78</v>
      </c>
      <c r="C298" s="1150"/>
      <c r="D298" s="1151"/>
      <c r="E298" s="1148"/>
      <c r="F298" s="1148"/>
      <c r="G298" s="1148"/>
      <c r="H298" s="1148">
        <v>7500</v>
      </c>
      <c r="I298" s="1148">
        <v>93222.222000000009</v>
      </c>
      <c r="J298" s="1150"/>
      <c r="K298" s="1150"/>
      <c r="L298" s="1150"/>
      <c r="O298" s="715">
        <f>SUM(D298:I298)</f>
        <v>100722.22200000001</v>
      </c>
      <c r="Q298" s="716"/>
      <c r="R298" s="717"/>
    </row>
    <row r="299" spans="1:58" s="229" customFormat="1" ht="14.25" hidden="1" customHeight="1" outlineLevel="1" x14ac:dyDescent="0.2">
      <c r="A299" s="728"/>
      <c r="B299" s="199" t="s">
        <v>79</v>
      </c>
      <c r="C299" s="200"/>
      <c r="D299" s="201"/>
      <c r="E299" s="202"/>
      <c r="F299" s="202"/>
      <c r="G299" s="202"/>
      <c r="H299" s="1126"/>
      <c r="I299" s="202">
        <f>209834-63793.5</f>
        <v>146040.5</v>
      </c>
      <c r="J299" s="202"/>
      <c r="K299" s="202"/>
      <c r="L299" s="200"/>
      <c r="O299" s="221">
        <f>SUM(D299:I299)</f>
        <v>146040.5</v>
      </c>
      <c r="Q299" s="240"/>
      <c r="T299" s="230"/>
      <c r="U299" s="230"/>
      <c r="V299" s="230"/>
      <c r="W299" s="230"/>
    </row>
    <row r="300" spans="1:58" s="229" customFormat="1" ht="14.25" hidden="1" customHeight="1" outlineLevel="1" x14ac:dyDescent="0.2">
      <c r="A300" s="728"/>
      <c r="B300" s="204" t="s">
        <v>80</v>
      </c>
      <c r="C300" s="205"/>
      <c r="D300" s="206"/>
      <c r="E300" s="206">
        <f>E295-E294</f>
        <v>0</v>
      </c>
      <c r="F300" s="206">
        <f t="shared" ref="F300:G300" si="171">F295-F294</f>
        <v>0</v>
      </c>
      <c r="G300" s="206">
        <f t="shared" si="171"/>
        <v>0</v>
      </c>
      <c r="H300" s="1124">
        <f t="shared" ref="H300:L300" si="172">H295-H294</f>
        <v>0</v>
      </c>
      <c r="I300" s="206">
        <f t="shared" si="172"/>
        <v>0.1831200000597164</v>
      </c>
      <c r="J300" s="206">
        <f t="shared" si="172"/>
        <v>113089.83999999997</v>
      </c>
      <c r="K300" s="206">
        <f t="shared" si="172"/>
        <v>0</v>
      </c>
      <c r="L300" s="206">
        <f t="shared" si="172"/>
        <v>0</v>
      </c>
      <c r="O300" s="223">
        <f>O294-O295</f>
        <v>0</v>
      </c>
      <c r="Q300" s="240"/>
      <c r="T300" s="230"/>
      <c r="U300" s="230"/>
      <c r="V300" s="230"/>
      <c r="W300" s="230"/>
    </row>
    <row r="301" spans="1:58" s="139" customFormat="1" ht="28.5" hidden="1" customHeight="1" outlineLevel="1" x14ac:dyDescent="0.2">
      <c r="A301" s="729"/>
      <c r="B301" s="241" t="s">
        <v>132</v>
      </c>
      <c r="C301" s="241"/>
      <c r="D301" s="242"/>
      <c r="E301" s="242" t="e">
        <f>E292-E298</f>
        <v>#REF!</v>
      </c>
      <c r="F301" s="242" t="e">
        <f>F292-F298</f>
        <v>#REF!</v>
      </c>
      <c r="G301" s="242">
        <f>G292-G298+G300</f>
        <v>291374.25876914698</v>
      </c>
      <c r="H301" s="242">
        <f t="shared" ref="H301:L301" si="173">H292-H298+H300</f>
        <v>910989.94999613636</v>
      </c>
      <c r="I301" s="242">
        <f t="shared" si="173"/>
        <v>677169.51484868221</v>
      </c>
      <c r="J301" s="242">
        <f t="shared" si="173"/>
        <v>768868.59235948604</v>
      </c>
      <c r="K301" s="242">
        <f t="shared" si="173"/>
        <v>3893263.517855525</v>
      </c>
      <c r="L301" s="242">
        <f t="shared" si="173"/>
        <v>9280028.7929329742</v>
      </c>
      <c r="O301" s="224"/>
      <c r="Q301" s="181"/>
    </row>
    <row r="302" spans="1:58" s="139" customFormat="1" ht="28.15" hidden="1" customHeight="1" outlineLevel="1" x14ac:dyDescent="0.2">
      <c r="A302" s="181"/>
      <c r="B302" s="243"/>
      <c r="C302" s="244"/>
      <c r="D302" s="213"/>
      <c r="E302" s="213"/>
      <c r="F302" s="213"/>
      <c r="G302" s="213"/>
      <c r="H302" s="1125"/>
      <c r="I302" s="213"/>
      <c r="J302" s="213"/>
      <c r="K302" s="213"/>
      <c r="L302" s="213"/>
      <c r="Q302" s="181"/>
    </row>
    <row r="303" spans="1:58" s="186" customFormat="1" ht="24.75" hidden="1" customHeight="1" outlineLevel="1" x14ac:dyDescent="0.2">
      <c r="A303" s="726" t="s">
        <v>672</v>
      </c>
      <c r="B303" s="235" t="s">
        <v>673</v>
      </c>
      <c r="C303" s="236"/>
      <c r="D303" s="237"/>
      <c r="E303" s="237"/>
      <c r="F303" s="237"/>
      <c r="G303" s="237"/>
      <c r="H303" s="237">
        <v>76314.7</v>
      </c>
      <c r="I303" s="237">
        <v>422193.06</v>
      </c>
      <c r="J303" s="237">
        <v>1688772.24</v>
      </c>
      <c r="K303" s="237"/>
      <c r="L303" s="237"/>
      <c r="M303" s="225"/>
      <c r="N303" s="225"/>
      <c r="O303" s="217">
        <v>6454</v>
      </c>
      <c r="P303" s="188"/>
      <c r="Q303" s="139"/>
      <c r="R303" s="238"/>
      <c r="S303" s="188"/>
      <c r="T303" s="188"/>
      <c r="U303" s="188"/>
      <c r="V303" s="188"/>
      <c r="W303" s="188"/>
      <c r="X303" s="188"/>
      <c r="Y303" s="188"/>
      <c r="Z303" s="188"/>
      <c r="AA303" s="188"/>
      <c r="AB303" s="188"/>
      <c r="AC303" s="188"/>
      <c r="AD303" s="188"/>
      <c r="AE303" s="188"/>
      <c r="AF303" s="188"/>
      <c r="AG303" s="188"/>
      <c r="AH303" s="188"/>
      <c r="AI303" s="188"/>
      <c r="AJ303" s="188"/>
      <c r="AK303" s="188"/>
      <c r="AL303" s="188"/>
      <c r="AM303" s="188"/>
      <c r="AN303" s="188"/>
      <c r="AO303" s="188"/>
      <c r="AP303" s="188"/>
      <c r="AQ303" s="188"/>
      <c r="AR303" s="188"/>
      <c r="AS303" s="188"/>
      <c r="AT303" s="188"/>
      <c r="AU303" s="188"/>
      <c r="AV303" s="188"/>
      <c r="AW303" s="188"/>
      <c r="AX303" s="188"/>
      <c r="AY303" s="188"/>
      <c r="AZ303" s="188"/>
      <c r="BA303" s="188"/>
      <c r="BB303" s="188"/>
      <c r="BC303" s="188"/>
      <c r="BD303" s="188"/>
      <c r="BE303" s="188"/>
      <c r="BF303" s="188"/>
    </row>
    <row r="304" spans="1:58" s="186" customFormat="1" hidden="1" outlineLevel="1" x14ac:dyDescent="0.2">
      <c r="A304" s="727"/>
      <c r="B304" s="189" t="s">
        <v>75</v>
      </c>
      <c r="C304" s="190"/>
      <c r="D304" s="191"/>
      <c r="E304" s="191"/>
      <c r="F304" s="191">
        <f>SUM(F305:F308)</f>
        <v>0</v>
      </c>
      <c r="G304" s="191">
        <f>SUM(G305:G308)</f>
        <v>0</v>
      </c>
      <c r="H304" s="191">
        <f>SUM(H305:H308)</f>
        <v>76314.7</v>
      </c>
      <c r="I304" s="191">
        <f>SUM(I305:I308)</f>
        <v>422193.10099999997</v>
      </c>
      <c r="J304" s="191">
        <f t="shared" ref="J304:K304" si="174">SUM(J305:J308)</f>
        <v>1688772.24</v>
      </c>
      <c r="K304" s="191">
        <f t="shared" si="174"/>
        <v>164024.12719999999</v>
      </c>
      <c r="L304" s="191"/>
      <c r="M304" s="225"/>
      <c r="N304" s="225"/>
      <c r="O304" s="218">
        <v>6454</v>
      </c>
      <c r="P304" s="188"/>
      <c r="Q304" s="139"/>
      <c r="R304"/>
      <c r="S304"/>
      <c r="T304"/>
      <c r="U304"/>
      <c r="V304"/>
      <c r="W304"/>
      <c r="X304" s="188"/>
      <c r="Y304" s="188"/>
      <c r="Z304" s="188"/>
      <c r="AA304" s="188"/>
      <c r="AB304" s="188"/>
      <c r="AC304" s="188"/>
      <c r="AD304" s="188"/>
      <c r="AE304" s="188"/>
      <c r="AF304" s="188"/>
      <c r="AG304" s="188"/>
      <c r="AH304" s="188"/>
      <c r="AI304" s="188"/>
      <c r="AJ304" s="188"/>
      <c r="AK304" s="188"/>
      <c r="AL304" s="188"/>
      <c r="AM304" s="188"/>
      <c r="AN304" s="188"/>
      <c r="AO304" s="188"/>
      <c r="AP304" s="188"/>
      <c r="AQ304" s="188"/>
      <c r="AR304" s="188"/>
      <c r="AS304" s="188"/>
      <c r="AT304" s="188"/>
      <c r="AU304" s="188"/>
      <c r="AV304" s="188"/>
      <c r="AW304" s="188"/>
      <c r="AX304" s="188"/>
      <c r="AY304" s="188"/>
      <c r="AZ304" s="188"/>
      <c r="BA304" s="188"/>
      <c r="BB304" s="188"/>
      <c r="BC304" s="188"/>
      <c r="BD304" s="188"/>
      <c r="BE304" s="188"/>
      <c r="BF304" s="188"/>
    </row>
    <row r="305" spans="1:58" s="186" customFormat="1" hidden="1" outlineLevel="1" x14ac:dyDescent="0.2">
      <c r="A305" s="727"/>
      <c r="B305" s="193" t="s">
        <v>76</v>
      </c>
      <c r="C305" s="194"/>
      <c r="D305" s="195"/>
      <c r="E305" s="196"/>
      <c r="F305" s="196"/>
      <c r="G305" s="196"/>
      <c r="H305" s="768"/>
      <c r="I305" s="194"/>
      <c r="J305" s="194"/>
      <c r="K305" s="194"/>
      <c r="L305" s="194"/>
      <c r="O305" s="219">
        <v>0</v>
      </c>
      <c r="P305" s="188"/>
      <c r="Q305" s="226"/>
      <c r="R305" s="139"/>
      <c r="S305" s="139"/>
      <c r="T305" s="139"/>
      <c r="U305" s="139"/>
      <c r="V305" s="139"/>
      <c r="W305" s="139"/>
      <c r="X305" s="139"/>
      <c r="Y305" s="188"/>
      <c r="Z305" s="188"/>
      <c r="AA305" s="188"/>
      <c r="AB305" s="188"/>
      <c r="AC305" s="188"/>
      <c r="AD305" s="188"/>
      <c r="AE305" s="188"/>
      <c r="AF305" s="188"/>
      <c r="AG305" s="188"/>
      <c r="AH305" s="188"/>
      <c r="AI305" s="188"/>
      <c r="AJ305" s="188"/>
      <c r="AK305" s="188"/>
      <c r="AL305" s="188"/>
      <c r="AM305" s="188"/>
      <c r="AN305" s="188"/>
      <c r="AO305" s="188"/>
      <c r="AP305" s="188"/>
      <c r="AQ305" s="188"/>
      <c r="AR305" s="188"/>
      <c r="AS305" s="188"/>
      <c r="AT305" s="188"/>
      <c r="AU305" s="188"/>
      <c r="AV305" s="188"/>
      <c r="AW305" s="188"/>
      <c r="AX305" s="188"/>
      <c r="AY305" s="188"/>
      <c r="AZ305" s="188"/>
      <c r="BA305" s="188"/>
      <c r="BB305" s="188"/>
      <c r="BC305" s="188"/>
      <c r="BD305" s="188"/>
      <c r="BE305" s="188"/>
      <c r="BF305" s="188"/>
    </row>
    <row r="306" spans="1:58" s="89" customFormat="1" hidden="1" outlineLevel="1" x14ac:dyDescent="0.2">
      <c r="A306" s="728"/>
      <c r="B306" s="193" t="s">
        <v>77</v>
      </c>
      <c r="C306" s="194"/>
      <c r="D306" s="195"/>
      <c r="E306" s="196"/>
      <c r="F306" s="196"/>
      <c r="G306" s="196"/>
      <c r="H306" s="196">
        <v>76314.7</v>
      </c>
      <c r="I306" s="196">
        <v>358864.10099999997</v>
      </c>
      <c r="J306" s="196">
        <v>1041038.3437999999</v>
      </c>
      <c r="K306" s="196">
        <v>164024.12719999999</v>
      </c>
      <c r="L306" s="194"/>
      <c r="M306" s="198">
        <f>K306</f>
        <v>164024.12719999999</v>
      </c>
      <c r="N306" s="89" t="s">
        <v>669</v>
      </c>
      <c r="O306" s="219">
        <v>6454</v>
      </c>
      <c r="Q306" s="240"/>
    </row>
    <row r="307" spans="1:58" s="714" customFormat="1" ht="14.25" hidden="1" customHeight="1" outlineLevel="1" x14ac:dyDescent="0.2">
      <c r="A307" s="728"/>
      <c r="B307" s="1144" t="s">
        <v>78</v>
      </c>
      <c r="C307" s="1145"/>
      <c r="D307" s="1146"/>
      <c r="E307" s="1147"/>
      <c r="F307" s="1147"/>
      <c r="G307" s="1147"/>
      <c r="H307" s="1147"/>
      <c r="I307" s="1147">
        <f>180000-116671</f>
        <v>63329</v>
      </c>
      <c r="J307" s="1147">
        <v>218728</v>
      </c>
      <c r="K307" s="1145"/>
      <c r="L307" s="1145"/>
      <c r="O307" s="715">
        <f>SUM(D307:I307)</f>
        <v>63329</v>
      </c>
      <c r="Q307" s="716"/>
      <c r="R307" s="717"/>
    </row>
    <row r="308" spans="1:58" s="229" customFormat="1" ht="14.25" hidden="1" customHeight="1" outlineLevel="1" x14ac:dyDescent="0.2">
      <c r="A308" s="728"/>
      <c r="B308" s="199" t="s">
        <v>79</v>
      </c>
      <c r="C308" s="200"/>
      <c r="D308" s="201"/>
      <c r="E308" s="202"/>
      <c r="F308" s="202"/>
      <c r="G308" s="202"/>
      <c r="H308" s="1126"/>
      <c r="I308" s="202"/>
      <c r="J308" s="202">
        <v>429005.89620000002</v>
      </c>
      <c r="K308" s="202"/>
      <c r="L308" s="200"/>
      <c r="O308" s="221">
        <f>SUM(D308:I308)</f>
        <v>0</v>
      </c>
      <c r="Q308" s="240"/>
      <c r="T308" s="230"/>
      <c r="U308" s="230"/>
      <c r="V308" s="230"/>
      <c r="W308" s="230"/>
    </row>
    <row r="309" spans="1:58" s="229" customFormat="1" ht="14.25" hidden="1" customHeight="1" outlineLevel="1" x14ac:dyDescent="0.2">
      <c r="A309" s="728"/>
      <c r="B309" s="204" t="s">
        <v>80</v>
      </c>
      <c r="C309" s="205"/>
      <c r="D309" s="206"/>
      <c r="E309" s="206">
        <f>E304-E303</f>
        <v>0</v>
      </c>
      <c r="F309" s="206">
        <f t="shared" ref="F309:H309" si="175">F304-F303</f>
        <v>0</v>
      </c>
      <c r="G309" s="206">
        <f t="shared" si="175"/>
        <v>0</v>
      </c>
      <c r="H309" s="206">
        <f t="shared" si="175"/>
        <v>0</v>
      </c>
      <c r="I309" s="206">
        <f t="shared" ref="I309:L309" si="176">I304-I303</f>
        <v>4.0999999968335032E-2</v>
      </c>
      <c r="J309" s="206">
        <f t="shared" si="176"/>
        <v>0</v>
      </c>
      <c r="K309" s="206">
        <f t="shared" si="176"/>
        <v>164024.12719999999</v>
      </c>
      <c r="L309" s="206">
        <f t="shared" si="176"/>
        <v>0</v>
      </c>
      <c r="O309" s="223">
        <f>O303-O304</f>
        <v>0</v>
      </c>
      <c r="Q309" s="240"/>
      <c r="T309" s="230"/>
      <c r="U309" s="230"/>
      <c r="V309" s="230"/>
      <c r="W309" s="230"/>
    </row>
    <row r="310" spans="1:58" s="139" customFormat="1" ht="28.5" hidden="1" customHeight="1" outlineLevel="1" x14ac:dyDescent="0.2">
      <c r="A310" s="729"/>
      <c r="B310" s="241" t="s">
        <v>693</v>
      </c>
      <c r="C310" s="241"/>
      <c r="D310" s="242"/>
      <c r="E310" s="242" t="e">
        <f>E301-E307</f>
        <v>#REF!</v>
      </c>
      <c r="F310" s="242" t="e">
        <f>F301-F307</f>
        <v>#REF!</v>
      </c>
      <c r="G310" s="242">
        <f>G301-G307+G309</f>
        <v>291374.25876914698</v>
      </c>
      <c r="H310" s="242">
        <f t="shared" ref="H310:L310" si="177">H301-H307+H309</f>
        <v>910989.94999613636</v>
      </c>
      <c r="I310" s="242">
        <f t="shared" si="177"/>
        <v>613840.55584868218</v>
      </c>
      <c r="J310" s="242">
        <f t="shared" si="177"/>
        <v>550140.59235948604</v>
      </c>
      <c r="K310" s="242">
        <f t="shared" si="177"/>
        <v>4057287.645055525</v>
      </c>
      <c r="L310" s="242">
        <f t="shared" si="177"/>
        <v>9280028.7929329742</v>
      </c>
      <c r="O310" s="224"/>
      <c r="Q310" s="181"/>
    </row>
    <row r="311" spans="1:58" s="139" customFormat="1" ht="28.15" hidden="1" customHeight="1" outlineLevel="1" x14ac:dyDescent="0.2">
      <c r="A311" s="181"/>
      <c r="B311" s="243"/>
      <c r="C311" s="244"/>
      <c r="D311" s="213"/>
      <c r="E311" s="213"/>
      <c r="F311" s="213"/>
      <c r="G311" s="213"/>
      <c r="H311" s="1125"/>
      <c r="I311" s="213"/>
      <c r="J311" s="213"/>
      <c r="K311" s="213"/>
      <c r="L311" s="213"/>
      <c r="Q311" s="181"/>
    </row>
    <row r="312" spans="1:58" s="186" customFormat="1" ht="24.75" hidden="1" customHeight="1" outlineLevel="1" x14ac:dyDescent="0.2">
      <c r="A312" s="726" t="s">
        <v>124</v>
      </c>
      <c r="B312" s="235" t="s">
        <v>674</v>
      </c>
      <c r="C312" s="236"/>
      <c r="D312" s="237"/>
      <c r="E312" s="237"/>
      <c r="F312" s="237"/>
      <c r="G312" s="237">
        <v>0</v>
      </c>
      <c r="H312" s="237">
        <v>36542</v>
      </c>
      <c r="I312" s="237">
        <v>316191.60000000003</v>
      </c>
      <c r="J312" s="237">
        <v>1264766.4000000001</v>
      </c>
      <c r="K312" s="237"/>
      <c r="L312" s="237"/>
      <c r="M312" s="225"/>
      <c r="N312" s="225"/>
      <c r="O312" s="217">
        <v>6454</v>
      </c>
      <c r="P312" s="188"/>
      <c r="Q312" s="139"/>
      <c r="R312" s="238"/>
      <c r="S312" s="188"/>
      <c r="T312" s="188"/>
      <c r="U312" s="188"/>
      <c r="V312" s="188"/>
      <c r="W312" s="188"/>
      <c r="X312" s="188"/>
      <c r="Y312" s="188"/>
      <c r="Z312" s="188"/>
      <c r="AA312" s="188"/>
      <c r="AB312" s="188"/>
      <c r="AC312" s="188"/>
      <c r="AD312" s="188"/>
      <c r="AE312" s="188"/>
      <c r="AF312" s="188"/>
      <c r="AG312" s="188"/>
      <c r="AH312" s="188"/>
      <c r="AI312" s="188"/>
      <c r="AJ312" s="188"/>
      <c r="AK312" s="188"/>
      <c r="AL312" s="188"/>
      <c r="AM312" s="188"/>
      <c r="AN312" s="188"/>
      <c r="AO312" s="188"/>
      <c r="AP312" s="188"/>
      <c r="AQ312" s="188"/>
      <c r="AR312" s="188"/>
      <c r="AS312" s="188"/>
      <c r="AT312" s="188"/>
      <c r="AU312" s="188"/>
      <c r="AV312" s="188"/>
      <c r="AW312" s="188"/>
      <c r="AX312" s="188"/>
      <c r="AY312" s="188"/>
      <c r="AZ312" s="188"/>
      <c r="BA312" s="188"/>
      <c r="BB312" s="188"/>
      <c r="BC312" s="188"/>
      <c r="BD312" s="188"/>
      <c r="BE312" s="188"/>
      <c r="BF312" s="188"/>
    </row>
    <row r="313" spans="1:58" s="186" customFormat="1" hidden="1" outlineLevel="1" x14ac:dyDescent="0.2">
      <c r="A313" s="727"/>
      <c r="B313" s="189" t="s">
        <v>75</v>
      </c>
      <c r="C313" s="190"/>
      <c r="D313" s="191"/>
      <c r="E313" s="191"/>
      <c r="F313" s="191">
        <f>SUM(F314:F317)</f>
        <v>0</v>
      </c>
      <c r="G313" s="191">
        <f>SUM(G314:G317)</f>
        <v>0</v>
      </c>
      <c r="H313" s="191">
        <f>SUM(H314:H317)</f>
        <v>36542</v>
      </c>
      <c r="I313" s="191">
        <f>SUM(I314:I317)</f>
        <v>316191.86000000004</v>
      </c>
      <c r="J313" s="191">
        <f t="shared" ref="J313:K313" si="178">SUM(J314:J317)</f>
        <v>1264767.0649999997</v>
      </c>
      <c r="K313" s="191">
        <f t="shared" si="178"/>
        <v>121296.32499999998</v>
      </c>
      <c r="L313" s="191"/>
      <c r="M313" s="225"/>
      <c r="N313" s="225"/>
      <c r="O313" s="218">
        <v>6454</v>
      </c>
      <c r="P313" s="188"/>
      <c r="Q313" s="139"/>
      <c r="R313"/>
      <c r="S313"/>
      <c r="T313"/>
      <c r="U313"/>
      <c r="V313"/>
      <c r="W313"/>
      <c r="X313" s="188"/>
      <c r="Y313" s="188"/>
      <c r="Z313" s="188"/>
      <c r="AA313" s="188"/>
      <c r="AB313" s="188"/>
      <c r="AC313" s="188"/>
      <c r="AD313" s="188"/>
      <c r="AE313" s="188"/>
      <c r="AF313" s="188"/>
      <c r="AG313" s="188"/>
      <c r="AH313" s="188"/>
      <c r="AI313" s="188"/>
      <c r="AJ313" s="188"/>
      <c r="AK313" s="188"/>
      <c r="AL313" s="188"/>
      <c r="AM313" s="188"/>
      <c r="AN313" s="188"/>
      <c r="AO313" s="188"/>
      <c r="AP313" s="188"/>
      <c r="AQ313" s="188"/>
      <c r="AR313" s="188"/>
      <c r="AS313" s="188"/>
      <c r="AT313" s="188"/>
      <c r="AU313" s="188"/>
      <c r="AV313" s="188"/>
      <c r="AW313" s="188"/>
      <c r="AX313" s="188"/>
      <c r="AY313" s="188"/>
      <c r="AZ313" s="188"/>
      <c r="BA313" s="188"/>
      <c r="BB313" s="188"/>
      <c r="BC313" s="188"/>
      <c r="BD313" s="188"/>
      <c r="BE313" s="188"/>
      <c r="BF313" s="188"/>
    </row>
    <row r="314" spans="1:58" s="186" customFormat="1" hidden="1" outlineLevel="1" x14ac:dyDescent="0.2">
      <c r="A314" s="727"/>
      <c r="B314" s="193" t="s">
        <v>76</v>
      </c>
      <c r="C314" s="194"/>
      <c r="D314" s="195"/>
      <c r="E314" s="196"/>
      <c r="F314" s="196"/>
      <c r="G314" s="196"/>
      <c r="H314" s="768"/>
      <c r="I314" s="194"/>
      <c r="J314" s="194"/>
      <c r="K314" s="194"/>
      <c r="L314" s="194"/>
      <c r="O314" s="219">
        <v>0</v>
      </c>
      <c r="P314" s="188"/>
      <c r="Q314" s="226"/>
      <c r="R314" s="139"/>
      <c r="S314" s="139"/>
      <c r="T314" s="139"/>
      <c r="U314" s="139"/>
      <c r="V314" s="139"/>
      <c r="W314" s="139"/>
      <c r="X314" s="139"/>
      <c r="Y314" s="188"/>
      <c r="Z314" s="188"/>
      <c r="AA314" s="188"/>
      <c r="AB314" s="188"/>
      <c r="AC314" s="188"/>
      <c r="AD314" s="188"/>
      <c r="AE314" s="188"/>
      <c r="AF314" s="188"/>
      <c r="AG314" s="188"/>
      <c r="AH314" s="188"/>
      <c r="AI314" s="188"/>
      <c r="AJ314" s="188"/>
      <c r="AK314" s="188"/>
      <c r="AL314" s="188"/>
      <c r="AM314" s="188"/>
      <c r="AN314" s="188"/>
      <c r="AO314" s="188"/>
      <c r="AP314" s="188"/>
      <c r="AQ314" s="188"/>
      <c r="AR314" s="188"/>
      <c r="AS314" s="188"/>
      <c r="AT314" s="188"/>
      <c r="AU314" s="188"/>
      <c r="AV314" s="188"/>
      <c r="AW314" s="188"/>
      <c r="AX314" s="188"/>
      <c r="AY314" s="188"/>
      <c r="AZ314" s="188"/>
      <c r="BA314" s="188"/>
      <c r="BB314" s="188"/>
      <c r="BC314" s="188"/>
      <c r="BD314" s="188"/>
      <c r="BE314" s="188"/>
      <c r="BF314" s="188"/>
    </row>
    <row r="315" spans="1:58" s="89" customFormat="1" hidden="1" outlineLevel="1" x14ac:dyDescent="0.2">
      <c r="A315" s="728"/>
      <c r="B315" s="193" t="s">
        <v>77</v>
      </c>
      <c r="C315" s="194"/>
      <c r="D315" s="195"/>
      <c r="E315" s="196"/>
      <c r="F315" s="196"/>
      <c r="G315" s="196"/>
      <c r="H315" s="196">
        <v>36542</v>
      </c>
      <c r="I315" s="196">
        <v>268762.86000000004</v>
      </c>
      <c r="J315" s="196">
        <v>786362.06499999971</v>
      </c>
      <c r="K315" s="196">
        <v>121296.32499999998</v>
      </c>
      <c r="L315" s="194"/>
      <c r="M315" s="198">
        <f>K318</f>
        <v>121296.32499999998</v>
      </c>
      <c r="N315" s="89" t="s">
        <v>669</v>
      </c>
      <c r="O315" s="219">
        <v>6454</v>
      </c>
      <c r="Q315" s="240"/>
    </row>
    <row r="316" spans="1:58" s="714" customFormat="1" ht="14.25" hidden="1" customHeight="1" outlineLevel="1" x14ac:dyDescent="0.2">
      <c r="A316" s="728"/>
      <c r="B316" s="1149" t="s">
        <v>78</v>
      </c>
      <c r="C316" s="1150"/>
      <c r="D316" s="1151"/>
      <c r="E316" s="1148"/>
      <c r="F316" s="1148"/>
      <c r="G316" s="1148">
        <v>0</v>
      </c>
      <c r="H316" s="1148"/>
      <c r="I316" s="1148">
        <f>161750-114321</f>
        <v>47429</v>
      </c>
      <c r="J316" s="1148">
        <v>209179</v>
      </c>
      <c r="K316" s="1150"/>
      <c r="L316" s="1150"/>
      <c r="O316" s="715">
        <f>SUM(D316:I316)</f>
        <v>47429</v>
      </c>
      <c r="Q316" s="716"/>
      <c r="R316" s="717"/>
    </row>
    <row r="317" spans="1:58" s="229" customFormat="1" ht="14.25" hidden="1" customHeight="1" outlineLevel="1" x14ac:dyDescent="0.2">
      <c r="A317" s="728"/>
      <c r="B317" s="199" t="s">
        <v>79</v>
      </c>
      <c r="C317" s="200"/>
      <c r="D317" s="201"/>
      <c r="E317" s="202"/>
      <c r="F317" s="202"/>
      <c r="G317" s="202"/>
      <c r="H317" s="1126"/>
      <c r="I317" s="202"/>
      <c r="J317" s="202">
        <v>269226</v>
      </c>
      <c r="K317" s="202"/>
      <c r="L317" s="200"/>
      <c r="O317" s="221">
        <f>SUM(D317:I317)</f>
        <v>0</v>
      </c>
      <c r="Q317" s="240"/>
      <c r="T317" s="230"/>
      <c r="U317" s="230"/>
      <c r="V317" s="230"/>
      <c r="W317" s="230"/>
    </row>
    <row r="318" spans="1:58" s="229" customFormat="1" ht="14.25" hidden="1" customHeight="1" outlineLevel="1" x14ac:dyDescent="0.2">
      <c r="A318" s="728"/>
      <c r="B318" s="204" t="s">
        <v>80</v>
      </c>
      <c r="C318" s="205"/>
      <c r="D318" s="206"/>
      <c r="E318" s="206">
        <f>E313-E312</f>
        <v>0</v>
      </c>
      <c r="F318" s="206">
        <f t="shared" ref="F318:H318" si="179">F313-F312</f>
        <v>0</v>
      </c>
      <c r="G318" s="206">
        <f t="shared" si="179"/>
        <v>0</v>
      </c>
      <c r="H318" s="206">
        <f t="shared" si="179"/>
        <v>0</v>
      </c>
      <c r="I318" s="206">
        <f t="shared" ref="I318:L318" si="180">I313-I312</f>
        <v>0.26000000000931323</v>
      </c>
      <c r="J318" s="206">
        <f t="shared" si="180"/>
        <v>0.66499999957159162</v>
      </c>
      <c r="K318" s="206">
        <f t="shared" si="180"/>
        <v>121296.32499999998</v>
      </c>
      <c r="L318" s="206">
        <f t="shared" si="180"/>
        <v>0</v>
      </c>
      <c r="O318" s="223">
        <f>O312-O313</f>
        <v>0</v>
      </c>
      <c r="Q318" s="240"/>
      <c r="T318" s="230"/>
      <c r="U318" s="230"/>
      <c r="V318" s="230"/>
      <c r="W318" s="230"/>
    </row>
    <row r="319" spans="1:58" s="139" customFormat="1" ht="28.5" hidden="1" customHeight="1" outlineLevel="1" x14ac:dyDescent="0.2">
      <c r="A319" s="729"/>
      <c r="B319" s="241" t="s">
        <v>125</v>
      </c>
      <c r="C319" s="241"/>
      <c r="D319" s="242"/>
      <c r="E319" s="242" t="e">
        <f>E310-E316</f>
        <v>#REF!</v>
      </c>
      <c r="F319" s="242" t="e">
        <f>F310-F316</f>
        <v>#REF!</v>
      </c>
      <c r="G319" s="242">
        <f>G310-G316+G318</f>
        <v>291374.25876914698</v>
      </c>
      <c r="H319" s="242">
        <f t="shared" ref="H319:L319" si="181">H310-H316+H318</f>
        <v>910989.94999613636</v>
      </c>
      <c r="I319" s="242">
        <f t="shared" si="181"/>
        <v>566411.81584868219</v>
      </c>
      <c r="J319" s="242">
        <f t="shared" si="181"/>
        <v>340962.25735948561</v>
      </c>
      <c r="K319" s="242">
        <f t="shared" si="181"/>
        <v>4178583.9700555252</v>
      </c>
      <c r="L319" s="242">
        <f t="shared" si="181"/>
        <v>9280028.7929329742</v>
      </c>
      <c r="O319" s="224"/>
      <c r="Q319" s="181"/>
    </row>
    <row r="320" spans="1:58" s="139" customFormat="1" ht="28.15" hidden="1" customHeight="1" outlineLevel="1" x14ac:dyDescent="0.2">
      <c r="A320" s="181"/>
      <c r="B320" s="243"/>
      <c r="C320" s="244"/>
      <c r="D320" s="213"/>
      <c r="E320" s="213"/>
      <c r="F320" s="213"/>
      <c r="G320" s="213"/>
      <c r="H320" s="1125"/>
      <c r="I320" s="213"/>
      <c r="J320" s="213"/>
      <c r="K320" s="213"/>
      <c r="L320" s="213"/>
      <c r="Q320" s="181"/>
    </row>
    <row r="321" spans="1:58" s="186" customFormat="1" ht="24.75" hidden="1" customHeight="1" outlineLevel="1" x14ac:dyDescent="0.2">
      <c r="A321" s="726" t="s">
        <v>675</v>
      </c>
      <c r="B321" s="235" t="s">
        <v>676</v>
      </c>
      <c r="C321" s="236"/>
      <c r="D321" s="237"/>
      <c r="E321" s="237"/>
      <c r="F321" s="237"/>
      <c r="G321" s="237"/>
      <c r="H321" s="237">
        <v>58080</v>
      </c>
      <c r="I321" s="237">
        <v>138384.00000000003</v>
      </c>
      <c r="J321" s="237">
        <v>553536.00000000012</v>
      </c>
      <c r="K321" s="237"/>
      <c r="L321" s="237"/>
      <c r="M321" s="225"/>
      <c r="N321" s="225"/>
      <c r="O321" s="217">
        <v>6454</v>
      </c>
      <c r="P321" s="188"/>
      <c r="Q321" s="139"/>
      <c r="R321" s="238"/>
      <c r="S321" s="188"/>
      <c r="T321" s="188"/>
      <c r="U321" s="188"/>
      <c r="V321" s="188"/>
      <c r="W321" s="188"/>
      <c r="X321" s="188"/>
      <c r="Y321" s="188"/>
      <c r="Z321" s="188"/>
      <c r="AA321" s="188"/>
      <c r="AB321" s="188"/>
      <c r="AC321" s="188"/>
      <c r="AD321" s="188"/>
      <c r="AE321" s="188"/>
      <c r="AF321" s="188"/>
      <c r="AG321" s="188"/>
      <c r="AH321" s="188"/>
      <c r="AI321" s="188"/>
      <c r="AJ321" s="188"/>
      <c r="AK321" s="188"/>
      <c r="AL321" s="188"/>
      <c r="AM321" s="188"/>
      <c r="AN321" s="188"/>
      <c r="AO321" s="188"/>
      <c r="AP321" s="188"/>
      <c r="AQ321" s="188"/>
      <c r="AR321" s="188"/>
      <c r="AS321" s="188"/>
      <c r="AT321" s="188"/>
      <c r="AU321" s="188"/>
      <c r="AV321" s="188"/>
      <c r="AW321" s="188"/>
      <c r="AX321" s="188"/>
      <c r="AY321" s="188"/>
      <c r="AZ321" s="188"/>
      <c r="BA321" s="188"/>
      <c r="BB321" s="188"/>
      <c r="BC321" s="188"/>
      <c r="BD321" s="188"/>
      <c r="BE321" s="188"/>
      <c r="BF321" s="188"/>
    </row>
    <row r="322" spans="1:58" s="186" customFormat="1" hidden="1" outlineLevel="1" x14ac:dyDescent="0.2">
      <c r="A322" s="727"/>
      <c r="B322" s="189" t="s">
        <v>75</v>
      </c>
      <c r="C322" s="190"/>
      <c r="D322" s="191"/>
      <c r="E322" s="191"/>
      <c r="F322" s="191">
        <f>SUM(F323:F326)</f>
        <v>0</v>
      </c>
      <c r="G322" s="191">
        <f>SUM(G323:G326)</f>
        <v>0</v>
      </c>
      <c r="H322" s="191">
        <f>SUM(H323:H326)</f>
        <v>58080</v>
      </c>
      <c r="I322" s="191">
        <f>SUM(I323:I326)</f>
        <v>138384.40000000002</v>
      </c>
      <c r="J322" s="191">
        <f t="shared" ref="J322:L322" si="182">SUM(J323:J326)</f>
        <v>553536.09999999986</v>
      </c>
      <c r="K322" s="191">
        <f t="shared" si="182"/>
        <v>56242.499999999993</v>
      </c>
      <c r="L322" s="191">
        <f t="shared" si="182"/>
        <v>0</v>
      </c>
      <c r="M322" s="225"/>
      <c r="N322" s="225"/>
      <c r="O322" s="218">
        <v>6454</v>
      </c>
      <c r="P322" s="188"/>
      <c r="Q322" s="139"/>
      <c r="R322"/>
      <c r="S322"/>
      <c r="T322"/>
      <c r="U322"/>
      <c r="V322"/>
      <c r="W322"/>
      <c r="X322" s="188"/>
      <c r="Y322" s="188"/>
      <c r="Z322" s="188"/>
      <c r="AA322" s="188"/>
      <c r="AB322" s="188"/>
      <c r="AC322" s="188"/>
      <c r="AD322" s="188"/>
      <c r="AE322" s="188"/>
      <c r="AF322" s="188"/>
      <c r="AG322" s="188"/>
      <c r="AH322" s="188"/>
      <c r="AI322" s="188"/>
      <c r="AJ322" s="188"/>
      <c r="AK322" s="188"/>
      <c r="AL322" s="188"/>
      <c r="AM322" s="188"/>
      <c r="AN322" s="188"/>
      <c r="AO322" s="188"/>
      <c r="AP322" s="188"/>
      <c r="AQ322" s="188"/>
      <c r="AR322" s="188"/>
      <c r="AS322" s="188"/>
      <c r="AT322" s="188"/>
      <c r="AU322" s="188"/>
      <c r="AV322" s="188"/>
      <c r="AW322" s="188"/>
      <c r="AX322" s="188"/>
      <c r="AY322" s="188"/>
      <c r="AZ322" s="188"/>
      <c r="BA322" s="188"/>
      <c r="BB322" s="188"/>
      <c r="BC322" s="188"/>
      <c r="BD322" s="188"/>
      <c r="BE322" s="188"/>
      <c r="BF322" s="188"/>
    </row>
    <row r="323" spans="1:58" s="186" customFormat="1" hidden="1" outlineLevel="1" x14ac:dyDescent="0.2">
      <c r="A323" s="727"/>
      <c r="B323" s="193" t="s">
        <v>76</v>
      </c>
      <c r="C323" s="194"/>
      <c r="D323" s="195"/>
      <c r="E323" s="196"/>
      <c r="F323" s="196"/>
      <c r="G323" s="196"/>
      <c r="H323" s="768"/>
      <c r="I323" s="194"/>
      <c r="J323" s="194"/>
      <c r="K323" s="194"/>
      <c r="L323" s="194"/>
      <c r="O323" s="219">
        <v>0</v>
      </c>
      <c r="P323" s="188"/>
      <c r="Q323" s="226"/>
      <c r="R323" s="139"/>
      <c r="S323" s="139"/>
      <c r="T323" s="139"/>
      <c r="U323" s="139"/>
      <c r="V323" s="139"/>
      <c r="W323" s="139"/>
      <c r="X323" s="139"/>
      <c r="Y323" s="188"/>
      <c r="Z323" s="188"/>
      <c r="AA323" s="188"/>
      <c r="AB323" s="188"/>
      <c r="AC323" s="188"/>
      <c r="AD323" s="188"/>
      <c r="AE323" s="188"/>
      <c r="AF323" s="188"/>
      <c r="AG323" s="188"/>
      <c r="AH323" s="188"/>
      <c r="AI323" s="188"/>
      <c r="AJ323" s="188"/>
      <c r="AK323" s="188"/>
      <c r="AL323" s="188"/>
      <c r="AM323" s="188"/>
      <c r="AN323" s="188"/>
      <c r="AO323" s="188"/>
      <c r="AP323" s="188"/>
      <c r="AQ323" s="188"/>
      <c r="AR323" s="188"/>
      <c r="AS323" s="188"/>
      <c r="AT323" s="188"/>
      <c r="AU323" s="188"/>
      <c r="AV323" s="188"/>
      <c r="AW323" s="188"/>
      <c r="AX323" s="188"/>
      <c r="AY323" s="188"/>
      <c r="AZ323" s="188"/>
      <c r="BA323" s="188"/>
      <c r="BB323" s="188"/>
      <c r="BC323" s="188"/>
      <c r="BD323" s="188"/>
      <c r="BE323" s="188"/>
      <c r="BF323" s="188"/>
    </row>
    <row r="324" spans="1:58" s="89" customFormat="1" hidden="1" outlineLevel="1" x14ac:dyDescent="0.2">
      <c r="A324" s="728"/>
      <c r="B324" s="193" t="s">
        <v>77</v>
      </c>
      <c r="C324" s="194"/>
      <c r="D324" s="195"/>
      <c r="E324" s="196"/>
      <c r="F324" s="196"/>
      <c r="G324" s="196"/>
      <c r="H324" s="196">
        <v>58080</v>
      </c>
      <c r="I324" s="196">
        <v>117626.40000000002</v>
      </c>
      <c r="J324" s="196">
        <v>330476.09999999986</v>
      </c>
      <c r="K324" s="196">
        <v>56242.499999999993</v>
      </c>
      <c r="L324" s="194"/>
      <c r="M324" s="198">
        <f>K327</f>
        <v>56242.499999999993</v>
      </c>
      <c r="N324" s="89" t="s">
        <v>669</v>
      </c>
      <c r="O324" s="219">
        <v>6454</v>
      </c>
      <c r="Q324" s="240"/>
    </row>
    <row r="325" spans="1:58" s="714" customFormat="1" ht="14.25" hidden="1" customHeight="1" outlineLevel="1" x14ac:dyDescent="0.2">
      <c r="A325" s="728"/>
      <c r="B325" s="1144" t="s">
        <v>78</v>
      </c>
      <c r="C325" s="1145"/>
      <c r="D325" s="1146"/>
      <c r="E325" s="1147"/>
      <c r="F325" s="1147"/>
      <c r="G325" s="1147"/>
      <c r="H325" s="1147"/>
      <c r="I325" s="1147">
        <f>75000-54242</f>
        <v>20758</v>
      </c>
      <c r="J325" s="1147">
        <v>223060</v>
      </c>
      <c r="K325" s="1145"/>
      <c r="L325" s="1145"/>
      <c r="O325" s="715">
        <f>SUM(D325:I325)</f>
        <v>20758</v>
      </c>
      <c r="Q325" s="716"/>
      <c r="R325" s="717"/>
    </row>
    <row r="326" spans="1:58" s="229" customFormat="1" ht="14.25" hidden="1" customHeight="1" outlineLevel="1" x14ac:dyDescent="0.2">
      <c r="A326" s="728"/>
      <c r="B326" s="199" t="s">
        <v>79</v>
      </c>
      <c r="C326" s="200"/>
      <c r="D326" s="201"/>
      <c r="E326" s="202"/>
      <c r="F326" s="202"/>
      <c r="G326" s="202"/>
      <c r="H326" s="1126"/>
      <c r="I326" s="202"/>
      <c r="J326" s="202"/>
      <c r="K326" s="202"/>
      <c r="L326" s="200"/>
      <c r="O326" s="221">
        <f>SUM(D326:I326)</f>
        <v>0</v>
      </c>
      <c r="Q326" s="240"/>
      <c r="T326" s="230"/>
      <c r="U326" s="230"/>
      <c r="V326" s="230"/>
      <c r="W326" s="230"/>
    </row>
    <row r="327" spans="1:58" s="229" customFormat="1" ht="14.25" hidden="1" customHeight="1" outlineLevel="1" x14ac:dyDescent="0.2">
      <c r="A327" s="728"/>
      <c r="B327" s="204" t="s">
        <v>80</v>
      </c>
      <c r="C327" s="205"/>
      <c r="D327" s="206"/>
      <c r="E327" s="206">
        <f>E322-E321</f>
        <v>0</v>
      </c>
      <c r="F327" s="206">
        <f t="shared" ref="F327:H327" si="183">F322-F321</f>
        <v>0</v>
      </c>
      <c r="G327" s="206">
        <f t="shared" si="183"/>
        <v>0</v>
      </c>
      <c r="H327" s="206">
        <f t="shared" si="183"/>
        <v>0</v>
      </c>
      <c r="I327" s="206">
        <f t="shared" ref="I327:L327" si="184">I322-I321</f>
        <v>0.39999999999417923</v>
      </c>
      <c r="J327" s="206">
        <f t="shared" si="184"/>
        <v>9.9999999743886292E-2</v>
      </c>
      <c r="K327" s="206">
        <f t="shared" si="184"/>
        <v>56242.499999999993</v>
      </c>
      <c r="L327" s="206">
        <f t="shared" si="184"/>
        <v>0</v>
      </c>
      <c r="O327" s="223">
        <f>O321-O322</f>
        <v>0</v>
      </c>
      <c r="Q327" s="240"/>
      <c r="T327" s="230"/>
      <c r="U327" s="230"/>
      <c r="V327" s="230"/>
      <c r="W327" s="230"/>
    </row>
    <row r="328" spans="1:58" s="139" customFormat="1" ht="28.5" hidden="1" customHeight="1" outlineLevel="1" x14ac:dyDescent="0.2">
      <c r="A328" s="729"/>
      <c r="B328" s="241" t="s">
        <v>694</v>
      </c>
      <c r="C328" s="241"/>
      <c r="D328" s="242"/>
      <c r="E328" s="242" t="e">
        <f>E319-E325</f>
        <v>#REF!</v>
      </c>
      <c r="F328" s="242" t="e">
        <f>F319-F325</f>
        <v>#REF!</v>
      </c>
      <c r="G328" s="242">
        <f>G319-G325+G327</f>
        <v>291374.25876914698</v>
      </c>
      <c r="H328" s="242">
        <f t="shared" ref="H328:L328" si="185">H319-H325+H327</f>
        <v>910989.94999613636</v>
      </c>
      <c r="I328" s="242">
        <f t="shared" si="185"/>
        <v>545654.21584868222</v>
      </c>
      <c r="J328" s="242">
        <f t="shared" si="185"/>
        <v>117902.35735948535</v>
      </c>
      <c r="K328" s="242">
        <f t="shared" si="185"/>
        <v>4234826.4700555252</v>
      </c>
      <c r="L328" s="242">
        <f t="shared" si="185"/>
        <v>9280028.7929329742</v>
      </c>
      <c r="O328" s="224"/>
      <c r="Q328" s="181"/>
    </row>
    <row r="329" spans="1:58" s="139" customFormat="1" ht="28.15" hidden="1" customHeight="1" outlineLevel="1" x14ac:dyDescent="0.2">
      <c r="A329" s="181"/>
      <c r="B329" s="243"/>
      <c r="C329" s="244"/>
      <c r="D329" s="213"/>
      <c r="E329" s="213"/>
      <c r="F329" s="213"/>
      <c r="G329" s="213"/>
      <c r="H329" s="1125"/>
      <c r="I329" s="213"/>
      <c r="J329" s="213"/>
      <c r="K329" s="213"/>
      <c r="L329" s="213"/>
      <c r="Q329" s="181"/>
    </row>
    <row r="330" spans="1:58" s="186" customFormat="1" ht="24.75" hidden="1" customHeight="1" outlineLevel="1" x14ac:dyDescent="0.2">
      <c r="A330" s="726" t="s">
        <v>677</v>
      </c>
      <c r="B330" s="235" t="s">
        <v>698</v>
      </c>
      <c r="C330" s="236"/>
      <c r="D330" s="237"/>
      <c r="E330" s="237"/>
      <c r="F330" s="237"/>
      <c r="G330" s="237"/>
      <c r="H330" s="766"/>
      <c r="I330" s="237"/>
      <c r="J330" s="237"/>
      <c r="K330" s="237"/>
      <c r="L330" s="237"/>
      <c r="M330" s="225"/>
      <c r="N330" s="225"/>
      <c r="O330" s="217">
        <v>6454</v>
      </c>
      <c r="P330" s="188"/>
      <c r="Q330" s="139"/>
      <c r="R330" s="238"/>
      <c r="S330" s="188"/>
      <c r="T330" s="188"/>
      <c r="U330" s="188"/>
      <c r="V330" s="188"/>
      <c r="W330" s="188"/>
      <c r="X330" s="188"/>
      <c r="Y330" s="188"/>
      <c r="Z330" s="188"/>
      <c r="AA330" s="188"/>
      <c r="AB330" s="188"/>
      <c r="AC330" s="188"/>
      <c r="AD330" s="188"/>
      <c r="AE330" s="188"/>
      <c r="AF330" s="188"/>
      <c r="AG330" s="188"/>
      <c r="AH330" s="188"/>
      <c r="AI330" s="188"/>
      <c r="AJ330" s="188"/>
      <c r="AK330" s="188"/>
      <c r="AL330" s="188"/>
      <c r="AM330" s="188"/>
      <c r="AN330" s="188"/>
      <c r="AO330" s="188"/>
      <c r="AP330" s="188"/>
      <c r="AQ330" s="188"/>
      <c r="AR330" s="188"/>
      <c r="AS330" s="188"/>
      <c r="AT330" s="188"/>
      <c r="AU330" s="188"/>
      <c r="AV330" s="188"/>
      <c r="AW330" s="188"/>
      <c r="AX330" s="188"/>
      <c r="AY330" s="188"/>
      <c r="AZ330" s="188"/>
      <c r="BA330" s="188"/>
      <c r="BB330" s="188"/>
      <c r="BC330" s="188"/>
      <c r="BD330" s="188"/>
      <c r="BE330" s="188"/>
      <c r="BF330" s="188"/>
    </row>
    <row r="331" spans="1:58" s="186" customFormat="1" hidden="1" outlineLevel="1" x14ac:dyDescent="0.2">
      <c r="A331" s="727"/>
      <c r="B331" s="189" t="s">
        <v>75</v>
      </c>
      <c r="C331" s="190"/>
      <c r="D331" s="191"/>
      <c r="E331" s="191"/>
      <c r="F331" s="191">
        <f>SUM(F332:F335)</f>
        <v>0</v>
      </c>
      <c r="G331" s="191">
        <f>SUM(G332:G335)</f>
        <v>0</v>
      </c>
      <c r="H331" s="191">
        <f>SUM(H332:H335)</f>
        <v>0</v>
      </c>
      <c r="I331" s="191">
        <f>SUM(I332:I335)</f>
        <v>0</v>
      </c>
      <c r="J331" s="191"/>
      <c r="K331" s="191"/>
      <c r="L331" s="191"/>
      <c r="M331" s="225"/>
      <c r="N331" s="225"/>
      <c r="O331" s="218">
        <v>6454</v>
      </c>
      <c r="P331" s="188"/>
      <c r="Q331" s="139"/>
      <c r="R331"/>
      <c r="S331"/>
      <c r="T331"/>
      <c r="U331"/>
      <c r="V331"/>
      <c r="W331"/>
      <c r="X331" s="188"/>
      <c r="Y331" s="188"/>
      <c r="Z331" s="188"/>
      <c r="AA331" s="188"/>
      <c r="AB331" s="188"/>
      <c r="AC331" s="188"/>
      <c r="AD331" s="188"/>
      <c r="AE331" s="188"/>
      <c r="AF331" s="188"/>
      <c r="AG331" s="188"/>
      <c r="AH331" s="188"/>
      <c r="AI331" s="188"/>
      <c r="AJ331" s="188"/>
      <c r="AK331" s="188"/>
      <c r="AL331" s="188"/>
      <c r="AM331" s="188"/>
      <c r="AN331" s="188"/>
      <c r="AO331" s="188"/>
      <c r="AP331" s="188"/>
      <c r="AQ331" s="188"/>
      <c r="AR331" s="188"/>
      <c r="AS331" s="188"/>
      <c r="AT331" s="188"/>
      <c r="AU331" s="188"/>
      <c r="AV331" s="188"/>
      <c r="AW331" s="188"/>
      <c r="AX331" s="188"/>
      <c r="AY331" s="188"/>
      <c r="AZ331" s="188"/>
      <c r="BA331" s="188"/>
      <c r="BB331" s="188"/>
      <c r="BC331" s="188"/>
      <c r="BD331" s="188"/>
      <c r="BE331" s="188"/>
      <c r="BF331" s="188"/>
    </row>
    <row r="332" spans="1:58" s="186" customFormat="1" hidden="1" outlineLevel="1" x14ac:dyDescent="0.2">
      <c r="A332" s="727"/>
      <c r="B332" s="193" t="s">
        <v>76</v>
      </c>
      <c r="C332" s="194"/>
      <c r="D332" s="195"/>
      <c r="E332" s="196"/>
      <c r="F332" s="196"/>
      <c r="G332" s="196"/>
      <c r="H332" s="194"/>
      <c r="I332" s="194"/>
      <c r="J332" s="194"/>
      <c r="K332" s="194"/>
      <c r="L332" s="194"/>
      <c r="O332" s="219">
        <v>0</v>
      </c>
      <c r="P332" s="188"/>
      <c r="Q332" s="226"/>
      <c r="R332" s="139"/>
      <c r="S332" s="139"/>
      <c r="T332" s="139"/>
      <c r="U332" s="139"/>
      <c r="V332" s="139"/>
      <c r="W332" s="139"/>
      <c r="X332" s="139"/>
      <c r="Y332" s="188"/>
      <c r="Z332" s="188"/>
      <c r="AA332" s="188"/>
      <c r="AB332" s="188"/>
      <c r="AC332" s="188"/>
      <c r="AD332" s="188"/>
      <c r="AE332" s="188"/>
      <c r="AF332" s="188"/>
      <c r="AG332" s="188"/>
      <c r="AH332" s="188"/>
      <c r="AI332" s="188"/>
      <c r="AJ332" s="188"/>
      <c r="AK332" s="188"/>
      <c r="AL332" s="188"/>
      <c r="AM332" s="188"/>
      <c r="AN332" s="188"/>
      <c r="AO332" s="188"/>
      <c r="AP332" s="188"/>
      <c r="AQ332" s="188"/>
      <c r="AR332" s="188"/>
      <c r="AS332" s="188"/>
      <c r="AT332" s="188"/>
      <c r="AU332" s="188"/>
      <c r="AV332" s="188"/>
      <c r="AW332" s="188"/>
      <c r="AX332" s="188"/>
      <c r="AY332" s="188"/>
      <c r="AZ332" s="188"/>
      <c r="BA332" s="188"/>
      <c r="BB332" s="188"/>
      <c r="BC332" s="188"/>
      <c r="BD332" s="188"/>
      <c r="BE332" s="188"/>
      <c r="BF332" s="188"/>
    </row>
    <row r="333" spans="1:58" s="89" customFormat="1" hidden="1" outlineLevel="1" x14ac:dyDescent="0.2">
      <c r="A333" s="728"/>
      <c r="B333" s="193" t="s">
        <v>77</v>
      </c>
      <c r="C333" s="194"/>
      <c r="D333" s="195"/>
      <c r="E333" s="196"/>
      <c r="F333" s="196"/>
      <c r="G333" s="196"/>
      <c r="H333" s="196"/>
      <c r="I333" s="196"/>
      <c r="J333" s="196"/>
      <c r="K333" s="196"/>
      <c r="L333" s="194"/>
      <c r="M333" s="198"/>
      <c r="O333" s="219">
        <v>6454</v>
      </c>
      <c r="Q333" s="240"/>
    </row>
    <row r="334" spans="1:58" s="714" customFormat="1" ht="14.25" hidden="1" customHeight="1" outlineLevel="1" x14ac:dyDescent="0.2">
      <c r="A334" s="728"/>
      <c r="B334" s="1144" t="s">
        <v>78</v>
      </c>
      <c r="C334" s="1145"/>
      <c r="D334" s="1146"/>
      <c r="E334" s="1147"/>
      <c r="F334" s="1147"/>
      <c r="G334" s="1147"/>
      <c r="H334" s="1147"/>
      <c r="I334" s="1147"/>
      <c r="J334" s="1147"/>
      <c r="K334" s="1145"/>
      <c r="L334" s="1145"/>
      <c r="O334" s="715">
        <f>SUM(D334:I334)</f>
        <v>0</v>
      </c>
      <c r="Q334" s="716"/>
      <c r="R334" s="717"/>
    </row>
    <row r="335" spans="1:58" s="229" customFormat="1" ht="14.25" hidden="1" customHeight="1" outlineLevel="1" x14ac:dyDescent="0.2">
      <c r="A335" s="728"/>
      <c r="B335" s="199" t="s">
        <v>79</v>
      </c>
      <c r="C335" s="200"/>
      <c r="D335" s="201"/>
      <c r="E335" s="202"/>
      <c r="F335" s="202"/>
      <c r="G335" s="202"/>
      <c r="H335" s="202"/>
      <c r="I335" s="202"/>
      <c r="J335" s="202"/>
      <c r="K335" s="202"/>
      <c r="L335" s="200"/>
      <c r="O335" s="221">
        <f>SUM(D335:I335)</f>
        <v>0</v>
      </c>
      <c r="Q335" s="240"/>
      <c r="T335" s="230"/>
      <c r="U335" s="230"/>
      <c r="V335" s="230"/>
      <c r="W335" s="230"/>
    </row>
    <row r="336" spans="1:58" s="229" customFormat="1" ht="14.25" hidden="1" customHeight="1" outlineLevel="1" x14ac:dyDescent="0.2">
      <c r="A336" s="728"/>
      <c r="B336" s="204" t="s">
        <v>80</v>
      </c>
      <c r="C336" s="205"/>
      <c r="D336" s="206"/>
      <c r="E336" s="206">
        <f>E331-E330</f>
        <v>0</v>
      </c>
      <c r="F336" s="206">
        <f t="shared" ref="F336:G336" si="186">F331-F330</f>
        <v>0</v>
      </c>
      <c r="G336" s="206">
        <f t="shared" si="186"/>
        <v>0</v>
      </c>
      <c r="H336" s="1124">
        <f t="shared" ref="H336:L336" si="187">H331-H330</f>
        <v>0</v>
      </c>
      <c r="I336" s="206">
        <f t="shared" si="187"/>
        <v>0</v>
      </c>
      <c r="J336" s="206">
        <f t="shared" si="187"/>
        <v>0</v>
      </c>
      <c r="K336" s="206">
        <f t="shared" si="187"/>
        <v>0</v>
      </c>
      <c r="L336" s="206">
        <f t="shared" si="187"/>
        <v>0</v>
      </c>
      <c r="O336" s="223">
        <f>O330-O331</f>
        <v>0</v>
      </c>
      <c r="Q336" s="240"/>
      <c r="T336" s="230"/>
      <c r="U336" s="230"/>
      <c r="V336" s="230"/>
      <c r="W336" s="230"/>
    </row>
    <row r="337" spans="1:58" s="139" customFormat="1" ht="28.5" hidden="1" customHeight="1" outlineLevel="1" x14ac:dyDescent="0.2">
      <c r="A337" s="729"/>
      <c r="B337" s="241" t="s">
        <v>133</v>
      </c>
      <c r="C337" s="241"/>
      <c r="D337" s="242"/>
      <c r="E337" s="242" t="e">
        <f>E328-E334</f>
        <v>#REF!</v>
      </c>
      <c r="F337" s="242" t="e">
        <f>F328-F334</f>
        <v>#REF!</v>
      </c>
      <c r="G337" s="242">
        <f>G328-G334+G336</f>
        <v>291374.25876914698</v>
      </c>
      <c r="H337" s="242">
        <f t="shared" ref="H337:L337" si="188">H328-H334+H336</f>
        <v>910989.94999613636</v>
      </c>
      <c r="I337" s="242">
        <f t="shared" si="188"/>
        <v>545654.21584868222</v>
      </c>
      <c r="J337" s="242">
        <f t="shared" si="188"/>
        <v>117902.35735948535</v>
      </c>
      <c r="K337" s="242">
        <f t="shared" si="188"/>
        <v>4234826.4700555252</v>
      </c>
      <c r="L337" s="242">
        <f t="shared" si="188"/>
        <v>9280028.7929329742</v>
      </c>
      <c r="O337" s="224"/>
      <c r="Q337" s="181"/>
    </row>
    <row r="338" spans="1:58" s="139" customFormat="1" ht="28.15" hidden="1" customHeight="1" outlineLevel="1" x14ac:dyDescent="0.2">
      <c r="A338" s="181"/>
      <c r="B338" s="243"/>
      <c r="C338" s="244"/>
      <c r="D338" s="213"/>
      <c r="E338" s="213"/>
      <c r="F338" s="213"/>
      <c r="G338" s="213"/>
      <c r="H338" s="1125"/>
      <c r="I338" s="213"/>
      <c r="J338" s="213"/>
      <c r="K338" s="213"/>
      <c r="L338" s="213"/>
      <c r="Q338" s="181"/>
    </row>
    <row r="339" spans="1:58" s="186" customFormat="1" ht="24.75" hidden="1" customHeight="1" outlineLevel="1" x14ac:dyDescent="0.2">
      <c r="A339" s="726" t="s">
        <v>678</v>
      </c>
      <c r="B339" s="235" t="s">
        <v>679</v>
      </c>
      <c r="C339" s="236"/>
      <c r="D339" s="237"/>
      <c r="E339" s="237"/>
      <c r="F339" s="237"/>
      <c r="G339" s="237"/>
      <c r="H339" s="237">
        <v>10000</v>
      </c>
      <c r="I339" s="237">
        <v>185000</v>
      </c>
      <c r="J339" s="237"/>
      <c r="K339" s="237"/>
      <c r="L339" s="237"/>
      <c r="M339" s="225"/>
      <c r="N339" s="225"/>
      <c r="O339" s="217">
        <v>6454</v>
      </c>
      <c r="P339" s="188"/>
      <c r="Q339" s="139"/>
      <c r="R339" s="238"/>
      <c r="S339" s="188"/>
      <c r="T339" s="188"/>
      <c r="U339" s="188"/>
      <c r="V339" s="188"/>
      <c r="W339" s="188"/>
      <c r="X339" s="188"/>
      <c r="Y339" s="188"/>
      <c r="Z339" s="188"/>
      <c r="AA339" s="188"/>
      <c r="AB339" s="188"/>
      <c r="AC339" s="188"/>
      <c r="AD339" s="188"/>
      <c r="AE339" s="188"/>
      <c r="AF339" s="188"/>
      <c r="AG339" s="188"/>
      <c r="AH339" s="188"/>
      <c r="AI339" s="188"/>
      <c r="AJ339" s="188"/>
      <c r="AK339" s="188"/>
      <c r="AL339" s="188"/>
      <c r="AM339" s="188"/>
      <c r="AN339" s="188"/>
      <c r="AO339" s="188"/>
      <c r="AP339" s="188"/>
      <c r="AQ339" s="188"/>
      <c r="AR339" s="188"/>
      <c r="AS339" s="188"/>
      <c r="AT339" s="188"/>
      <c r="AU339" s="188"/>
      <c r="AV339" s="188"/>
      <c r="AW339" s="188"/>
      <c r="AX339" s="188"/>
      <c r="AY339" s="188"/>
      <c r="AZ339" s="188"/>
      <c r="BA339" s="188"/>
      <c r="BB339" s="188"/>
      <c r="BC339" s="188"/>
      <c r="BD339" s="188"/>
      <c r="BE339" s="188"/>
      <c r="BF339" s="188"/>
    </row>
    <row r="340" spans="1:58" s="186" customFormat="1" hidden="1" outlineLevel="1" x14ac:dyDescent="0.2">
      <c r="A340" s="727"/>
      <c r="B340" s="189" t="s">
        <v>75</v>
      </c>
      <c r="C340" s="190"/>
      <c r="D340" s="191"/>
      <c r="E340" s="191"/>
      <c r="F340" s="191">
        <f>SUM(F341:F344)</f>
        <v>0</v>
      </c>
      <c r="G340" s="191">
        <f>SUM(G341:G344)</f>
        <v>0</v>
      </c>
      <c r="H340" s="191">
        <f>SUM(H341:H344)</f>
        <v>10000</v>
      </c>
      <c r="I340" s="191">
        <f>SUM(I341:I344)</f>
        <v>185000</v>
      </c>
      <c r="J340" s="191"/>
      <c r="K340" s="191"/>
      <c r="L340" s="191"/>
      <c r="M340" s="225"/>
      <c r="N340" s="225"/>
      <c r="O340" s="218">
        <v>6454</v>
      </c>
      <c r="P340" s="188"/>
      <c r="Q340" s="139"/>
      <c r="R340"/>
      <c r="S340"/>
      <c r="T340"/>
      <c r="U340"/>
      <c r="V340"/>
      <c r="W340"/>
      <c r="X340" s="188"/>
      <c r="Y340" s="188"/>
      <c r="Z340" s="188"/>
      <c r="AA340" s="188"/>
      <c r="AB340" s="188"/>
      <c r="AC340" s="188"/>
      <c r="AD340" s="188"/>
      <c r="AE340" s="188"/>
      <c r="AF340" s="188"/>
      <c r="AG340" s="188"/>
      <c r="AH340" s="188"/>
      <c r="AI340" s="188"/>
      <c r="AJ340" s="188"/>
      <c r="AK340" s="188"/>
      <c r="AL340" s="188"/>
      <c r="AM340" s="188"/>
      <c r="AN340" s="188"/>
      <c r="AO340" s="188"/>
      <c r="AP340" s="188"/>
      <c r="AQ340" s="188"/>
      <c r="AR340" s="188"/>
      <c r="AS340" s="188"/>
      <c r="AT340" s="188"/>
      <c r="AU340" s="188"/>
      <c r="AV340" s="188"/>
      <c r="AW340" s="188"/>
      <c r="AX340" s="188"/>
      <c r="AY340" s="188"/>
      <c r="AZ340" s="188"/>
      <c r="BA340" s="188"/>
      <c r="BB340" s="188"/>
      <c r="BC340" s="188"/>
      <c r="BD340" s="188"/>
      <c r="BE340" s="188"/>
      <c r="BF340" s="188"/>
    </row>
    <row r="341" spans="1:58" s="186" customFormat="1" hidden="1" outlineLevel="1" x14ac:dyDescent="0.2">
      <c r="A341" s="727"/>
      <c r="B341" s="193" t="s">
        <v>76</v>
      </c>
      <c r="C341" s="194"/>
      <c r="D341" s="195"/>
      <c r="E341" s="196"/>
      <c r="F341" s="196"/>
      <c r="G341" s="196"/>
      <c r="H341" s="768"/>
      <c r="I341" s="194"/>
      <c r="J341" s="194"/>
      <c r="K341" s="194"/>
      <c r="L341" s="194"/>
      <c r="O341" s="219">
        <v>0</v>
      </c>
      <c r="P341" s="188"/>
      <c r="Q341" s="226"/>
      <c r="R341" s="139"/>
      <c r="S341" s="139"/>
      <c r="T341" s="139"/>
      <c r="U341" s="139"/>
      <c r="V341" s="139"/>
      <c r="W341" s="139"/>
      <c r="X341" s="139"/>
      <c r="Y341" s="188"/>
      <c r="Z341" s="188"/>
      <c r="AA341" s="188"/>
      <c r="AB341" s="188"/>
      <c r="AC341" s="188"/>
      <c r="AD341" s="188"/>
      <c r="AE341" s="188"/>
      <c r="AF341" s="188"/>
      <c r="AG341" s="188"/>
      <c r="AH341" s="188"/>
      <c r="AI341" s="188"/>
      <c r="AJ341" s="188"/>
      <c r="AK341" s="188"/>
      <c r="AL341" s="188"/>
      <c r="AM341" s="188"/>
      <c r="AN341" s="188"/>
      <c r="AO341" s="188"/>
      <c r="AP341" s="188"/>
      <c r="AQ341" s="188"/>
      <c r="AR341" s="188"/>
      <c r="AS341" s="188"/>
      <c r="AT341" s="188"/>
      <c r="AU341" s="188"/>
      <c r="AV341" s="188"/>
      <c r="AW341" s="188"/>
      <c r="AX341" s="188"/>
      <c r="AY341" s="188"/>
      <c r="AZ341" s="188"/>
      <c r="BA341" s="188"/>
      <c r="BB341" s="188"/>
      <c r="BC341" s="188"/>
      <c r="BD341" s="188"/>
      <c r="BE341" s="188"/>
      <c r="BF341" s="188"/>
    </row>
    <row r="342" spans="1:58" s="89" customFormat="1" hidden="1" outlineLevel="1" x14ac:dyDescent="0.2">
      <c r="A342" s="728"/>
      <c r="B342" s="193" t="s">
        <v>77</v>
      </c>
      <c r="C342" s="194"/>
      <c r="D342" s="195"/>
      <c r="E342" s="196"/>
      <c r="F342" s="196"/>
      <c r="G342" s="196"/>
      <c r="H342" s="767"/>
      <c r="I342" s="196"/>
      <c r="J342" s="196"/>
      <c r="K342" s="196"/>
      <c r="L342" s="194"/>
      <c r="M342" s="198"/>
      <c r="O342" s="219">
        <v>6454</v>
      </c>
      <c r="Q342" s="240"/>
    </row>
    <row r="343" spans="1:58" s="714" customFormat="1" ht="14.25" hidden="1" customHeight="1" outlineLevel="1" x14ac:dyDescent="0.2">
      <c r="A343" s="728"/>
      <c r="B343" s="1149" t="s">
        <v>78</v>
      </c>
      <c r="C343" s="1150"/>
      <c r="D343" s="1151"/>
      <c r="E343" s="1148"/>
      <c r="F343" s="1148"/>
      <c r="G343" s="1148">
        <v>0</v>
      </c>
      <c r="H343" s="1148">
        <v>10000</v>
      </c>
      <c r="I343" s="1148">
        <v>185000</v>
      </c>
      <c r="J343" s="1148"/>
      <c r="K343" s="1150"/>
      <c r="L343" s="1150"/>
      <c r="O343" s="715">
        <f>SUM(D343:I343)</f>
        <v>195000</v>
      </c>
      <c r="Q343" s="716"/>
      <c r="R343" s="717"/>
    </row>
    <row r="344" spans="1:58" s="229" customFormat="1" ht="14.25" hidden="1" customHeight="1" outlineLevel="1" x14ac:dyDescent="0.2">
      <c r="A344" s="728"/>
      <c r="B344" s="199" t="s">
        <v>79</v>
      </c>
      <c r="C344" s="200"/>
      <c r="D344" s="201"/>
      <c r="E344" s="202"/>
      <c r="F344" s="202"/>
      <c r="G344" s="202"/>
      <c r="H344" s="1126"/>
      <c r="I344" s="202"/>
      <c r="J344" s="202"/>
      <c r="K344" s="202"/>
      <c r="L344" s="200"/>
      <c r="O344" s="221">
        <f>SUM(D344:I344)</f>
        <v>0</v>
      </c>
      <c r="Q344" s="240"/>
      <c r="T344" s="230"/>
      <c r="U344" s="230"/>
      <c r="V344" s="230"/>
      <c r="W344" s="230"/>
    </row>
    <row r="345" spans="1:58" s="229" customFormat="1" ht="14.25" hidden="1" customHeight="1" outlineLevel="1" x14ac:dyDescent="0.2">
      <c r="A345" s="728"/>
      <c r="B345" s="204" t="s">
        <v>80</v>
      </c>
      <c r="C345" s="205"/>
      <c r="D345" s="206"/>
      <c r="E345" s="206">
        <f>E340-E339</f>
        <v>0</v>
      </c>
      <c r="F345" s="206">
        <f t="shared" ref="F345:G345" si="189">F340-F339</f>
        <v>0</v>
      </c>
      <c r="G345" s="206">
        <f t="shared" si="189"/>
        <v>0</v>
      </c>
      <c r="H345" s="1124">
        <f t="shared" ref="H345:L345" si="190">H340-H339</f>
        <v>0</v>
      </c>
      <c r="I345" s="206">
        <f t="shared" si="190"/>
        <v>0</v>
      </c>
      <c r="J345" s="206">
        <f t="shared" si="190"/>
        <v>0</v>
      </c>
      <c r="K345" s="206">
        <f t="shared" si="190"/>
        <v>0</v>
      </c>
      <c r="L345" s="206">
        <f t="shared" si="190"/>
        <v>0</v>
      </c>
      <c r="O345" s="223">
        <f>O339-O340</f>
        <v>0</v>
      </c>
      <c r="Q345" s="240"/>
      <c r="T345" s="230"/>
      <c r="U345" s="230"/>
      <c r="V345" s="230"/>
      <c r="W345" s="230"/>
    </row>
    <row r="346" spans="1:58" s="139" customFormat="1" ht="28.5" hidden="1" customHeight="1" outlineLevel="1" x14ac:dyDescent="0.2">
      <c r="A346" s="729"/>
      <c r="B346" s="241" t="s">
        <v>134</v>
      </c>
      <c r="C346" s="241"/>
      <c r="D346" s="242"/>
      <c r="E346" s="242" t="e">
        <f>E337-E343</f>
        <v>#REF!</v>
      </c>
      <c r="F346" s="242" t="e">
        <f>F337-F343</f>
        <v>#REF!</v>
      </c>
      <c r="G346" s="242">
        <f>G337-G343+G345</f>
        <v>291374.25876914698</v>
      </c>
      <c r="H346" s="242">
        <f t="shared" ref="H346:L346" si="191">H337-H343+H345</f>
        <v>900989.94999613636</v>
      </c>
      <c r="I346" s="242">
        <f t="shared" si="191"/>
        <v>360654.21584868222</v>
      </c>
      <c r="J346" s="242">
        <f t="shared" si="191"/>
        <v>117902.35735948535</v>
      </c>
      <c r="K346" s="242">
        <f t="shared" si="191"/>
        <v>4234826.4700555252</v>
      </c>
      <c r="L346" s="242">
        <f t="shared" si="191"/>
        <v>9280028.7929329742</v>
      </c>
      <c r="O346" s="224"/>
      <c r="Q346" s="181"/>
    </row>
    <row r="347" spans="1:58" s="139" customFormat="1" ht="28.15" hidden="1" customHeight="1" outlineLevel="1" x14ac:dyDescent="0.2">
      <c r="A347" s="181"/>
      <c r="B347" s="243"/>
      <c r="C347" s="244"/>
      <c r="D347" s="213"/>
      <c r="E347" s="213"/>
      <c r="F347" s="213"/>
      <c r="G347" s="213"/>
      <c r="H347" s="1125"/>
      <c r="I347" s="213"/>
      <c r="J347" s="213"/>
      <c r="K347" s="213"/>
      <c r="L347" s="213"/>
      <c r="Q347" s="181"/>
    </row>
    <row r="348" spans="1:58" s="186" customFormat="1" ht="24.75" hidden="1" customHeight="1" outlineLevel="1" x14ac:dyDescent="0.2">
      <c r="A348" s="726" t="s">
        <v>680</v>
      </c>
      <c r="B348" s="235" t="s">
        <v>681</v>
      </c>
      <c r="C348" s="236"/>
      <c r="D348" s="237"/>
      <c r="E348" s="237"/>
      <c r="F348" s="237"/>
      <c r="G348" s="237">
        <v>113646</v>
      </c>
      <c r="H348" s="237">
        <v>575345</v>
      </c>
      <c r="I348" s="237"/>
      <c r="J348" s="237"/>
      <c r="K348" s="237"/>
      <c r="L348" s="237"/>
      <c r="M348" s="225"/>
      <c r="N348" s="225"/>
      <c r="O348" s="217">
        <v>6454</v>
      </c>
      <c r="P348" s="188"/>
      <c r="Q348" s="139"/>
      <c r="R348" s="238"/>
      <c r="S348" s="188"/>
      <c r="T348" s="188"/>
      <c r="U348" s="188"/>
      <c r="V348" s="188"/>
      <c r="W348" s="188"/>
      <c r="X348" s="188"/>
      <c r="Y348" s="188"/>
      <c r="Z348" s="188"/>
      <c r="AA348" s="188"/>
      <c r="AB348" s="188"/>
      <c r="AC348" s="188"/>
      <c r="AD348" s="188"/>
      <c r="AE348" s="188"/>
      <c r="AF348" s="188"/>
      <c r="AG348" s="188"/>
      <c r="AH348" s="188"/>
      <c r="AI348" s="188"/>
      <c r="AJ348" s="188"/>
      <c r="AK348" s="188"/>
      <c r="AL348" s="188"/>
      <c r="AM348" s="188"/>
      <c r="AN348" s="188"/>
      <c r="AO348" s="188"/>
      <c r="AP348" s="188"/>
      <c r="AQ348" s="188"/>
      <c r="AR348" s="188"/>
      <c r="AS348" s="188"/>
      <c r="AT348" s="188"/>
      <c r="AU348" s="188"/>
      <c r="AV348" s="188"/>
      <c r="AW348" s="188"/>
      <c r="AX348" s="188"/>
      <c r="AY348" s="188"/>
      <c r="AZ348" s="188"/>
      <c r="BA348" s="188"/>
      <c r="BB348" s="188"/>
      <c r="BC348" s="188"/>
      <c r="BD348" s="188"/>
      <c r="BE348" s="188"/>
      <c r="BF348" s="188"/>
    </row>
    <row r="349" spans="1:58" s="186" customFormat="1" hidden="1" outlineLevel="1" x14ac:dyDescent="0.2">
      <c r="A349" s="727"/>
      <c r="B349" s="189" t="s">
        <v>75</v>
      </c>
      <c r="C349" s="190"/>
      <c r="D349" s="191"/>
      <c r="E349" s="191"/>
      <c r="F349" s="191">
        <f>SUM(F350:F353)</f>
        <v>0</v>
      </c>
      <c r="G349" s="191">
        <f>SUM(G350:G353)</f>
        <v>113646</v>
      </c>
      <c r="H349" s="191">
        <f>SUM(H350:H353)</f>
        <v>575345</v>
      </c>
      <c r="I349" s="191">
        <f>SUM(I350:I353)</f>
        <v>0</v>
      </c>
      <c r="J349" s="191"/>
      <c r="K349" s="191"/>
      <c r="L349" s="191"/>
      <c r="M349" s="225"/>
      <c r="N349" s="225"/>
      <c r="O349" s="218">
        <v>6454</v>
      </c>
      <c r="P349" s="188"/>
      <c r="Q349" s="139"/>
      <c r="R349"/>
      <c r="S349"/>
      <c r="T349"/>
      <c r="U349"/>
      <c r="V349"/>
      <c r="W349"/>
      <c r="X349" s="188"/>
      <c r="Y349" s="188"/>
      <c r="Z349" s="188"/>
      <c r="AA349" s="188"/>
      <c r="AB349" s="188"/>
      <c r="AC349" s="188"/>
      <c r="AD349" s="188"/>
      <c r="AE349" s="188"/>
      <c r="AF349" s="188"/>
      <c r="AG349" s="188"/>
      <c r="AH349" s="188"/>
      <c r="AI349" s="188"/>
      <c r="AJ349" s="188"/>
      <c r="AK349" s="188"/>
      <c r="AL349" s="188"/>
      <c r="AM349" s="188"/>
      <c r="AN349" s="188"/>
      <c r="AO349" s="188"/>
      <c r="AP349" s="188"/>
      <c r="AQ349" s="188"/>
      <c r="AR349" s="188"/>
      <c r="AS349" s="188"/>
      <c r="AT349" s="188"/>
      <c r="AU349" s="188"/>
      <c r="AV349" s="188"/>
      <c r="AW349" s="188"/>
      <c r="AX349" s="188"/>
      <c r="AY349" s="188"/>
      <c r="AZ349" s="188"/>
      <c r="BA349" s="188"/>
      <c r="BB349" s="188"/>
      <c r="BC349" s="188"/>
      <c r="BD349" s="188"/>
      <c r="BE349" s="188"/>
      <c r="BF349" s="188"/>
    </row>
    <row r="350" spans="1:58" s="186" customFormat="1" hidden="1" outlineLevel="1" x14ac:dyDescent="0.2">
      <c r="A350" s="727"/>
      <c r="B350" s="193" t="s">
        <v>76</v>
      </c>
      <c r="C350" s="194"/>
      <c r="D350" s="195"/>
      <c r="E350" s="196"/>
      <c r="F350" s="196"/>
      <c r="G350" s="196"/>
      <c r="H350" s="768"/>
      <c r="I350" s="194"/>
      <c r="J350" s="194"/>
      <c r="K350" s="194"/>
      <c r="L350" s="194"/>
      <c r="O350" s="219">
        <v>0</v>
      </c>
      <c r="P350" s="188"/>
      <c r="Q350" s="226"/>
      <c r="R350" s="139"/>
      <c r="S350" s="139"/>
      <c r="T350" s="139"/>
      <c r="U350" s="139"/>
      <c r="V350" s="139"/>
      <c r="W350" s="139"/>
      <c r="X350" s="139"/>
      <c r="Y350" s="188"/>
      <c r="Z350" s="188"/>
      <c r="AA350" s="188"/>
      <c r="AB350" s="188"/>
      <c r="AC350" s="188"/>
      <c r="AD350" s="188"/>
      <c r="AE350" s="188"/>
      <c r="AF350" s="188"/>
      <c r="AG350" s="188"/>
      <c r="AH350" s="188"/>
      <c r="AI350" s="188"/>
      <c r="AJ350" s="188"/>
      <c r="AK350" s="188"/>
      <c r="AL350" s="188"/>
      <c r="AM350" s="188"/>
      <c r="AN350" s="188"/>
      <c r="AO350" s="188"/>
      <c r="AP350" s="188"/>
      <c r="AQ350" s="188"/>
      <c r="AR350" s="188"/>
      <c r="AS350" s="188"/>
      <c r="AT350" s="188"/>
      <c r="AU350" s="188"/>
      <c r="AV350" s="188"/>
      <c r="AW350" s="188"/>
      <c r="AX350" s="188"/>
      <c r="AY350" s="188"/>
      <c r="AZ350" s="188"/>
      <c r="BA350" s="188"/>
      <c r="BB350" s="188"/>
      <c r="BC350" s="188"/>
      <c r="BD350" s="188"/>
      <c r="BE350" s="188"/>
      <c r="BF350" s="188"/>
    </row>
    <row r="351" spans="1:58" s="89" customFormat="1" hidden="1" outlineLevel="1" x14ac:dyDescent="0.2">
      <c r="A351" s="728"/>
      <c r="B351" s="193" t="s">
        <v>77</v>
      </c>
      <c r="C351" s="194"/>
      <c r="D351" s="195"/>
      <c r="E351" s="196"/>
      <c r="F351" s="196"/>
      <c r="G351" s="196"/>
      <c r="H351" s="767"/>
      <c r="I351" s="196"/>
      <c r="J351" s="196"/>
      <c r="K351" s="196"/>
      <c r="L351" s="194"/>
      <c r="M351" s="198"/>
      <c r="O351" s="219">
        <v>6454</v>
      </c>
      <c r="Q351" s="240"/>
    </row>
    <row r="352" spans="1:58" s="714" customFormat="1" ht="14.25" hidden="1" customHeight="1" outlineLevel="1" x14ac:dyDescent="0.2">
      <c r="A352" s="728"/>
      <c r="B352" s="1149" t="s">
        <v>78</v>
      </c>
      <c r="C352" s="1150"/>
      <c r="D352" s="1151"/>
      <c r="E352" s="1148"/>
      <c r="F352" s="1148"/>
      <c r="G352" s="1148">
        <f>37510+90000-47144</f>
        <v>80366</v>
      </c>
      <c r="H352" s="1148">
        <f>53561+42304</f>
        <v>95865</v>
      </c>
      <c r="I352" s="1148"/>
      <c r="J352" s="1148"/>
      <c r="K352" s="1150"/>
      <c r="L352" s="1150"/>
      <c r="M352" s="722"/>
      <c r="O352" s="715">
        <f>SUM(D352:I352)</f>
        <v>176231</v>
      </c>
      <c r="Q352" s="716"/>
      <c r="R352" s="717"/>
    </row>
    <row r="353" spans="1:58" s="229" customFormat="1" ht="14.25" hidden="1" customHeight="1" outlineLevel="1" x14ac:dyDescent="0.2">
      <c r="A353" s="728"/>
      <c r="B353" s="199" t="s">
        <v>79</v>
      </c>
      <c r="C353" s="200"/>
      <c r="D353" s="201"/>
      <c r="E353" s="202"/>
      <c r="F353" s="202"/>
      <c r="G353" s="202">
        <v>33280</v>
      </c>
      <c r="H353" s="202">
        <v>479480</v>
      </c>
      <c r="I353" s="202"/>
      <c r="J353" s="202"/>
      <c r="K353" s="202"/>
      <c r="L353" s="200"/>
      <c r="O353" s="221">
        <f>SUM(D353:I353)</f>
        <v>512760</v>
      </c>
      <c r="Q353" s="240"/>
      <c r="T353" s="230"/>
      <c r="U353" s="230"/>
      <c r="V353" s="230"/>
      <c r="W353" s="230"/>
    </row>
    <row r="354" spans="1:58" s="229" customFormat="1" ht="14.25" hidden="1" customHeight="1" outlineLevel="1" x14ac:dyDescent="0.2">
      <c r="A354" s="728"/>
      <c r="B354" s="204" t="s">
        <v>80</v>
      </c>
      <c r="C354" s="205"/>
      <c r="D354" s="206"/>
      <c r="E354" s="206">
        <f>E349-E348</f>
        <v>0</v>
      </c>
      <c r="F354" s="206">
        <f t="shared" ref="F354:G354" si="192">F349-F348</f>
        <v>0</v>
      </c>
      <c r="G354" s="206">
        <f t="shared" si="192"/>
        <v>0</v>
      </c>
      <c r="H354" s="1124">
        <f t="shared" ref="H354:L354" si="193">H349-H348</f>
        <v>0</v>
      </c>
      <c r="I354" s="206">
        <f t="shared" si="193"/>
        <v>0</v>
      </c>
      <c r="J354" s="206">
        <f t="shared" si="193"/>
        <v>0</v>
      </c>
      <c r="K354" s="206">
        <f t="shared" si="193"/>
        <v>0</v>
      </c>
      <c r="L354" s="206">
        <f t="shared" si="193"/>
        <v>0</v>
      </c>
      <c r="O354" s="223">
        <f>O348-O349</f>
        <v>0</v>
      </c>
      <c r="Q354" s="240"/>
      <c r="T354" s="230"/>
      <c r="U354" s="230"/>
      <c r="V354" s="230"/>
      <c r="W354" s="230"/>
    </row>
    <row r="355" spans="1:58" s="139" customFormat="1" ht="28.5" hidden="1" customHeight="1" outlineLevel="1" x14ac:dyDescent="0.2">
      <c r="A355" s="729"/>
      <c r="B355" s="241" t="s">
        <v>135</v>
      </c>
      <c r="C355" s="241"/>
      <c r="D355" s="242"/>
      <c r="E355" s="242" t="e">
        <f>E346-E352</f>
        <v>#REF!</v>
      </c>
      <c r="F355" s="242" t="e">
        <f>F346-F352</f>
        <v>#REF!</v>
      </c>
      <c r="G355" s="242">
        <f>G346-G352+G354</f>
        <v>211008.25876914698</v>
      </c>
      <c r="H355" s="242">
        <f t="shared" ref="H355:L355" si="194">H346-H352+H354</f>
        <v>805124.94999613636</v>
      </c>
      <c r="I355" s="242">
        <f t="shared" si="194"/>
        <v>360654.21584868222</v>
      </c>
      <c r="J355" s="242">
        <f t="shared" si="194"/>
        <v>117902.35735948535</v>
      </c>
      <c r="K355" s="242">
        <f t="shared" si="194"/>
        <v>4234826.4700555252</v>
      </c>
      <c r="L355" s="242">
        <f t="shared" si="194"/>
        <v>9280028.7929329742</v>
      </c>
      <c r="O355" s="224"/>
      <c r="Q355" s="181"/>
    </row>
    <row r="356" spans="1:58" s="139" customFormat="1" ht="28.15" hidden="1" customHeight="1" outlineLevel="1" x14ac:dyDescent="0.2">
      <c r="A356" s="181"/>
      <c r="B356" s="243"/>
      <c r="C356" s="244"/>
      <c r="D356" s="213"/>
      <c r="E356" s="213"/>
      <c r="F356" s="213"/>
      <c r="G356" s="213"/>
      <c r="H356" s="1125"/>
      <c r="I356" s="213"/>
      <c r="J356" s="213"/>
      <c r="K356" s="213"/>
      <c r="L356" s="213"/>
      <c r="Q356" s="181"/>
    </row>
    <row r="357" spans="1:58" s="186" customFormat="1" ht="24.75" hidden="1" customHeight="1" outlineLevel="1" x14ac:dyDescent="0.2">
      <c r="A357" s="726" t="s">
        <v>682</v>
      </c>
      <c r="B357" s="235" t="s">
        <v>688</v>
      </c>
      <c r="C357" s="236"/>
      <c r="D357" s="237"/>
      <c r="E357" s="237"/>
      <c r="F357" s="237"/>
      <c r="G357" s="237">
        <v>0</v>
      </c>
      <c r="H357" s="237">
        <v>47288</v>
      </c>
      <c r="I357" s="237">
        <v>496409.45</v>
      </c>
      <c r="J357" s="237">
        <v>493697.45</v>
      </c>
      <c r="K357" s="237"/>
      <c r="L357" s="237"/>
      <c r="M357" s="225"/>
      <c r="N357" s="225"/>
      <c r="O357" s="217">
        <v>6454</v>
      </c>
      <c r="P357" s="188"/>
      <c r="Q357" s="139"/>
      <c r="R357" s="238"/>
      <c r="S357" s="188"/>
      <c r="T357" s="188"/>
      <c r="U357" s="188"/>
      <c r="V357" s="188"/>
      <c r="W357" s="188"/>
      <c r="X357" s="188"/>
      <c r="Y357" s="188"/>
      <c r="Z357" s="188"/>
      <c r="AA357" s="188"/>
      <c r="AB357" s="188"/>
      <c r="AC357" s="188"/>
      <c r="AD357" s="188"/>
      <c r="AE357" s="188"/>
      <c r="AF357" s="188"/>
      <c r="AG357" s="188"/>
      <c r="AH357" s="188"/>
      <c r="AI357" s="188"/>
      <c r="AJ357" s="188"/>
      <c r="AK357" s="188"/>
      <c r="AL357" s="188"/>
      <c r="AM357" s="188"/>
      <c r="AN357" s="188"/>
      <c r="AO357" s="188"/>
      <c r="AP357" s="188"/>
      <c r="AQ357" s="188"/>
      <c r="AR357" s="188"/>
      <c r="AS357" s="188"/>
      <c r="AT357" s="188"/>
      <c r="AU357" s="188"/>
      <c r="AV357" s="188"/>
      <c r="AW357" s="188"/>
      <c r="AX357" s="188"/>
      <c r="AY357" s="188"/>
      <c r="AZ357" s="188"/>
      <c r="BA357" s="188"/>
      <c r="BB357" s="188"/>
      <c r="BC357" s="188"/>
      <c r="BD357" s="188"/>
      <c r="BE357" s="188"/>
      <c r="BF357" s="188"/>
    </row>
    <row r="358" spans="1:58" s="186" customFormat="1" hidden="1" outlineLevel="1" x14ac:dyDescent="0.2">
      <c r="A358" s="727"/>
      <c r="B358" s="189" t="s">
        <v>75</v>
      </c>
      <c r="C358" s="190"/>
      <c r="D358" s="191"/>
      <c r="E358" s="191"/>
      <c r="F358" s="191">
        <f>SUM(F359:F362)</f>
        <v>0</v>
      </c>
      <c r="G358" s="191">
        <f>SUM(G359:G362)</f>
        <v>0</v>
      </c>
      <c r="H358" s="191">
        <f>SUM(H359:H362)</f>
        <v>47288</v>
      </c>
      <c r="I358" s="191">
        <f>SUM(I359:I362)</f>
        <v>496409.45</v>
      </c>
      <c r="J358" s="191">
        <f>SUM(J359:J362)</f>
        <v>493697.45</v>
      </c>
      <c r="K358" s="191"/>
      <c r="L358" s="191"/>
      <c r="M358" s="225"/>
      <c r="N358" s="225"/>
      <c r="O358" s="218">
        <v>6454</v>
      </c>
      <c r="P358" s="188"/>
      <c r="Q358" s="139"/>
      <c r="R358"/>
      <c r="S358"/>
      <c r="T358"/>
      <c r="U358"/>
      <c r="V358"/>
      <c r="W358"/>
      <c r="X358" s="188"/>
      <c r="Y358" s="188"/>
      <c r="Z358" s="188"/>
      <c r="AA358" s="188"/>
      <c r="AB358" s="188"/>
      <c r="AC358" s="188"/>
      <c r="AD358" s="188"/>
      <c r="AE358" s="188"/>
      <c r="AF358" s="188"/>
      <c r="AG358" s="188"/>
      <c r="AH358" s="188"/>
      <c r="AI358" s="188"/>
      <c r="AJ358" s="188"/>
      <c r="AK358" s="188"/>
      <c r="AL358" s="188"/>
      <c r="AM358" s="188"/>
      <c r="AN358" s="188"/>
      <c r="AO358" s="188"/>
      <c r="AP358" s="188"/>
      <c r="AQ358" s="188"/>
      <c r="AR358" s="188"/>
      <c r="AS358" s="188"/>
      <c r="AT358" s="188"/>
      <c r="AU358" s="188"/>
      <c r="AV358" s="188"/>
      <c r="AW358" s="188"/>
      <c r="AX358" s="188"/>
      <c r="AY358" s="188"/>
      <c r="AZ358" s="188"/>
      <c r="BA358" s="188"/>
      <c r="BB358" s="188"/>
      <c r="BC358" s="188"/>
      <c r="BD358" s="188"/>
      <c r="BE358" s="188"/>
      <c r="BF358" s="188"/>
    </row>
    <row r="359" spans="1:58" s="186" customFormat="1" hidden="1" outlineLevel="1" x14ac:dyDescent="0.2">
      <c r="A359" s="727"/>
      <c r="B359" s="193" t="s">
        <v>76</v>
      </c>
      <c r="C359" s="194"/>
      <c r="D359" s="195"/>
      <c r="E359" s="196"/>
      <c r="F359" s="196"/>
      <c r="G359" s="196"/>
      <c r="H359" s="194"/>
      <c r="I359" s="194"/>
      <c r="J359" s="194"/>
      <c r="K359" s="194"/>
      <c r="L359" s="194"/>
      <c r="O359" s="219">
        <v>0</v>
      </c>
      <c r="P359" s="188"/>
      <c r="Q359" s="226"/>
      <c r="R359" s="139"/>
      <c r="S359" s="139"/>
      <c r="T359" s="139"/>
      <c r="U359" s="139"/>
      <c r="V359" s="139"/>
      <c r="W359" s="139"/>
      <c r="X359" s="139"/>
      <c r="Y359" s="188"/>
      <c r="Z359" s="188"/>
      <c r="AA359" s="188"/>
      <c r="AB359" s="188"/>
      <c r="AC359" s="188"/>
      <c r="AD359" s="188"/>
      <c r="AE359" s="188"/>
      <c r="AF359" s="188"/>
      <c r="AG359" s="188"/>
      <c r="AH359" s="188"/>
      <c r="AI359" s="188"/>
      <c r="AJ359" s="188"/>
      <c r="AK359" s="188"/>
      <c r="AL359" s="188"/>
      <c r="AM359" s="188"/>
      <c r="AN359" s="188"/>
      <c r="AO359" s="188"/>
      <c r="AP359" s="188"/>
      <c r="AQ359" s="188"/>
      <c r="AR359" s="188"/>
      <c r="AS359" s="188"/>
      <c r="AT359" s="188"/>
      <c r="AU359" s="188"/>
      <c r="AV359" s="188"/>
      <c r="AW359" s="188"/>
      <c r="AX359" s="188"/>
      <c r="AY359" s="188"/>
      <c r="AZ359" s="188"/>
      <c r="BA359" s="188"/>
      <c r="BB359" s="188"/>
      <c r="BC359" s="188"/>
      <c r="BD359" s="188"/>
      <c r="BE359" s="188"/>
      <c r="BF359" s="188"/>
    </row>
    <row r="360" spans="1:58" s="89" customFormat="1" hidden="1" outlineLevel="1" x14ac:dyDescent="0.2">
      <c r="A360" s="728"/>
      <c r="B360" s="193" t="s">
        <v>77</v>
      </c>
      <c r="C360" s="194"/>
      <c r="D360" s="195"/>
      <c r="E360" s="196"/>
      <c r="F360" s="196"/>
      <c r="G360" s="196"/>
      <c r="H360" s="196"/>
      <c r="I360" s="196"/>
      <c r="J360" s="196"/>
      <c r="K360" s="196"/>
      <c r="L360" s="194"/>
      <c r="M360" s="198"/>
      <c r="O360" s="219">
        <v>6454</v>
      </c>
      <c r="Q360" s="240"/>
    </row>
    <row r="361" spans="1:58" s="714" customFormat="1" ht="14.25" hidden="1" customHeight="1" outlineLevel="1" x14ac:dyDescent="0.2">
      <c r="A361" s="728"/>
      <c r="B361" s="1149" t="s">
        <v>78</v>
      </c>
      <c r="C361" s="1150"/>
      <c r="D361" s="1151"/>
      <c r="E361" s="1148"/>
      <c r="F361" s="1148"/>
      <c r="G361" s="1148">
        <v>0</v>
      </c>
      <c r="H361" s="1148">
        <f>50000-2712</f>
        <v>47288</v>
      </c>
      <c r="I361" s="1148">
        <f>74055+2712</f>
        <v>76767</v>
      </c>
      <c r="J361" s="1148">
        <v>74055</v>
      </c>
      <c r="K361" s="1150"/>
      <c r="L361" s="1150"/>
      <c r="M361" s="722"/>
      <c r="O361" s="715">
        <f>SUM(D361:I361)</f>
        <v>124055</v>
      </c>
      <c r="Q361" s="716"/>
      <c r="R361" s="717"/>
    </row>
    <row r="362" spans="1:58" s="229" customFormat="1" ht="14.25" hidden="1" customHeight="1" outlineLevel="1" x14ac:dyDescent="0.2">
      <c r="A362" s="728"/>
      <c r="B362" s="199" t="s">
        <v>79</v>
      </c>
      <c r="C362" s="200"/>
      <c r="D362" s="201"/>
      <c r="E362" s="202"/>
      <c r="F362" s="202"/>
      <c r="G362" s="202"/>
      <c r="H362" s="1126"/>
      <c r="I362" s="202">
        <v>419642.45</v>
      </c>
      <c r="J362" s="202">
        <v>419642.45</v>
      </c>
      <c r="K362" s="202"/>
      <c r="L362" s="200"/>
      <c r="O362" s="221">
        <f>SUM(D362:I362)</f>
        <v>419642.45</v>
      </c>
      <c r="Q362" s="240"/>
      <c r="T362" s="230"/>
      <c r="U362" s="230"/>
      <c r="V362" s="230"/>
      <c r="W362" s="230"/>
    </row>
    <row r="363" spans="1:58" s="229" customFormat="1" ht="14.25" hidden="1" customHeight="1" outlineLevel="1" x14ac:dyDescent="0.2">
      <c r="A363" s="728"/>
      <c r="B363" s="204" t="s">
        <v>80</v>
      </c>
      <c r="C363" s="205"/>
      <c r="D363" s="206"/>
      <c r="E363" s="206">
        <f>E358-E357</f>
        <v>0</v>
      </c>
      <c r="F363" s="206">
        <f t="shared" ref="F363:G363" si="195">F358-F357</f>
        <v>0</v>
      </c>
      <c r="G363" s="206">
        <f t="shared" si="195"/>
        <v>0</v>
      </c>
      <c r="H363" s="1124">
        <f t="shared" ref="H363:L363" si="196">H358-H357</f>
        <v>0</v>
      </c>
      <c r="I363" s="206">
        <f t="shared" si="196"/>
        <v>0</v>
      </c>
      <c r="J363" s="206">
        <f t="shared" si="196"/>
        <v>0</v>
      </c>
      <c r="K363" s="206">
        <f t="shared" si="196"/>
        <v>0</v>
      </c>
      <c r="L363" s="206">
        <f t="shared" si="196"/>
        <v>0</v>
      </c>
      <c r="O363" s="223">
        <f>O357-O358</f>
        <v>0</v>
      </c>
      <c r="Q363" s="240"/>
      <c r="T363" s="230"/>
      <c r="U363" s="230"/>
      <c r="V363" s="230"/>
      <c r="W363" s="230"/>
    </row>
    <row r="364" spans="1:58" s="139" customFormat="1" ht="28.5" hidden="1" customHeight="1" outlineLevel="1" x14ac:dyDescent="0.2">
      <c r="A364" s="729"/>
      <c r="B364" s="241" t="s">
        <v>136</v>
      </c>
      <c r="C364" s="241"/>
      <c r="D364" s="242"/>
      <c r="E364" s="242" t="e">
        <f>E355-E361</f>
        <v>#REF!</v>
      </c>
      <c r="F364" s="242" t="e">
        <f>F355-F361</f>
        <v>#REF!</v>
      </c>
      <c r="G364" s="242">
        <f>G355-G361+G363</f>
        <v>211008.25876914698</v>
      </c>
      <c r="H364" s="242">
        <f t="shared" ref="H364:L364" si="197">H355-H361+H363</f>
        <v>757836.94999613636</v>
      </c>
      <c r="I364" s="242">
        <f t="shared" si="197"/>
        <v>283887.21584868222</v>
      </c>
      <c r="J364" s="242">
        <f t="shared" si="197"/>
        <v>43847.357359485351</v>
      </c>
      <c r="K364" s="242">
        <f t="shared" si="197"/>
        <v>4234826.4700555252</v>
      </c>
      <c r="L364" s="242">
        <f t="shared" si="197"/>
        <v>9280028.7929329742</v>
      </c>
      <c r="O364" s="224"/>
      <c r="Q364" s="181"/>
    </row>
    <row r="365" spans="1:58" s="139" customFormat="1" ht="28.15" hidden="1" customHeight="1" outlineLevel="1" x14ac:dyDescent="0.2">
      <c r="A365" s="181"/>
      <c r="B365" s="243"/>
      <c r="C365" s="244"/>
      <c r="D365" s="213"/>
      <c r="E365" s="213"/>
      <c r="F365" s="213"/>
      <c r="G365" s="213"/>
      <c r="H365" s="1125"/>
      <c r="I365" s="213"/>
      <c r="J365" s="213"/>
      <c r="K365" s="213"/>
      <c r="L365" s="213"/>
      <c r="Q365" s="181"/>
    </row>
    <row r="366" spans="1:58" s="186" customFormat="1" ht="24.75" hidden="1" customHeight="1" outlineLevel="1" x14ac:dyDescent="0.2">
      <c r="A366" s="726" t="s">
        <v>683</v>
      </c>
      <c r="B366" s="235" t="s">
        <v>689</v>
      </c>
      <c r="C366" s="236"/>
      <c r="D366" s="237"/>
      <c r="E366" s="237"/>
      <c r="F366" s="237"/>
      <c r="G366" s="237"/>
      <c r="H366" s="237">
        <v>18000</v>
      </c>
      <c r="I366" s="237"/>
      <c r="J366" s="237"/>
      <c r="K366" s="237"/>
      <c r="L366" s="237"/>
      <c r="M366" s="225"/>
      <c r="N366" s="225"/>
      <c r="O366" s="217">
        <v>6454</v>
      </c>
      <c r="P366" s="188"/>
      <c r="Q366" s="139"/>
      <c r="R366" s="238"/>
      <c r="S366" s="188"/>
      <c r="T366" s="188"/>
      <c r="U366" s="188"/>
      <c r="V366" s="188"/>
      <c r="W366" s="188"/>
      <c r="X366" s="188"/>
      <c r="Y366" s="188"/>
      <c r="Z366" s="188"/>
      <c r="AA366" s="188"/>
      <c r="AB366" s="188"/>
      <c r="AC366" s="188"/>
      <c r="AD366" s="188"/>
      <c r="AE366" s="188"/>
      <c r="AF366" s="188"/>
      <c r="AG366" s="188"/>
      <c r="AH366" s="188"/>
      <c r="AI366" s="188"/>
      <c r="AJ366" s="188"/>
      <c r="AK366" s="188"/>
      <c r="AL366" s="188"/>
      <c r="AM366" s="188"/>
      <c r="AN366" s="188"/>
      <c r="AO366" s="188"/>
      <c r="AP366" s="188"/>
      <c r="AQ366" s="188"/>
      <c r="AR366" s="188"/>
      <c r="AS366" s="188"/>
      <c r="AT366" s="188"/>
      <c r="AU366" s="188"/>
      <c r="AV366" s="188"/>
      <c r="AW366" s="188"/>
      <c r="AX366" s="188"/>
      <c r="AY366" s="188"/>
      <c r="AZ366" s="188"/>
      <c r="BA366" s="188"/>
      <c r="BB366" s="188"/>
      <c r="BC366" s="188"/>
      <c r="BD366" s="188"/>
      <c r="BE366" s="188"/>
      <c r="BF366" s="188"/>
    </row>
    <row r="367" spans="1:58" s="186" customFormat="1" hidden="1" outlineLevel="1" x14ac:dyDescent="0.2">
      <c r="A367" s="727"/>
      <c r="B367" s="189" t="s">
        <v>75</v>
      </c>
      <c r="C367" s="190"/>
      <c r="D367" s="191"/>
      <c r="E367" s="191"/>
      <c r="F367" s="191">
        <f>SUM(F368:F371)</f>
        <v>0</v>
      </c>
      <c r="G367" s="191">
        <f>SUM(G368:G371)</f>
        <v>0</v>
      </c>
      <c r="H367" s="191">
        <f>SUM(H368:H371)</f>
        <v>18000</v>
      </c>
      <c r="I367" s="191">
        <f>SUM(I368:I371)</f>
        <v>0</v>
      </c>
      <c r="J367" s="191"/>
      <c r="K367" s="191"/>
      <c r="L367" s="191"/>
      <c r="M367" s="225"/>
      <c r="N367" s="225"/>
      <c r="O367" s="218">
        <v>6454</v>
      </c>
      <c r="P367" s="188"/>
      <c r="Q367" s="139"/>
      <c r="R367"/>
      <c r="S367"/>
      <c r="T367"/>
      <c r="U367"/>
      <c r="V367"/>
      <c r="W367"/>
      <c r="X367" s="188"/>
      <c r="Y367" s="188"/>
      <c r="Z367" s="188"/>
      <c r="AA367" s="188"/>
      <c r="AB367" s="188"/>
      <c r="AC367" s="188"/>
      <c r="AD367" s="188"/>
      <c r="AE367" s="188"/>
      <c r="AF367" s="188"/>
      <c r="AG367" s="188"/>
      <c r="AH367" s="188"/>
      <c r="AI367" s="188"/>
      <c r="AJ367" s="188"/>
      <c r="AK367" s="188"/>
      <c r="AL367" s="188"/>
      <c r="AM367" s="188"/>
      <c r="AN367" s="188"/>
      <c r="AO367" s="188"/>
      <c r="AP367" s="188"/>
      <c r="AQ367" s="188"/>
      <c r="AR367" s="188"/>
      <c r="AS367" s="188"/>
      <c r="AT367" s="188"/>
      <c r="AU367" s="188"/>
      <c r="AV367" s="188"/>
      <c r="AW367" s="188"/>
      <c r="AX367" s="188"/>
      <c r="AY367" s="188"/>
      <c r="AZ367" s="188"/>
      <c r="BA367" s="188"/>
      <c r="BB367" s="188"/>
      <c r="BC367" s="188"/>
      <c r="BD367" s="188"/>
      <c r="BE367" s="188"/>
      <c r="BF367" s="188"/>
    </row>
    <row r="368" spans="1:58" s="186" customFormat="1" hidden="1" outlineLevel="1" x14ac:dyDescent="0.2">
      <c r="A368" s="727"/>
      <c r="B368" s="193" t="s">
        <v>76</v>
      </c>
      <c r="C368" s="194"/>
      <c r="D368" s="195"/>
      <c r="E368" s="196"/>
      <c r="F368" s="196"/>
      <c r="G368" s="196"/>
      <c r="H368" s="194"/>
      <c r="I368" s="194"/>
      <c r="J368" s="194"/>
      <c r="K368" s="194"/>
      <c r="L368" s="194"/>
      <c r="O368" s="219">
        <v>0</v>
      </c>
      <c r="P368" s="188"/>
      <c r="Q368" s="226"/>
      <c r="R368" s="139"/>
      <c r="S368" s="139"/>
      <c r="T368" s="139"/>
      <c r="U368" s="139"/>
      <c r="V368" s="139"/>
      <c r="W368" s="139"/>
      <c r="X368" s="139"/>
      <c r="Y368" s="188"/>
      <c r="Z368" s="188"/>
      <c r="AA368" s="188"/>
      <c r="AB368" s="188"/>
      <c r="AC368" s="188"/>
      <c r="AD368" s="188"/>
      <c r="AE368" s="188"/>
      <c r="AF368" s="188"/>
      <c r="AG368" s="188"/>
      <c r="AH368" s="188"/>
      <c r="AI368" s="188"/>
      <c r="AJ368" s="188"/>
      <c r="AK368" s="188"/>
      <c r="AL368" s="188"/>
      <c r="AM368" s="188"/>
      <c r="AN368" s="188"/>
      <c r="AO368" s="188"/>
      <c r="AP368" s="188"/>
      <c r="AQ368" s="188"/>
      <c r="AR368" s="188"/>
      <c r="AS368" s="188"/>
      <c r="AT368" s="188"/>
      <c r="AU368" s="188"/>
      <c r="AV368" s="188"/>
      <c r="AW368" s="188"/>
      <c r="AX368" s="188"/>
      <c r="AY368" s="188"/>
      <c r="AZ368" s="188"/>
      <c r="BA368" s="188"/>
      <c r="BB368" s="188"/>
      <c r="BC368" s="188"/>
      <c r="BD368" s="188"/>
      <c r="BE368" s="188"/>
      <c r="BF368" s="188"/>
    </row>
    <row r="369" spans="1:58" s="89" customFormat="1" hidden="1" outlineLevel="1" x14ac:dyDescent="0.2">
      <c r="A369" s="728"/>
      <c r="B369" s="193" t="s">
        <v>77</v>
      </c>
      <c r="C369" s="194"/>
      <c r="D369" s="195"/>
      <c r="E369" s="196"/>
      <c r="F369" s="196"/>
      <c r="G369" s="196"/>
      <c r="H369" s="196">
        <v>12000</v>
      </c>
      <c r="I369" s="196"/>
      <c r="J369" s="196"/>
      <c r="K369" s="196"/>
      <c r="L369" s="194"/>
      <c r="M369" s="198"/>
      <c r="O369" s="219">
        <v>6454</v>
      </c>
      <c r="Q369" s="240"/>
    </row>
    <row r="370" spans="1:58" s="714" customFormat="1" ht="14.25" hidden="1" customHeight="1" outlineLevel="1" x14ac:dyDescent="0.2">
      <c r="A370" s="728"/>
      <c r="B370" s="1149" t="s">
        <v>78</v>
      </c>
      <c r="C370" s="1150"/>
      <c r="D370" s="1151"/>
      <c r="E370" s="1148"/>
      <c r="F370" s="1148"/>
      <c r="G370" s="1148"/>
      <c r="H370" s="1148">
        <v>6000</v>
      </c>
      <c r="I370" s="1148"/>
      <c r="J370" s="1148"/>
      <c r="K370" s="1150"/>
      <c r="L370" s="1150"/>
      <c r="M370" s="722"/>
      <c r="O370" s="715">
        <f>SUM(D370:I370)</f>
        <v>6000</v>
      </c>
      <c r="Q370" s="716"/>
      <c r="R370" s="717"/>
    </row>
    <row r="371" spans="1:58" s="229" customFormat="1" ht="14.25" hidden="1" customHeight="1" outlineLevel="1" x14ac:dyDescent="0.2">
      <c r="A371" s="728"/>
      <c r="B371" s="199" t="s">
        <v>79</v>
      </c>
      <c r="C371" s="200"/>
      <c r="D371" s="201"/>
      <c r="E371" s="202"/>
      <c r="F371" s="202"/>
      <c r="G371" s="202"/>
      <c r="H371" s="1126"/>
      <c r="I371" s="202"/>
      <c r="J371" s="202"/>
      <c r="K371" s="202"/>
      <c r="L371" s="200"/>
      <c r="O371" s="221">
        <f>SUM(D371:I371)</f>
        <v>0</v>
      </c>
      <c r="Q371" s="240"/>
      <c r="T371" s="230"/>
      <c r="U371" s="230"/>
      <c r="V371" s="230"/>
      <c r="W371" s="230"/>
    </row>
    <row r="372" spans="1:58" s="229" customFormat="1" ht="14.25" hidden="1" customHeight="1" outlineLevel="1" x14ac:dyDescent="0.2">
      <c r="A372" s="728"/>
      <c r="B372" s="204" t="s">
        <v>80</v>
      </c>
      <c r="C372" s="205"/>
      <c r="D372" s="206"/>
      <c r="E372" s="206">
        <f>E367-E366</f>
        <v>0</v>
      </c>
      <c r="F372" s="206">
        <f t="shared" ref="F372:G372" si="198">F367-F366</f>
        <v>0</v>
      </c>
      <c r="G372" s="206">
        <f t="shared" si="198"/>
        <v>0</v>
      </c>
      <c r="H372" s="1124">
        <f t="shared" ref="H372:L372" si="199">H367-H366</f>
        <v>0</v>
      </c>
      <c r="I372" s="206">
        <f t="shared" si="199"/>
        <v>0</v>
      </c>
      <c r="J372" s="206">
        <f t="shared" si="199"/>
        <v>0</v>
      </c>
      <c r="K372" s="206">
        <f t="shared" si="199"/>
        <v>0</v>
      </c>
      <c r="L372" s="206">
        <f t="shared" si="199"/>
        <v>0</v>
      </c>
      <c r="O372" s="223">
        <f>O366-O367</f>
        <v>0</v>
      </c>
      <c r="Q372" s="240"/>
      <c r="T372" s="230"/>
      <c r="U372" s="230"/>
      <c r="V372" s="230"/>
      <c r="W372" s="230"/>
    </row>
    <row r="373" spans="1:58" s="139" customFormat="1" ht="28.5" hidden="1" customHeight="1" outlineLevel="1" x14ac:dyDescent="0.2">
      <c r="A373" s="729"/>
      <c r="B373" s="241" t="s">
        <v>137</v>
      </c>
      <c r="C373" s="241"/>
      <c r="D373" s="242"/>
      <c r="E373" s="242" t="e">
        <f>E364-E370</f>
        <v>#REF!</v>
      </c>
      <c r="F373" s="242" t="e">
        <f>F364-F370</f>
        <v>#REF!</v>
      </c>
      <c r="G373" s="242">
        <f>G364-G370+G372</f>
        <v>211008.25876914698</v>
      </c>
      <c r="H373" s="242">
        <f t="shared" ref="H373:L373" si="200">H364-H370+H372</f>
        <v>751836.94999613636</v>
      </c>
      <c r="I373" s="242">
        <f t="shared" si="200"/>
        <v>283887.21584868222</v>
      </c>
      <c r="J373" s="242">
        <f t="shared" si="200"/>
        <v>43847.357359485351</v>
      </c>
      <c r="K373" s="242">
        <f t="shared" si="200"/>
        <v>4234826.4700555252</v>
      </c>
      <c r="L373" s="242">
        <f t="shared" si="200"/>
        <v>9280028.7929329742</v>
      </c>
      <c r="O373" s="224"/>
      <c r="Q373" s="181"/>
    </row>
    <row r="374" spans="1:58" s="139" customFormat="1" ht="28.15" hidden="1" customHeight="1" outlineLevel="1" x14ac:dyDescent="0.2">
      <c r="A374" s="181"/>
      <c r="B374" s="243"/>
      <c r="C374" s="244"/>
      <c r="D374" s="213"/>
      <c r="E374" s="213"/>
      <c r="F374" s="213"/>
      <c r="G374" s="213"/>
      <c r="H374" s="1125"/>
      <c r="I374" s="213"/>
      <c r="J374" s="213"/>
      <c r="K374" s="213"/>
      <c r="L374" s="213"/>
      <c r="Q374" s="181"/>
    </row>
    <row r="375" spans="1:58" s="186" customFormat="1" ht="30.6" hidden="1" customHeight="1" outlineLevel="1" x14ac:dyDescent="0.2">
      <c r="A375" s="726" t="s">
        <v>684</v>
      </c>
      <c r="B375" s="1142" t="s">
        <v>690</v>
      </c>
      <c r="C375" s="236"/>
      <c r="D375" s="237"/>
      <c r="E375" s="237"/>
      <c r="F375" s="237">
        <v>0</v>
      </c>
      <c r="G375" s="237">
        <v>0</v>
      </c>
      <c r="H375" s="237">
        <v>193242</v>
      </c>
      <c r="I375" s="237">
        <f>SUM(I378:I380)</f>
        <v>0</v>
      </c>
      <c r="J375" s="237"/>
      <c r="K375" s="237"/>
      <c r="L375" s="237"/>
      <c r="M375" s="225"/>
      <c r="N375" s="225"/>
      <c r="O375" s="217">
        <f t="shared" ref="O375:O380" si="201">SUM(D375:I375)</f>
        <v>193242</v>
      </c>
      <c r="P375" s="188"/>
      <c r="Q375" s="139"/>
      <c r="R375" s="238"/>
      <c r="S375" s="188"/>
      <c r="T375" s="188"/>
      <c r="U375" s="188"/>
      <c r="V375" s="188"/>
      <c r="W375" s="188"/>
      <c r="X375" s="188"/>
      <c r="Y375" s="188"/>
      <c r="Z375" s="188"/>
      <c r="AA375" s="188"/>
      <c r="AB375" s="188"/>
      <c r="AC375" s="188"/>
      <c r="AD375" s="188"/>
      <c r="AE375" s="188"/>
      <c r="AF375" s="188"/>
      <c r="AG375" s="188"/>
      <c r="AH375" s="188"/>
      <c r="AI375" s="188"/>
      <c r="AJ375" s="188"/>
      <c r="AK375" s="188"/>
      <c r="AL375" s="188"/>
      <c r="AM375" s="188"/>
      <c r="AN375" s="188"/>
      <c r="AO375" s="188"/>
      <c r="AP375" s="188"/>
      <c r="AQ375" s="188"/>
      <c r="AR375" s="188"/>
      <c r="AS375" s="188"/>
      <c r="AT375" s="188"/>
      <c r="AU375" s="188"/>
      <c r="AV375" s="188"/>
      <c r="AW375" s="188"/>
      <c r="AX375" s="188"/>
      <c r="AY375" s="188"/>
      <c r="AZ375" s="188"/>
      <c r="BA375" s="188"/>
      <c r="BB375" s="188"/>
      <c r="BC375" s="188"/>
      <c r="BD375" s="188"/>
      <c r="BE375" s="188"/>
      <c r="BF375" s="188"/>
    </row>
    <row r="376" spans="1:58" s="186" customFormat="1" hidden="1" outlineLevel="1" x14ac:dyDescent="0.2">
      <c r="A376" s="727"/>
      <c r="B376" s="189" t="s">
        <v>75</v>
      </c>
      <c r="C376" s="190"/>
      <c r="D376" s="191"/>
      <c r="E376" s="191">
        <f>SUM(E377:E380)</f>
        <v>0</v>
      </c>
      <c r="F376" s="191">
        <f>SUM(F377:F380)</f>
        <v>0</v>
      </c>
      <c r="G376" s="191">
        <f>SUM(G377:G380)</f>
        <v>0</v>
      </c>
      <c r="H376" s="191">
        <f>SUM(H377:H380)</f>
        <v>193242</v>
      </c>
      <c r="I376" s="191">
        <f>SUM(I377:I380)</f>
        <v>0</v>
      </c>
      <c r="J376" s="191"/>
      <c r="K376" s="191"/>
      <c r="L376" s="191"/>
      <c r="M376" s="225"/>
      <c r="N376" s="225"/>
      <c r="O376" s="218">
        <f t="shared" si="201"/>
        <v>193242</v>
      </c>
      <c r="P376" s="188"/>
      <c r="Q376" s="139"/>
      <c r="R376"/>
      <c r="S376"/>
      <c r="T376"/>
      <c r="U376"/>
      <c r="V376"/>
      <c r="W376"/>
      <c r="X376" s="188"/>
      <c r="Y376" s="188"/>
      <c r="Z376" s="188"/>
      <c r="AA376" s="188"/>
      <c r="AB376" s="188"/>
      <c r="AC376" s="188"/>
      <c r="AD376" s="188"/>
      <c r="AE376" s="188"/>
      <c r="AF376" s="188"/>
      <c r="AG376" s="188"/>
      <c r="AH376" s="188"/>
      <c r="AI376" s="188"/>
      <c r="AJ376" s="188"/>
      <c r="AK376" s="188"/>
      <c r="AL376" s="188"/>
      <c r="AM376" s="188"/>
      <c r="AN376" s="188"/>
      <c r="AO376" s="188"/>
      <c r="AP376" s="188"/>
      <c r="AQ376" s="188"/>
      <c r="AR376" s="188"/>
      <c r="AS376" s="188"/>
      <c r="AT376" s="188"/>
      <c r="AU376" s="188"/>
      <c r="AV376" s="188"/>
      <c r="AW376" s="188"/>
      <c r="AX376" s="188"/>
      <c r="AY376" s="188"/>
      <c r="AZ376" s="188"/>
      <c r="BA376" s="188"/>
      <c r="BB376" s="188"/>
      <c r="BC376" s="188"/>
      <c r="BD376" s="188"/>
      <c r="BE376" s="188"/>
      <c r="BF376" s="188"/>
    </row>
    <row r="377" spans="1:58" s="186" customFormat="1" hidden="1" outlineLevel="1" x14ac:dyDescent="0.2">
      <c r="A377" s="727"/>
      <c r="B377" s="193" t="s">
        <v>76</v>
      </c>
      <c r="C377" s="194"/>
      <c r="D377" s="195"/>
      <c r="E377" s="196"/>
      <c r="F377" s="196"/>
      <c r="G377" s="196"/>
      <c r="H377" s="194"/>
      <c r="I377" s="194"/>
      <c r="J377" s="194"/>
      <c r="K377" s="194"/>
      <c r="L377" s="194"/>
      <c r="O377" s="219">
        <f t="shared" si="201"/>
        <v>0</v>
      </c>
      <c r="P377" s="188"/>
      <c r="Q377" s="226"/>
      <c r="R377" s="139"/>
      <c r="S377" s="139"/>
      <c r="T377" s="139"/>
      <c r="U377" s="139"/>
      <c r="V377" s="139"/>
      <c r="W377" s="139"/>
      <c r="X377" s="139"/>
      <c r="Y377" s="188"/>
      <c r="Z377" s="188"/>
      <c r="AA377" s="188"/>
      <c r="AB377" s="188"/>
      <c r="AC377" s="188"/>
      <c r="AD377" s="188"/>
      <c r="AE377" s="188"/>
      <c r="AF377" s="188"/>
      <c r="AG377" s="188"/>
      <c r="AH377" s="188"/>
      <c r="AI377" s="188"/>
      <c r="AJ377" s="188"/>
      <c r="AK377" s="188"/>
      <c r="AL377" s="188"/>
      <c r="AM377" s="188"/>
      <c r="AN377" s="188"/>
      <c r="AO377" s="188"/>
      <c r="AP377" s="188"/>
      <c r="AQ377" s="188"/>
      <c r="AR377" s="188"/>
      <c r="AS377" s="188"/>
      <c r="AT377" s="188"/>
      <c r="AU377" s="188"/>
      <c r="AV377" s="188"/>
      <c r="AW377" s="188"/>
      <c r="AX377" s="188"/>
      <c r="AY377" s="188"/>
      <c r="AZ377" s="188"/>
      <c r="BA377" s="188"/>
      <c r="BB377" s="188"/>
      <c r="BC377" s="188"/>
      <c r="BD377" s="188"/>
      <c r="BE377" s="188"/>
      <c r="BF377" s="188"/>
    </row>
    <row r="378" spans="1:58" s="89" customFormat="1" hidden="1" outlineLevel="1" x14ac:dyDescent="0.2">
      <c r="A378" s="728"/>
      <c r="B378" s="193" t="s">
        <v>77</v>
      </c>
      <c r="C378" s="194"/>
      <c r="D378" s="195"/>
      <c r="E378" s="196"/>
      <c r="F378" s="196"/>
      <c r="G378" s="196">
        <v>0</v>
      </c>
      <c r="H378" s="194"/>
      <c r="I378" s="194"/>
      <c r="J378" s="194"/>
      <c r="K378" s="194"/>
      <c r="L378" s="194"/>
      <c r="O378" s="219">
        <f t="shared" si="201"/>
        <v>0</v>
      </c>
      <c r="Q378" s="239"/>
    </row>
    <row r="379" spans="1:58" s="227" customFormat="1" ht="14.25" hidden="1" customHeight="1" outlineLevel="1" x14ac:dyDescent="0.2">
      <c r="A379" s="728"/>
      <c r="B379" s="1144" t="s">
        <v>78</v>
      </c>
      <c r="C379" s="1145"/>
      <c r="D379" s="1146"/>
      <c r="E379" s="1147"/>
      <c r="F379" s="1147"/>
      <c r="G379" s="1147">
        <v>0</v>
      </c>
      <c r="H379" s="1147">
        <v>193242</v>
      </c>
      <c r="I379" s="1147"/>
      <c r="J379" s="1147"/>
      <c r="K379" s="1147"/>
      <c r="L379" s="1147"/>
      <c r="M379" s="721"/>
      <c r="O379" s="220">
        <f t="shared" si="201"/>
        <v>193242</v>
      </c>
      <c r="Q379" s="240"/>
      <c r="R379" s="228"/>
    </row>
    <row r="380" spans="1:58" s="229" customFormat="1" ht="14.25" hidden="1" customHeight="1" outlineLevel="1" x14ac:dyDescent="0.2">
      <c r="A380" s="728"/>
      <c r="B380" s="199" t="s">
        <v>79</v>
      </c>
      <c r="C380" s="200"/>
      <c r="D380" s="201"/>
      <c r="E380" s="202"/>
      <c r="F380" s="202"/>
      <c r="G380" s="202"/>
      <c r="H380" s="1126"/>
      <c r="I380" s="200"/>
      <c r="J380" s="200"/>
      <c r="K380" s="200"/>
      <c r="L380" s="200"/>
      <c r="O380" s="221">
        <f t="shared" si="201"/>
        <v>0</v>
      </c>
      <c r="Q380" s="240"/>
      <c r="T380" s="230"/>
      <c r="U380" s="230"/>
      <c r="V380" s="230"/>
      <c r="W380" s="230"/>
    </row>
    <row r="381" spans="1:58" s="229" customFormat="1" ht="14.25" hidden="1" customHeight="1" outlineLevel="1" x14ac:dyDescent="0.2">
      <c r="A381" s="728"/>
      <c r="B381" s="204" t="s">
        <v>80</v>
      </c>
      <c r="C381" s="205"/>
      <c r="D381" s="206"/>
      <c r="E381" s="206">
        <f>E375-E376</f>
        <v>0</v>
      </c>
      <c r="F381" s="222">
        <f>F375-F376</f>
        <v>0</v>
      </c>
      <c r="G381" s="206">
        <f>G376-G375</f>
        <v>0</v>
      </c>
      <c r="H381" s="1124">
        <f t="shared" ref="H381:L381" si="202">H376-H375</f>
        <v>0</v>
      </c>
      <c r="I381" s="206">
        <f t="shared" si="202"/>
        <v>0</v>
      </c>
      <c r="J381" s="206">
        <f t="shared" si="202"/>
        <v>0</v>
      </c>
      <c r="K381" s="206">
        <f t="shared" si="202"/>
        <v>0</v>
      </c>
      <c r="L381" s="206">
        <f t="shared" si="202"/>
        <v>0</v>
      </c>
      <c r="O381" s="223">
        <f>O375-O376</f>
        <v>0</v>
      </c>
      <c r="Q381" s="240"/>
      <c r="T381" s="230"/>
      <c r="U381" s="230"/>
      <c r="V381" s="230"/>
      <c r="W381" s="230"/>
    </row>
    <row r="382" spans="1:58" s="139" customFormat="1" ht="28.5" hidden="1" customHeight="1" outlineLevel="1" x14ac:dyDescent="0.2">
      <c r="A382" s="729"/>
      <c r="B382" s="241" t="s">
        <v>138</v>
      </c>
      <c r="C382" s="241"/>
      <c r="D382" s="242"/>
      <c r="E382" s="242" t="e">
        <f>E373-E379+E381</f>
        <v>#REF!</v>
      </c>
      <c r="F382" s="242" t="e">
        <f t="shared" ref="F382" si="203">F373-F379+F381</f>
        <v>#REF!</v>
      </c>
      <c r="G382" s="242">
        <f>G373-G379+G381</f>
        <v>211008.25876914698</v>
      </c>
      <c r="H382" s="242">
        <f t="shared" ref="H382:L382" si="204">H373-H379+H381</f>
        <v>558594.94999613636</v>
      </c>
      <c r="I382" s="242">
        <f t="shared" si="204"/>
        <v>283887.21584868222</v>
      </c>
      <c r="J382" s="242">
        <f t="shared" si="204"/>
        <v>43847.357359485351</v>
      </c>
      <c r="K382" s="242">
        <f t="shared" si="204"/>
        <v>4234826.4700555252</v>
      </c>
      <c r="L382" s="242">
        <f t="shared" si="204"/>
        <v>9280028.7929329742</v>
      </c>
      <c r="O382" s="224"/>
      <c r="Q382" s="181"/>
    </row>
    <row r="383" spans="1:58" s="139" customFormat="1" ht="28.5" hidden="1" customHeight="1" outlineLevel="1" x14ac:dyDescent="0.2">
      <c r="A383" s="181"/>
      <c r="B383" s="243"/>
      <c r="C383" s="244"/>
      <c r="D383" s="213"/>
      <c r="E383" s="213"/>
      <c r="F383" s="213"/>
      <c r="G383" s="6">
        <v>2025</v>
      </c>
      <c r="H383" s="5">
        <v>2026</v>
      </c>
      <c r="I383" s="5">
        <v>2027</v>
      </c>
      <c r="J383" s="5">
        <v>2028</v>
      </c>
      <c r="K383" s="5">
        <v>2029</v>
      </c>
      <c r="L383" s="5">
        <v>2030</v>
      </c>
      <c r="Q383" s="181"/>
    </row>
    <row r="384" spans="1:58" s="186" customFormat="1" ht="33.6" hidden="1" customHeight="1" outlineLevel="1" x14ac:dyDescent="0.2">
      <c r="A384" s="726" t="s">
        <v>685</v>
      </c>
      <c r="B384" s="235" t="s">
        <v>691</v>
      </c>
      <c r="C384" s="236"/>
      <c r="D384" s="237"/>
      <c r="E384" s="237"/>
      <c r="F384" s="237">
        <v>0</v>
      </c>
      <c r="G384" s="237">
        <v>0</v>
      </c>
      <c r="H384" s="237">
        <f>SUM(H387:H389)</f>
        <v>78746.5</v>
      </c>
      <c r="I384" s="237"/>
      <c r="J384" s="237"/>
      <c r="K384" s="237"/>
      <c r="L384" s="237"/>
      <c r="M384" s="225"/>
      <c r="N384" s="225"/>
      <c r="O384" s="217">
        <f t="shared" ref="O384:O389" si="205">SUM(D384:I384)</f>
        <v>78746.5</v>
      </c>
      <c r="P384" s="188"/>
      <c r="Q384" s="139"/>
      <c r="R384" s="238"/>
      <c r="S384" s="188"/>
      <c r="T384" s="188"/>
      <c r="U384" s="188"/>
      <c r="V384" s="188"/>
      <c r="W384" s="188"/>
      <c r="X384" s="188"/>
      <c r="Y384" s="188"/>
      <c r="Z384" s="188"/>
      <c r="AA384" s="188"/>
      <c r="AB384" s="188"/>
      <c r="AC384" s="188"/>
      <c r="AD384" s="188"/>
      <c r="AE384" s="188"/>
      <c r="AF384" s="188"/>
      <c r="AG384" s="188"/>
      <c r="AH384" s="188"/>
      <c r="AI384" s="188"/>
      <c r="AJ384" s="188"/>
      <c r="AK384" s="188"/>
      <c r="AL384" s="188"/>
      <c r="AM384" s="188"/>
      <c r="AN384" s="188"/>
      <c r="AO384" s="188"/>
      <c r="AP384" s="188"/>
      <c r="AQ384" s="188"/>
      <c r="AR384" s="188"/>
      <c r="AS384" s="188"/>
      <c r="AT384" s="188"/>
      <c r="AU384" s="188"/>
      <c r="AV384" s="188"/>
      <c r="AW384" s="188"/>
      <c r="AX384" s="188"/>
      <c r="AY384" s="188"/>
      <c r="AZ384" s="188"/>
      <c r="BA384" s="188"/>
      <c r="BB384" s="188"/>
      <c r="BC384" s="188"/>
      <c r="BD384" s="188"/>
      <c r="BE384" s="188"/>
      <c r="BF384" s="188"/>
    </row>
    <row r="385" spans="1:58" s="186" customFormat="1" hidden="1" outlineLevel="1" x14ac:dyDescent="0.2">
      <c r="A385" s="727"/>
      <c r="B385" s="189" t="s">
        <v>75</v>
      </c>
      <c r="C385" s="190"/>
      <c r="D385" s="191"/>
      <c r="E385" s="191">
        <f>SUM(E386:E389)</f>
        <v>0</v>
      </c>
      <c r="F385" s="191">
        <f>SUM(F386:F389)</f>
        <v>0</v>
      </c>
      <c r="G385" s="191">
        <f>SUM(G386:G389)</f>
        <v>0</v>
      </c>
      <c r="H385" s="191">
        <f>SUM(H386:H389)</f>
        <v>78746.5</v>
      </c>
      <c r="I385" s="191">
        <f>SUM(I386:I389)</f>
        <v>0</v>
      </c>
      <c r="J385" s="191">
        <f t="shared" ref="J385:L385" si="206">SUM(J386:J389)</f>
        <v>0</v>
      </c>
      <c r="K385" s="191">
        <f t="shared" si="206"/>
        <v>0</v>
      </c>
      <c r="L385" s="191">
        <f t="shared" si="206"/>
        <v>0</v>
      </c>
      <c r="M385" s="225"/>
      <c r="N385" s="225"/>
      <c r="O385" s="218">
        <f t="shared" si="205"/>
        <v>78746.5</v>
      </c>
      <c r="P385" s="188"/>
      <c r="Q385" s="240"/>
      <c r="R385"/>
      <c r="S385"/>
      <c r="T385"/>
      <c r="U385"/>
      <c r="V385"/>
      <c r="W385"/>
      <c r="X385" s="188"/>
      <c r="Y385" s="188"/>
      <c r="Z385" s="188"/>
      <c r="AA385" s="188"/>
      <c r="AB385" s="188"/>
      <c r="AC385" s="188"/>
      <c r="AD385" s="188"/>
      <c r="AE385" s="188"/>
      <c r="AF385" s="188"/>
      <c r="AG385" s="188"/>
      <c r="AH385" s="188"/>
      <c r="AI385" s="188"/>
      <c r="AJ385" s="188"/>
      <c r="AK385" s="188"/>
      <c r="AL385" s="188"/>
      <c r="AM385" s="188"/>
      <c r="AN385" s="188"/>
      <c r="AO385" s="188"/>
      <c r="AP385" s="188"/>
      <c r="AQ385" s="188"/>
      <c r="AR385" s="188"/>
      <c r="AS385" s="188"/>
      <c r="AT385" s="188"/>
      <c r="AU385" s="188"/>
      <c r="AV385" s="188"/>
      <c r="AW385" s="188"/>
      <c r="AX385" s="188"/>
      <c r="AY385" s="188"/>
      <c r="AZ385" s="188"/>
      <c r="BA385" s="188"/>
      <c r="BB385" s="188"/>
      <c r="BC385" s="188"/>
      <c r="BD385" s="188"/>
      <c r="BE385" s="188"/>
      <c r="BF385" s="188"/>
    </row>
    <row r="386" spans="1:58" s="186" customFormat="1" hidden="1" outlineLevel="1" x14ac:dyDescent="0.2">
      <c r="A386" s="727"/>
      <c r="B386" s="193" t="s">
        <v>76</v>
      </c>
      <c r="C386" s="194"/>
      <c r="D386" s="195"/>
      <c r="E386" s="196"/>
      <c r="F386" s="196"/>
      <c r="G386" s="196"/>
      <c r="H386" s="194"/>
      <c r="I386" s="194"/>
      <c r="J386" s="194"/>
      <c r="K386" s="194"/>
      <c r="L386" s="194"/>
      <c r="O386" s="219">
        <f t="shared" si="205"/>
        <v>0</v>
      </c>
      <c r="P386" s="188"/>
      <c r="Q386" s="226"/>
      <c r="R386" s="139"/>
      <c r="S386" s="139"/>
      <c r="T386" s="139"/>
      <c r="U386" s="139"/>
      <c r="V386" s="139"/>
      <c r="W386" s="139"/>
      <c r="X386" s="139"/>
      <c r="Y386" s="188"/>
      <c r="Z386" s="188"/>
      <c r="AA386" s="188"/>
      <c r="AB386" s="188"/>
      <c r="AC386" s="188"/>
      <c r="AD386" s="188"/>
      <c r="AE386" s="188"/>
      <c r="AF386" s="188"/>
      <c r="AG386" s="188"/>
      <c r="AH386" s="188"/>
      <c r="AI386" s="188"/>
      <c r="AJ386" s="188"/>
      <c r="AK386" s="188"/>
      <c r="AL386" s="188"/>
      <c r="AM386" s="188"/>
      <c r="AN386" s="188"/>
      <c r="AO386" s="188"/>
      <c r="AP386" s="188"/>
      <c r="AQ386" s="188"/>
      <c r="AR386" s="188"/>
      <c r="AS386" s="188"/>
      <c r="AT386" s="188"/>
      <c r="AU386" s="188"/>
      <c r="AV386" s="188"/>
      <c r="AW386" s="188"/>
      <c r="AX386" s="188"/>
      <c r="AY386" s="188"/>
      <c r="AZ386" s="188"/>
      <c r="BA386" s="188"/>
      <c r="BB386" s="188"/>
      <c r="BC386" s="188"/>
      <c r="BD386" s="188"/>
      <c r="BE386" s="188"/>
      <c r="BF386" s="188"/>
    </row>
    <row r="387" spans="1:58" s="89" customFormat="1" hidden="1" outlineLevel="1" x14ac:dyDescent="0.2">
      <c r="A387" s="728"/>
      <c r="B387" s="193" t="s">
        <v>77</v>
      </c>
      <c r="C387" s="194"/>
      <c r="D387" s="195"/>
      <c r="E387" s="196"/>
      <c r="F387" s="196"/>
      <c r="G387" s="196"/>
      <c r="H387" s="194"/>
      <c r="I387" s="194"/>
      <c r="J387" s="194"/>
      <c r="K387" s="194"/>
      <c r="L387" s="194"/>
      <c r="O387" s="219">
        <f t="shared" si="205"/>
        <v>0</v>
      </c>
      <c r="Q387" s="239"/>
    </row>
    <row r="388" spans="1:58" s="227" customFormat="1" ht="14.25" hidden="1" customHeight="1" outlineLevel="1" x14ac:dyDescent="0.2">
      <c r="A388" s="728"/>
      <c r="B388" s="1144" t="s">
        <v>78</v>
      </c>
      <c r="C388" s="1145"/>
      <c r="D388" s="1146"/>
      <c r="E388" s="1147"/>
      <c r="F388" s="1147"/>
      <c r="G388" s="1147">
        <v>0</v>
      </c>
      <c r="H388" s="1147">
        <v>78746.5</v>
      </c>
      <c r="I388" s="1147"/>
      <c r="J388" s="1147"/>
      <c r="K388" s="1147"/>
      <c r="L388" s="1147"/>
      <c r="M388" s="721"/>
      <c r="O388" s="220">
        <f t="shared" si="205"/>
        <v>78746.5</v>
      </c>
      <c r="Q388" s="240"/>
      <c r="R388" s="228"/>
    </row>
    <row r="389" spans="1:58" s="229" customFormat="1" ht="14.25" hidden="1" customHeight="1" outlineLevel="1" x14ac:dyDescent="0.2">
      <c r="A389" s="728"/>
      <c r="B389" s="199" t="s">
        <v>79</v>
      </c>
      <c r="C389" s="200"/>
      <c r="D389" s="201"/>
      <c r="E389" s="202"/>
      <c r="F389" s="202"/>
      <c r="G389" s="202"/>
      <c r="H389" s="1123"/>
      <c r="I389" s="202"/>
      <c r="J389" s="202"/>
      <c r="K389" s="202"/>
      <c r="L389" s="200"/>
      <c r="O389" s="221">
        <f t="shared" si="205"/>
        <v>0</v>
      </c>
      <c r="Q389" s="240"/>
      <c r="T389" s="230"/>
      <c r="U389" s="230"/>
      <c r="V389" s="230"/>
      <c r="W389" s="230"/>
    </row>
    <row r="390" spans="1:58" s="229" customFormat="1" ht="14.25" hidden="1" customHeight="1" outlineLevel="1" x14ac:dyDescent="0.2">
      <c r="A390" s="728"/>
      <c r="B390" s="204" t="s">
        <v>80</v>
      </c>
      <c r="C390" s="205"/>
      <c r="D390" s="206"/>
      <c r="E390" s="206">
        <f>E384-E385</f>
        <v>0</v>
      </c>
      <c r="F390" s="222">
        <f>F384-F385</f>
        <v>0</v>
      </c>
      <c r="G390" s="206">
        <f>G385-G384</f>
        <v>0</v>
      </c>
      <c r="H390" s="1124">
        <f t="shared" ref="H390:L390" si="207">H385-H384</f>
        <v>0</v>
      </c>
      <c r="I390" s="206">
        <f t="shared" si="207"/>
        <v>0</v>
      </c>
      <c r="J390" s="206">
        <f t="shared" si="207"/>
        <v>0</v>
      </c>
      <c r="K390" s="206">
        <f t="shared" si="207"/>
        <v>0</v>
      </c>
      <c r="L390" s="206">
        <f t="shared" si="207"/>
        <v>0</v>
      </c>
      <c r="O390" s="223">
        <f>O384-O385</f>
        <v>0</v>
      </c>
      <c r="Q390" s="240"/>
      <c r="T390" s="230"/>
      <c r="U390" s="230"/>
      <c r="V390" s="230"/>
      <c r="W390" s="230"/>
    </row>
    <row r="391" spans="1:58" s="139" customFormat="1" ht="28.5" hidden="1" customHeight="1" outlineLevel="1" x14ac:dyDescent="0.2">
      <c r="A391" s="729"/>
      <c r="B391" s="241" t="s">
        <v>126</v>
      </c>
      <c r="C391" s="241"/>
      <c r="D391" s="242"/>
      <c r="E391" s="242" t="e">
        <f>E382-E388+E390</f>
        <v>#REF!</v>
      </c>
      <c r="F391" s="242" t="e">
        <f t="shared" ref="F391" si="208">F382-F388+F390</f>
        <v>#REF!</v>
      </c>
      <c r="G391" s="242">
        <f>G382-G388+G390</f>
        <v>211008.25876914698</v>
      </c>
      <c r="H391" s="242">
        <f>H382-H388+H390</f>
        <v>479848.44999613636</v>
      </c>
      <c r="I391" s="242">
        <f>I382-I388+I390</f>
        <v>283887.21584868222</v>
      </c>
      <c r="J391" s="242">
        <f t="shared" ref="J391:L391" si="209">J382-J388+J390</f>
        <v>43847.357359485351</v>
      </c>
      <c r="K391" s="242">
        <f t="shared" si="209"/>
        <v>4234826.4700555252</v>
      </c>
      <c r="L391" s="242">
        <f t="shared" si="209"/>
        <v>9280028.7929329742</v>
      </c>
      <c r="O391" s="224"/>
      <c r="Q391" s="181"/>
    </row>
    <row r="392" spans="1:58" s="139" customFormat="1" ht="13.15" hidden="1" customHeight="1" outlineLevel="1" x14ac:dyDescent="0.2">
      <c r="A392" s="181"/>
      <c r="B392" s="243"/>
      <c r="C392" s="244"/>
      <c r="D392" s="213"/>
      <c r="E392" s="213"/>
      <c r="F392" s="213"/>
      <c r="G392" s="213"/>
      <c r="H392" s="1125"/>
      <c r="I392" s="213"/>
      <c r="J392" s="213"/>
      <c r="K392" s="213"/>
      <c r="L392" s="213"/>
      <c r="Q392" s="181"/>
    </row>
    <row r="393" spans="1:58" s="186" customFormat="1" ht="53.45" hidden="1" customHeight="1" outlineLevel="1" x14ac:dyDescent="0.2">
      <c r="A393" s="726" t="s">
        <v>699</v>
      </c>
      <c r="B393" s="235" t="s">
        <v>697</v>
      </c>
      <c r="C393" s="236"/>
      <c r="D393" s="237"/>
      <c r="E393" s="237">
        <v>11000</v>
      </c>
      <c r="F393" s="237">
        <v>0</v>
      </c>
      <c r="G393" s="237">
        <v>0</v>
      </c>
      <c r="H393" s="237">
        <v>987119.77750000008</v>
      </c>
      <c r="I393" s="237">
        <v>228901.73699999999</v>
      </c>
      <c r="J393" s="237">
        <v>228901.73699999999</v>
      </c>
      <c r="K393" s="237">
        <v>228901.73699999999</v>
      </c>
      <c r="L393" s="237"/>
      <c r="M393" s="225"/>
      <c r="N393" s="225"/>
      <c r="O393" s="217">
        <f t="shared" ref="O393:O398" si="210">SUM(D393:I393)</f>
        <v>1227021.5145</v>
      </c>
      <c r="P393" s="188"/>
      <c r="Q393" s="139"/>
      <c r="R393" s="238"/>
      <c r="S393" s="188"/>
      <c r="T393" s="188"/>
      <c r="U393" s="188"/>
      <c r="V393" s="188"/>
      <c r="W393" s="188"/>
      <c r="X393" s="188"/>
      <c r="Y393" s="188"/>
      <c r="Z393" s="188"/>
      <c r="AA393" s="188"/>
      <c r="AB393" s="188"/>
      <c r="AC393" s="188"/>
      <c r="AD393" s="188"/>
      <c r="AE393" s="188"/>
      <c r="AF393" s="188"/>
      <c r="AG393" s="188"/>
      <c r="AH393" s="188"/>
      <c r="AI393" s="188"/>
      <c r="AJ393" s="188"/>
      <c r="AK393" s="188"/>
      <c r="AL393" s="188"/>
      <c r="AM393" s="188"/>
      <c r="AN393" s="188"/>
      <c r="AO393" s="188"/>
      <c r="AP393" s="188"/>
      <c r="AQ393" s="188"/>
      <c r="AR393" s="188"/>
      <c r="AS393" s="188"/>
      <c r="AT393" s="188"/>
      <c r="AU393" s="188"/>
      <c r="AV393" s="188"/>
      <c r="AW393" s="188"/>
      <c r="AX393" s="188"/>
      <c r="AY393" s="188"/>
      <c r="AZ393" s="188"/>
      <c r="BA393" s="188"/>
      <c r="BB393" s="188"/>
      <c r="BC393" s="188"/>
      <c r="BD393" s="188"/>
      <c r="BE393" s="188"/>
      <c r="BF393" s="188"/>
    </row>
    <row r="394" spans="1:58" s="186" customFormat="1" hidden="1" outlineLevel="1" x14ac:dyDescent="0.2">
      <c r="A394" s="727"/>
      <c r="B394" s="189" t="s">
        <v>75</v>
      </c>
      <c r="C394" s="190"/>
      <c r="D394" s="191"/>
      <c r="E394" s="191">
        <f>SUM(E395:E398)</f>
        <v>0</v>
      </c>
      <c r="F394" s="191">
        <f>SUM(F395:F398)</f>
        <v>0</v>
      </c>
      <c r="G394" s="191">
        <f>SUM(G395:G398)</f>
        <v>0</v>
      </c>
      <c r="H394" s="191">
        <f>SUM(H395:H398)</f>
        <v>987119.77750000008</v>
      </c>
      <c r="I394" s="191">
        <f t="shared" ref="I394:K394" si="211">SUM(I395:I398)</f>
        <v>228901.73699999999</v>
      </c>
      <c r="J394" s="191">
        <f t="shared" si="211"/>
        <v>228901.73699999999</v>
      </c>
      <c r="K394" s="191">
        <f t="shared" si="211"/>
        <v>228901.73699999999</v>
      </c>
      <c r="L394" s="191"/>
      <c r="M394" s="225"/>
      <c r="N394" s="225"/>
      <c r="O394" s="218">
        <f t="shared" si="210"/>
        <v>1216021.5145</v>
      </c>
      <c r="P394" s="188"/>
      <c r="Q394" s="239"/>
      <c r="R394"/>
      <c r="S394"/>
      <c r="T394"/>
      <c r="U394"/>
      <c r="V394"/>
      <c r="W394"/>
      <c r="X394" s="188"/>
      <c r="Y394" s="188"/>
      <c r="Z394" s="188"/>
      <c r="AA394" s="188"/>
      <c r="AB394" s="188"/>
      <c r="AC394" s="188"/>
      <c r="AD394" s="188"/>
      <c r="AE394" s="188"/>
      <c r="AF394" s="188"/>
      <c r="AG394" s="188"/>
      <c r="AH394" s="188"/>
      <c r="AI394" s="188"/>
      <c r="AJ394" s="188"/>
      <c r="AK394" s="188"/>
      <c r="AL394" s="188"/>
      <c r="AM394" s="188"/>
      <c r="AN394" s="188"/>
      <c r="AO394" s="188"/>
      <c r="AP394" s="188"/>
      <c r="AQ394" s="188"/>
      <c r="AR394" s="188"/>
      <c r="AS394" s="188"/>
      <c r="AT394" s="188"/>
      <c r="AU394" s="188"/>
      <c r="AV394" s="188"/>
      <c r="AW394" s="188"/>
      <c r="AX394" s="188"/>
      <c r="AY394" s="188"/>
      <c r="AZ394" s="188"/>
      <c r="BA394" s="188"/>
      <c r="BB394" s="188"/>
      <c r="BC394" s="188"/>
      <c r="BD394" s="188"/>
      <c r="BE394" s="188"/>
      <c r="BF394" s="188"/>
    </row>
    <row r="395" spans="1:58" s="186" customFormat="1" hidden="1" outlineLevel="1" x14ac:dyDescent="0.2">
      <c r="A395" s="727"/>
      <c r="B395" s="193" t="s">
        <v>76</v>
      </c>
      <c r="C395" s="194"/>
      <c r="D395" s="195"/>
      <c r="E395" s="196"/>
      <c r="F395" s="196"/>
      <c r="G395" s="196"/>
      <c r="H395" s="768"/>
      <c r="I395" s="194"/>
      <c r="J395" s="194"/>
      <c r="K395" s="194"/>
      <c r="L395" s="194"/>
      <c r="O395" s="219">
        <f t="shared" si="210"/>
        <v>0</v>
      </c>
      <c r="P395" s="188"/>
      <c r="Q395" s="240"/>
      <c r="R395" s="139"/>
      <c r="S395" s="139"/>
      <c r="T395" s="139"/>
      <c r="U395" s="139"/>
      <c r="V395" s="139"/>
      <c r="W395" s="139"/>
      <c r="X395" s="139"/>
      <c r="Y395" s="188"/>
      <c r="Z395" s="188"/>
      <c r="AA395" s="188"/>
      <c r="AB395" s="188"/>
      <c r="AC395" s="188"/>
      <c r="AD395" s="188"/>
      <c r="AE395" s="188"/>
      <c r="AF395" s="188"/>
      <c r="AG395" s="188"/>
      <c r="AH395" s="188"/>
      <c r="AI395" s="188"/>
      <c r="AJ395" s="188"/>
      <c r="AK395" s="188"/>
      <c r="AL395" s="188"/>
      <c r="AM395" s="188"/>
      <c r="AN395" s="188"/>
      <c r="AO395" s="188"/>
      <c r="AP395" s="188"/>
      <c r="AQ395" s="188"/>
      <c r="AR395" s="188"/>
      <c r="AS395" s="188"/>
      <c r="AT395" s="188"/>
      <c r="AU395" s="188"/>
      <c r="AV395" s="188"/>
      <c r="AW395" s="188"/>
      <c r="AX395" s="188"/>
      <c r="AY395" s="188"/>
      <c r="AZ395" s="188"/>
      <c r="BA395" s="188"/>
      <c r="BB395" s="188"/>
      <c r="BC395" s="188"/>
      <c r="BD395" s="188"/>
      <c r="BE395" s="188"/>
      <c r="BF395" s="188"/>
    </row>
    <row r="396" spans="1:58" s="89" customFormat="1" hidden="1" outlineLevel="1" x14ac:dyDescent="0.2">
      <c r="A396" s="728"/>
      <c r="B396" s="193" t="s">
        <v>77</v>
      </c>
      <c r="C396" s="194"/>
      <c r="D396" s="195"/>
      <c r="E396" s="196"/>
      <c r="F396" s="196"/>
      <c r="G396" s="196"/>
      <c r="H396" s="196">
        <v>768794.7790000001</v>
      </c>
      <c r="I396" s="196">
        <v>183005.60699999999</v>
      </c>
      <c r="J396" s="196">
        <v>183005.60699999999</v>
      </c>
      <c r="K396" s="196">
        <v>183005.60699999999</v>
      </c>
      <c r="L396" s="194"/>
      <c r="O396" s="219">
        <f t="shared" si="210"/>
        <v>951800.38600000006</v>
      </c>
      <c r="Q396" s="239"/>
    </row>
    <row r="397" spans="1:58" s="227" customFormat="1" ht="14.25" hidden="1" customHeight="1" outlineLevel="1" x14ac:dyDescent="0.2">
      <c r="A397" s="728"/>
      <c r="B397" s="1144" t="s">
        <v>78</v>
      </c>
      <c r="C397" s="1145"/>
      <c r="D397" s="1146"/>
      <c r="E397" s="1147"/>
      <c r="F397" s="1147"/>
      <c r="G397" s="1147"/>
      <c r="H397" s="1147">
        <v>218324.99849999999</v>
      </c>
      <c r="I397" s="1147">
        <v>45896.13</v>
      </c>
      <c r="J397" s="1147">
        <v>45896.13</v>
      </c>
      <c r="K397" s="1147">
        <v>45896.13</v>
      </c>
      <c r="L397" s="1147"/>
      <c r="O397" s="220">
        <f t="shared" si="210"/>
        <v>264221.12849999999</v>
      </c>
      <c r="Q397" s="240"/>
      <c r="R397" s="228"/>
      <c r="X397" s="89"/>
    </row>
    <row r="398" spans="1:58" s="229" customFormat="1" ht="14.25" hidden="1" customHeight="1" outlineLevel="1" x14ac:dyDescent="0.2">
      <c r="A398" s="728"/>
      <c r="B398" s="199" t="s">
        <v>79</v>
      </c>
      <c r="C398" s="200"/>
      <c r="D398" s="201"/>
      <c r="E398" s="202"/>
      <c r="F398" s="202"/>
      <c r="G398" s="202"/>
      <c r="H398" s="1123"/>
      <c r="I398" s="200"/>
      <c r="J398" s="200"/>
      <c r="K398" s="200"/>
      <c r="L398" s="200"/>
      <c r="O398" s="221">
        <f t="shared" si="210"/>
        <v>0</v>
      </c>
      <c r="Q398" s="240"/>
      <c r="T398" s="230"/>
      <c r="U398" s="230"/>
      <c r="V398" s="230"/>
      <c r="W398" s="230"/>
      <c r="X398" s="89"/>
    </row>
    <row r="399" spans="1:58" s="229" customFormat="1" ht="14.25" hidden="1" customHeight="1" outlineLevel="1" x14ac:dyDescent="0.2">
      <c r="A399" s="728"/>
      <c r="B399" s="204" t="s">
        <v>80</v>
      </c>
      <c r="C399" s="205"/>
      <c r="D399" s="206"/>
      <c r="E399" s="206">
        <f>E393-E394</f>
        <v>11000</v>
      </c>
      <c r="F399" s="222">
        <f>F393-F394</f>
        <v>0</v>
      </c>
      <c r="G399" s="206">
        <f>G394-G393</f>
        <v>0</v>
      </c>
      <c r="H399" s="1124">
        <f t="shared" ref="H399:L399" si="212">H394-H393</f>
        <v>0</v>
      </c>
      <c r="I399" s="206">
        <f t="shared" si="212"/>
        <v>0</v>
      </c>
      <c r="J399" s="206">
        <f t="shared" si="212"/>
        <v>0</v>
      </c>
      <c r="K399" s="206">
        <f t="shared" si="212"/>
        <v>0</v>
      </c>
      <c r="L399" s="206">
        <f t="shared" si="212"/>
        <v>0</v>
      </c>
      <c r="O399" s="223">
        <f>O393-O394</f>
        <v>11000</v>
      </c>
      <c r="Q399" s="240"/>
      <c r="T399" s="230"/>
      <c r="U399" s="230"/>
      <c r="V399" s="230"/>
      <c r="W399" s="230"/>
      <c r="X399" s="89"/>
    </row>
    <row r="400" spans="1:58" s="139" customFormat="1" ht="28.5" hidden="1" customHeight="1" outlineLevel="1" x14ac:dyDescent="0.2">
      <c r="A400" s="729"/>
      <c r="B400" s="241" t="s">
        <v>695</v>
      </c>
      <c r="C400" s="241"/>
      <c r="D400" s="242"/>
      <c r="E400" s="242" t="e">
        <f>E382-E397+E399</f>
        <v>#REF!</v>
      </c>
      <c r="F400" s="242" t="e">
        <f>F382-F397+F399</f>
        <v>#REF!</v>
      </c>
      <c r="G400" s="242">
        <f>G382-G397+G399</f>
        <v>211008.25876914698</v>
      </c>
      <c r="H400" s="242">
        <f>H391-H397+H399</f>
        <v>261523.45149613637</v>
      </c>
      <c r="I400" s="242">
        <f t="shared" ref="I400:L400" si="213">I391-I397+I399</f>
        <v>237991.08584868221</v>
      </c>
      <c r="J400" s="242">
        <f t="shared" si="213"/>
        <v>-2048.7726405146459</v>
      </c>
      <c r="K400" s="242">
        <f t="shared" si="213"/>
        <v>4188930.3400555253</v>
      </c>
      <c r="L400" s="242">
        <f t="shared" si="213"/>
        <v>9280028.7929329742</v>
      </c>
      <c r="O400" s="224"/>
      <c r="P400" s="229"/>
      <c r="Q400" s="240"/>
      <c r="R400" s="229"/>
      <c r="S400" s="229"/>
      <c r="T400" s="230"/>
      <c r="U400" s="230"/>
      <c r="V400" s="230"/>
      <c r="W400" s="230"/>
      <c r="X400" s="89"/>
    </row>
    <row r="401" spans="1:58" s="139" customFormat="1" ht="13.15" hidden="1" customHeight="1" outlineLevel="1" x14ac:dyDescent="0.2">
      <c r="A401" s="181"/>
      <c r="B401" s="243"/>
      <c r="C401" s="244"/>
      <c r="D401" s="213"/>
      <c r="E401" s="213"/>
      <c r="F401" s="213"/>
      <c r="G401" s="213"/>
      <c r="H401" s="1125"/>
      <c r="I401" s="213"/>
      <c r="J401" s="213"/>
      <c r="K401" s="213"/>
      <c r="L401" s="213"/>
      <c r="Q401" s="181"/>
      <c r="X401" s="89"/>
    </row>
    <row r="402" spans="1:58" s="186" customFormat="1" ht="30.75" hidden="1" customHeight="1" outlineLevel="1" x14ac:dyDescent="0.2">
      <c r="A402" s="726" t="s">
        <v>703</v>
      </c>
      <c r="B402" s="235" t="s">
        <v>704</v>
      </c>
      <c r="C402" s="236"/>
      <c r="D402" s="237"/>
      <c r="E402" s="237">
        <v>11000</v>
      </c>
      <c r="F402" s="237">
        <v>0</v>
      </c>
      <c r="G402" s="237">
        <v>0</v>
      </c>
      <c r="H402" s="237">
        <f>SUM(H405:H407)</f>
        <v>115193.98999999999</v>
      </c>
      <c r="I402" s="237">
        <f>SUM(I405:I407)</f>
        <v>113870.72</v>
      </c>
      <c r="J402" s="237"/>
      <c r="K402" s="237"/>
      <c r="L402" s="237"/>
      <c r="M402" s="225"/>
      <c r="N402" s="139"/>
      <c r="O402" s="139"/>
      <c r="P402" s="139"/>
      <c r="Q402" s="139"/>
      <c r="R402" s="238"/>
      <c r="S402" s="188"/>
      <c r="T402" s="188"/>
      <c r="U402" s="188"/>
      <c r="V402" s="188"/>
      <c r="W402" s="188"/>
      <c r="X402" s="89"/>
      <c r="Y402" s="188"/>
      <c r="Z402" s="188"/>
      <c r="AA402" s="188"/>
      <c r="AB402" s="188"/>
      <c r="AC402" s="188"/>
      <c r="AD402" s="188"/>
      <c r="AE402" s="188"/>
      <c r="AF402" s="188"/>
      <c r="AG402" s="188"/>
      <c r="AH402" s="188"/>
      <c r="AI402" s="188"/>
      <c r="AJ402" s="188"/>
      <c r="AK402" s="188"/>
      <c r="AL402" s="188"/>
      <c r="AM402" s="188"/>
      <c r="AN402" s="188"/>
      <c r="AO402" s="188"/>
      <c r="AP402" s="188"/>
      <c r="AQ402" s="188"/>
      <c r="AR402" s="188"/>
      <c r="AS402" s="188"/>
      <c r="AT402" s="188"/>
      <c r="AU402" s="188"/>
      <c r="AV402" s="188"/>
      <c r="AW402" s="188"/>
      <c r="AX402" s="188"/>
      <c r="AY402" s="188"/>
      <c r="AZ402" s="188"/>
      <c r="BA402" s="188"/>
      <c r="BB402" s="188"/>
      <c r="BC402" s="188"/>
      <c r="BD402" s="188"/>
      <c r="BE402" s="188"/>
      <c r="BF402" s="188"/>
    </row>
    <row r="403" spans="1:58" s="186" customFormat="1" hidden="1" outlineLevel="1" x14ac:dyDescent="0.2">
      <c r="A403" s="727"/>
      <c r="B403" s="189" t="s">
        <v>75</v>
      </c>
      <c r="C403" s="190"/>
      <c r="D403" s="191"/>
      <c r="E403" s="191">
        <f>SUM(E404:E407)</f>
        <v>0</v>
      </c>
      <c r="F403" s="191">
        <f>SUM(F404:F407)</f>
        <v>0</v>
      </c>
      <c r="G403" s="191">
        <f>SUM(G404:G407)</f>
        <v>0</v>
      </c>
      <c r="H403" s="191">
        <f>SUM(H404:H407)</f>
        <v>115193.98999999999</v>
      </c>
      <c r="I403" s="191">
        <f>SUM(I404:I407)</f>
        <v>113870.72</v>
      </c>
      <c r="J403" s="191"/>
      <c r="K403" s="191"/>
      <c r="L403" s="191"/>
      <c r="M403" s="225"/>
      <c r="N403" s="239"/>
      <c r="O403" s="239"/>
      <c r="P403" s="239"/>
      <c r="Q403" s="239"/>
      <c r="R403"/>
      <c r="S403"/>
      <c r="T403"/>
      <c r="U403"/>
      <c r="V403"/>
      <c r="W403"/>
      <c r="X403" s="188"/>
      <c r="Y403" s="188"/>
      <c r="Z403" s="188"/>
      <c r="AA403" s="188"/>
      <c r="AB403" s="188"/>
      <c r="AC403" s="188"/>
      <c r="AD403" s="188"/>
      <c r="AE403" s="188"/>
      <c r="AF403" s="188"/>
      <c r="AG403" s="188"/>
      <c r="AH403" s="188"/>
      <c r="AI403" s="188"/>
      <c r="AJ403" s="188"/>
      <c r="AK403" s="188"/>
      <c r="AL403" s="188"/>
      <c r="AM403" s="188"/>
      <c r="AN403" s="188"/>
      <c r="AO403" s="188"/>
      <c r="AP403" s="188"/>
      <c r="AQ403" s="188"/>
      <c r="AR403" s="188"/>
      <c r="AS403" s="188"/>
      <c r="AT403" s="188"/>
      <c r="AU403" s="188"/>
      <c r="AV403" s="188"/>
      <c r="AW403" s="188"/>
      <c r="AX403" s="188"/>
      <c r="AY403" s="188"/>
      <c r="AZ403" s="188"/>
      <c r="BA403" s="188"/>
      <c r="BB403" s="188"/>
      <c r="BC403" s="188"/>
      <c r="BD403" s="188"/>
      <c r="BE403" s="188"/>
      <c r="BF403" s="188"/>
    </row>
    <row r="404" spans="1:58" s="186" customFormat="1" hidden="1" outlineLevel="1" x14ac:dyDescent="0.2">
      <c r="A404" s="727"/>
      <c r="B404" s="193" t="s">
        <v>76</v>
      </c>
      <c r="C404" s="194"/>
      <c r="D404" s="195"/>
      <c r="E404" s="196"/>
      <c r="F404" s="196"/>
      <c r="G404" s="196"/>
      <c r="H404" s="768"/>
      <c r="I404" s="194"/>
      <c r="J404" s="194"/>
      <c r="K404" s="194"/>
      <c r="L404" s="194"/>
      <c r="N404" s="240"/>
      <c r="O404" s="240"/>
      <c r="P404" s="240"/>
      <c r="Q404" s="240"/>
      <c r="R404" s="139"/>
      <c r="S404" s="139"/>
      <c r="T404" s="139"/>
      <c r="U404" s="139"/>
      <c r="V404" s="139"/>
      <c r="W404" s="139"/>
      <c r="X404" s="139"/>
      <c r="Y404" s="188"/>
      <c r="Z404" s="188"/>
      <c r="AA404" s="188"/>
      <c r="AB404" s="188"/>
      <c r="AC404" s="188"/>
      <c r="AD404" s="188"/>
      <c r="AE404" s="188"/>
      <c r="AF404" s="188"/>
      <c r="AG404" s="188"/>
      <c r="AH404" s="188"/>
      <c r="AI404" s="188"/>
      <c r="AJ404" s="188"/>
      <c r="AK404" s="188"/>
      <c r="AL404" s="188"/>
      <c r="AM404" s="188"/>
      <c r="AN404" s="188"/>
      <c r="AO404" s="188"/>
      <c r="AP404" s="188"/>
      <c r="AQ404" s="188"/>
      <c r="AR404" s="188"/>
      <c r="AS404" s="188"/>
      <c r="AT404" s="188"/>
      <c r="AU404" s="188"/>
      <c r="AV404" s="188"/>
      <c r="AW404" s="188"/>
      <c r="AX404" s="188"/>
      <c r="AY404" s="188"/>
      <c r="AZ404" s="188"/>
      <c r="BA404" s="188"/>
      <c r="BB404" s="188"/>
      <c r="BC404" s="188"/>
      <c r="BD404" s="188"/>
      <c r="BE404" s="188"/>
      <c r="BF404" s="188"/>
    </row>
    <row r="405" spans="1:58" s="89" customFormat="1" hidden="1" outlineLevel="1" x14ac:dyDescent="0.2">
      <c r="A405" s="728"/>
      <c r="B405" s="193" t="s">
        <v>77</v>
      </c>
      <c r="C405" s="194"/>
      <c r="D405" s="195"/>
      <c r="E405" s="196"/>
      <c r="F405" s="196"/>
      <c r="G405" s="196"/>
      <c r="H405" s="196">
        <v>97352.5</v>
      </c>
      <c r="I405" s="196">
        <v>97352.5</v>
      </c>
      <c r="J405" s="194"/>
      <c r="K405" s="194"/>
      <c r="L405" s="194"/>
      <c r="N405" s="239"/>
      <c r="O405" s="239"/>
      <c r="P405" s="239"/>
      <c r="Q405" s="239"/>
    </row>
    <row r="406" spans="1:58" s="227" customFormat="1" ht="14.25" hidden="1" customHeight="1" outlineLevel="1" x14ac:dyDescent="0.2">
      <c r="A406" s="728"/>
      <c r="B406" s="1144" t="s">
        <v>78</v>
      </c>
      <c r="C406" s="1145"/>
      <c r="D406" s="1146"/>
      <c r="E406" s="1147"/>
      <c r="F406" s="1147"/>
      <c r="G406" s="1147"/>
      <c r="H406" s="1147">
        <v>17841.489999999991</v>
      </c>
      <c r="I406" s="1147">
        <v>16518.220000000008</v>
      </c>
      <c r="J406" s="1147"/>
      <c r="K406" s="1147"/>
      <c r="L406" s="1147"/>
      <c r="N406" s="240"/>
      <c r="O406" s="240"/>
      <c r="P406" s="240"/>
      <c r="Q406" s="240"/>
      <c r="R406" s="228"/>
    </row>
    <row r="407" spans="1:58" s="229" customFormat="1" ht="14.25" hidden="1" customHeight="1" outlineLevel="1" x14ac:dyDescent="0.2">
      <c r="A407" s="728"/>
      <c r="B407" s="199" t="s">
        <v>79</v>
      </c>
      <c r="C407" s="200"/>
      <c r="D407" s="201"/>
      <c r="E407" s="202"/>
      <c r="F407" s="202"/>
      <c r="G407" s="202"/>
      <c r="H407" s="1123"/>
      <c r="I407" s="200"/>
      <c r="J407" s="200"/>
      <c r="K407" s="200"/>
      <c r="L407" s="200"/>
      <c r="N407" s="240"/>
      <c r="O407" s="240"/>
      <c r="P407" s="240"/>
      <c r="Q407" s="240"/>
      <c r="T407" s="230"/>
      <c r="U407" s="230"/>
      <c r="V407" s="230"/>
      <c r="W407" s="230"/>
    </row>
    <row r="408" spans="1:58" s="229" customFormat="1" ht="14.25" hidden="1" customHeight="1" outlineLevel="1" x14ac:dyDescent="0.2">
      <c r="A408" s="728"/>
      <c r="B408" s="204" t="s">
        <v>80</v>
      </c>
      <c r="C408" s="205"/>
      <c r="D408" s="206"/>
      <c r="E408" s="206">
        <f>E402-E403</f>
        <v>11000</v>
      </c>
      <c r="F408" s="222">
        <f>F402-F403</f>
        <v>0</v>
      </c>
      <c r="G408" s="206">
        <f>G403-G402</f>
        <v>0</v>
      </c>
      <c r="H408" s="1124">
        <f t="shared" ref="H408:L408" si="214">H403-H402</f>
        <v>0</v>
      </c>
      <c r="I408" s="206">
        <f t="shared" si="214"/>
        <v>0</v>
      </c>
      <c r="J408" s="206">
        <f t="shared" si="214"/>
        <v>0</v>
      </c>
      <c r="K408" s="206">
        <f t="shared" si="214"/>
        <v>0</v>
      </c>
      <c r="L408" s="206">
        <f t="shared" si="214"/>
        <v>0</v>
      </c>
      <c r="N408" s="240"/>
      <c r="O408" s="240"/>
      <c r="P408" s="240"/>
      <c r="Q408" s="240"/>
      <c r="T408" s="230"/>
      <c r="U408" s="230"/>
      <c r="V408" s="230"/>
      <c r="W408" s="230"/>
    </row>
    <row r="409" spans="1:58" s="139" customFormat="1" ht="28.5" hidden="1" customHeight="1" outlineLevel="1" x14ac:dyDescent="0.2">
      <c r="A409" s="729"/>
      <c r="B409" s="241" t="s">
        <v>1220</v>
      </c>
      <c r="C409" s="241"/>
      <c r="D409" s="242"/>
      <c r="E409" s="242" t="e">
        <f>E382-E406+E408</f>
        <v>#REF!</v>
      </c>
      <c r="F409" s="242" t="e">
        <f>F382-F406+F408</f>
        <v>#REF!</v>
      </c>
      <c r="G409" s="242">
        <f>G382-G406+G408</f>
        <v>211008.25876914698</v>
      </c>
      <c r="H409" s="242">
        <f>H400-H406+H408</f>
        <v>243681.96149613638</v>
      </c>
      <c r="I409" s="242">
        <f t="shared" ref="I409:L409" si="215">I400-I406+I408</f>
        <v>221472.86584868221</v>
      </c>
      <c r="J409" s="242">
        <f t="shared" si="215"/>
        <v>-2048.7726405146459</v>
      </c>
      <c r="K409" s="242">
        <f t="shared" si="215"/>
        <v>4188930.3400555253</v>
      </c>
      <c r="L409" s="242">
        <f t="shared" si="215"/>
        <v>9280028.7929329742</v>
      </c>
      <c r="N409" s="240"/>
      <c r="O409" s="240"/>
      <c r="P409" s="240"/>
      <c r="Q409" s="240"/>
      <c r="R409" s="229"/>
      <c r="S409" s="229"/>
      <c r="T409" s="230"/>
      <c r="U409" s="230"/>
      <c r="V409" s="230"/>
      <c r="W409" s="230"/>
      <c r="X409" s="245" t="e">
        <f>E53-E409</f>
        <v>#REF!</v>
      </c>
    </row>
    <row r="410" spans="1:58" s="139" customFormat="1" ht="13.15" hidden="1" customHeight="1" outlineLevel="1" x14ac:dyDescent="0.2">
      <c r="A410" s="181"/>
      <c r="B410" s="243"/>
      <c r="C410" s="244"/>
      <c r="D410" s="213"/>
      <c r="E410" s="213"/>
      <c r="F410" s="213"/>
      <c r="G410" s="213"/>
      <c r="H410" s="1125"/>
      <c r="I410" s="213"/>
      <c r="J410" s="213"/>
      <c r="K410" s="213"/>
      <c r="L410" s="213"/>
      <c r="Q410" s="181"/>
    </row>
    <row r="411" spans="1:58" s="186" customFormat="1" ht="45" hidden="1" customHeight="1" outlineLevel="1" x14ac:dyDescent="0.2">
      <c r="A411" s="726" t="s">
        <v>709</v>
      </c>
      <c r="B411" s="235" t="s">
        <v>1217</v>
      </c>
      <c r="C411" s="236"/>
      <c r="D411" s="237"/>
      <c r="E411" s="237"/>
      <c r="F411" s="237">
        <v>0</v>
      </c>
      <c r="G411" s="237">
        <v>0</v>
      </c>
      <c r="H411" s="237">
        <v>622519.04999999993</v>
      </c>
      <c r="I411" s="237">
        <v>395542.60000000009</v>
      </c>
      <c r="J411" s="237">
        <v>419184.23</v>
      </c>
      <c r="K411" s="237"/>
      <c r="L411" s="237"/>
      <c r="M411" s="225"/>
      <c r="N411" s="139"/>
      <c r="O411" s="139"/>
      <c r="P411" s="139"/>
      <c r="Q411" s="139"/>
      <c r="R411" s="238"/>
      <c r="S411" s="188"/>
      <c r="T411" s="188"/>
      <c r="U411" s="188"/>
      <c r="V411" s="188"/>
      <c r="W411" s="188"/>
      <c r="X411" s="188"/>
      <c r="Y411" s="188"/>
      <c r="Z411" s="188"/>
      <c r="AA411" s="188"/>
      <c r="AB411" s="188"/>
      <c r="AC411" s="188"/>
      <c r="AD411" s="188"/>
      <c r="AE411" s="188"/>
      <c r="AF411" s="188"/>
      <c r="AG411" s="188"/>
      <c r="AH411" s="188"/>
      <c r="AI411" s="188"/>
      <c r="AJ411" s="188"/>
      <c r="AK411" s="188"/>
      <c r="AL411" s="188"/>
      <c r="AM411" s="188"/>
      <c r="AN411" s="188"/>
      <c r="AO411" s="188"/>
      <c r="AP411" s="188"/>
      <c r="AQ411" s="188"/>
      <c r="AR411" s="188"/>
      <c r="AS411" s="188"/>
      <c r="AT411" s="188"/>
      <c r="AU411" s="188"/>
      <c r="AV411" s="188"/>
      <c r="AW411" s="188"/>
      <c r="AX411" s="188"/>
      <c r="AY411" s="188"/>
      <c r="AZ411" s="188"/>
      <c r="BA411" s="188"/>
      <c r="BB411" s="188"/>
      <c r="BC411" s="188"/>
      <c r="BD411" s="188"/>
      <c r="BE411" s="188"/>
      <c r="BF411" s="188"/>
    </row>
    <row r="412" spans="1:58" s="186" customFormat="1" hidden="1" outlineLevel="1" x14ac:dyDescent="0.2">
      <c r="A412" s="727"/>
      <c r="B412" s="189" t="s">
        <v>75</v>
      </c>
      <c r="C412" s="190"/>
      <c r="D412" s="191"/>
      <c r="E412" s="191">
        <f t="shared" ref="E412:J412" si="216">SUM(E413:E416)</f>
        <v>0</v>
      </c>
      <c r="F412" s="191">
        <f t="shared" si="216"/>
        <v>0</v>
      </c>
      <c r="G412" s="191">
        <f t="shared" si="216"/>
        <v>0</v>
      </c>
      <c r="H412" s="191">
        <f t="shared" si="216"/>
        <v>622519.04999999981</v>
      </c>
      <c r="I412" s="191">
        <f t="shared" si="216"/>
        <v>395542.60000000009</v>
      </c>
      <c r="J412" s="191">
        <f t="shared" si="216"/>
        <v>419184.23</v>
      </c>
      <c r="K412" s="191"/>
      <c r="L412" s="191"/>
      <c r="M412" s="225"/>
      <c r="N412" s="239"/>
      <c r="O412" s="239"/>
      <c r="P412" s="239"/>
      <c r="Q412" s="239"/>
      <c r="R412"/>
      <c r="S412"/>
      <c r="T412"/>
      <c r="U412"/>
      <c r="V412"/>
      <c r="W412"/>
      <c r="X412" s="188"/>
      <c r="Y412" s="188"/>
      <c r="Z412" s="188"/>
      <c r="AA412" s="188"/>
      <c r="AB412" s="188"/>
      <c r="AC412" s="188"/>
      <c r="AD412" s="188"/>
      <c r="AE412" s="188"/>
      <c r="AF412" s="188"/>
      <c r="AG412" s="188"/>
      <c r="AH412" s="188"/>
      <c r="AI412" s="188"/>
      <c r="AJ412" s="188"/>
      <c r="AK412" s="188"/>
      <c r="AL412" s="188"/>
      <c r="AM412" s="188"/>
      <c r="AN412" s="188"/>
      <c r="AO412" s="188"/>
      <c r="AP412" s="188"/>
      <c r="AQ412" s="188"/>
      <c r="AR412" s="188"/>
      <c r="AS412" s="188"/>
      <c r="AT412" s="188"/>
      <c r="AU412" s="188"/>
      <c r="AV412" s="188"/>
      <c r="AW412" s="188"/>
      <c r="AX412" s="188"/>
      <c r="AY412" s="188"/>
      <c r="AZ412" s="188"/>
      <c r="BA412" s="188"/>
      <c r="BB412" s="188"/>
      <c r="BC412" s="188"/>
      <c r="BD412" s="188"/>
      <c r="BE412" s="188"/>
      <c r="BF412" s="188"/>
    </row>
    <row r="413" spans="1:58" s="186" customFormat="1" hidden="1" outlineLevel="1" x14ac:dyDescent="0.2">
      <c r="A413" s="727"/>
      <c r="B413" s="193" t="s">
        <v>76</v>
      </c>
      <c r="C413" s="194"/>
      <c r="D413" s="195"/>
      <c r="E413" s="196"/>
      <c r="F413" s="196"/>
      <c r="G413" s="196"/>
      <c r="H413" s="768"/>
      <c r="I413" s="194"/>
      <c r="J413" s="194"/>
      <c r="K413" s="194"/>
      <c r="L413" s="194"/>
      <c r="N413" s="240"/>
      <c r="O413" s="240"/>
      <c r="P413" s="240"/>
      <c r="Q413" s="240"/>
      <c r="R413" s="139"/>
      <c r="S413" s="139"/>
      <c r="T413" s="139"/>
      <c r="U413" s="139"/>
      <c r="V413" s="139"/>
      <c r="W413" s="139"/>
      <c r="X413" s="139"/>
      <c r="Y413" s="188"/>
      <c r="Z413" s="188"/>
      <c r="AA413" s="188"/>
      <c r="AB413" s="188"/>
      <c r="AC413" s="188"/>
      <c r="AD413" s="188"/>
      <c r="AE413" s="188"/>
      <c r="AF413" s="188"/>
      <c r="AG413" s="188"/>
      <c r="AH413" s="188"/>
      <c r="AI413" s="188"/>
      <c r="AJ413" s="188"/>
      <c r="AK413" s="188"/>
      <c r="AL413" s="188"/>
      <c r="AM413" s="188"/>
      <c r="AN413" s="188"/>
      <c r="AO413" s="188"/>
      <c r="AP413" s="188"/>
      <c r="AQ413" s="188"/>
      <c r="AR413" s="188"/>
      <c r="AS413" s="188"/>
      <c r="AT413" s="188"/>
      <c r="AU413" s="188"/>
      <c r="AV413" s="188"/>
      <c r="AW413" s="188"/>
      <c r="AX413" s="188"/>
      <c r="AY413" s="188"/>
      <c r="AZ413" s="188"/>
      <c r="BA413" s="188"/>
      <c r="BB413" s="188"/>
      <c r="BC413" s="188"/>
      <c r="BD413" s="188"/>
      <c r="BE413" s="188"/>
      <c r="BF413" s="188"/>
    </row>
    <row r="414" spans="1:58" s="89" customFormat="1" hidden="1" outlineLevel="1" x14ac:dyDescent="0.2">
      <c r="A414" s="728"/>
      <c r="B414" s="193" t="s">
        <v>77</v>
      </c>
      <c r="C414" s="194"/>
      <c r="D414" s="195"/>
      <c r="E414" s="196"/>
      <c r="F414" s="196"/>
      <c r="G414" s="196"/>
      <c r="H414" s="196">
        <v>529141.19249999989</v>
      </c>
      <c r="I414" s="196">
        <v>336211.21000000008</v>
      </c>
      <c r="J414" s="196">
        <v>356306.5955</v>
      </c>
      <c r="K414" s="194"/>
      <c r="L414" s="194"/>
      <c r="N414" s="239"/>
      <c r="O414" s="239"/>
      <c r="P414" s="239"/>
      <c r="Q414" s="239"/>
    </row>
    <row r="415" spans="1:58" s="227" customFormat="1" ht="14.25" hidden="1" customHeight="1" outlineLevel="1" x14ac:dyDescent="0.2">
      <c r="A415" s="728"/>
      <c r="B415" s="1144" t="s">
        <v>78</v>
      </c>
      <c r="C415" s="1145"/>
      <c r="D415" s="1146"/>
      <c r="E415" s="1147"/>
      <c r="F415" s="1147"/>
      <c r="G415" s="1147"/>
      <c r="H415" s="1147">
        <v>93377.857499999984</v>
      </c>
      <c r="I415" s="1147">
        <v>59331.390000000014</v>
      </c>
      <c r="J415" s="1147">
        <v>62877.634499999993</v>
      </c>
      <c r="K415" s="1147"/>
      <c r="L415" s="1147"/>
      <c r="N415" s="240"/>
      <c r="O415" s="240"/>
      <c r="P415" s="240"/>
      <c r="Q415" s="240"/>
      <c r="R415" s="228"/>
    </row>
    <row r="416" spans="1:58" s="229" customFormat="1" ht="14.25" hidden="1" customHeight="1" outlineLevel="1" x14ac:dyDescent="0.2">
      <c r="A416" s="728"/>
      <c r="B416" s="199" t="s">
        <v>79</v>
      </c>
      <c r="C416" s="200"/>
      <c r="D416" s="201"/>
      <c r="E416" s="202"/>
      <c r="F416" s="202"/>
      <c r="G416" s="202"/>
      <c r="H416" s="1123"/>
      <c r="I416" s="200"/>
      <c r="J416" s="200"/>
      <c r="K416" s="200"/>
      <c r="L416" s="200"/>
      <c r="N416" s="240"/>
      <c r="O416" s="240"/>
      <c r="P416" s="240"/>
      <c r="Q416" s="240"/>
      <c r="T416" s="230"/>
      <c r="U416" s="230"/>
      <c r="V416" s="230"/>
      <c r="W416" s="230"/>
    </row>
    <row r="417" spans="1:58" s="229" customFormat="1" ht="14.25" hidden="1" customHeight="1" outlineLevel="1" x14ac:dyDescent="0.2">
      <c r="A417" s="728"/>
      <c r="B417" s="204" t="s">
        <v>80</v>
      </c>
      <c r="C417" s="205"/>
      <c r="D417" s="206"/>
      <c r="E417" s="206">
        <f>E411-E412</f>
        <v>0</v>
      </c>
      <c r="F417" s="222">
        <f>F411-F412</f>
        <v>0</v>
      </c>
      <c r="G417" s="206">
        <f>G412-G411</f>
        <v>0</v>
      </c>
      <c r="H417" s="1124">
        <f t="shared" ref="H417:L417" si="217">H412-H411</f>
        <v>0</v>
      </c>
      <c r="I417" s="206">
        <f t="shared" si="217"/>
        <v>0</v>
      </c>
      <c r="J417" s="206">
        <f t="shared" si="217"/>
        <v>0</v>
      </c>
      <c r="K417" s="206">
        <f t="shared" si="217"/>
        <v>0</v>
      </c>
      <c r="L417" s="206">
        <f t="shared" si="217"/>
        <v>0</v>
      </c>
      <c r="N417" s="240"/>
      <c r="O417" s="240"/>
      <c r="P417" s="240"/>
      <c r="Q417" s="240"/>
      <c r="T417" s="230"/>
      <c r="U417" s="230"/>
      <c r="V417" s="230"/>
      <c r="W417" s="230"/>
    </row>
    <row r="418" spans="1:58" s="139" customFormat="1" ht="28.5" hidden="1" customHeight="1" outlineLevel="1" x14ac:dyDescent="0.2">
      <c r="A418" s="729"/>
      <c r="B418" s="241" t="s">
        <v>1221</v>
      </c>
      <c r="C418" s="241"/>
      <c r="D418" s="242"/>
      <c r="E418" s="242" t="e">
        <f>E382-E415+E417</f>
        <v>#REF!</v>
      </c>
      <c r="F418" s="242" t="e">
        <f>F382-F415+F417</f>
        <v>#REF!</v>
      </c>
      <c r="G418" s="242">
        <f>G382-G415+G417</f>
        <v>211008.25876914698</v>
      </c>
      <c r="H418" s="242">
        <f>H409-H415+H417</f>
        <v>150304.1039961364</v>
      </c>
      <c r="I418" s="242">
        <f t="shared" ref="I418:L418" si="218">I409-I415+I417</f>
        <v>162141.4758486822</v>
      </c>
      <c r="J418" s="242">
        <f t="shared" si="218"/>
        <v>-64926.407140514639</v>
      </c>
      <c r="K418" s="242">
        <f t="shared" si="218"/>
        <v>4188930.3400555253</v>
      </c>
      <c r="L418" s="242">
        <f t="shared" si="218"/>
        <v>9280028.7929329742</v>
      </c>
      <c r="N418" s="240"/>
      <c r="O418" s="240"/>
      <c r="P418" s="240"/>
      <c r="Q418" s="240"/>
      <c r="R418" s="229"/>
      <c r="S418" s="229"/>
      <c r="T418" s="230"/>
      <c r="U418" s="230"/>
      <c r="V418" s="230"/>
      <c r="W418" s="230"/>
      <c r="X418" s="245" t="e">
        <f>E53-E418</f>
        <v>#REF!</v>
      </c>
    </row>
    <row r="419" spans="1:58" s="139" customFormat="1" ht="13.15" hidden="1" customHeight="1" outlineLevel="1" x14ac:dyDescent="0.2">
      <c r="A419" s="181"/>
      <c r="B419" s="243"/>
      <c r="C419" s="244"/>
      <c r="D419" s="213"/>
      <c r="E419" s="213"/>
      <c r="F419" s="213"/>
      <c r="G419" s="213"/>
      <c r="H419" s="1125"/>
      <c r="I419" s="213"/>
      <c r="J419" s="213"/>
      <c r="K419" s="213"/>
      <c r="L419" s="213"/>
      <c r="Q419" s="181"/>
    </row>
    <row r="420" spans="1:58" s="186" customFormat="1" ht="30.75" hidden="1" customHeight="1" outlineLevel="1" x14ac:dyDescent="0.2">
      <c r="A420" s="726" t="s">
        <v>710</v>
      </c>
      <c r="B420" s="1136" t="s">
        <v>711</v>
      </c>
      <c r="C420" s="236"/>
      <c r="D420" s="237"/>
      <c r="E420" s="237"/>
      <c r="F420" s="237">
        <v>0</v>
      </c>
      <c r="G420" s="237">
        <v>0</v>
      </c>
      <c r="H420" s="237">
        <v>0</v>
      </c>
      <c r="I420" s="237">
        <v>0</v>
      </c>
      <c r="J420" s="237"/>
      <c r="K420" s="237"/>
      <c r="L420" s="237"/>
      <c r="M420" s="225"/>
      <c r="N420" s="139"/>
      <c r="O420" s="139"/>
      <c r="P420" s="139"/>
      <c r="Q420" s="139"/>
      <c r="R420" s="238"/>
      <c r="S420" s="188"/>
      <c r="T420" s="188"/>
      <c r="U420" s="188"/>
      <c r="V420" s="188"/>
      <c r="W420" s="188"/>
      <c r="X420" s="188"/>
      <c r="Y420" s="188"/>
      <c r="Z420" s="188"/>
      <c r="AA420" s="188"/>
      <c r="AB420" s="188"/>
      <c r="AC420" s="188"/>
      <c r="AD420" s="188"/>
      <c r="AE420" s="188"/>
      <c r="AF420" s="188"/>
      <c r="AG420" s="188"/>
      <c r="AH420" s="188"/>
      <c r="AI420" s="188"/>
      <c r="AJ420" s="188"/>
      <c r="AK420" s="188"/>
      <c r="AL420" s="188"/>
      <c r="AM420" s="188"/>
      <c r="AN420" s="188"/>
      <c r="AO420" s="188"/>
      <c r="AP420" s="188"/>
      <c r="AQ420" s="188"/>
      <c r="AR420" s="188"/>
      <c r="AS420" s="188"/>
      <c r="AT420" s="188"/>
      <c r="AU420" s="188"/>
      <c r="AV420" s="188"/>
      <c r="AW420" s="188"/>
      <c r="AX420" s="188"/>
      <c r="AY420" s="188"/>
      <c r="AZ420" s="188"/>
      <c r="BA420" s="188"/>
      <c r="BB420" s="188"/>
      <c r="BC420" s="188"/>
      <c r="BD420" s="188"/>
      <c r="BE420" s="188"/>
      <c r="BF420" s="188"/>
    </row>
    <row r="421" spans="1:58" s="186" customFormat="1" hidden="1" outlineLevel="1" x14ac:dyDescent="0.2">
      <c r="A421" s="727"/>
      <c r="B421" s="189" t="s">
        <v>75</v>
      </c>
      <c r="C421" s="190"/>
      <c r="D421" s="191"/>
      <c r="E421" s="191">
        <f>SUM(E422:E425)</f>
        <v>0</v>
      </c>
      <c r="F421" s="191">
        <f>SUM(F422:F425)</f>
        <v>0</v>
      </c>
      <c r="G421" s="191">
        <f>SUM(G422:G425)</f>
        <v>0</v>
      </c>
      <c r="H421" s="191">
        <f>SUM(H422:H425)</f>
        <v>0</v>
      </c>
      <c r="I421" s="191">
        <f>SUM(I422:I425)</f>
        <v>0</v>
      </c>
      <c r="J421" s="191"/>
      <c r="K421" s="191"/>
      <c r="L421" s="191"/>
      <c r="M421" s="225"/>
      <c r="N421" s="239"/>
      <c r="O421" s="239"/>
      <c r="P421" s="239"/>
      <c r="Q421" s="239"/>
      <c r="R421"/>
      <c r="S421"/>
      <c r="T421"/>
      <c r="U421"/>
      <c r="V421"/>
      <c r="W421"/>
      <c r="X421" s="188"/>
      <c r="Y421" s="188"/>
      <c r="Z421" s="188"/>
      <c r="AA421" s="188"/>
      <c r="AB421" s="188"/>
      <c r="AC421" s="188"/>
      <c r="AD421" s="188"/>
      <c r="AE421" s="188"/>
      <c r="AF421" s="188"/>
      <c r="AG421" s="188"/>
      <c r="AH421" s="188"/>
      <c r="AI421" s="188"/>
      <c r="AJ421" s="188"/>
      <c r="AK421" s="188"/>
      <c r="AL421" s="188"/>
      <c r="AM421" s="188"/>
      <c r="AN421" s="188"/>
      <c r="AO421" s="188"/>
      <c r="AP421" s="188"/>
      <c r="AQ421" s="188"/>
      <c r="AR421" s="188"/>
      <c r="AS421" s="188"/>
      <c r="AT421" s="188"/>
      <c r="AU421" s="188"/>
      <c r="AV421" s="188"/>
      <c r="AW421" s="188"/>
      <c r="AX421" s="188"/>
      <c r="AY421" s="188"/>
      <c r="AZ421" s="188"/>
      <c r="BA421" s="188"/>
      <c r="BB421" s="188"/>
      <c r="BC421" s="188"/>
      <c r="BD421" s="188"/>
      <c r="BE421" s="188"/>
      <c r="BF421" s="188"/>
    </row>
    <row r="422" spans="1:58" s="186" customFormat="1" hidden="1" outlineLevel="1" x14ac:dyDescent="0.2">
      <c r="A422" s="727"/>
      <c r="B422" s="193" t="s">
        <v>76</v>
      </c>
      <c r="C422" s="194"/>
      <c r="D422" s="195"/>
      <c r="E422" s="196"/>
      <c r="F422" s="196"/>
      <c r="G422" s="196"/>
      <c r="H422" s="768"/>
      <c r="I422" s="194"/>
      <c r="J422" s="194"/>
      <c r="K422" s="194"/>
      <c r="L422" s="194"/>
      <c r="N422" s="240"/>
      <c r="O422" s="240"/>
      <c r="P422" s="240"/>
      <c r="Q422" s="240"/>
      <c r="R422" s="139"/>
      <c r="S422" s="139"/>
      <c r="T422" s="139"/>
      <c r="U422" s="139"/>
      <c r="V422" s="139"/>
      <c r="W422" s="139"/>
      <c r="X422" s="139"/>
      <c r="Y422" s="188"/>
      <c r="Z422" s="188"/>
      <c r="AA422" s="188"/>
      <c r="AB422" s="188"/>
      <c r="AC422" s="188"/>
      <c r="AD422" s="188"/>
      <c r="AE422" s="188"/>
      <c r="AF422" s="188"/>
      <c r="AG422" s="188"/>
      <c r="AH422" s="188"/>
      <c r="AI422" s="188"/>
      <c r="AJ422" s="188"/>
      <c r="AK422" s="188"/>
      <c r="AL422" s="188"/>
      <c r="AM422" s="188"/>
      <c r="AN422" s="188"/>
      <c r="AO422" s="188"/>
      <c r="AP422" s="188"/>
      <c r="AQ422" s="188"/>
      <c r="AR422" s="188"/>
      <c r="AS422" s="188"/>
      <c r="AT422" s="188"/>
      <c r="AU422" s="188"/>
      <c r="AV422" s="188"/>
      <c r="AW422" s="188"/>
      <c r="AX422" s="188"/>
      <c r="AY422" s="188"/>
      <c r="AZ422" s="188"/>
      <c r="BA422" s="188"/>
      <c r="BB422" s="188"/>
      <c r="BC422" s="188"/>
      <c r="BD422" s="188"/>
      <c r="BE422" s="188"/>
      <c r="BF422" s="188"/>
    </row>
    <row r="423" spans="1:58" s="89" customFormat="1" hidden="1" outlineLevel="1" x14ac:dyDescent="0.2">
      <c r="A423" s="728"/>
      <c r="B423" s="193" t="s">
        <v>77</v>
      </c>
      <c r="C423" s="194"/>
      <c r="D423" s="195"/>
      <c r="E423" s="196"/>
      <c r="F423" s="196"/>
      <c r="G423" s="196"/>
      <c r="H423" s="767"/>
      <c r="I423" s="196"/>
      <c r="J423" s="196"/>
      <c r="K423" s="194"/>
      <c r="L423" s="194"/>
      <c r="N423" s="239"/>
      <c r="O423" s="239"/>
      <c r="P423" s="239"/>
      <c r="Q423" s="239"/>
    </row>
    <row r="424" spans="1:58" s="227" customFormat="1" ht="14.25" hidden="1" customHeight="1" outlineLevel="1" x14ac:dyDescent="0.2">
      <c r="A424" s="728"/>
      <c r="B424" s="1144" t="s">
        <v>78</v>
      </c>
      <c r="C424" s="1145"/>
      <c r="D424" s="1146"/>
      <c r="E424" s="1147"/>
      <c r="F424" s="1147"/>
      <c r="G424" s="1147"/>
      <c r="H424" s="1147"/>
      <c r="I424" s="1147"/>
      <c r="J424" s="1147"/>
      <c r="K424" s="1147"/>
      <c r="L424" s="1147"/>
      <c r="N424" s="240"/>
      <c r="O424" s="240"/>
      <c r="P424" s="240"/>
      <c r="Q424" s="240"/>
      <c r="R424" s="228"/>
    </row>
    <row r="425" spans="1:58" s="229" customFormat="1" ht="14.25" hidden="1" customHeight="1" outlineLevel="1" x14ac:dyDescent="0.2">
      <c r="A425" s="728"/>
      <c r="B425" s="199" t="s">
        <v>79</v>
      </c>
      <c r="C425" s="200"/>
      <c r="D425" s="201"/>
      <c r="E425" s="202"/>
      <c r="F425" s="202"/>
      <c r="G425" s="202"/>
      <c r="H425" s="1123"/>
      <c r="I425" s="202"/>
      <c r="J425" s="202"/>
      <c r="K425" s="200"/>
      <c r="L425" s="200"/>
      <c r="N425" s="240"/>
      <c r="O425" s="240"/>
      <c r="P425" s="240"/>
      <c r="Q425" s="240"/>
      <c r="T425" s="230"/>
      <c r="U425" s="230"/>
      <c r="V425" s="230"/>
      <c r="W425" s="230"/>
    </row>
    <row r="426" spans="1:58" s="229" customFormat="1" ht="14.25" hidden="1" customHeight="1" outlineLevel="1" x14ac:dyDescent="0.2">
      <c r="A426" s="728"/>
      <c r="B426" s="204" t="s">
        <v>80</v>
      </c>
      <c r="C426" s="205"/>
      <c r="D426" s="206"/>
      <c r="E426" s="206">
        <f>E420-E421</f>
        <v>0</v>
      </c>
      <c r="F426" s="222">
        <f>F420-F421</f>
        <v>0</v>
      </c>
      <c r="G426" s="206">
        <f>G421-G420</f>
        <v>0</v>
      </c>
      <c r="H426" s="1124">
        <f t="shared" ref="H426:L426" si="219">H421-H420</f>
        <v>0</v>
      </c>
      <c r="I426" s="206">
        <f t="shared" si="219"/>
        <v>0</v>
      </c>
      <c r="J426" s="206">
        <f t="shared" si="219"/>
        <v>0</v>
      </c>
      <c r="K426" s="206">
        <f t="shared" si="219"/>
        <v>0</v>
      </c>
      <c r="L426" s="206">
        <f t="shared" si="219"/>
        <v>0</v>
      </c>
      <c r="N426" s="240"/>
      <c r="O426" s="240"/>
      <c r="P426" s="240"/>
      <c r="Q426" s="240"/>
      <c r="T426" s="230"/>
      <c r="U426" s="230"/>
      <c r="V426" s="230"/>
      <c r="W426" s="230"/>
    </row>
    <row r="427" spans="1:58" s="139" customFormat="1" ht="28.5" hidden="1" customHeight="1" outlineLevel="1" x14ac:dyDescent="0.2">
      <c r="A427" s="729"/>
      <c r="B427" s="241" t="s">
        <v>1222</v>
      </c>
      <c r="C427" s="241"/>
      <c r="D427" s="242"/>
      <c r="E427" s="242" t="e">
        <f>E391-E424+E426</f>
        <v>#REF!</v>
      </c>
      <c r="F427" s="242" t="e">
        <f>F391-F424+F426</f>
        <v>#REF!</v>
      </c>
      <c r="G427" s="242">
        <f>G391-G424+G426</f>
        <v>211008.25876914698</v>
      </c>
      <c r="H427" s="242">
        <f>H418-H424+H426</f>
        <v>150304.1039961364</v>
      </c>
      <c r="I427" s="242">
        <f t="shared" ref="I427:L427" si="220">I418-I424+I426</f>
        <v>162141.4758486822</v>
      </c>
      <c r="J427" s="242">
        <f t="shared" si="220"/>
        <v>-64926.407140514639</v>
      </c>
      <c r="K427" s="242">
        <f t="shared" si="220"/>
        <v>4188930.3400555253</v>
      </c>
      <c r="L427" s="242">
        <f t="shared" si="220"/>
        <v>9280028.7929329742</v>
      </c>
      <c r="M427" s="1163"/>
      <c r="N427" s="1164"/>
      <c r="O427" s="1164"/>
      <c r="P427" s="1164"/>
      <c r="Q427" s="240"/>
      <c r="R427" s="229"/>
      <c r="S427" s="229"/>
      <c r="T427" s="230"/>
      <c r="U427" s="230"/>
      <c r="V427" s="230"/>
      <c r="W427" s="230"/>
      <c r="X427" s="245" t="e">
        <f>E62-E427</f>
        <v>#REF!</v>
      </c>
    </row>
    <row r="428" spans="1:58" s="139" customFormat="1" ht="11.45" customHeight="1" collapsed="1" x14ac:dyDescent="0.2">
      <c r="A428" s="181"/>
      <c r="B428" s="243"/>
      <c r="C428" s="243"/>
      <c r="D428" s="243"/>
      <c r="E428" s="243"/>
      <c r="F428" s="243"/>
      <c r="G428" s="243"/>
      <c r="H428" s="243"/>
      <c r="I428" s="243"/>
      <c r="J428" s="213"/>
      <c r="K428" s="213"/>
      <c r="L428" s="213"/>
      <c r="M428" s="1163"/>
      <c r="N428" s="1163"/>
      <c r="O428" s="1163"/>
      <c r="P428" s="1163"/>
      <c r="Q428" s="240"/>
      <c r="R428" s="229"/>
      <c r="S428" s="229"/>
      <c r="T428" s="230"/>
      <c r="U428" s="230"/>
      <c r="V428" s="230"/>
      <c r="W428" s="230"/>
    </row>
    <row r="429" spans="1:58" s="139" customFormat="1" ht="28.5" customHeight="1" outlineLevel="1" x14ac:dyDescent="0.2">
      <c r="A429" s="755"/>
      <c r="B429" s="246" t="s">
        <v>139</v>
      </c>
      <c r="C429" s="246"/>
      <c r="D429" s="247">
        <v>59332078</v>
      </c>
      <c r="E429" s="248">
        <f>SUM(E430:E434)</f>
        <v>52894909.310000002</v>
      </c>
      <c r="F429" s="248">
        <f ca="1">SUM(F430:F434)</f>
        <v>66535135.649999999</v>
      </c>
      <c r="G429" s="248">
        <f>SUM(G430:G434)</f>
        <v>64694949.349999994</v>
      </c>
      <c r="H429" s="248">
        <f>SUM(H430:H434)</f>
        <v>86477152.498999998</v>
      </c>
      <c r="I429" s="248">
        <f>SUM(I430:I434)</f>
        <v>69951041.519270539</v>
      </c>
      <c r="J429" s="248">
        <f t="shared" ref="J429:L429" si="221">SUM(J430:J434)</f>
        <v>69358231.517921269</v>
      </c>
      <c r="K429" s="248">
        <f t="shared" si="221"/>
        <v>67530356.632865444</v>
      </c>
      <c r="L429" s="248">
        <f t="shared" si="221"/>
        <v>74060364.654328644</v>
      </c>
      <c r="M429" s="1165">
        <v>86477152.200000003</v>
      </c>
      <c r="N429" s="1165">
        <f>M429-H429</f>
        <v>-0.29899999499320984</v>
      </c>
      <c r="O429" s="1163">
        <v>1671797.901000008</v>
      </c>
      <c r="P429" s="1163"/>
      <c r="Q429" s="240"/>
      <c r="R429" s="229"/>
      <c r="S429" s="229"/>
      <c r="T429" s="230"/>
      <c r="U429" s="230"/>
      <c r="V429" s="230"/>
      <c r="W429" s="230"/>
    </row>
    <row r="430" spans="1:58" s="181" customFormat="1" ht="14.45" customHeight="1" outlineLevel="1" x14ac:dyDescent="0.2">
      <c r="A430" s="250"/>
      <c r="B430" s="251" t="s">
        <v>76</v>
      </c>
      <c r="C430" s="252"/>
      <c r="D430" s="253">
        <v>5688076</v>
      </c>
      <c r="E430" s="254">
        <f>E61</f>
        <v>7741520.8000000007</v>
      </c>
      <c r="F430" s="255">
        <f>F61+7000000</f>
        <v>16755067</v>
      </c>
      <c r="G430" s="255">
        <f>G61</f>
        <v>6675551</v>
      </c>
      <c r="H430" s="255">
        <f>H61+H443+228225+O430</f>
        <v>8710284.1999999993</v>
      </c>
      <c r="I430" s="255">
        <f>I61+I443</f>
        <v>150304.1039961364</v>
      </c>
      <c r="J430" s="255">
        <f>J61+J443</f>
        <v>162141.4758486822</v>
      </c>
      <c r="K430" s="255">
        <f>K61+K443</f>
        <v>-64926.407140514639</v>
      </c>
      <c r="L430" s="255">
        <f>L61+L443</f>
        <v>4188930.3400555253</v>
      </c>
      <c r="M430" s="1165">
        <v>8710284.1999999993</v>
      </c>
      <c r="N430" s="1165">
        <f>M430-H430</f>
        <v>0</v>
      </c>
      <c r="O430" s="1163">
        <v>1496934.1999999993</v>
      </c>
      <c r="P430" s="1163"/>
      <c r="Q430" s="240"/>
      <c r="R430" s="229"/>
      <c r="S430" s="229"/>
      <c r="T430" s="230"/>
      <c r="U430" s="230"/>
      <c r="V430" s="230"/>
      <c r="W430" s="230"/>
    </row>
    <row r="431" spans="1:58" s="181" customFormat="1" ht="14.45" customHeight="1" outlineLevel="1" x14ac:dyDescent="0.2">
      <c r="A431" s="250"/>
      <c r="B431" s="251" t="s">
        <v>140</v>
      </c>
      <c r="C431" s="252"/>
      <c r="D431" s="253">
        <f t="shared" ref="D431:L431" si="222">D17</f>
        <v>35219738</v>
      </c>
      <c r="E431" s="254">
        <f t="shared" si="222"/>
        <v>36731506</v>
      </c>
      <c r="F431" s="255">
        <f t="shared" si="222"/>
        <v>41658831.530000001</v>
      </c>
      <c r="G431" s="255">
        <f t="shared" si="222"/>
        <v>44045765</v>
      </c>
      <c r="H431" s="255">
        <f t="shared" si="222"/>
        <v>47212316</v>
      </c>
      <c r="I431" s="255">
        <f t="shared" si="222"/>
        <v>50212353.674059637</v>
      </c>
      <c r="J431" s="255">
        <f t="shared" si="222"/>
        <v>53325951.850115202</v>
      </c>
      <c r="K431" s="255">
        <f t="shared" si="222"/>
        <v>56128751.016348578</v>
      </c>
      <c r="L431" s="255">
        <f t="shared" si="222"/>
        <v>59092035.544815741</v>
      </c>
      <c r="M431" s="1165"/>
      <c r="N431" s="1165">
        <f>N429-N430</f>
        <v>-0.29899999499320984</v>
      </c>
      <c r="O431" s="1163"/>
      <c r="P431" s="1163"/>
      <c r="Q431" s="240"/>
      <c r="R431" s="229"/>
      <c r="S431" s="229"/>
      <c r="T431" s="230"/>
      <c r="U431" s="230"/>
      <c r="V431" s="230"/>
      <c r="W431" s="230"/>
    </row>
    <row r="432" spans="1:58" s="181" customFormat="1" ht="14.45" customHeight="1" outlineLevel="1" x14ac:dyDescent="0.2">
      <c r="A432" s="250"/>
      <c r="B432" s="251" t="s">
        <v>141</v>
      </c>
      <c r="C432" s="252"/>
      <c r="D432" s="253">
        <v>7325251</v>
      </c>
      <c r="E432" s="254">
        <f>7953316</f>
        <v>7953316</v>
      </c>
      <c r="F432" s="255">
        <f>E432</f>
        <v>7953316</v>
      </c>
      <c r="G432" s="255">
        <v>9818404</v>
      </c>
      <c r="H432" s="1168">
        <f>21107274-H444-947155+87432</f>
        <v>10779398.769457381</v>
      </c>
      <c r="I432" s="1168">
        <f>H432</f>
        <v>10779398.769457381</v>
      </c>
      <c r="J432" s="1168">
        <f t="shared" ref="J432:L432" si="223">I432</f>
        <v>10779398.769457381</v>
      </c>
      <c r="K432" s="1168">
        <f t="shared" si="223"/>
        <v>10779398.769457381</v>
      </c>
      <c r="L432" s="1168">
        <f t="shared" si="223"/>
        <v>10779398.769457381</v>
      </c>
      <c r="M432" s="1165"/>
      <c r="N432" s="1165"/>
      <c r="O432" s="1163" t="s">
        <v>142</v>
      </c>
      <c r="P432" s="1163"/>
      <c r="Q432" s="240"/>
      <c r="R432" s="229"/>
      <c r="S432" s="229"/>
      <c r="T432" s="230"/>
      <c r="U432" s="230"/>
      <c r="V432" s="230"/>
      <c r="W432" s="230"/>
    </row>
    <row r="433" spans="1:33" s="181" customFormat="1" ht="14.45" customHeight="1" outlineLevel="1" x14ac:dyDescent="0.2">
      <c r="A433" s="250"/>
      <c r="B433" s="251" t="s">
        <v>143</v>
      </c>
      <c r="C433" s="252"/>
      <c r="D433" s="253">
        <v>1775445</v>
      </c>
      <c r="E433" s="254">
        <f>E444</f>
        <v>193847.91999999998</v>
      </c>
      <c r="F433" s="255">
        <f ca="1">F444</f>
        <v>163772.12</v>
      </c>
      <c r="G433" s="255">
        <f t="shared" ref="G433:L433" si="224">G444</f>
        <v>2989963.8</v>
      </c>
      <c r="H433" s="255">
        <f t="shared" si="224"/>
        <v>9468152.2305426188</v>
      </c>
      <c r="I433" s="255">
        <f t="shared" si="224"/>
        <v>6077727.9207573822</v>
      </c>
      <c r="J433" s="255">
        <f t="shared" si="224"/>
        <v>3376647.0762999989</v>
      </c>
      <c r="K433" s="255">
        <f t="shared" si="224"/>
        <v>687133.25419999985</v>
      </c>
      <c r="L433" s="255">
        <f t="shared" si="224"/>
        <v>0</v>
      </c>
      <c r="M433" s="1165"/>
      <c r="N433" s="1165"/>
      <c r="O433" s="1163"/>
      <c r="P433" s="1163"/>
      <c r="Q433" s="240"/>
      <c r="R433" s="229"/>
      <c r="S433" s="229"/>
      <c r="T433" s="230"/>
      <c r="U433" s="230"/>
      <c r="V433" s="230"/>
      <c r="W433" s="230"/>
    </row>
    <row r="434" spans="1:33" s="181" customFormat="1" ht="14.45" customHeight="1" outlineLevel="1" x14ac:dyDescent="0.2">
      <c r="A434" s="250"/>
      <c r="B434" s="257" t="s">
        <v>79</v>
      </c>
      <c r="C434" s="252"/>
      <c r="D434" s="253">
        <v>9323568</v>
      </c>
      <c r="E434" s="254">
        <f>E447</f>
        <v>274718.59000000003</v>
      </c>
      <c r="F434" s="255">
        <f>F447</f>
        <v>4149</v>
      </c>
      <c r="G434" s="255">
        <f t="shared" ref="G434:L434" si="225">G447</f>
        <v>1165265.55</v>
      </c>
      <c r="H434" s="255">
        <f>H447</f>
        <v>10307001.299000001</v>
      </c>
      <c r="I434" s="255">
        <f t="shared" si="225"/>
        <v>2731257.050999999</v>
      </c>
      <c r="J434" s="255">
        <f t="shared" si="225"/>
        <v>1714092.3462</v>
      </c>
      <c r="K434" s="255">
        <f t="shared" si="225"/>
        <v>0</v>
      </c>
      <c r="L434" s="255">
        <f t="shared" si="225"/>
        <v>0</v>
      </c>
      <c r="M434" s="1165"/>
      <c r="N434" s="1165"/>
      <c r="O434" s="1163"/>
      <c r="P434" s="1163"/>
      <c r="Q434" s="240"/>
      <c r="R434" s="229"/>
      <c r="S434" s="229"/>
      <c r="T434" s="230"/>
      <c r="U434" s="230"/>
      <c r="V434" s="230"/>
      <c r="W434" s="230"/>
    </row>
    <row r="435" spans="1:33" s="181" customFormat="1" ht="12" customHeight="1" outlineLevel="1" x14ac:dyDescent="0.2">
      <c r="B435" s="244"/>
      <c r="C435" s="244"/>
      <c r="D435" s="211" t="e">
        <f>D436-D437-D438-D439-D440-D441-D442</f>
        <v>#REF!</v>
      </c>
      <c r="E435" s="211"/>
      <c r="F435" s="213"/>
      <c r="G435" s="213"/>
      <c r="H435" s="1125"/>
      <c r="I435" s="213"/>
      <c r="J435" s="213"/>
      <c r="K435" s="213"/>
      <c r="L435" s="213"/>
      <c r="M435" s="1163"/>
      <c r="N435" s="1163"/>
      <c r="O435" s="1163"/>
      <c r="P435" s="1163"/>
      <c r="Q435" s="240"/>
      <c r="R435" s="229"/>
      <c r="S435" s="229"/>
      <c r="T435" s="230"/>
      <c r="U435" s="230"/>
      <c r="V435" s="230"/>
      <c r="W435" s="230"/>
    </row>
    <row r="436" spans="1:33" s="139" customFormat="1" ht="28.5" customHeight="1" outlineLevel="1" x14ac:dyDescent="0.2">
      <c r="A436" s="756"/>
      <c r="B436" s="259" t="s">
        <v>144</v>
      </c>
      <c r="C436" s="260"/>
      <c r="D436" s="261">
        <v>56697838</v>
      </c>
      <c r="E436" s="262" t="e">
        <f>SUM(E437,E438,E439,E440,E441,E442)</f>
        <v>#REF!</v>
      </c>
      <c r="F436" s="262" t="e">
        <f>SUM(F437,F438,F439,F440,F441,F442)</f>
        <v>#REF!</v>
      </c>
      <c r="G436" s="262" t="e">
        <f>SUM(G437,G438,G439,G440,G441,G442)</f>
        <v>#REF!</v>
      </c>
      <c r="H436" s="262">
        <f t="shared" ref="H436:L436" si="226">SUM(H437,H438,H439,H440,H441,H442)</f>
        <v>86326848</v>
      </c>
      <c r="I436" s="262">
        <f t="shared" si="226"/>
        <v>69788900.04342185</v>
      </c>
      <c r="J436" s="262">
        <f t="shared" si="226"/>
        <v>69423157.925061777</v>
      </c>
      <c r="K436" s="262">
        <f t="shared" si="226"/>
        <v>63341426.292809919</v>
      </c>
      <c r="L436" s="262">
        <f t="shared" si="226"/>
        <v>64780335.861395672</v>
      </c>
      <c r="M436" s="1164">
        <v>86326848</v>
      </c>
      <c r="N436" s="1165">
        <f>M436-H436</f>
        <v>0</v>
      </c>
      <c r="O436" s="1166">
        <v>1584366.0649961233</v>
      </c>
      <c r="P436" s="1167"/>
      <c r="Q436" s="240"/>
      <c r="R436" s="229"/>
      <c r="S436" s="229"/>
      <c r="T436" s="230"/>
      <c r="U436" s="230"/>
      <c r="V436" s="230"/>
      <c r="W436" s="230"/>
    </row>
    <row r="437" spans="1:33" s="139" customFormat="1" ht="15" customHeight="1" outlineLevel="1" x14ac:dyDescent="0.2">
      <c r="A437" s="757"/>
      <c r="B437" s="263" t="s">
        <v>145</v>
      </c>
      <c r="C437" s="264"/>
      <c r="D437" s="265">
        <f t="shared" ref="D437:L437" si="227">D48</f>
        <v>31969932.814531665</v>
      </c>
      <c r="E437" s="266">
        <f t="shared" si="227"/>
        <v>35153918.280342601</v>
      </c>
      <c r="F437" s="266">
        <f t="shared" si="227"/>
        <v>40520391</v>
      </c>
      <c r="G437" s="266">
        <f t="shared" si="227"/>
        <v>40672347.9834916</v>
      </c>
      <c r="H437" s="266">
        <f t="shared" si="227"/>
        <v>41221263.06526053</v>
      </c>
      <c r="I437" s="266">
        <f t="shared" si="227"/>
        <v>43185055.44544445</v>
      </c>
      <c r="J437" s="266">
        <f t="shared" si="227"/>
        <v>44997410.434306875</v>
      </c>
      <c r="K437" s="266">
        <f t="shared" si="227"/>
        <v>46167055.738570012</v>
      </c>
      <c r="L437" s="266">
        <f t="shared" si="227"/>
        <v>48443518.36588572</v>
      </c>
      <c r="M437" s="1165"/>
      <c r="N437" s="1165"/>
      <c r="O437" s="1165"/>
      <c r="P437" s="1167"/>
      <c r="Q437" s="240"/>
      <c r="R437" s="229"/>
      <c r="S437" s="229"/>
      <c r="T437" s="230"/>
      <c r="U437" s="230"/>
      <c r="V437" s="230"/>
      <c r="W437" s="230"/>
    </row>
    <row r="438" spans="1:33" s="139" customFormat="1" ht="15" customHeight="1" outlineLevel="1" x14ac:dyDescent="0.2">
      <c r="A438" s="757"/>
      <c r="B438" s="263" t="s">
        <v>59</v>
      </c>
      <c r="C438" s="267"/>
      <c r="D438" s="265">
        <v>3200097</v>
      </c>
      <c r="E438" s="266">
        <f>E456</f>
        <v>3601890.1379218102</v>
      </c>
      <c r="F438" s="266">
        <f>F456</f>
        <v>3701183.6879218104</v>
      </c>
      <c r="G438" s="266">
        <f>G456</f>
        <v>3467034.49</v>
      </c>
      <c r="H438" s="266">
        <f t="shared" ref="H438:L438" si="228">H456</f>
        <v>3907497</v>
      </c>
      <c r="I438" s="266">
        <f t="shared" si="228"/>
        <v>6026481.8304444402</v>
      </c>
      <c r="J438" s="266">
        <f t="shared" si="228"/>
        <v>3866851.3172305594</v>
      </c>
      <c r="K438" s="266">
        <f t="shared" si="228"/>
        <v>4107167.6245642197</v>
      </c>
      <c r="L438" s="266">
        <f t="shared" si="228"/>
        <v>3538844.6097698999</v>
      </c>
      <c r="M438" s="249"/>
      <c r="N438" s="249"/>
      <c r="O438" s="249"/>
      <c r="P438" s="245"/>
      <c r="Q438" s="240"/>
      <c r="R438" s="229"/>
      <c r="S438" s="229"/>
      <c r="T438" s="230"/>
      <c r="U438" s="230"/>
      <c r="V438" s="230"/>
      <c r="W438" s="230"/>
    </row>
    <row r="439" spans="1:33" s="139" customFormat="1" ht="15" customHeight="1" outlineLevel="1" x14ac:dyDescent="0.2">
      <c r="A439" s="757"/>
      <c r="B439" s="263" t="s">
        <v>141</v>
      </c>
      <c r="C439" s="264"/>
      <c r="D439" s="265">
        <f t="shared" ref="D439:G439" si="229">D432</f>
        <v>7325251</v>
      </c>
      <c r="E439" s="266">
        <f t="shared" si="229"/>
        <v>7953316</v>
      </c>
      <c r="F439" s="266">
        <f t="shared" si="229"/>
        <v>7953316</v>
      </c>
      <c r="G439" s="266">
        <f t="shared" si="229"/>
        <v>9818404</v>
      </c>
      <c r="H439" s="1169">
        <f>21107274-H444-947155+O436</f>
        <v>12276332.834453505</v>
      </c>
      <c r="I439" s="1169">
        <f t="shared" ref="I439:L439" si="230">I432</f>
        <v>10779398.769457381</v>
      </c>
      <c r="J439" s="1169">
        <f t="shared" si="230"/>
        <v>10779398.769457381</v>
      </c>
      <c r="K439" s="1169">
        <f t="shared" si="230"/>
        <v>10779398.769457381</v>
      </c>
      <c r="L439" s="1169">
        <f t="shared" si="230"/>
        <v>10779398.769457381</v>
      </c>
      <c r="M439" s="249"/>
      <c r="N439" s="249"/>
      <c r="O439" s="245"/>
      <c r="Q439" s="240"/>
      <c r="R439" s="229"/>
      <c r="S439" s="229"/>
      <c r="T439" s="230"/>
      <c r="U439" s="230"/>
      <c r="V439" s="230"/>
      <c r="W439" s="230"/>
    </row>
    <row r="440" spans="1:33" s="139" customFormat="1" ht="15" customHeight="1" outlineLevel="1" x14ac:dyDescent="0.2">
      <c r="A440" s="757"/>
      <c r="B440" s="263" t="s">
        <v>146</v>
      </c>
      <c r="C440" s="264"/>
      <c r="D440" s="265">
        <f>1826776-D443</f>
        <v>1826776</v>
      </c>
      <c r="E440" s="266">
        <f>1450964.07-E443</f>
        <v>1276495.1700000002</v>
      </c>
      <c r="F440" s="266"/>
      <c r="G440" s="266">
        <f t="shared" ref="G440:L440" si="231">G62</f>
        <v>1040957</v>
      </c>
      <c r="H440" s="266">
        <f t="shared" si="231"/>
        <v>0</v>
      </c>
      <c r="I440" s="266">
        <f t="shared" si="231"/>
        <v>0</v>
      </c>
      <c r="J440" s="266">
        <f t="shared" si="231"/>
        <v>0</v>
      </c>
      <c r="K440" s="266">
        <f t="shared" si="231"/>
        <v>0</v>
      </c>
      <c r="L440" s="266">
        <f t="shared" si="231"/>
        <v>0</v>
      </c>
      <c r="M440" s="268"/>
      <c r="N440" s="268"/>
      <c r="O440" s="245"/>
      <c r="Q440" s="240"/>
      <c r="R440" s="229"/>
      <c r="S440" s="229"/>
      <c r="T440" s="230"/>
      <c r="U440" s="230"/>
      <c r="V440" s="230"/>
      <c r="W440" s="230"/>
    </row>
    <row r="441" spans="1:33" s="139" customFormat="1" ht="15" customHeight="1" outlineLevel="1" x14ac:dyDescent="0.2">
      <c r="A441" s="757"/>
      <c r="B441" s="263" t="s">
        <v>66</v>
      </c>
      <c r="C441" s="264"/>
      <c r="D441" s="265">
        <f>1557712.71316667-560755.295</f>
        <v>996957.4181666699</v>
      </c>
      <c r="E441" s="266">
        <f t="shared" ref="E441:L441" si="232">E57</f>
        <v>2994181.47</v>
      </c>
      <c r="F441" s="266" t="e">
        <f t="shared" si="232"/>
        <v>#REF!</v>
      </c>
      <c r="G441" s="266">
        <f t="shared" si="232"/>
        <v>5327465.4222392514</v>
      </c>
      <c r="H441" s="266">
        <f t="shared" si="232"/>
        <v>5836431.5447433339</v>
      </c>
      <c r="I441" s="266">
        <f t="shared" si="232"/>
        <v>2913953.2584381998</v>
      </c>
      <c r="J441" s="266">
        <f t="shared" si="232"/>
        <v>3380727.2370669637</v>
      </c>
      <c r="K441" s="266">
        <f t="shared" si="232"/>
        <v>2034694.2832183032</v>
      </c>
      <c r="L441" s="266">
        <f t="shared" si="232"/>
        <v>2018574.1162826694</v>
      </c>
      <c r="M441" s="249"/>
      <c r="N441" s="249"/>
      <c r="O441" s="245"/>
      <c r="Q441" s="240"/>
      <c r="R441" s="229"/>
      <c r="S441" s="229"/>
      <c r="T441" s="230"/>
      <c r="U441" s="230"/>
      <c r="V441" s="230"/>
      <c r="W441" s="230"/>
    </row>
    <row r="442" spans="1:33" s="188" customFormat="1" outlineLevel="1" collapsed="1" x14ac:dyDescent="0.2">
      <c r="A442" s="757"/>
      <c r="B442" s="263" t="s">
        <v>1219</v>
      </c>
      <c r="C442" s="264"/>
      <c r="D442" s="265" t="e">
        <f>SUM(D57,D67,D76,D85,D94,D103,D112,D121,D130,D139,D148,D157,D166,D175,D184,D194,D204,D213,D222,D231,D240,D249,D258,D267,D276,D285,D294,D303,D312,D321,D330,D339,D348,D357,D366,D375,D384,D420,#REF!,#REF!,#REF!,#REF!,#REF!,#REF!,#REF!,#REF!,#REF!,#REF!,#REF!,#REF!,#REF!,#REF!,#REF!,#REF!,#REF!,#REF!,#REF!,#REF!,#REF!,#REF!,#REF!,#REF!)</f>
        <v>#REF!</v>
      </c>
      <c r="E442" s="266" t="e">
        <f>SUM(E57,E67,E76,E85,E94,E103,E112,E121,E130,E139,E148,E157,E166,E175,E184,E194,E204,E213,E222,E231,E240,E249,E258,E267,E276,E285,E294,E303,E312,E321,E330,E339,E348,E357,E366,E375,E384,E420,#REF!,#REF!,#REF!,#REF!,#REF!,#REF!,#REF!,#REF!,#REF!,#REF!,#REF!,#REF!,#REF!,#REF!,#REF!,#REF!,#REF!,#REF!,#REF!,#REF!,#REF!,#REF!,#REF!,#REF!)</f>
        <v>#REF!</v>
      </c>
      <c r="F442" s="266" t="e">
        <f>SUM(F57,F67,F76,F85,F94,F103,F112,F121,F130,F139,F148,F157,F166,F175,F184,F194,F204,F213,F222,F231,F240,F249,F258,F267,F276,F285,F294,F303,F312,F321,F330,F339,F348,F357,F366,F375,F384,F420,#REF!,#REF!,#REF!,#REF!,#REF!,#REF!,#REF!,#REF!,#REF!,#REF!,#REF!,#REF!,#REF!,#REF!,#REF!,#REF!,#REF!,#REF!,#REF!,#REF!,#REF!,#REF!,#REF!,#REF!)</f>
        <v>#REF!</v>
      </c>
      <c r="G442" s="266" t="e">
        <f>SUM(G57,G67,G76,G85,G94,G103,G112,G121,G130,G139,G148,G157,G166,G175,G184,G194,G204,G213,G222,G231,G240,G249,G258,G267,G276,G285,G294,G303,G312,G321,G330,G339,G348,G357,G366,G375,G384,G420,#REF!,#REF!,#REF!,#REF!,#REF!,#REF!,#REF!,#REF!,#REF!,#REF!,#REF!,#REF!,#REF!,#REF!,#REF!,#REF!,#REF!,#REF!,#REF!,#REF!,#REF!,#REF!,#REF!,#REF!)</f>
        <v>#REF!</v>
      </c>
      <c r="H442" s="266">
        <f>SUM(H67,H76,H85,H94,H103,H112,H121,H130,H139,H148,H157,H166,H175,H184,H194,H204,H213,H222,H231,H240,H249,H258,H267,H276,H285,H294,H303,H312,H321,H330,H339,H348,H357,H366,H375,H384,H393,H402,H411,H420)</f>
        <v>23085323.555542622</v>
      </c>
      <c r="I442" s="266">
        <f t="shared" ref="I442:L442" si="233">SUM(I67,I76,I85,I94,I103,I112,I121,I130,I139,I148,I157,I166,I175,I184,I194,I204,I213,I222,I231,I240,I249,I258,I267,I276,I285,I294,I303,I312,I321,I330,I339,I348,I357,I366,I375,I384,I393,I402,I411,I420)</f>
        <v>6884010.7396373805</v>
      </c>
      <c r="J442" s="266">
        <f t="shared" si="233"/>
        <v>6398770.1669999994</v>
      </c>
      <c r="K442" s="266">
        <f t="shared" si="233"/>
        <v>253109.87699999998</v>
      </c>
      <c r="L442" s="266">
        <f t="shared" si="233"/>
        <v>0</v>
      </c>
      <c r="M442" s="249"/>
      <c r="N442" s="249"/>
      <c r="O442" s="245"/>
      <c r="P442" s="245"/>
      <c r="Q442" s="240"/>
      <c r="R442" s="229"/>
      <c r="S442" s="229"/>
      <c r="T442" s="230"/>
      <c r="U442" s="230"/>
      <c r="V442" s="230"/>
      <c r="W442" s="230"/>
      <c r="X442" s="245"/>
      <c r="Y442" s="245"/>
      <c r="Z442" s="245"/>
      <c r="AA442" s="245"/>
      <c r="AB442" s="245"/>
      <c r="AC442" s="245"/>
      <c r="AD442" s="245"/>
      <c r="AE442" s="245"/>
      <c r="AF442" s="245"/>
      <c r="AG442" s="245"/>
    </row>
    <row r="443" spans="1:33" s="139" customFormat="1" ht="14.25" customHeight="1" outlineLevel="1" x14ac:dyDescent="0.2">
      <c r="A443" s="757"/>
      <c r="B443" s="269" t="s">
        <v>76</v>
      </c>
      <c r="C443" s="264"/>
      <c r="D443" s="270">
        <f>SUMIF($B$67:$B$427,$B443,$D$67:$D$427)</f>
        <v>0</v>
      </c>
      <c r="E443" s="271">
        <f>SUMIF($B$67:$B$427,$B443,$E$67:$E$427)</f>
        <v>174468.9</v>
      </c>
      <c r="F443" s="271">
        <f ca="1">SUMIF($B$67:$B$427,$B443,$F$68:$F$427)</f>
        <v>589434.19999999995</v>
      </c>
      <c r="G443" s="271">
        <f>SUMIF($B$67:$B$427,$B443,$G$67:$G$427)</f>
        <v>424289</v>
      </c>
      <c r="H443" s="1158">
        <f>SUMIF($B$67:$B$427,$B443,$H$67:$H$427)</f>
        <v>282135</v>
      </c>
      <c r="I443" s="1158">
        <f>SUMIF($B$67:$B$427,$B443,$I$67:$I$427)</f>
        <v>0</v>
      </c>
      <c r="J443" s="1158">
        <f>SUMIF($B$67:$B$427,$B443,$J$67:$J$427)</f>
        <v>0</v>
      </c>
      <c r="K443" s="1158">
        <f>SUMIF($B$67:$B$427,$B443,$K$67:$K$427)</f>
        <v>0</v>
      </c>
      <c r="L443" s="1158">
        <f>SUMIF($B$67:$B$427,$B443,$L$67:$L$427)</f>
        <v>0</v>
      </c>
      <c r="M443" s="249"/>
      <c r="N443" s="249"/>
      <c r="P443" s="272"/>
      <c r="Q443" s="240"/>
      <c r="R443" s="229"/>
      <c r="S443" s="229"/>
      <c r="T443" s="230"/>
      <c r="U443" s="230"/>
      <c r="V443" s="230"/>
      <c r="W443" s="230"/>
    </row>
    <row r="444" spans="1:33" s="139" customFormat="1" ht="14.25" customHeight="1" outlineLevel="1" x14ac:dyDescent="0.2">
      <c r="A444" s="757"/>
      <c r="B444" s="269" t="s">
        <v>77</v>
      </c>
      <c r="C444" s="264"/>
      <c r="D444" s="270">
        <f ca="1">SUMIF($B$67:$B$427,$B444,$D$68:$D$427)</f>
        <v>0</v>
      </c>
      <c r="E444" s="271">
        <f>SUMIF($B$67:$B$427,$B444,$E$67:$E$427)</f>
        <v>193847.91999999998</v>
      </c>
      <c r="F444" s="271">
        <f ca="1">SUMIF($B$67:$B$427,$B444,$F$68:$F$427)</f>
        <v>163772.12</v>
      </c>
      <c r="G444" s="271">
        <f>SUMIF($B$67:$B$427,$B444,$G$67:$G$427)</f>
        <v>2989963.8</v>
      </c>
      <c r="H444" s="1158">
        <f>SUMIF($B$67:$B$427,$B444,$H$67:$H$427)</f>
        <v>9468152.2305426188</v>
      </c>
      <c r="I444" s="1158">
        <f>SUMIF($B$67:$B$427,$B444,$I$67:$I$427)</f>
        <v>6077727.9207573822</v>
      </c>
      <c r="J444" s="1158">
        <f>SUMIF($B$67:$B$427,$B444,$J$67:$J$427)</f>
        <v>3376647.0762999989</v>
      </c>
      <c r="K444" s="1158">
        <f>SUMIF($B$67:$B$427,$B444,$K$67:$K$427)</f>
        <v>687133.25419999985</v>
      </c>
      <c r="L444" s="1158">
        <f>SUMIF($B$67:$B$427,$B444,$L$67:$L$427)</f>
        <v>0</v>
      </c>
      <c r="M444" s="249"/>
      <c r="N444" s="249"/>
      <c r="P444" s="245"/>
      <c r="Q444" s="240"/>
      <c r="R444" s="229"/>
      <c r="S444" s="229"/>
      <c r="T444" s="230"/>
      <c r="U444" s="230"/>
      <c r="V444" s="230"/>
      <c r="W444" s="230"/>
    </row>
    <row r="445" spans="1:33" s="139" customFormat="1" ht="14.25" customHeight="1" outlineLevel="1" x14ac:dyDescent="0.2">
      <c r="A445" s="757"/>
      <c r="B445" s="269" t="s">
        <v>700</v>
      </c>
      <c r="C445" s="264"/>
      <c r="D445" s="270"/>
      <c r="E445" s="271"/>
      <c r="F445" s="271"/>
      <c r="G445" s="271"/>
      <c r="H445" s="1158">
        <f>SUMIF($B$67:$B$427,$B445,$H$67:$H$427)</f>
        <v>127923.74</v>
      </c>
      <c r="I445" s="1158">
        <f>SUMIF($B$67:$B$427,$B445,$I$67:$I$427)</f>
        <v>0</v>
      </c>
      <c r="J445" s="1158">
        <f>SUMIF($B$67:$B$427,$B445,$J$67:$J$427)</f>
        <v>0</v>
      </c>
      <c r="K445" s="1158">
        <f>SUMIF($B$67:$B$427,$B445,$K$67:$K$427)</f>
        <v>0</v>
      </c>
      <c r="L445" s="1158">
        <f>SUMIF($B$67:$B$427,$B445,$L$67:$L$427)</f>
        <v>0</v>
      </c>
      <c r="M445" s="249"/>
      <c r="N445" s="249"/>
      <c r="P445" s="245"/>
      <c r="Q445" s="240"/>
      <c r="R445" s="229"/>
      <c r="S445" s="229"/>
      <c r="T445" s="230"/>
      <c r="U445" s="230"/>
      <c r="V445" s="230"/>
      <c r="W445" s="230"/>
    </row>
    <row r="446" spans="1:33" s="139" customFormat="1" ht="14.25" customHeight="1" outlineLevel="1" x14ac:dyDescent="0.2">
      <c r="A446" s="757"/>
      <c r="B446" s="269" t="s">
        <v>78</v>
      </c>
      <c r="C446" s="264"/>
      <c r="D446" s="270">
        <f ca="1">SUMIF($B$67:$B$427,$B446,$D$68:$D$427)</f>
        <v>0</v>
      </c>
      <c r="E446" s="271">
        <f>SUMIF($B$67:$B$427,$B446,$E$67:$E$427)</f>
        <v>354319.35179999995</v>
      </c>
      <c r="F446" s="271">
        <f>SUMIF($B$67:$B$427,$B446,$F$67:$F$427)</f>
        <v>163772.12</v>
      </c>
      <c r="G446" s="271">
        <f>SUMIF($B$67:$B$427,$B446,$G$67:$G$427)</f>
        <v>178062.39549999998</v>
      </c>
      <c r="H446" s="1158">
        <f>SUMIF($B$67:$B$427,$B446,$H$67:$H$427)</f>
        <v>2810610.5760000004</v>
      </c>
      <c r="I446" s="1158">
        <f>SUMIF($B$67:$B$427,$B446,$I$67:$I$427)</f>
        <v>982966.95200000005</v>
      </c>
      <c r="J446" s="1158">
        <f>SUMIF($B$67:$B$427,$B446,$J$67:$J$427)</f>
        <v>1421121.2044999998</v>
      </c>
      <c r="K446" s="1158">
        <f>SUMIF($B$67:$B$427,$B446,$K$67:$K$427)</f>
        <v>45896.13</v>
      </c>
      <c r="L446" s="1158">
        <f>SUMIF($B$67:$B$427,$B446,$L$67:$L$427)</f>
        <v>0</v>
      </c>
      <c r="M446" s="249"/>
      <c r="N446" s="249"/>
      <c r="Q446" s="240"/>
      <c r="R446" s="229"/>
      <c r="S446" s="229"/>
      <c r="T446" s="230"/>
      <c r="U446" s="230"/>
      <c r="V446" s="230"/>
      <c r="W446" s="230"/>
    </row>
    <row r="447" spans="1:33" s="272" customFormat="1" ht="16.149999999999999" customHeight="1" outlineLevel="1" x14ac:dyDescent="0.2">
      <c r="A447" s="757"/>
      <c r="B447" s="269" t="s">
        <v>79</v>
      </c>
      <c r="C447" s="264"/>
      <c r="D447" s="270">
        <f ca="1">SUMIF($B$67:$B$427,$B447,$D$68:$D$427)</f>
        <v>0</v>
      </c>
      <c r="E447" s="271">
        <f>SUMIF($B$67:$B$427,$B447,$E$67:$E$427)</f>
        <v>274718.59000000003</v>
      </c>
      <c r="F447" s="271">
        <f>SUMIF($B$67:$B$427,$B447,$F$67:$F$427)</f>
        <v>4149</v>
      </c>
      <c r="G447" s="271">
        <f>SUMIF($B$67:$B$427,$B447,$G$67:$G$427)</f>
        <v>1165265.55</v>
      </c>
      <c r="H447" s="1158">
        <f>SUMIF($B$67:$B$427,$B447,$H$67:$H$427)+H448</f>
        <v>10307001.299000001</v>
      </c>
      <c r="I447" s="1158">
        <f>SUMIF($B$67:$B$427,$B447,$I$67:$I$427)</f>
        <v>2731257.050999999</v>
      </c>
      <c r="J447" s="1158">
        <f>SUMIF($B$67:$B$427,$B447,$J$67:$J$427)</f>
        <v>1714092.3462</v>
      </c>
      <c r="K447" s="1158">
        <f>SUMIF($B$67:$B$427,$B447,$K$67:$K$427)</f>
        <v>0</v>
      </c>
      <c r="L447" s="1158">
        <f>SUMIF($B$67:$B$427,$B447,$L$67:$L$427)</f>
        <v>0</v>
      </c>
      <c r="M447" s="249"/>
      <c r="N447" s="249"/>
      <c r="O447" s="139"/>
      <c r="Q447" s="240"/>
      <c r="R447" s="229"/>
      <c r="S447" s="229"/>
      <c r="T447" s="230"/>
      <c r="U447" s="230"/>
      <c r="V447" s="230"/>
      <c r="W447" s="230"/>
    </row>
    <row r="448" spans="1:33" s="272" customFormat="1" ht="27.75" customHeight="1" outlineLevel="1" x14ac:dyDescent="0.2">
      <c r="A448" s="181"/>
      <c r="B448" s="1159" t="s">
        <v>496</v>
      </c>
      <c r="C448" s="233"/>
      <c r="D448" s="274"/>
      <c r="E448" s="249"/>
      <c r="F448" s="274"/>
      <c r="G448" s="274"/>
      <c r="H448" s="1170">
        <v>49699</v>
      </c>
      <c r="I448" s="274"/>
      <c r="J448" s="274"/>
      <c r="K448" s="274"/>
      <c r="L448" s="274"/>
      <c r="O448" s="273"/>
      <c r="Q448" s="240"/>
      <c r="R448" s="229"/>
      <c r="S448" s="229"/>
      <c r="T448" s="230"/>
      <c r="U448" s="230"/>
      <c r="V448" s="230"/>
      <c r="W448" s="230"/>
    </row>
    <row r="449" spans="1:23" s="139" customFormat="1" ht="28.15" customHeight="1" outlineLevel="1" x14ac:dyDescent="0.2">
      <c r="A449" s="758"/>
      <c r="B449" s="275" t="s">
        <v>147</v>
      </c>
      <c r="C449" s="276"/>
      <c r="D449" s="277">
        <f t="shared" ref="D449:F449" si="234">D429-D436</f>
        <v>2634240</v>
      </c>
      <c r="E449" s="278" t="e">
        <f t="shared" si="234"/>
        <v>#REF!</v>
      </c>
      <c r="F449" s="279" t="e">
        <f t="shared" ca="1" si="234"/>
        <v>#REF!</v>
      </c>
      <c r="G449" s="279" t="e">
        <f t="shared" ref="G449:L449" si="235">G429-G436</f>
        <v>#REF!</v>
      </c>
      <c r="H449" s="279">
        <f t="shared" si="235"/>
        <v>150304.49899999797</v>
      </c>
      <c r="I449" s="279">
        <f t="shared" si="235"/>
        <v>162141.47584868968</v>
      </c>
      <c r="J449" s="279">
        <f t="shared" si="235"/>
        <v>-64926.407140508294</v>
      </c>
      <c r="K449" s="279">
        <f t="shared" si="235"/>
        <v>4188930.3400555253</v>
      </c>
      <c r="L449" s="279">
        <f t="shared" si="235"/>
        <v>9280028.7929329723</v>
      </c>
      <c r="Q449" s="240"/>
      <c r="R449" s="229"/>
      <c r="S449" s="229"/>
      <c r="T449" s="230"/>
      <c r="U449" s="230"/>
      <c r="V449" s="230"/>
      <c r="W449" s="230"/>
    </row>
    <row r="450" spans="1:23" ht="33.75" customHeight="1" x14ac:dyDescent="0.2">
      <c r="B450" s="164"/>
      <c r="E450" s="280">
        <v>0</v>
      </c>
      <c r="G450" s="258" t="e">
        <f>G442-SUM(G443:G447)</f>
        <v>#REF!</v>
      </c>
      <c r="H450" s="256"/>
      <c r="Q450" s="240"/>
      <c r="R450" s="229"/>
      <c r="S450" s="229"/>
      <c r="T450" s="230"/>
      <c r="U450" s="230"/>
      <c r="V450" s="230"/>
      <c r="W450" s="230"/>
    </row>
    <row r="451" spans="1:23" ht="25.15" customHeight="1" x14ac:dyDescent="0.2">
      <c r="A451" s="284"/>
      <c r="B451" s="282" t="s">
        <v>148</v>
      </c>
      <c r="C451" s="281"/>
      <c r="D451" s="283"/>
      <c r="E451" s="281"/>
      <c r="F451" s="284"/>
      <c r="G451" s="284"/>
      <c r="H451" s="1128"/>
      <c r="I451" s="284"/>
      <c r="J451" s="284"/>
      <c r="K451" s="284"/>
      <c r="L451" s="284"/>
    </row>
    <row r="452" spans="1:23" s="156" customFormat="1" ht="25.15" customHeight="1" x14ac:dyDescent="0.25">
      <c r="B452" s="1171" t="s">
        <v>706</v>
      </c>
      <c r="C452" s="1172"/>
      <c r="D452" s="1173"/>
      <c r="E452" s="1172"/>
      <c r="F452" s="1172"/>
      <c r="G452" s="1172"/>
      <c r="H452" s="1173"/>
      <c r="I452" s="1173"/>
      <c r="J452" s="1173"/>
      <c r="K452" s="1173"/>
      <c r="L452" s="1173">
        <f>2054867.64705882-2054867.64705882</f>
        <v>0</v>
      </c>
    </row>
    <row r="453" spans="1:23" s="156" customFormat="1" ht="25.15" customHeight="1" x14ac:dyDescent="0.25">
      <c r="B453" s="1171" t="s">
        <v>707</v>
      </c>
      <c r="C453" s="1172"/>
      <c r="D453" s="1173"/>
      <c r="E453" s="1172"/>
      <c r="F453" s="1172"/>
      <c r="G453" s="1172"/>
      <c r="H453" s="1173"/>
      <c r="I453" s="1173"/>
      <c r="J453" s="1173"/>
      <c r="K453" s="1173"/>
      <c r="L453" s="1173">
        <f>2264875.12058824-2264875.12058824</f>
        <v>0</v>
      </c>
    </row>
    <row r="454" spans="1:23" ht="25.15" customHeight="1" x14ac:dyDescent="0.25">
      <c r="B454" s="759" t="s">
        <v>702</v>
      </c>
      <c r="C454" s="760"/>
      <c r="D454" s="761"/>
      <c r="E454" s="760"/>
      <c r="F454" s="760"/>
      <c r="G454" s="760"/>
      <c r="H454" s="761">
        <v>455488.13</v>
      </c>
      <c r="I454" s="761">
        <f>H454*I3</f>
        <v>478262.53650000005</v>
      </c>
      <c r="J454" s="761">
        <f>I454*J3</f>
        <v>502175.66332500009</v>
      </c>
      <c r="K454" s="761">
        <f>J454*K3</f>
        <v>522262.68985800009</v>
      </c>
      <c r="L454" s="761">
        <f>K454*L3</f>
        <v>543153.19745232014</v>
      </c>
    </row>
    <row r="455" spans="1:23" ht="25.15" customHeight="1" x14ac:dyDescent="0.25">
      <c r="B455" s="759" t="s">
        <v>692</v>
      </c>
      <c r="C455" s="760"/>
      <c r="D455" s="761"/>
      <c r="E455" s="760"/>
      <c r="F455" s="760"/>
      <c r="G455" s="760"/>
      <c r="H455" s="761">
        <f>M79</f>
        <v>107457</v>
      </c>
      <c r="I455" s="761">
        <f>M151+M160+M198+M216</f>
        <v>2706144.35</v>
      </c>
      <c r="J455" s="761">
        <f>M297</f>
        <v>113089.83999999997</v>
      </c>
      <c r="K455" s="761">
        <f>M279+M288+M306+M315+M324</f>
        <v>479919.50719999999</v>
      </c>
      <c r="L455" s="760"/>
    </row>
    <row r="456" spans="1:23" x14ac:dyDescent="0.2">
      <c r="B456" s="285" t="s">
        <v>149</v>
      </c>
      <c r="D456" s="286"/>
      <c r="E456" s="287">
        <v>3601890.1379218102</v>
      </c>
      <c r="F456" s="288">
        <v>3701183.6879218104</v>
      </c>
      <c r="G456" s="288">
        <v>3467034.49</v>
      </c>
      <c r="H456" s="288">
        <f>3907497</f>
        <v>3907497</v>
      </c>
      <c r="I456" s="288">
        <f>3798600.01694444-I454+I455</f>
        <v>6026481.8304444402</v>
      </c>
      <c r="J456" s="288">
        <f>4255937.14055556-J454+J455</f>
        <v>3866851.3172305594</v>
      </c>
      <c r="K456" s="288">
        <f>4149510.80722222-K454+K455</f>
        <v>4107167.6245642197</v>
      </c>
      <c r="L456" s="288">
        <f>4081997.80722222-L454+L452</f>
        <v>3538844.6097698999</v>
      </c>
      <c r="O456" s="289"/>
    </row>
    <row r="457" spans="1:23" x14ac:dyDescent="0.2">
      <c r="B457" s="285" t="s">
        <v>150</v>
      </c>
      <c r="D457" s="286"/>
      <c r="E457" s="287">
        <v>1047339.1639484833</v>
      </c>
      <c r="F457" s="288">
        <v>1046468.8828258752</v>
      </c>
      <c r="G457" s="288">
        <v>2145868.120505</v>
      </c>
      <c r="H457" s="288">
        <v>1402431</v>
      </c>
      <c r="I457" s="288">
        <v>1379718.4488190997</v>
      </c>
      <c r="J457" s="288">
        <v>1256534.180915178</v>
      </c>
      <c r="K457" s="288">
        <v>1253798.2083607337</v>
      </c>
      <c r="L457" s="288">
        <f>1588191.74327133</f>
        <v>1588191.7432713299</v>
      </c>
    </row>
    <row r="458" spans="1:23" ht="13.5" thickBot="1" x14ac:dyDescent="0.25">
      <c r="B458" s="290" t="s">
        <v>151</v>
      </c>
      <c r="C458" s="291"/>
      <c r="D458" s="292"/>
      <c r="E458" s="293">
        <v>84698.003460000007</v>
      </c>
      <c r="F458" s="294">
        <v>149004.2405284112</v>
      </c>
      <c r="G458" s="294">
        <v>187199.31316999998</v>
      </c>
      <c r="H458" s="294">
        <v>198483.28972999999</v>
      </c>
      <c r="I458" s="294">
        <v>275928.33844999998</v>
      </c>
      <c r="J458" s="294">
        <v>269265.02505499998</v>
      </c>
      <c r="K458" s="294">
        <v>262601.71165999997</v>
      </c>
      <c r="L458" s="294">
        <v>255938.398265</v>
      </c>
    </row>
    <row r="459" spans="1:23" x14ac:dyDescent="0.2">
      <c r="B459" s="285" t="s">
        <v>152</v>
      </c>
      <c r="D459" s="295"/>
      <c r="E459" s="296">
        <f t="shared" ref="E459:L459" si="236">SUM(E456:E458)</f>
        <v>4733927.3053302942</v>
      </c>
      <c r="F459" s="297">
        <f t="shared" si="236"/>
        <v>4896656.8112760969</v>
      </c>
      <c r="G459" s="297">
        <f t="shared" si="236"/>
        <v>5800101.9236749997</v>
      </c>
      <c r="H459" s="297">
        <f t="shared" si="236"/>
        <v>5508411.2897300003</v>
      </c>
      <c r="I459" s="297">
        <f t="shared" si="236"/>
        <v>7682128.6177135399</v>
      </c>
      <c r="J459" s="297">
        <f t="shared" si="236"/>
        <v>5392650.5232007373</v>
      </c>
      <c r="K459" s="297">
        <f t="shared" si="236"/>
        <v>5623567.5445849532</v>
      </c>
      <c r="L459" s="297">
        <f t="shared" si="236"/>
        <v>5382974.7513062302</v>
      </c>
    </row>
    <row r="460" spans="1:23" ht="13.5" thickBot="1" x14ac:dyDescent="0.25"/>
    <row r="461" spans="1:23" x14ac:dyDescent="0.2">
      <c r="B461" s="298" t="s">
        <v>153</v>
      </c>
      <c r="C461" s="299"/>
      <c r="D461" s="300"/>
      <c r="E461" s="301"/>
      <c r="F461" s="301"/>
      <c r="G461" s="302">
        <f>G459/G462</f>
        <v>0.15621890537329991</v>
      </c>
      <c r="H461" s="302">
        <f t="shared" ref="H461:L461" si="237">H459/H462</f>
        <v>0.1382784858263211</v>
      </c>
      <c r="I461" s="302">
        <f t="shared" si="237"/>
        <v>0.18138996642088068</v>
      </c>
      <c r="J461" s="302">
        <f t="shared" si="237"/>
        <v>0.11993560127360003</v>
      </c>
      <c r="K461" s="302">
        <f t="shared" si="237"/>
        <v>0.11886230050939704</v>
      </c>
      <c r="L461" s="302">
        <f t="shared" si="237"/>
        <v>0.1081043248048057</v>
      </c>
      <c r="O461" s="303" t="s">
        <v>1223</v>
      </c>
      <c r="P461" s="156"/>
    </row>
    <row r="462" spans="1:23" ht="41.25" customHeight="1" x14ac:dyDescent="0.2">
      <c r="B462" s="304" t="s">
        <v>154</v>
      </c>
      <c r="C462" s="305"/>
      <c r="D462" s="306"/>
      <c r="E462" s="307"/>
      <c r="F462" s="307"/>
      <c r="G462" s="308">
        <f t="shared" ref="G462:L462" si="238">G17-G22</f>
        <v>37128041</v>
      </c>
      <c r="H462" s="308">
        <f t="shared" si="238"/>
        <v>39835635</v>
      </c>
      <c r="I462" s="308">
        <f t="shared" si="238"/>
        <v>42351452.890666686</v>
      </c>
      <c r="J462" s="308">
        <f t="shared" si="238"/>
        <v>44962883.963860661</v>
      </c>
      <c r="K462" s="308">
        <f t="shared" si="238"/>
        <v>47311616.21880576</v>
      </c>
      <c r="L462" s="308">
        <f t="shared" si="238"/>
        <v>49794259.02734036</v>
      </c>
      <c r="P462" s="156"/>
    </row>
    <row r="463" spans="1:23" ht="13.5" thickBot="1" x14ac:dyDescent="0.25">
      <c r="D463" s="309"/>
      <c r="E463" s="156"/>
    </row>
    <row r="464" spans="1:23" ht="26.25" thickBot="1" x14ac:dyDescent="0.25">
      <c r="B464" s="763" t="s">
        <v>155</v>
      </c>
      <c r="C464" s="310"/>
      <c r="D464" s="311"/>
      <c r="E464" s="311"/>
      <c r="F464" s="312"/>
      <c r="G464" s="762">
        <f t="shared" ref="G464:L464" si="239">G462*20%</f>
        <v>7425608.2000000002</v>
      </c>
      <c r="H464" s="762">
        <f t="shared" si="239"/>
        <v>7967127</v>
      </c>
      <c r="I464" s="762">
        <f t="shared" si="239"/>
        <v>8470290.5781333372</v>
      </c>
      <c r="J464" s="762">
        <f t="shared" si="239"/>
        <v>8992576.7927721329</v>
      </c>
      <c r="K464" s="762">
        <f t="shared" si="239"/>
        <v>9462323.243761152</v>
      </c>
      <c r="L464" s="762">
        <f t="shared" si="239"/>
        <v>9958851.8054680731</v>
      </c>
    </row>
    <row r="465" spans="1:68" ht="25.5" x14ac:dyDescent="0.2">
      <c r="B465" s="763" t="s">
        <v>156</v>
      </c>
      <c r="C465" s="310"/>
      <c r="D465" s="311"/>
      <c r="E465" s="311"/>
      <c r="F465" s="312"/>
      <c r="G465" s="762">
        <f t="shared" ref="G465:L465" si="240">G464-G459</f>
        <v>1625506.2763250005</v>
      </c>
      <c r="H465" s="762">
        <f t="shared" si="240"/>
        <v>2458715.7102699997</v>
      </c>
      <c r="I465" s="762">
        <f t="shared" si="240"/>
        <v>788161.96041979734</v>
      </c>
      <c r="J465" s="762">
        <f t="shared" si="240"/>
        <v>3599926.2695713956</v>
      </c>
      <c r="K465" s="762">
        <f t="shared" si="240"/>
        <v>3838755.6991761988</v>
      </c>
      <c r="L465" s="762">
        <f t="shared" si="240"/>
        <v>4575877.0541618429</v>
      </c>
    </row>
    <row r="466" spans="1:68" s="318" customFormat="1" x14ac:dyDescent="0.2">
      <c r="A466" s="181"/>
      <c r="B466" s="314"/>
      <c r="C466" s="313"/>
      <c r="D466" s="315"/>
      <c r="E466" s="316"/>
      <c r="F466" s="317"/>
      <c r="G466" s="317"/>
      <c r="H466" s="1129"/>
      <c r="I466" s="317"/>
      <c r="J466" s="317"/>
      <c r="K466" s="317"/>
      <c r="L466" s="317"/>
      <c r="M466" s="37"/>
      <c r="N466" s="37"/>
      <c r="O466" s="37"/>
      <c r="P466" s="37"/>
      <c r="Q466" s="37"/>
      <c r="R466" s="37"/>
      <c r="S466" s="37"/>
      <c r="T466" s="37"/>
      <c r="U466" s="37"/>
      <c r="V466" s="37"/>
      <c r="W466" s="37"/>
      <c r="X466" s="37"/>
      <c r="Y466" s="37"/>
      <c r="Z466" s="37"/>
      <c r="AA466" s="37"/>
      <c r="AB466" s="37"/>
      <c r="AC466" s="37"/>
      <c r="AD466" s="37"/>
      <c r="AE466" s="37"/>
      <c r="AF466" s="37"/>
      <c r="AG466" s="37"/>
      <c r="AH466" s="37"/>
      <c r="AI466" s="37"/>
      <c r="AJ466" s="37"/>
      <c r="AK466" s="37"/>
      <c r="AL466" s="37"/>
      <c r="AM466" s="37"/>
      <c r="AN466" s="37"/>
      <c r="AO466" s="37"/>
      <c r="AP466" s="37"/>
      <c r="AQ466" s="37"/>
      <c r="AR466" s="37"/>
      <c r="AS466" s="37"/>
      <c r="AT466" s="37"/>
      <c r="AU466" s="37"/>
      <c r="AV466" s="37"/>
      <c r="AW466" s="37"/>
      <c r="AX466" s="37"/>
      <c r="AY466" s="37"/>
      <c r="AZ466" s="37"/>
      <c r="BA466" s="37"/>
      <c r="BB466" s="37"/>
      <c r="BC466" s="37"/>
      <c r="BD466" s="37"/>
      <c r="BE466" s="37"/>
      <c r="BF466" s="37"/>
      <c r="BG466" s="37"/>
      <c r="BH466" s="37"/>
      <c r="BI466" s="37"/>
      <c r="BJ466" s="37"/>
      <c r="BK466" s="37"/>
      <c r="BL466" s="37"/>
      <c r="BM466" s="37"/>
      <c r="BN466" s="37"/>
      <c r="BO466" s="37"/>
      <c r="BP466" s="37"/>
    </row>
    <row r="467" spans="1:68" s="318" customFormat="1" x14ac:dyDescent="0.2">
      <c r="A467" s="181"/>
      <c r="B467" s="319"/>
      <c r="C467" s="313"/>
      <c r="D467" s="315"/>
      <c r="E467" s="316"/>
      <c r="F467" s="317"/>
      <c r="G467" s="317"/>
      <c r="H467" s="1129"/>
      <c r="I467" s="317"/>
      <c r="J467" s="317"/>
      <c r="K467" s="317"/>
      <c r="L467" s="317"/>
      <c r="M467" s="37"/>
      <c r="N467" s="37"/>
      <c r="O467" s="156"/>
      <c r="P467" s="37"/>
      <c r="Q467" s="37"/>
      <c r="R467" s="37"/>
      <c r="S467" s="37"/>
      <c r="T467" s="37"/>
      <c r="U467" s="37"/>
      <c r="V467" s="37"/>
      <c r="W467" s="37"/>
      <c r="X467" s="37"/>
      <c r="Y467" s="37"/>
      <c r="Z467" s="37"/>
      <c r="AA467" s="37"/>
      <c r="AB467" s="37"/>
      <c r="AC467" s="37"/>
      <c r="AD467" s="37"/>
      <c r="AE467" s="37"/>
      <c r="AF467" s="37"/>
      <c r="AG467" s="37"/>
      <c r="AH467" s="37"/>
      <c r="AI467" s="37"/>
      <c r="AJ467" s="37"/>
      <c r="AK467" s="37"/>
      <c r="AL467" s="37"/>
      <c r="AM467" s="37"/>
      <c r="AN467" s="37"/>
      <c r="AO467" s="37"/>
      <c r="AP467" s="37"/>
      <c r="AQ467" s="37"/>
      <c r="AR467" s="37"/>
      <c r="AS467" s="37"/>
      <c r="AT467" s="37"/>
      <c r="AU467" s="37"/>
      <c r="AV467" s="37"/>
      <c r="AW467" s="37"/>
      <c r="AX467" s="37"/>
      <c r="AY467" s="37"/>
      <c r="AZ467" s="37"/>
      <c r="BA467" s="37"/>
      <c r="BB467" s="37"/>
      <c r="BC467" s="37"/>
      <c r="BD467" s="37"/>
      <c r="BE467" s="37"/>
      <c r="BF467" s="37"/>
      <c r="BG467" s="37"/>
      <c r="BH467" s="37"/>
      <c r="BI467" s="37"/>
      <c r="BJ467" s="37"/>
      <c r="BK467" s="37"/>
      <c r="BL467" s="37"/>
      <c r="BM467" s="37"/>
      <c r="BN467" s="37"/>
      <c r="BO467" s="37"/>
      <c r="BP467" s="37"/>
    </row>
    <row r="468" spans="1:68" s="318" customFormat="1" x14ac:dyDescent="0.2">
      <c r="A468" s="181"/>
      <c r="B468" s="319"/>
      <c r="C468" s="313"/>
      <c r="D468" s="315"/>
      <c r="E468" s="316"/>
      <c r="F468" s="317"/>
      <c r="G468" s="317"/>
      <c r="H468" s="1129"/>
      <c r="I468" s="317"/>
      <c r="J468" s="317"/>
      <c r="K468" s="317"/>
      <c r="L468" s="317"/>
      <c r="M468" s="37"/>
      <c r="N468" s="37"/>
      <c r="O468" s="37"/>
      <c r="P468" s="37"/>
      <c r="Q468" s="37"/>
      <c r="R468" s="37"/>
      <c r="S468" s="37"/>
      <c r="T468" s="37"/>
      <c r="U468" s="37"/>
      <c r="V468" s="37"/>
      <c r="W468" s="37"/>
      <c r="X468" s="37"/>
      <c r="Y468" s="37"/>
      <c r="Z468" s="37"/>
      <c r="AA468" s="37"/>
      <c r="AB468" s="37"/>
      <c r="AC468" s="37"/>
      <c r="AD468" s="37"/>
      <c r="AE468" s="37"/>
      <c r="AF468" s="37"/>
      <c r="AG468" s="37"/>
      <c r="AH468" s="37"/>
      <c r="AI468" s="37"/>
      <c r="AJ468" s="37"/>
      <c r="AK468" s="37"/>
      <c r="AL468" s="37"/>
      <c r="AM468" s="37"/>
      <c r="AN468" s="37"/>
      <c r="AO468" s="37"/>
      <c r="AP468" s="37"/>
      <c r="AQ468" s="37"/>
      <c r="AR468" s="37"/>
      <c r="AS468" s="37"/>
      <c r="AT468" s="37"/>
      <c r="AU468" s="37"/>
      <c r="AV468" s="37"/>
      <c r="AW468" s="37"/>
      <c r="AX468" s="37"/>
      <c r="AY468" s="37"/>
      <c r="AZ468" s="37"/>
      <c r="BA468" s="37"/>
      <c r="BB468" s="37"/>
      <c r="BC468" s="37"/>
      <c r="BD468" s="37"/>
      <c r="BE468" s="37"/>
      <c r="BF468" s="37"/>
      <c r="BG468" s="37"/>
      <c r="BH468" s="37"/>
      <c r="BI468" s="37"/>
      <c r="BJ468" s="37"/>
      <c r="BK468" s="37"/>
      <c r="BL468" s="37"/>
      <c r="BM468" s="37"/>
      <c r="BN468" s="37"/>
      <c r="BO468" s="37"/>
      <c r="BP468" s="37"/>
    </row>
    <row r="469" spans="1:68" x14ac:dyDescent="0.2">
      <c r="B469" s="319"/>
      <c r="E469" s="316"/>
      <c r="F469" s="317"/>
      <c r="G469" s="317">
        <v>-2.1254911404103041</v>
      </c>
      <c r="H469" s="1129"/>
      <c r="I469" s="317"/>
      <c r="J469" s="317"/>
      <c r="K469" s="317"/>
      <c r="L469" s="317"/>
    </row>
    <row r="473" spans="1:68" x14ac:dyDescent="0.2">
      <c r="E473" s="280"/>
      <c r="F473" s="280"/>
      <c r="G473" s="280"/>
      <c r="H473" s="256"/>
      <c r="I473" s="280"/>
      <c r="J473" s="280"/>
      <c r="K473" s="280"/>
      <c r="L473" s="280"/>
    </row>
  </sheetData>
  <mergeCells count="1">
    <mergeCell ref="Y47:AF51"/>
  </mergeCells>
  <conditionalFormatting sqref="A50:L55 X51 AG51:XFD51 M51:W55 X52:XFD57 A56:I56 M56:N56 P56:W56 A57 C57:W57 O58:O59 A64:XFD65 O66:W66 X66:X71 R67:W71 P67:Q74 D74:L74 P76:X80 D83:L83 D92:N92 P92:XFD92 D101:N106 P101:XFD120 C102:C120 A102:A121 D107:E107 I107:N107 C121:L121 R121:S127 T123:X123 Q123:Q124 D128:N128 P128:XFD129 C129:N129 A129:A130 C130:L130 Q132:X132 Q133 D137:N138 P137:XFD396 A139 C139:N139 D140:N142 D143:J143 L143:N143 D144:N147 A148 C148:L148 D149:L151 D152 J152 L152:N152 D153:N156 A157 C157:N157 D158:N160 D161:G161 J161:N161 D162:N165 A166 C166:N166 D167:N169 D170:F170 L170:N170 D171:N382 D383:F383 M383:N383 D384:N401 P397:W401 X397:XFD402 D402:W402 D403:XFD409 D410:N410 P410:XFD410 D411:XFD418 D419:N419 P419:XFD419 N420:XFD425 D420:M427 P426:XFD426 N426:O427 P427:P429 X427:XFD441 Q427:W450 J428:N428 M429:M431 D429:L447 O430:O431 A430:B433 C430:C449 M432:O441 A434 A435:B449 M443:O448 X443:XFD449 P447:P448 D449:P449">
    <cfRule type="cellIs" dxfId="90" priority="141" operator="lessThan">
      <formula>0</formula>
    </cfRule>
  </conditionalFormatting>
  <conditionalFormatting sqref="D61:L63">
    <cfRule type="cellIs" dxfId="89" priority="67" operator="lessThan">
      <formula>0</formula>
    </cfRule>
  </conditionalFormatting>
  <conditionalFormatting sqref="D108:N120">
    <cfRule type="cellIs" dxfId="88" priority="42" operator="lessThan">
      <formula>0</formula>
    </cfRule>
  </conditionalFormatting>
  <conditionalFormatting sqref="E448">
    <cfRule type="cellIs" dxfId="87" priority="69" operator="lessThan">
      <formula>0</formula>
    </cfRule>
  </conditionalFormatting>
  <conditionalFormatting sqref="E73:I73">
    <cfRule type="cellIs" dxfId="86" priority="38" operator="lessThan">
      <formula>0</formula>
    </cfRule>
  </conditionalFormatting>
  <conditionalFormatting sqref="E82:I82">
    <cfRule type="cellIs" dxfId="85" priority="39" operator="lessThan">
      <formula>0</formula>
    </cfRule>
  </conditionalFormatting>
  <conditionalFormatting sqref="E91:L91">
    <cfRule type="cellIs" dxfId="84" priority="40" operator="lessThan">
      <formula>0</formula>
    </cfRule>
  </conditionalFormatting>
  <conditionalFormatting sqref="E100:L100">
    <cfRule type="cellIs" dxfId="83" priority="41" operator="lessThan">
      <formula>0</formula>
    </cfRule>
  </conditionalFormatting>
  <conditionalFormatting sqref="E127:L127">
    <cfRule type="cellIs" dxfId="82" priority="44" operator="lessThan">
      <formula>0</formula>
    </cfRule>
  </conditionalFormatting>
  <conditionalFormatting sqref="E136:L136">
    <cfRule type="cellIs" dxfId="81" priority="45" operator="lessThan">
      <formula>0</formula>
    </cfRule>
  </conditionalFormatting>
  <conditionalFormatting sqref="G461:L461">
    <cfRule type="cellIs" dxfId="80" priority="7" operator="greaterThan">
      <formula>0.18</formula>
    </cfRule>
  </conditionalFormatting>
  <conditionalFormatting sqref="M436:N447">
    <cfRule type="cellIs" dxfId="79" priority="73" operator="lessThan">
      <formula>0</formula>
    </cfRule>
  </conditionalFormatting>
  <conditionalFormatting sqref="N402:Q403">
    <cfRule type="cellIs" dxfId="78" priority="3" operator="lessThan">
      <formula>0</formula>
    </cfRule>
  </conditionalFormatting>
  <conditionalFormatting sqref="N411:Q412">
    <cfRule type="cellIs" dxfId="77" priority="1" operator="lessThan">
      <formula>0</formula>
    </cfRule>
  </conditionalFormatting>
  <conditionalFormatting sqref="N420:Q421">
    <cfRule type="cellIs" dxfId="76" priority="74" operator="lessThan">
      <formula>0</formula>
    </cfRule>
  </conditionalFormatting>
  <conditionalFormatting sqref="O442:P442 X442:AG442">
    <cfRule type="cellIs" dxfId="75" priority="72" operator="lessThan">
      <formula>0</formula>
    </cfRule>
  </conditionalFormatting>
  <conditionalFormatting sqref="P436:P438">
    <cfRule type="cellIs" dxfId="74" priority="70" operator="lessThan">
      <formula>0</formula>
    </cfRule>
  </conditionalFormatting>
  <conditionalFormatting sqref="P443:P445">
    <cfRule type="cellIs" dxfId="73" priority="71" operator="lessThan">
      <formula>0</formula>
    </cfRule>
  </conditionalFormatting>
  <conditionalFormatting sqref="P87:X87">
    <cfRule type="cellIs" dxfId="72" priority="65" operator="lessThan">
      <formula>0</formula>
    </cfRule>
  </conditionalFormatting>
  <conditionalFormatting sqref="P96:X96">
    <cfRule type="cellIs" dxfId="71" priority="137" operator="lessThan">
      <formula>0</formula>
    </cfRule>
  </conditionalFormatting>
  <conditionalFormatting sqref="Q103">
    <cfRule type="cellIs" dxfId="70" priority="116" operator="lessThan">
      <formula>0</formula>
    </cfRule>
  </conditionalFormatting>
  <conditionalFormatting sqref="Q112:Q113">
    <cfRule type="cellIs" dxfId="69" priority="100" operator="lessThan">
      <formula>0</formula>
    </cfRule>
  </conditionalFormatting>
  <conditionalFormatting sqref="Q139">
    <cfRule type="cellIs" dxfId="68" priority="126" operator="lessThan">
      <formula>0</formula>
    </cfRule>
  </conditionalFormatting>
  <conditionalFormatting sqref="Q148">
    <cfRule type="cellIs" dxfId="67" priority="62" operator="lessThan">
      <formula>0</formula>
    </cfRule>
  </conditionalFormatting>
  <conditionalFormatting sqref="Q157">
    <cfRule type="cellIs" dxfId="66" priority="60" operator="lessThan">
      <formula>0</formula>
    </cfRule>
  </conditionalFormatting>
  <conditionalFormatting sqref="Q166">
    <cfRule type="cellIs" dxfId="65" priority="58" operator="lessThan">
      <formula>0</formula>
    </cfRule>
  </conditionalFormatting>
  <conditionalFormatting sqref="Q175:Q176">
    <cfRule type="cellIs" dxfId="64" priority="96" operator="lessThan">
      <formula>0</formula>
    </cfRule>
  </conditionalFormatting>
  <conditionalFormatting sqref="Q184:Q185">
    <cfRule type="cellIs" dxfId="63" priority="56" operator="lessThan">
      <formula>0</formula>
    </cfRule>
  </conditionalFormatting>
  <conditionalFormatting sqref="Q194:Q195">
    <cfRule type="cellIs" dxfId="62" priority="54" operator="lessThan">
      <formula>0</formula>
    </cfRule>
  </conditionalFormatting>
  <conditionalFormatting sqref="Q204:Q205">
    <cfRule type="cellIs" dxfId="61" priority="52" operator="lessThan">
      <formula>0</formula>
    </cfRule>
  </conditionalFormatting>
  <conditionalFormatting sqref="Q213:Q214">
    <cfRule type="cellIs" dxfId="60" priority="50" operator="lessThan">
      <formula>0</formula>
    </cfRule>
  </conditionalFormatting>
  <conditionalFormatting sqref="Q222:Q223">
    <cfRule type="cellIs" dxfId="59" priority="48" operator="lessThan">
      <formula>0</formula>
    </cfRule>
  </conditionalFormatting>
  <conditionalFormatting sqref="Q231:Q232">
    <cfRule type="cellIs" dxfId="58" priority="46" operator="lessThan">
      <formula>0</formula>
    </cfRule>
  </conditionalFormatting>
  <conditionalFormatting sqref="Q240:Q241">
    <cfRule type="cellIs" dxfId="57" priority="36" operator="lessThan">
      <formula>0</formula>
    </cfRule>
  </conditionalFormatting>
  <conditionalFormatting sqref="Q249:Q250">
    <cfRule type="cellIs" dxfId="56" priority="34" operator="lessThan">
      <formula>0</formula>
    </cfRule>
  </conditionalFormatting>
  <conditionalFormatting sqref="Q258:Q259">
    <cfRule type="cellIs" dxfId="55" priority="32" operator="lessThan">
      <formula>0</formula>
    </cfRule>
  </conditionalFormatting>
  <conditionalFormatting sqref="Q267:Q268">
    <cfRule type="cellIs" dxfId="54" priority="30" operator="lessThan">
      <formula>0</formula>
    </cfRule>
  </conditionalFormatting>
  <conditionalFormatting sqref="Q276:Q277">
    <cfRule type="cellIs" dxfId="53" priority="28" operator="lessThan">
      <formula>0</formula>
    </cfRule>
  </conditionalFormatting>
  <conditionalFormatting sqref="Q285:Q286">
    <cfRule type="cellIs" dxfId="52" priority="26" operator="lessThan">
      <formula>0</formula>
    </cfRule>
  </conditionalFormatting>
  <conditionalFormatting sqref="Q294:Q295">
    <cfRule type="cellIs" dxfId="51" priority="24" operator="lessThan">
      <formula>0</formula>
    </cfRule>
  </conditionalFormatting>
  <conditionalFormatting sqref="Q303:Q304">
    <cfRule type="cellIs" dxfId="50" priority="22" operator="lessThan">
      <formula>0</formula>
    </cfRule>
  </conditionalFormatting>
  <conditionalFormatting sqref="Q312:Q313">
    <cfRule type="cellIs" dxfId="49" priority="20" operator="lessThan">
      <formula>0</formula>
    </cfRule>
  </conditionalFormatting>
  <conditionalFormatting sqref="Q321:Q322">
    <cfRule type="cellIs" dxfId="48" priority="18" operator="lessThan">
      <formula>0</formula>
    </cfRule>
  </conditionalFormatting>
  <conditionalFormatting sqref="Q330:Q331">
    <cfRule type="cellIs" dxfId="47" priority="16" operator="lessThan">
      <formula>0</formula>
    </cfRule>
  </conditionalFormatting>
  <conditionalFormatting sqref="Q339:Q340">
    <cfRule type="cellIs" dxfId="46" priority="14" operator="lessThan">
      <formula>0</formula>
    </cfRule>
  </conditionalFormatting>
  <conditionalFormatting sqref="Q348:Q349">
    <cfRule type="cellIs" dxfId="45" priority="12" operator="lessThan">
      <formula>0</formula>
    </cfRule>
  </conditionalFormatting>
  <conditionalFormatting sqref="Q357:Q358">
    <cfRule type="cellIs" dxfId="44" priority="10" operator="lessThan">
      <formula>0</formula>
    </cfRule>
  </conditionalFormatting>
  <conditionalFormatting sqref="Q366:Q367">
    <cfRule type="cellIs" dxfId="43" priority="8" operator="lessThan">
      <formula>0</formula>
    </cfRule>
  </conditionalFormatting>
  <conditionalFormatting sqref="Q375:Q376">
    <cfRule type="cellIs" dxfId="42" priority="94" operator="lessThan">
      <formula>0</formula>
    </cfRule>
  </conditionalFormatting>
  <conditionalFormatting sqref="Q384:Q385">
    <cfRule type="cellIs" dxfId="41" priority="90" operator="lessThan">
      <formula>0</formula>
    </cfRule>
  </conditionalFormatting>
  <conditionalFormatting sqref="Q393:Q394">
    <cfRule type="cellIs" dxfId="40" priority="5" operator="lessThan">
      <formula>0</formula>
    </cfRule>
  </conditionalFormatting>
  <conditionalFormatting sqref="R72:R73">
    <cfRule type="cellIs" dxfId="39" priority="138" operator="lessThan">
      <formula>0</formula>
    </cfRule>
  </conditionalFormatting>
  <conditionalFormatting sqref="R81:R82">
    <cfRule type="cellIs" dxfId="38" priority="140" operator="lessThan">
      <formula>0</formula>
    </cfRule>
  </conditionalFormatting>
  <conditionalFormatting sqref="R397:W397">
    <cfRule type="cellIs" dxfId="37" priority="6" operator="lessThan">
      <formula>0</formula>
    </cfRule>
  </conditionalFormatting>
  <conditionalFormatting sqref="R89:X89">
    <cfRule type="cellIs" dxfId="36" priority="66" operator="lessThan">
      <formula>0</formula>
    </cfRule>
  </conditionalFormatting>
  <conditionalFormatting sqref="R98:X98">
    <cfRule type="cellIs" dxfId="35" priority="139" operator="lessThan">
      <formula>0</formula>
    </cfRule>
  </conditionalFormatting>
  <conditionalFormatting sqref="R107:X107">
    <cfRule type="cellIs" dxfId="34" priority="117" operator="lessThan">
      <formula>0</formula>
    </cfRule>
  </conditionalFormatting>
  <conditionalFormatting sqref="R116:X116">
    <cfRule type="cellIs" dxfId="33" priority="101" operator="lessThan">
      <formula>0</formula>
    </cfRule>
  </conditionalFormatting>
  <conditionalFormatting sqref="R134:X134">
    <cfRule type="cellIs" dxfId="32" priority="64" operator="lessThan">
      <formula>0</formula>
    </cfRule>
  </conditionalFormatting>
  <conditionalFormatting sqref="R143:X143">
    <cfRule type="cellIs" dxfId="31" priority="127" operator="lessThan">
      <formula>0</formula>
    </cfRule>
  </conditionalFormatting>
  <conditionalFormatting sqref="R152:X152">
    <cfRule type="cellIs" dxfId="30" priority="63" operator="lessThan">
      <formula>0</formula>
    </cfRule>
  </conditionalFormatting>
  <conditionalFormatting sqref="R161:X161">
    <cfRule type="cellIs" dxfId="29" priority="61" operator="lessThan">
      <formula>0</formula>
    </cfRule>
  </conditionalFormatting>
  <conditionalFormatting sqref="R170:X170">
    <cfRule type="cellIs" dxfId="28" priority="59" operator="lessThan">
      <formula>0</formula>
    </cfRule>
  </conditionalFormatting>
  <conditionalFormatting sqref="R179:X179">
    <cfRule type="cellIs" dxfId="27" priority="97" operator="lessThan">
      <formula>0</formula>
    </cfRule>
  </conditionalFormatting>
  <conditionalFormatting sqref="R189:X189">
    <cfRule type="cellIs" dxfId="26" priority="57" operator="lessThan">
      <formula>0</formula>
    </cfRule>
  </conditionalFormatting>
  <conditionalFormatting sqref="R199:X199">
    <cfRule type="cellIs" dxfId="25" priority="55" operator="lessThan">
      <formula>0</formula>
    </cfRule>
  </conditionalFormatting>
  <conditionalFormatting sqref="R208:X208">
    <cfRule type="cellIs" dxfId="24" priority="53" operator="lessThan">
      <formula>0</formula>
    </cfRule>
  </conditionalFormatting>
  <conditionalFormatting sqref="R217:X217">
    <cfRule type="cellIs" dxfId="23" priority="51" operator="lessThan">
      <formula>0</formula>
    </cfRule>
  </conditionalFormatting>
  <conditionalFormatting sqref="R226:X226">
    <cfRule type="cellIs" dxfId="22" priority="49" operator="lessThan">
      <formula>0</formula>
    </cfRule>
  </conditionalFormatting>
  <conditionalFormatting sqref="R235:X235">
    <cfRule type="cellIs" dxfId="21" priority="47" operator="lessThan">
      <formula>0</formula>
    </cfRule>
  </conditionalFormatting>
  <conditionalFormatting sqref="R244:X244">
    <cfRule type="cellIs" dxfId="20" priority="37" operator="lessThan">
      <formula>0</formula>
    </cfRule>
  </conditionalFormatting>
  <conditionalFormatting sqref="R253:X253">
    <cfRule type="cellIs" dxfId="19" priority="35" operator="lessThan">
      <formula>0</formula>
    </cfRule>
  </conditionalFormatting>
  <conditionalFormatting sqref="R262:X262">
    <cfRule type="cellIs" dxfId="18" priority="33" operator="lessThan">
      <formula>0</formula>
    </cfRule>
  </conditionalFormatting>
  <conditionalFormatting sqref="R271:X271">
    <cfRule type="cellIs" dxfId="17" priority="31" operator="lessThan">
      <formula>0</formula>
    </cfRule>
  </conditionalFormatting>
  <conditionalFormatting sqref="R280:X280">
    <cfRule type="cellIs" dxfId="16" priority="29" operator="lessThan">
      <formula>0</formula>
    </cfRule>
  </conditionalFormatting>
  <conditionalFormatting sqref="R289:X289">
    <cfRule type="cellIs" dxfId="15" priority="27" operator="lessThan">
      <formula>0</formula>
    </cfRule>
  </conditionalFormatting>
  <conditionalFormatting sqref="R298:X298">
    <cfRule type="cellIs" dxfId="14" priority="25" operator="lessThan">
      <formula>0</formula>
    </cfRule>
  </conditionalFormatting>
  <conditionalFormatting sqref="R307:X307">
    <cfRule type="cellIs" dxfId="13" priority="23" operator="lessThan">
      <formula>0</formula>
    </cfRule>
  </conditionalFormatting>
  <conditionalFormatting sqref="R316:X316">
    <cfRule type="cellIs" dxfId="12" priority="21" operator="lessThan">
      <formula>0</formula>
    </cfRule>
  </conditionalFormatting>
  <conditionalFormatting sqref="R325:X325">
    <cfRule type="cellIs" dxfId="11" priority="19" operator="lessThan">
      <formula>0</formula>
    </cfRule>
  </conditionalFormatting>
  <conditionalFormatting sqref="R334:X334">
    <cfRule type="cellIs" dxfId="10" priority="17" operator="lessThan">
      <formula>0</formula>
    </cfRule>
  </conditionalFormatting>
  <conditionalFormatting sqref="R343:X343">
    <cfRule type="cellIs" dxfId="9" priority="15" operator="lessThan">
      <formula>0</formula>
    </cfRule>
  </conditionalFormatting>
  <conditionalFormatting sqref="R352:X352">
    <cfRule type="cellIs" dxfId="8" priority="13" operator="lessThan">
      <formula>0</formula>
    </cfRule>
  </conditionalFormatting>
  <conditionalFormatting sqref="R361:X361">
    <cfRule type="cellIs" dxfId="7" priority="11" operator="lessThan">
      <formula>0</formula>
    </cfRule>
  </conditionalFormatting>
  <conditionalFormatting sqref="R370:X370">
    <cfRule type="cellIs" dxfId="6" priority="9" operator="lessThan">
      <formula>0</formula>
    </cfRule>
  </conditionalFormatting>
  <conditionalFormatting sqref="R379:X379">
    <cfRule type="cellIs" dxfId="5" priority="95" operator="lessThan">
      <formula>0</formula>
    </cfRule>
  </conditionalFormatting>
  <conditionalFormatting sqref="R388:X388">
    <cfRule type="cellIs" dxfId="4" priority="91" operator="lessThan">
      <formula>0</formula>
    </cfRule>
  </conditionalFormatting>
  <conditionalFormatting sqref="R406:X406">
    <cfRule type="cellIs" dxfId="3" priority="4" operator="lessThan">
      <formula>0</formula>
    </cfRule>
  </conditionalFormatting>
  <conditionalFormatting sqref="R415:X415">
    <cfRule type="cellIs" dxfId="2" priority="2" operator="lessThan">
      <formula>0</formula>
    </cfRule>
  </conditionalFormatting>
  <conditionalFormatting sqref="R424:X424">
    <cfRule type="cellIs" dxfId="1" priority="75" operator="lessThan">
      <formula>0</formula>
    </cfRule>
  </conditionalFormatting>
  <conditionalFormatting sqref="T125:X125">
    <cfRule type="cellIs" dxfId="0" priority="136" operator="lessThan">
      <formula>0</formula>
    </cfRule>
  </conditionalFormatting>
  <pageMargins left="0.70866141732283472" right="0.70866141732283472" top="0.74803149606299213" bottom="0.74803149606299213" header="0.31496062992125984" footer="0.31496062992125984"/>
  <pageSetup paperSize="9" scale="75"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3</vt:i4>
      </vt:variant>
      <vt:variant>
        <vt:lpstr>Diapazoni ar nosaukumiem</vt:lpstr>
      </vt:variant>
      <vt:variant>
        <vt:i4>2</vt:i4>
      </vt:variant>
    </vt:vector>
  </HeadingPairs>
  <TitlesOfParts>
    <vt:vector size="5" baseType="lpstr">
      <vt:lpstr>Investīcijas_2025</vt:lpstr>
      <vt:lpstr>Investīcijas_2026</vt:lpstr>
      <vt:lpstr>2022-2027</vt:lpstr>
      <vt:lpstr>'2022-2027'!Drukas_apgabals</vt:lpstr>
      <vt:lpstr>'2022-2027'!Drukāt_virsrakstus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Sintija Tenisa</cp:lastModifiedBy>
  <cp:lastPrinted>2025-07-21T12:08:27Z</cp:lastPrinted>
  <dcterms:created xsi:type="dcterms:W3CDTF">2025-06-18T10:59:51Z</dcterms:created>
  <dcterms:modified xsi:type="dcterms:W3CDTF">2026-03-24T14:55:08Z</dcterms:modified>
</cp:coreProperties>
</file>